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2" sheetId="1" r:id="rId4"/>
    <sheet state="visible" name="시트1" sheetId="2" r:id="rId5"/>
  </sheets>
  <definedNames/>
  <calcPr/>
</workbook>
</file>

<file path=xl/sharedStrings.xml><?xml version="1.0" encoding="utf-8"?>
<sst xmlns="http://schemas.openxmlformats.org/spreadsheetml/2006/main" count="22230" uniqueCount="15049">
  <si>
    <t/>
  </si>
  <si>
    <t>SP500</t>
  </si>
  <si>
    <t>NASDAQ</t>
  </si>
  <si>
    <t>KOSPI</t>
  </si>
  <si>
    <t>2004. 1. 2 오후 4:00:00</t>
  </si>
  <si>
    <t>2004. 1. 2 오후 3:30:00</t>
  </si>
  <si>
    <t>2004. 1. 3 오후 4:00:00</t>
  </si>
  <si>
    <t>2004. 1. 3 오후 3:30:00</t>
  </si>
  <si>
    <t>2004. 1. 4 오후 4:00:00</t>
  </si>
  <si>
    <t>2004. 1. 4 오후 3:30:00</t>
  </si>
  <si>
    <t>2004. 1. 5 오후 4:00:00</t>
  </si>
  <si>
    <t>2004. 1. 5 오후 3:30:00</t>
  </si>
  <si>
    <t>2004. 1. 6 오후 4:00:00</t>
  </si>
  <si>
    <t>2004. 1. 6 오후 3:30:00</t>
  </si>
  <si>
    <t>2004. 1. 7 오후 4:00:00</t>
  </si>
  <si>
    <t>2004. 1. 7 오후 3:30:00</t>
  </si>
  <si>
    <t>2004. 1. 8 오후 4:00:00</t>
  </si>
  <si>
    <t>2004. 1. 8 오후 3:30:00</t>
  </si>
  <si>
    <t>2004. 1. 9 오후 4:00:00</t>
  </si>
  <si>
    <t>2004. 1. 9 오후 3:30:00</t>
  </si>
  <si>
    <t>2004. 1. 10 오후 4:00:00</t>
  </si>
  <si>
    <t>2004. 1. 10 오후 3:30:00</t>
  </si>
  <si>
    <t>2004. 1. 11 오후 4:00:00</t>
  </si>
  <si>
    <t>2004. 1. 11 오후 3:30:00</t>
  </si>
  <si>
    <t>2004. 1. 12 오후 4:00:00</t>
  </si>
  <si>
    <t>2004. 1. 12 오후 3:30:00</t>
  </si>
  <si>
    <t>2004. 1. 13 오후 4:00:00</t>
  </si>
  <si>
    <t>2004. 1. 13 오후 3:30:00</t>
  </si>
  <si>
    <t>2004. 1. 14 오후 4:00:00</t>
  </si>
  <si>
    <t>2004. 1. 14 오후 3:30:00</t>
  </si>
  <si>
    <t>2004. 1. 15 오후 4:00:00</t>
  </si>
  <si>
    <t>2004. 1. 15 오후 3:30:00</t>
  </si>
  <si>
    <t>2004. 1. 16 오후 4:00:00</t>
  </si>
  <si>
    <t>2004. 1. 16 오후 3:30:00</t>
  </si>
  <si>
    <t>2004. 1. 17 오후 4:00:00</t>
  </si>
  <si>
    <t>2004. 1. 17 오후 3:30:00</t>
  </si>
  <si>
    <t>2004. 1. 18 오후 4:00:00</t>
  </si>
  <si>
    <t>2004. 1. 18 오후 3:30:00</t>
  </si>
  <si>
    <t>2004. 1. 19 오후 4:00:00</t>
  </si>
  <si>
    <t>2004. 1. 19 오후 3:30:00</t>
  </si>
  <si>
    <t>2004. 1. 20 오후 4:00:00</t>
  </si>
  <si>
    <t>2004. 1. 20 오후 3:30:00</t>
  </si>
  <si>
    <t>2004. 1. 21 오후 4:00:00</t>
  </si>
  <si>
    <t>2004. 1. 21 오후 3:30:00</t>
  </si>
  <si>
    <t>2004. 1. 22 오후 4:00:00</t>
  </si>
  <si>
    <t>2004. 1. 22 오후 3:30:00</t>
  </si>
  <si>
    <t>2004. 1. 23 오후 4:00:00</t>
  </si>
  <si>
    <t>2004. 1. 23 오후 3:30:00</t>
  </si>
  <si>
    <t>2004. 1. 24 오후 4:00:00</t>
  </si>
  <si>
    <t>2004. 1. 24 오후 3:30:00</t>
  </si>
  <si>
    <t>2004. 1. 25 오후 4:00:00</t>
  </si>
  <si>
    <t>2004. 1. 25 오후 3:30:00</t>
  </si>
  <si>
    <t>2004. 1. 26 오후 4:00:00</t>
  </si>
  <si>
    <t>2004. 1. 26 오후 3:30:00</t>
  </si>
  <si>
    <t>2004. 1. 27 오후 4:00:00</t>
  </si>
  <si>
    <t>2004. 1. 27 오후 3:30:00</t>
  </si>
  <si>
    <t>2004. 1. 28 오후 4:00:00</t>
  </si>
  <si>
    <t>2004. 1. 28 오후 3:30:00</t>
  </si>
  <si>
    <t>2004. 1. 29 오후 4:00:00</t>
  </si>
  <si>
    <t>2004. 1. 29 오후 3:30:00</t>
  </si>
  <si>
    <t>2004. 1. 30 오후 4:00:00</t>
  </si>
  <si>
    <t>2004. 1. 30 오후 3:30:00</t>
  </si>
  <si>
    <t>2004. 1. 31 오후 4:00:00</t>
  </si>
  <si>
    <t>2004. 1. 31 오후 3:30:00</t>
  </si>
  <si>
    <t>2004. 2. 1 오후 4:00:00</t>
  </si>
  <si>
    <t>2004. 2. 1 오후 3:30:00</t>
  </si>
  <si>
    <t>2004. 2. 2 오후 4:00:00</t>
  </si>
  <si>
    <t>2004. 2. 2 오후 3:30:00</t>
  </si>
  <si>
    <t>2004. 2. 3 오후 4:00:00</t>
  </si>
  <si>
    <t>2004. 2. 3 오후 3:30:00</t>
  </si>
  <si>
    <t>2004. 2. 4 오후 4:00:00</t>
  </si>
  <si>
    <t>2004. 2. 4 오후 3:30:00</t>
  </si>
  <si>
    <t>2004. 2. 5 오후 4:00:00</t>
  </si>
  <si>
    <t>2004. 2. 5 오후 3:30:00</t>
  </si>
  <si>
    <t>2004. 2. 6 오후 4:00:00</t>
  </si>
  <si>
    <t>2004. 2. 6 오후 3:30:00</t>
  </si>
  <si>
    <t>2004. 2. 7 오후 4:00:00</t>
  </si>
  <si>
    <t>2004. 2. 7 오후 3:30:00</t>
  </si>
  <si>
    <t>2004. 2. 8 오후 4:00:00</t>
  </si>
  <si>
    <t>2004. 2. 8 오후 3:30:00</t>
  </si>
  <si>
    <t>2004. 2. 9 오후 4:00:00</t>
  </si>
  <si>
    <t>2004. 2. 9 오후 3:30:00</t>
  </si>
  <si>
    <t>2004. 2. 10 오후 4:00:00</t>
  </si>
  <si>
    <t>2004. 2. 10 오후 3:30:00</t>
  </si>
  <si>
    <t>2004. 2. 11 오후 4:00:00</t>
  </si>
  <si>
    <t>2004. 2. 11 오후 3:30:00</t>
  </si>
  <si>
    <t>2004. 2. 12 오후 4:00:00</t>
  </si>
  <si>
    <t>2004. 2. 12 오후 3:30:00</t>
  </si>
  <si>
    <t>2004. 2. 13 오후 4:00:00</t>
  </si>
  <si>
    <t>2004. 2. 13 오후 3:30:00</t>
  </si>
  <si>
    <t>2004. 2. 14 오후 4:00:00</t>
  </si>
  <si>
    <t>2004. 2. 14 오후 3:30:00</t>
  </si>
  <si>
    <t>2004. 2. 15 오후 4:00:00</t>
  </si>
  <si>
    <t>2004. 2. 15 오후 3:30:00</t>
  </si>
  <si>
    <t>2004. 2. 16 오후 4:00:00</t>
  </si>
  <si>
    <t>2004. 2. 16 오후 3:30:00</t>
  </si>
  <si>
    <t>2004. 2. 17 오후 4:00:00</t>
  </si>
  <si>
    <t>2004. 2. 17 오후 3:30:00</t>
  </si>
  <si>
    <t>2004. 2. 18 오후 4:00:00</t>
  </si>
  <si>
    <t>2004. 2. 18 오후 3:30:00</t>
  </si>
  <si>
    <t>2004. 2. 19 오후 4:00:00</t>
  </si>
  <si>
    <t>2004. 2. 19 오후 3:30:00</t>
  </si>
  <si>
    <t>2004. 2. 20 오후 4:00:00</t>
  </si>
  <si>
    <t>2004. 2. 20 오후 3:30:00</t>
  </si>
  <si>
    <t>2004. 2. 21 오후 4:00:00</t>
  </si>
  <si>
    <t>2004. 2. 21 오후 3:30:00</t>
  </si>
  <si>
    <t>2004. 2. 22 오후 4:00:00</t>
  </si>
  <si>
    <t>2004. 2. 22 오후 3:30:00</t>
  </si>
  <si>
    <t>2004. 2. 23 오후 4:00:00</t>
  </si>
  <si>
    <t>2004. 2. 23 오후 3:30:00</t>
  </si>
  <si>
    <t>2004. 2. 24 오후 4:00:00</t>
  </si>
  <si>
    <t>2004. 2. 24 오후 3:30:00</t>
  </si>
  <si>
    <t>2004. 2. 25 오후 4:00:00</t>
  </si>
  <si>
    <t>2004. 2. 25 오후 3:30:00</t>
  </si>
  <si>
    <t>2004. 2. 26 오후 4:00:00</t>
  </si>
  <si>
    <t>2004. 2. 26 오후 3:30:00</t>
  </si>
  <si>
    <t>2004. 2. 27 오후 4:00:00</t>
  </si>
  <si>
    <t>2004. 2. 27 오후 3:30:00</t>
  </si>
  <si>
    <t>2004. 2. 28 오후 4:00:00</t>
  </si>
  <si>
    <t>2004. 2. 28 오후 3:30:00</t>
  </si>
  <si>
    <t>2004. 2. 29 오후 4:00:00</t>
  </si>
  <si>
    <t>2004. 2. 29 오후 3:30:00</t>
  </si>
  <si>
    <t>2004. 3. 1 오후 4:00:00</t>
  </si>
  <si>
    <t>2004. 3. 1 오후 3:30:00</t>
  </si>
  <si>
    <t>2004. 3. 2 오후 4:00:00</t>
  </si>
  <si>
    <t>2004. 3. 2 오후 3:30:00</t>
  </si>
  <si>
    <t>2004. 3. 3 오후 4:00:00</t>
  </si>
  <si>
    <t>2004. 3. 3 오후 3:30:00</t>
  </si>
  <si>
    <t>2004. 3. 4 오후 4:00:00</t>
  </si>
  <si>
    <t>2004. 3. 4 오후 3:30:00</t>
  </si>
  <si>
    <t>2004. 3. 5 오후 4:00:00</t>
  </si>
  <si>
    <t>2004. 3. 5 오후 3:30:00</t>
  </si>
  <si>
    <t>2004. 3. 6 오후 4:00:00</t>
  </si>
  <si>
    <t>2004. 3. 6 오후 3:30:00</t>
  </si>
  <si>
    <t>2004. 3. 7 오후 4:00:00</t>
  </si>
  <si>
    <t>2004. 3. 7 오후 3:30:00</t>
  </si>
  <si>
    <t>2004. 3. 8 오후 4:00:00</t>
  </si>
  <si>
    <t>2004. 3. 8 오후 3:30:00</t>
  </si>
  <si>
    <t>2004. 3. 9 오후 4:00:00</t>
  </si>
  <si>
    <t>2004. 3. 9 오후 3:30:00</t>
  </si>
  <si>
    <t>2004. 3. 10 오후 4:00:00</t>
  </si>
  <si>
    <t>2004. 3. 10 오후 3:30:00</t>
  </si>
  <si>
    <t>2004. 3. 11 오후 4:00:00</t>
  </si>
  <si>
    <t>2004. 3. 11 오후 3:30:00</t>
  </si>
  <si>
    <t>2004. 3. 12 오후 4:00:00</t>
  </si>
  <si>
    <t>2004. 3. 12 오후 3:30:00</t>
  </si>
  <si>
    <t>2004. 3. 13 오후 4:00:00</t>
  </si>
  <si>
    <t>2004. 3. 13 오후 3:30:00</t>
  </si>
  <si>
    <t>2004. 3. 14 오후 4:00:00</t>
  </si>
  <si>
    <t>2004. 3. 14 오후 3:30:00</t>
  </si>
  <si>
    <t>2004. 3. 15 오후 4:00:00</t>
  </si>
  <si>
    <t>2004. 3. 15 오후 3:30:00</t>
  </si>
  <si>
    <t>2004. 3. 16 오후 4:00:00</t>
  </si>
  <si>
    <t>2004. 3. 16 오후 3:30:00</t>
  </si>
  <si>
    <t>2004. 3. 17 오후 4:00:00</t>
  </si>
  <si>
    <t>2004. 3. 17 오후 3:30:00</t>
  </si>
  <si>
    <t>2004. 3. 18 오후 4:00:00</t>
  </si>
  <si>
    <t>2004. 3. 18 오후 3:30:00</t>
  </si>
  <si>
    <t>2004. 3. 19 오후 4:00:00</t>
  </si>
  <si>
    <t>2004. 3. 19 오후 3:30:00</t>
  </si>
  <si>
    <t>2004. 3. 20 오후 4:00:00</t>
  </si>
  <si>
    <t>2004. 3. 20 오후 3:30:00</t>
  </si>
  <si>
    <t>2004. 3. 21 오후 4:00:00</t>
  </si>
  <si>
    <t>2004. 3. 21 오후 3:30:00</t>
  </si>
  <si>
    <t>2004. 3. 22 오후 4:00:00</t>
  </si>
  <si>
    <t>2004. 3. 22 오후 3:30:00</t>
  </si>
  <si>
    <t>2004. 3. 23 오후 4:00:00</t>
  </si>
  <si>
    <t>2004. 3. 23 오후 3:30:00</t>
  </si>
  <si>
    <t>2004. 3. 24 오후 4:00:00</t>
  </si>
  <si>
    <t>2004. 3. 24 오후 3:30:00</t>
  </si>
  <si>
    <t>2004. 3. 25 오후 4:00:00</t>
  </si>
  <si>
    <t>2004. 3. 25 오후 3:30:00</t>
  </si>
  <si>
    <t>2004. 3. 26 오후 4:00:00</t>
  </si>
  <si>
    <t>2004. 3. 26 오후 3:30:00</t>
  </si>
  <si>
    <t>2004. 3. 27 오후 4:00:00</t>
  </si>
  <si>
    <t>2004. 3. 27 오후 3:30:00</t>
  </si>
  <si>
    <t>2004. 3. 28 오후 4:00:00</t>
  </si>
  <si>
    <t>2004. 3. 28 오후 3:30:00</t>
  </si>
  <si>
    <t>2004. 3. 29 오후 4:00:00</t>
  </si>
  <si>
    <t>2004. 3. 29 오후 3:30:00</t>
  </si>
  <si>
    <t>2004. 3. 30 오후 4:00:00</t>
  </si>
  <si>
    <t>2004. 3. 30 오후 3:30:00</t>
  </si>
  <si>
    <t>2004. 3. 31 오후 4:00:00</t>
  </si>
  <si>
    <t>2004. 3. 31 오후 3:30:00</t>
  </si>
  <si>
    <t>2004. 4. 1 오후 4:00:00</t>
  </si>
  <si>
    <t>2004. 4. 1 오후 3:30:00</t>
  </si>
  <si>
    <t>2004. 4. 2 오후 4:00:00</t>
  </si>
  <si>
    <t>2004. 4. 2 오후 3:30:00</t>
  </si>
  <si>
    <t>2004. 4. 3 오후 4:00:00</t>
  </si>
  <si>
    <t>2004. 4. 3 오후 3:30:00</t>
  </si>
  <si>
    <t>2004. 4. 4 오후 4:00:00</t>
  </si>
  <si>
    <t>2004. 4. 4 오후 3:30:00</t>
  </si>
  <si>
    <t>2004. 4. 5 오후 4:00:00</t>
  </si>
  <si>
    <t>2004. 4. 5 오후 3:30:00</t>
  </si>
  <si>
    <t>2004. 4. 6 오후 4:00:00</t>
  </si>
  <si>
    <t>2004. 4. 6 오후 3:30:00</t>
  </si>
  <si>
    <t>2004. 4. 7 오후 4:00:00</t>
  </si>
  <si>
    <t>2004. 4. 7 오후 3:30:00</t>
  </si>
  <si>
    <t>2004. 4. 8 오후 4:00:00</t>
  </si>
  <si>
    <t>2004. 4. 8 오후 3:30:00</t>
  </si>
  <si>
    <t>2004. 4. 9 오후 4:00:00</t>
  </si>
  <si>
    <t>2004. 4. 9 오후 3:30:00</t>
  </si>
  <si>
    <t>2004. 4. 10 오후 4:00:00</t>
  </si>
  <si>
    <t>2004. 4. 10 오후 3:30:00</t>
  </si>
  <si>
    <t>2004. 4. 11 오후 4:00:00</t>
  </si>
  <si>
    <t>2004. 4. 11 오후 3:30:00</t>
  </si>
  <si>
    <t>2004. 4. 12 오후 4:00:00</t>
  </si>
  <si>
    <t>2004. 4. 12 오후 3:30:00</t>
  </si>
  <si>
    <t>2004. 4. 13 오후 4:00:00</t>
  </si>
  <si>
    <t>2004. 4. 13 오후 3:30:00</t>
  </si>
  <si>
    <t>2004. 4. 14 오후 4:00:00</t>
  </si>
  <si>
    <t>2004. 4. 14 오후 3:30:00</t>
  </si>
  <si>
    <t>2004. 4. 15 오후 4:00:00</t>
  </si>
  <si>
    <t>2004. 4. 15 오후 3:30:00</t>
  </si>
  <si>
    <t>2004. 4. 16 오후 4:00:00</t>
  </si>
  <si>
    <t>2004. 4. 16 오후 3:30:00</t>
  </si>
  <si>
    <t>2004. 4. 17 오후 4:00:00</t>
  </si>
  <si>
    <t>2004. 4. 17 오후 3:30:00</t>
  </si>
  <si>
    <t>2004. 4. 18 오후 4:00:00</t>
  </si>
  <si>
    <t>2004. 4. 18 오후 3:30:00</t>
  </si>
  <si>
    <t>2004. 4. 19 오후 4:00:00</t>
  </si>
  <si>
    <t>2004. 4. 19 오후 3:30:00</t>
  </si>
  <si>
    <t>2004. 4. 20 오후 4:00:00</t>
  </si>
  <si>
    <t>2004. 4. 20 오후 3:30:00</t>
  </si>
  <si>
    <t>2004. 4. 21 오후 4:00:00</t>
  </si>
  <si>
    <t>2004. 4. 21 오후 3:30:00</t>
  </si>
  <si>
    <t>2004. 4. 22 오후 4:00:00</t>
  </si>
  <si>
    <t>2004. 4. 22 오후 3:30:00</t>
  </si>
  <si>
    <t>2004. 4. 23 오후 4:00:00</t>
  </si>
  <si>
    <t>2004. 4. 23 오후 3:30:00</t>
  </si>
  <si>
    <t>2004. 4. 24 오후 4:00:00</t>
  </si>
  <si>
    <t>2004. 4. 24 오후 3:30:00</t>
  </si>
  <si>
    <t>2004. 4. 25 오후 4:00:00</t>
  </si>
  <si>
    <t>2004. 4. 25 오후 3:30:00</t>
  </si>
  <si>
    <t>2004. 4. 26 오후 4:00:00</t>
  </si>
  <si>
    <t>2004. 4. 26 오후 3:30:00</t>
  </si>
  <si>
    <t>2004. 4. 27 오후 4:00:00</t>
  </si>
  <si>
    <t>2004. 4. 27 오후 3:30:00</t>
  </si>
  <si>
    <t>2004. 4. 28 오후 4:00:00</t>
  </si>
  <si>
    <t>2004. 4. 28 오후 3:30:00</t>
  </si>
  <si>
    <t>2004. 4. 29 오후 4:00:00</t>
  </si>
  <si>
    <t>2004. 4. 29 오후 3:30:00</t>
  </si>
  <si>
    <t>2004. 4. 30 오후 4:00:00</t>
  </si>
  <si>
    <t>2004. 4. 30 오후 3:30:00</t>
  </si>
  <si>
    <t>2004. 5. 1 오후 4:00:00</t>
  </si>
  <si>
    <t>2004. 5. 1 오후 3:30:00</t>
  </si>
  <si>
    <t>2004. 5. 2 오후 4:00:00</t>
  </si>
  <si>
    <t>2004. 5. 2 오후 3:30:00</t>
  </si>
  <si>
    <t>2004. 5. 3 오후 4:00:00</t>
  </si>
  <si>
    <t>2004. 5. 3 오후 3:30:00</t>
  </si>
  <si>
    <t>2004. 5. 4 오후 4:00:00</t>
  </si>
  <si>
    <t>2004. 5. 4 오후 3:30:00</t>
  </si>
  <si>
    <t>2004. 5. 5 오후 4:00:00</t>
  </si>
  <si>
    <t>2004. 5. 5 오후 3:30:00</t>
  </si>
  <si>
    <t>2004. 5. 6 오후 4:00:00</t>
  </si>
  <si>
    <t>2004. 5. 6 오후 3:30:00</t>
  </si>
  <si>
    <t>2004. 5. 7 오후 4:00:00</t>
  </si>
  <si>
    <t>2004. 5. 7 오후 3:30:00</t>
  </si>
  <si>
    <t>2004. 5. 8 오후 4:00:00</t>
  </si>
  <si>
    <t>2004. 5. 8 오후 3:30:00</t>
  </si>
  <si>
    <t>2004. 5. 9 오후 4:00:00</t>
  </si>
  <si>
    <t>2004. 5. 9 오후 3:30:00</t>
  </si>
  <si>
    <t>2004. 5. 10 오후 4:00:00</t>
  </si>
  <si>
    <t>2004. 5. 10 오후 3:30:00</t>
  </si>
  <si>
    <t>2004. 5. 11 오후 4:00:00</t>
  </si>
  <si>
    <t>2004. 5. 11 오후 3:30:00</t>
  </si>
  <si>
    <t>2004. 5. 12 오후 4:00:00</t>
  </si>
  <si>
    <t>2004. 5. 12 오후 3:30:00</t>
  </si>
  <si>
    <t>2004. 5. 13 오후 4:00:00</t>
  </si>
  <si>
    <t>2004. 5. 13 오후 3:30:00</t>
  </si>
  <si>
    <t>2004. 5. 14 오후 4:00:00</t>
  </si>
  <si>
    <t>2004. 5. 14 오후 3:30:00</t>
  </si>
  <si>
    <t>2004. 5. 15 오후 4:00:00</t>
  </si>
  <si>
    <t>2004. 5. 15 오후 3:30:00</t>
  </si>
  <si>
    <t>2004. 5. 16 오후 4:00:00</t>
  </si>
  <si>
    <t>2004. 5. 16 오후 3:30:00</t>
  </si>
  <si>
    <t>2004. 5. 17 오후 4:00:00</t>
  </si>
  <si>
    <t>2004. 5. 17 오후 3:30:00</t>
  </si>
  <si>
    <t>2004. 5. 18 오후 4:00:00</t>
  </si>
  <si>
    <t>2004. 5. 18 오후 3:30:00</t>
  </si>
  <si>
    <t>2004. 5. 19 오후 4:00:00</t>
  </si>
  <si>
    <t>2004. 5. 19 오후 3:30:00</t>
  </si>
  <si>
    <t>2004. 5. 20 오후 4:00:00</t>
  </si>
  <si>
    <t>2004. 5. 20 오후 3:30:00</t>
  </si>
  <si>
    <t>2004. 5. 21 오후 4:00:00</t>
  </si>
  <si>
    <t>2004. 5. 21 오후 3:30:00</t>
  </si>
  <si>
    <t>2004. 5. 22 오후 4:00:00</t>
  </si>
  <si>
    <t>2004. 5. 22 오후 3:30:00</t>
  </si>
  <si>
    <t>2004. 5. 23 오후 4:00:00</t>
  </si>
  <si>
    <t>2004. 5. 23 오후 3:30:00</t>
  </si>
  <si>
    <t>2004. 5. 24 오후 4:00:00</t>
  </si>
  <si>
    <t>2004. 5. 24 오후 3:30:00</t>
  </si>
  <si>
    <t>2004. 5. 25 오후 4:00:00</t>
  </si>
  <si>
    <t>2004. 5. 25 오후 3:30:00</t>
  </si>
  <si>
    <t>2004. 5. 26 오후 4:00:00</t>
  </si>
  <si>
    <t>2004. 5. 26 오후 3:30:00</t>
  </si>
  <si>
    <t>2004. 5. 27 오후 4:00:00</t>
  </si>
  <si>
    <t>2004. 5. 27 오후 3:30:00</t>
  </si>
  <si>
    <t>2004. 5. 28 오후 4:00:00</t>
  </si>
  <si>
    <t>2004. 5. 28 오후 3:30:00</t>
  </si>
  <si>
    <t>2004. 5. 29 오후 4:00:00</t>
  </si>
  <si>
    <t>2004. 5. 29 오후 3:30:00</t>
  </si>
  <si>
    <t>2004. 5. 30 오후 4:00:00</t>
  </si>
  <si>
    <t>2004. 5. 30 오후 3:30:00</t>
  </si>
  <si>
    <t>2004. 5. 31 오후 4:00:00</t>
  </si>
  <si>
    <t>2004. 5. 31 오후 3:30:00</t>
  </si>
  <si>
    <t>2004. 6. 1 오후 4:00:00</t>
  </si>
  <si>
    <t>2004. 6. 1 오후 3:30:00</t>
  </si>
  <si>
    <t>2004. 6. 2 오후 4:00:00</t>
  </si>
  <si>
    <t>2004. 6. 2 오후 3:30:00</t>
  </si>
  <si>
    <t>2004. 6. 3 오후 4:00:00</t>
  </si>
  <si>
    <t>2004. 6. 3 오후 3:30:00</t>
  </si>
  <si>
    <t>2004. 6. 4 오후 4:00:00</t>
  </si>
  <si>
    <t>2004. 6. 4 오후 3:30:00</t>
  </si>
  <si>
    <t>2004. 6. 5 오후 4:00:00</t>
  </si>
  <si>
    <t>2004. 6. 5 오후 3:30:00</t>
  </si>
  <si>
    <t>2004. 6. 6 오후 4:00:00</t>
  </si>
  <si>
    <t>2004. 6. 6 오후 3:30:00</t>
  </si>
  <si>
    <t>2004. 6. 7 오후 4:00:00</t>
  </si>
  <si>
    <t>2004. 6. 7 오후 3:30:00</t>
  </si>
  <si>
    <t>2004. 6. 8 오후 4:00:00</t>
  </si>
  <si>
    <t>2004. 6. 8 오후 3:30:00</t>
  </si>
  <si>
    <t>2004. 6. 9 오후 4:00:00</t>
  </si>
  <si>
    <t>2004. 6. 9 오후 3:30:00</t>
  </si>
  <si>
    <t>2004. 6. 10 오후 4:00:00</t>
  </si>
  <si>
    <t>2004. 6. 10 오후 3:30:00</t>
  </si>
  <si>
    <t>2004. 6. 11 오후 4:00:00</t>
  </si>
  <si>
    <t>2004. 6. 11 오후 3:30:00</t>
  </si>
  <si>
    <t>2004. 6. 12 오후 4:00:00</t>
  </si>
  <si>
    <t>2004. 6. 12 오후 3:30:00</t>
  </si>
  <si>
    <t>2004. 6. 13 오후 4:00:00</t>
  </si>
  <si>
    <t>2004. 6. 13 오후 3:30:00</t>
  </si>
  <si>
    <t>2004. 6. 14 오후 4:00:00</t>
  </si>
  <si>
    <t>2004. 6. 14 오후 3:30:00</t>
  </si>
  <si>
    <t>2004. 6. 15 오후 4:00:00</t>
  </si>
  <si>
    <t>2004. 6. 15 오후 3:30:00</t>
  </si>
  <si>
    <t>2004. 6. 16 오후 4:00:00</t>
  </si>
  <si>
    <t>2004. 6. 16 오후 3:30:00</t>
  </si>
  <si>
    <t>2004. 6. 17 오후 4:00:00</t>
  </si>
  <si>
    <t>2004. 6. 17 오후 3:30:00</t>
  </si>
  <si>
    <t>2004. 6. 18 오후 4:00:00</t>
  </si>
  <si>
    <t>2004. 6. 18 오후 3:30:00</t>
  </si>
  <si>
    <t>2004. 6. 19 오후 4:00:00</t>
  </si>
  <si>
    <t>2004. 6. 19 오후 3:30:00</t>
  </si>
  <si>
    <t>2004. 6. 20 오후 4:00:00</t>
  </si>
  <si>
    <t>2004. 6. 20 오후 3:30:00</t>
  </si>
  <si>
    <t>2004. 6. 21 오후 4:00:00</t>
  </si>
  <si>
    <t>2004. 6. 21 오후 3:30:00</t>
  </si>
  <si>
    <t>2004. 6. 22 오후 4:00:00</t>
  </si>
  <si>
    <t>2004. 6. 22 오후 3:30:00</t>
  </si>
  <si>
    <t>2004. 6. 23 오후 4:00:00</t>
  </si>
  <si>
    <t>2004. 6. 23 오후 3:30:00</t>
  </si>
  <si>
    <t>2004. 6. 24 오후 4:00:00</t>
  </si>
  <si>
    <t>2004. 6. 24 오후 3:30:00</t>
  </si>
  <si>
    <t>2004. 6. 25 오후 4:00:00</t>
  </si>
  <si>
    <t>2004. 6. 25 오후 3:30:00</t>
  </si>
  <si>
    <t>2004. 6. 26 오후 4:00:00</t>
  </si>
  <si>
    <t>2004. 6. 26 오후 3:30:00</t>
  </si>
  <si>
    <t>2004. 6. 27 오후 4:00:00</t>
  </si>
  <si>
    <t>2004. 6. 27 오후 3:30:00</t>
  </si>
  <si>
    <t>2004. 6. 28 오후 4:00:00</t>
  </si>
  <si>
    <t>2004. 6. 28 오후 3:30:00</t>
  </si>
  <si>
    <t>2004. 6. 29 오후 4:00:00</t>
  </si>
  <si>
    <t>2004. 6. 29 오후 3:30:00</t>
  </si>
  <si>
    <t>2004. 6. 30 오후 4:00:00</t>
  </si>
  <si>
    <t>2004. 6. 30 오후 3:30:00</t>
  </si>
  <si>
    <t>2004. 7. 1 오후 4:00:00</t>
  </si>
  <si>
    <t>2004. 7. 1 오후 3:30:00</t>
  </si>
  <si>
    <t>2004. 7. 2 오후 4:00:00</t>
  </si>
  <si>
    <t>2004. 7. 2 오후 3:30:00</t>
  </si>
  <si>
    <t>2004. 7. 3 오후 4:00:00</t>
  </si>
  <si>
    <t>2004. 7. 3 오후 3:30:00</t>
  </si>
  <si>
    <t>2004. 7. 4 오후 4:00:00</t>
  </si>
  <si>
    <t>2004. 7. 4 오후 3:30:00</t>
  </si>
  <si>
    <t>2004. 7. 5 오후 4:00:00</t>
  </si>
  <si>
    <t>2004. 7. 5 오후 3:30:00</t>
  </si>
  <si>
    <t>2004. 7. 6 오후 4:00:00</t>
  </si>
  <si>
    <t>2004. 7. 6 오후 3:30:00</t>
  </si>
  <si>
    <t>2004. 7. 7 오후 4:00:00</t>
  </si>
  <si>
    <t>2004. 7. 7 오후 3:30:00</t>
  </si>
  <si>
    <t>2004. 7. 8 오후 4:00:00</t>
  </si>
  <si>
    <t>2004. 7. 8 오후 3:30:00</t>
  </si>
  <si>
    <t>2004. 7. 9 오후 4:00:00</t>
  </si>
  <si>
    <t>2004. 7. 9 오후 3:30:00</t>
  </si>
  <si>
    <t>2004. 7. 10 오후 4:00:00</t>
  </si>
  <si>
    <t>2004. 7. 10 오후 3:30:00</t>
  </si>
  <si>
    <t>2004. 7. 11 오후 4:00:00</t>
  </si>
  <si>
    <t>2004. 7. 11 오후 3:30:00</t>
  </si>
  <si>
    <t>2004. 7. 12 오후 4:00:00</t>
  </si>
  <si>
    <t>2004. 7. 12 오후 3:30:00</t>
  </si>
  <si>
    <t>2004. 7. 13 오후 4:00:00</t>
  </si>
  <si>
    <t>2004. 7. 13 오후 3:30:00</t>
  </si>
  <si>
    <t>2004. 7. 14 오후 4:00:00</t>
  </si>
  <si>
    <t>2004. 7. 14 오후 3:30:00</t>
  </si>
  <si>
    <t>2004. 7. 15 오후 4:00:00</t>
  </si>
  <si>
    <t>2004. 7. 15 오후 3:30:00</t>
  </si>
  <si>
    <t>2004. 7. 16 오후 4:00:00</t>
  </si>
  <si>
    <t>2004. 7. 16 오후 3:30:00</t>
  </si>
  <si>
    <t>2004. 7. 17 오후 4:00:00</t>
  </si>
  <si>
    <t>2004. 7. 17 오후 3:30:00</t>
  </si>
  <si>
    <t>2004. 7. 18 오후 4:00:00</t>
  </si>
  <si>
    <t>2004. 7. 18 오후 3:30:00</t>
  </si>
  <si>
    <t>2004. 7. 19 오후 4:00:00</t>
  </si>
  <si>
    <t>2004. 7. 19 오후 3:30:00</t>
  </si>
  <si>
    <t>2004. 7. 20 오후 4:00:00</t>
  </si>
  <si>
    <t>2004. 7. 20 오후 3:30:00</t>
  </si>
  <si>
    <t>2004. 7. 21 오후 4:00:00</t>
  </si>
  <si>
    <t>2004. 7. 21 오후 3:30:00</t>
  </si>
  <si>
    <t>2004. 7. 22 오후 4:00:00</t>
  </si>
  <si>
    <t>2004. 7. 22 오후 3:30:00</t>
  </si>
  <si>
    <t>2004. 7. 23 오후 4:00:00</t>
  </si>
  <si>
    <t>2004. 7. 23 오후 3:30:00</t>
  </si>
  <si>
    <t>2004. 7. 24 오후 4:00:00</t>
  </si>
  <si>
    <t>2004. 7. 24 오후 3:30:00</t>
  </si>
  <si>
    <t>2004. 7. 25 오후 4:00:00</t>
  </si>
  <si>
    <t>2004. 7. 25 오후 3:30:00</t>
  </si>
  <si>
    <t>2004. 7. 26 오후 4:00:00</t>
  </si>
  <si>
    <t>2004. 7. 26 오후 3:30:00</t>
  </si>
  <si>
    <t>2004. 7. 27 오후 4:00:00</t>
  </si>
  <si>
    <t>2004. 7. 27 오후 3:30:00</t>
  </si>
  <si>
    <t>2004. 7. 28 오후 4:00:00</t>
  </si>
  <si>
    <t>2004. 7. 28 오후 3:30:00</t>
  </si>
  <si>
    <t>2004. 7. 29 오후 4:00:00</t>
  </si>
  <si>
    <t>2004. 7. 29 오후 3:30:00</t>
  </si>
  <si>
    <t>2004. 7. 30 오후 4:00:00</t>
  </si>
  <si>
    <t>2004. 7. 30 오후 3:30:00</t>
  </si>
  <si>
    <t>2004. 7. 31 오후 4:00:00</t>
  </si>
  <si>
    <t>2004. 7. 31 오후 3:30:00</t>
  </si>
  <si>
    <t>2004. 8. 1 오후 4:00:00</t>
  </si>
  <si>
    <t>2004. 8. 1 오후 3:30:00</t>
  </si>
  <si>
    <t>2004. 8. 2 오후 4:00:00</t>
  </si>
  <si>
    <t>2004. 8. 2 오후 3:30:00</t>
  </si>
  <si>
    <t>2004. 8. 3 오후 4:00:00</t>
  </si>
  <si>
    <t>2004. 8. 3 오후 3:30:00</t>
  </si>
  <si>
    <t>2004. 8. 4 오후 4:00:00</t>
  </si>
  <si>
    <t>2004. 8. 4 오후 3:30:00</t>
  </si>
  <si>
    <t>2004. 8. 5 오후 4:00:00</t>
  </si>
  <si>
    <t>2004. 8. 5 오후 3:30:00</t>
  </si>
  <si>
    <t>2004. 8. 6 오후 4:00:00</t>
  </si>
  <si>
    <t>2004. 8. 6 오후 3:30:00</t>
  </si>
  <si>
    <t>2004. 8. 7 오후 4:00:00</t>
  </si>
  <si>
    <t>2004. 8. 7 오후 3:30:00</t>
  </si>
  <si>
    <t>2004. 8. 8 오후 4:00:00</t>
  </si>
  <si>
    <t>2004. 8. 8 오후 3:30:00</t>
  </si>
  <si>
    <t>2004. 8. 9 오후 4:00:00</t>
  </si>
  <si>
    <t>2004. 8. 9 오후 3:30:00</t>
  </si>
  <si>
    <t>2004. 8. 10 오후 4:00:00</t>
  </si>
  <si>
    <t>2004. 8. 10 오후 3:30:00</t>
  </si>
  <si>
    <t>2004. 8. 11 오후 4:00:00</t>
  </si>
  <si>
    <t>2004. 8. 11 오후 3:30:00</t>
  </si>
  <si>
    <t>2004. 8. 12 오후 4:00:00</t>
  </si>
  <si>
    <t>2004. 8. 12 오후 3:30:00</t>
  </si>
  <si>
    <t>2004. 8. 13 오후 4:00:00</t>
  </si>
  <si>
    <t>2004. 8. 13 오후 3:30:00</t>
  </si>
  <si>
    <t>2004. 8. 14 오후 4:00:00</t>
  </si>
  <si>
    <t>2004. 8. 14 오후 3:30:00</t>
  </si>
  <si>
    <t>2004. 8. 15 오후 4:00:00</t>
  </si>
  <si>
    <t>2004. 8. 15 오후 3:30:00</t>
  </si>
  <si>
    <t>2004. 8. 16 오후 4:00:00</t>
  </si>
  <si>
    <t>2004. 8. 16 오후 3:30:00</t>
  </si>
  <si>
    <t>2004. 8. 17 오후 4:00:00</t>
  </si>
  <si>
    <t>2004. 8. 17 오후 3:30:00</t>
  </si>
  <si>
    <t>2004. 8. 18 오후 4:00:00</t>
  </si>
  <si>
    <t>2004. 8. 18 오후 3:30:00</t>
  </si>
  <si>
    <t>2004. 8. 19 오후 4:00:00</t>
  </si>
  <si>
    <t>2004. 8. 19 오후 3:30:00</t>
  </si>
  <si>
    <t>2004. 8. 20 오후 4:00:00</t>
  </si>
  <si>
    <t>2004. 8. 20 오후 3:30:00</t>
  </si>
  <si>
    <t>2004. 8. 21 오후 4:00:00</t>
  </si>
  <si>
    <t>2004. 8. 21 오후 3:30:00</t>
  </si>
  <si>
    <t>2004. 8. 22 오후 4:00:00</t>
  </si>
  <si>
    <t>2004. 8. 22 오후 3:30:00</t>
  </si>
  <si>
    <t>2004. 8. 23 오후 4:00:00</t>
  </si>
  <si>
    <t>2004. 8. 23 오후 3:30:00</t>
  </si>
  <si>
    <t>2004. 8. 24 오후 4:00:00</t>
  </si>
  <si>
    <t>2004. 8. 24 오후 3:30:00</t>
  </si>
  <si>
    <t>2004. 8. 25 오후 4:00:00</t>
  </si>
  <si>
    <t>2004. 8. 25 오후 3:30:00</t>
  </si>
  <si>
    <t>2004. 8. 26 오후 4:00:00</t>
  </si>
  <si>
    <t>2004. 8. 26 오후 3:30:00</t>
  </si>
  <si>
    <t>2004. 8. 27 오후 4:00:00</t>
  </si>
  <si>
    <t>2004. 8. 27 오후 3:30:00</t>
  </si>
  <si>
    <t>2004. 8. 28 오후 4:00:00</t>
  </si>
  <si>
    <t>2004. 8. 28 오후 3:30:00</t>
  </si>
  <si>
    <t>2004. 8. 29 오후 4:00:00</t>
  </si>
  <si>
    <t>2004. 8. 29 오후 3:30:00</t>
  </si>
  <si>
    <t>2004. 8. 30 오후 4:00:00</t>
  </si>
  <si>
    <t>2004. 8. 30 오후 3:30:00</t>
  </si>
  <si>
    <t>2004. 8. 31 오후 4:00:00</t>
  </si>
  <si>
    <t>2004. 8. 31 오후 3:30:00</t>
  </si>
  <si>
    <t>2004. 9. 1 오후 4:00:00</t>
  </si>
  <si>
    <t>2004. 9. 1 오후 3:30:00</t>
  </si>
  <si>
    <t>2004. 9. 2 오후 4:00:00</t>
  </si>
  <si>
    <t>2004. 9. 2 오후 3:30:00</t>
  </si>
  <si>
    <t>2004. 9. 3 오후 4:00:00</t>
  </si>
  <si>
    <t>2004. 9. 3 오후 3:30:00</t>
  </si>
  <si>
    <t>2004. 9. 4 오후 4:00:00</t>
  </si>
  <si>
    <t>2004. 9. 4 오후 3:30:00</t>
  </si>
  <si>
    <t>2004. 9. 5 오후 4:00:00</t>
  </si>
  <si>
    <t>2004. 9. 5 오후 3:30:00</t>
  </si>
  <si>
    <t>2004. 9. 6 오후 4:00:00</t>
  </si>
  <si>
    <t>2004. 9. 6 오후 3:30:00</t>
  </si>
  <si>
    <t>2004. 9. 7 오후 4:00:00</t>
  </si>
  <si>
    <t>2004. 9. 7 오후 3:30:00</t>
  </si>
  <si>
    <t>2004. 9. 8 오후 4:00:00</t>
  </si>
  <si>
    <t>2004. 9. 8 오후 3:30:00</t>
  </si>
  <si>
    <t>2004. 9. 9 오후 4:00:00</t>
  </si>
  <si>
    <t>2004. 9. 9 오후 3:30:00</t>
  </si>
  <si>
    <t>2004. 9. 10 오후 4:00:00</t>
  </si>
  <si>
    <t>2004. 9. 10 오후 3:30:00</t>
  </si>
  <si>
    <t>2004. 9. 11 오후 4:00:00</t>
  </si>
  <si>
    <t>2004. 9. 11 오후 3:30:00</t>
  </si>
  <si>
    <t>2004. 9. 12 오후 4:00:00</t>
  </si>
  <si>
    <t>2004. 9. 12 오후 3:30:00</t>
  </si>
  <si>
    <t>2004. 9. 13 오후 4:00:00</t>
  </si>
  <si>
    <t>2004. 9. 13 오후 3:30:00</t>
  </si>
  <si>
    <t>2004. 9. 14 오후 4:00:00</t>
  </si>
  <si>
    <t>2004. 9. 14 오후 3:30:00</t>
  </si>
  <si>
    <t>2004. 9. 15 오후 4:00:00</t>
  </si>
  <si>
    <t>2004. 9. 15 오후 3:30:00</t>
  </si>
  <si>
    <t>2004. 9. 16 오후 4:00:00</t>
  </si>
  <si>
    <t>2004. 9. 16 오후 3:30:00</t>
  </si>
  <si>
    <t>2004. 9. 17 오후 4:00:00</t>
  </si>
  <si>
    <t>2004. 9. 17 오후 3:30:00</t>
  </si>
  <si>
    <t>2004. 9. 18 오후 4:00:00</t>
  </si>
  <si>
    <t>2004. 9. 18 오후 3:30:00</t>
  </si>
  <si>
    <t>2004. 9. 19 오후 4:00:00</t>
  </si>
  <si>
    <t>2004. 9. 19 오후 3:30:00</t>
  </si>
  <si>
    <t>2004. 9. 20 오후 4:00:00</t>
  </si>
  <si>
    <t>2004. 9. 20 오후 3:30:00</t>
  </si>
  <si>
    <t>2004. 9. 21 오후 4:00:00</t>
  </si>
  <si>
    <t>2004. 9. 21 오후 3:30:00</t>
  </si>
  <si>
    <t>2004. 9. 22 오후 4:00:00</t>
  </si>
  <si>
    <t>2004. 9. 22 오후 3:30:00</t>
  </si>
  <si>
    <t>2004. 9. 23 오후 4:00:00</t>
  </si>
  <si>
    <t>2004. 9. 23 오후 3:30:00</t>
  </si>
  <si>
    <t>2004. 9. 24 오후 4:00:00</t>
  </si>
  <si>
    <t>2004. 9. 24 오후 3:30:00</t>
  </si>
  <si>
    <t>2004. 9. 25 오후 4:00:00</t>
  </si>
  <si>
    <t>2004. 9. 25 오후 3:30:00</t>
  </si>
  <si>
    <t>2004. 9. 26 오후 4:00:00</t>
  </si>
  <si>
    <t>2004. 9. 26 오후 3:30:00</t>
  </si>
  <si>
    <t>2004. 9. 27 오후 4:00:00</t>
  </si>
  <si>
    <t>2004. 9. 27 오후 3:30:00</t>
  </si>
  <si>
    <t>2004. 9. 28 오후 4:00:00</t>
  </si>
  <si>
    <t>2004. 9. 28 오후 3:30:00</t>
  </si>
  <si>
    <t>2004. 9. 29 오후 4:00:00</t>
  </si>
  <si>
    <t>2004. 9. 29 오후 3:30:00</t>
  </si>
  <si>
    <t>2004. 9. 30 오후 4:00:00</t>
  </si>
  <si>
    <t>2004. 9. 30 오후 3:30:00</t>
  </si>
  <si>
    <t>2004. 10. 1 오후 4:00:00</t>
  </si>
  <si>
    <t>2004. 10. 1 오후 3:30:00</t>
  </si>
  <si>
    <t>2004. 10. 2 오후 4:00:00</t>
  </si>
  <si>
    <t>2004. 10. 2 오후 3:30:00</t>
  </si>
  <si>
    <t>2004. 10. 3 오후 4:00:00</t>
  </si>
  <si>
    <t>2004. 10. 3 오후 3:30:00</t>
  </si>
  <si>
    <t>2004. 10. 4 오후 4:00:00</t>
  </si>
  <si>
    <t>2004. 10. 4 오후 3:30:00</t>
  </si>
  <si>
    <t>2004. 10. 5 오후 4:00:00</t>
  </si>
  <si>
    <t>2004. 10. 5 오후 3:30:00</t>
  </si>
  <si>
    <t>2004. 10. 6 오후 4:00:00</t>
  </si>
  <si>
    <t>2004. 10. 6 오후 3:30:00</t>
  </si>
  <si>
    <t>2004. 10. 7 오후 4:00:00</t>
  </si>
  <si>
    <t>2004. 10. 7 오후 3:30:00</t>
  </si>
  <si>
    <t>2004. 10. 8 오후 4:00:00</t>
  </si>
  <si>
    <t>2004. 10. 8 오후 3:30:00</t>
  </si>
  <si>
    <t>2004. 10. 9 오후 4:00:00</t>
  </si>
  <si>
    <t>2004. 10. 9 오후 3:30:00</t>
  </si>
  <si>
    <t>2004. 10. 10 오후 4:00:00</t>
  </si>
  <si>
    <t>2004. 10. 10 오후 3:30:00</t>
  </si>
  <si>
    <t>2004. 10. 11 오후 4:00:00</t>
  </si>
  <si>
    <t>2004. 10. 11 오후 3:30:00</t>
  </si>
  <si>
    <t>2004. 10. 12 오후 4:00:00</t>
  </si>
  <si>
    <t>2004. 10. 12 오후 3:30:00</t>
  </si>
  <si>
    <t>2004. 10. 13 오후 4:00:00</t>
  </si>
  <si>
    <t>2004. 10. 13 오후 3:30:00</t>
  </si>
  <si>
    <t>2004. 10. 14 오후 4:00:00</t>
  </si>
  <si>
    <t>2004. 10. 14 오후 3:30:00</t>
  </si>
  <si>
    <t>2004. 10. 15 오후 4:00:00</t>
  </si>
  <si>
    <t>2004. 10. 15 오후 3:30:00</t>
  </si>
  <si>
    <t>2004. 10. 16 오후 4:00:00</t>
  </si>
  <si>
    <t>2004. 10. 16 오후 3:30:00</t>
  </si>
  <si>
    <t>2004. 10. 17 오후 4:00:00</t>
  </si>
  <si>
    <t>2004. 10. 17 오후 3:30:00</t>
  </si>
  <si>
    <t>2004. 10. 18 오후 4:00:00</t>
  </si>
  <si>
    <t>2004. 10. 18 오후 3:30:00</t>
  </si>
  <si>
    <t>2004. 10. 19 오후 4:00:00</t>
  </si>
  <si>
    <t>2004. 10. 19 오후 3:30:00</t>
  </si>
  <si>
    <t>2004. 10. 20 오후 4:00:00</t>
  </si>
  <si>
    <t>2004. 10. 20 오후 3:30:00</t>
  </si>
  <si>
    <t>2004. 10. 21 오후 4:00:00</t>
  </si>
  <si>
    <t>2004. 10. 21 오후 3:30:00</t>
  </si>
  <si>
    <t>2004. 10. 22 오후 4:00:00</t>
  </si>
  <si>
    <t>2004. 10. 22 오후 3:30:00</t>
  </si>
  <si>
    <t>2004. 10. 23 오후 4:00:00</t>
  </si>
  <si>
    <t>2004. 10. 23 오후 3:30:00</t>
  </si>
  <si>
    <t>2004. 10. 24 오후 4:00:00</t>
  </si>
  <si>
    <t>2004. 10. 24 오후 3:30:00</t>
  </si>
  <si>
    <t>2004. 10. 25 오후 4:00:00</t>
  </si>
  <si>
    <t>2004. 10. 25 오후 3:30:00</t>
  </si>
  <si>
    <t>2004. 10. 26 오후 4:00:00</t>
  </si>
  <si>
    <t>2004. 10. 26 오후 3:30:00</t>
  </si>
  <si>
    <t>2004. 10. 27 오후 4:00:00</t>
  </si>
  <si>
    <t>2004. 10. 27 오후 3:30:00</t>
  </si>
  <si>
    <t>2004. 10. 28 오후 4:00:00</t>
  </si>
  <si>
    <t>2004. 10. 28 오후 3:30:00</t>
  </si>
  <si>
    <t>2004. 10. 29 오후 4:00:00</t>
  </si>
  <si>
    <t>2004. 10. 29 오후 3:30:00</t>
  </si>
  <si>
    <t>2004. 10. 30 오후 4:00:00</t>
  </si>
  <si>
    <t>2004. 10. 30 오후 3:30:00</t>
  </si>
  <si>
    <t>2004. 10. 31 오후 4:00:00</t>
  </si>
  <si>
    <t>2004. 10. 31 오후 3:30:00</t>
  </si>
  <si>
    <t>2004. 11. 1 오후 4:00:00</t>
  </si>
  <si>
    <t>2004. 11. 1 오후 3:30:00</t>
  </si>
  <si>
    <t>2004. 11. 2 오후 4:00:00</t>
  </si>
  <si>
    <t>2004. 11. 2 오후 3:30:00</t>
  </si>
  <si>
    <t>2004. 11. 3 오후 4:00:00</t>
  </si>
  <si>
    <t>2004. 11. 3 오후 3:30:00</t>
  </si>
  <si>
    <t>2004. 11. 4 오후 4:00:00</t>
  </si>
  <si>
    <t>2004. 11. 4 오후 3:30:00</t>
  </si>
  <si>
    <t>2004. 11. 5 오후 4:00:00</t>
  </si>
  <si>
    <t>2004. 11. 5 오후 3:30:00</t>
  </si>
  <si>
    <t>2004. 11. 6 오후 4:00:00</t>
  </si>
  <si>
    <t>2004. 11. 6 오후 3:30:00</t>
  </si>
  <si>
    <t>2004. 11. 7 오후 4:00:00</t>
  </si>
  <si>
    <t>2004. 11. 7 오후 3:30:00</t>
  </si>
  <si>
    <t>2004. 11. 8 오후 4:00:00</t>
  </si>
  <si>
    <t>2004. 11. 8 오후 3:30:00</t>
  </si>
  <si>
    <t>2004. 11. 9 오후 4:00:00</t>
  </si>
  <si>
    <t>2004. 11. 9 오후 3:30:00</t>
  </si>
  <si>
    <t>2004. 11. 10 오후 4:00:00</t>
  </si>
  <si>
    <t>2004. 11. 10 오후 3:30:00</t>
  </si>
  <si>
    <t>2004. 11. 11 오후 4:00:00</t>
  </si>
  <si>
    <t>2004. 11. 11 오후 3:30:00</t>
  </si>
  <si>
    <t>2004. 11. 12 오후 4:00:00</t>
  </si>
  <si>
    <t>2004. 11. 12 오후 3:30:00</t>
  </si>
  <si>
    <t>2004. 11. 13 오후 4:00:00</t>
  </si>
  <si>
    <t>2004. 11. 13 오후 3:30:00</t>
  </si>
  <si>
    <t>2004. 11. 14 오후 4:00:00</t>
  </si>
  <si>
    <t>2004. 11. 14 오후 3:30:00</t>
  </si>
  <si>
    <t>2004. 11. 15 오후 4:00:00</t>
  </si>
  <si>
    <t>2004. 11. 15 오후 3:30:00</t>
  </si>
  <si>
    <t>2004. 11. 16 오후 4:00:00</t>
  </si>
  <si>
    <t>2004. 11. 16 오후 3:30:00</t>
  </si>
  <si>
    <t>2004. 11. 17 오후 4:00:00</t>
  </si>
  <si>
    <t>2004. 11. 17 오후 3:30:00</t>
  </si>
  <si>
    <t>2004. 11. 18 오후 4:00:00</t>
  </si>
  <si>
    <t>2004. 11. 18 오후 3:30:00</t>
  </si>
  <si>
    <t>2004. 11. 19 오후 4:00:00</t>
  </si>
  <si>
    <t>2004. 11. 19 오후 3:30:00</t>
  </si>
  <si>
    <t>2004. 11. 20 오후 4:00:00</t>
  </si>
  <si>
    <t>2004. 11. 20 오후 3:30:00</t>
  </si>
  <si>
    <t>2004. 11. 21 오후 4:00:00</t>
  </si>
  <si>
    <t>2004. 11. 21 오후 3:30:00</t>
  </si>
  <si>
    <t>2004. 11. 22 오후 4:00:00</t>
  </si>
  <si>
    <t>2004. 11. 22 오후 3:30:00</t>
  </si>
  <si>
    <t>2004. 11. 23 오후 4:00:00</t>
  </si>
  <si>
    <t>2004. 11. 23 오후 3:30:00</t>
  </si>
  <si>
    <t>2004. 11. 24 오후 4:00:00</t>
  </si>
  <si>
    <t>2004. 11. 24 오후 3:30:00</t>
  </si>
  <si>
    <t>2004. 11. 25 오후 4:00:00</t>
  </si>
  <si>
    <t>2004. 11. 25 오후 3:30:00</t>
  </si>
  <si>
    <t>2004. 11. 26 오후 4:00:00</t>
  </si>
  <si>
    <t>2004. 11. 26 오후 3:30:00</t>
  </si>
  <si>
    <t>2004. 11. 27 오후 4:00:00</t>
  </si>
  <si>
    <t>2004. 11. 27 오후 3:30:00</t>
  </si>
  <si>
    <t>2004. 11. 28 오후 4:00:00</t>
  </si>
  <si>
    <t>2004. 11. 28 오후 3:30:00</t>
  </si>
  <si>
    <t>2004. 11. 29 오후 4:00:00</t>
  </si>
  <si>
    <t>2004. 11. 29 오후 3:30:00</t>
  </si>
  <si>
    <t>2004. 11. 30 오후 4:00:00</t>
  </si>
  <si>
    <t>2004. 11. 30 오후 3:30:00</t>
  </si>
  <si>
    <t>2004. 12. 1 오후 4:00:00</t>
  </si>
  <si>
    <t>2004. 12. 1 오후 3:30:00</t>
  </si>
  <si>
    <t>2004. 12. 2 오후 4:00:00</t>
  </si>
  <si>
    <t>2004. 12. 2 오후 3:30:00</t>
  </si>
  <si>
    <t>2004. 12. 3 오후 4:00:00</t>
  </si>
  <si>
    <t>2004. 12. 3 오후 3:30:00</t>
  </si>
  <si>
    <t>2004. 12. 4 오후 4:00:00</t>
  </si>
  <si>
    <t>2004. 12. 4 오후 3:30:00</t>
  </si>
  <si>
    <t>2004. 12. 5 오후 4:00:00</t>
  </si>
  <si>
    <t>2004. 12. 5 오후 3:30:00</t>
  </si>
  <si>
    <t>2004. 12. 6 오후 4:00:00</t>
  </si>
  <si>
    <t>2004. 12. 6 오후 3:30:00</t>
  </si>
  <si>
    <t>2004. 12. 7 오후 4:00:00</t>
  </si>
  <si>
    <t>2004. 12. 7 오후 3:30:00</t>
  </si>
  <si>
    <t>2004. 12. 8 오후 4:00:00</t>
  </si>
  <si>
    <t>2004. 12. 8 오후 3:30:00</t>
  </si>
  <si>
    <t>2004. 12. 9 오후 4:00:00</t>
  </si>
  <si>
    <t>2004. 12. 9 오후 3:30:00</t>
  </si>
  <si>
    <t>2004. 12. 10 오후 4:00:00</t>
  </si>
  <si>
    <t>2004. 12. 10 오후 3:30:00</t>
  </si>
  <si>
    <t>2004. 12. 11 오후 4:00:00</t>
  </si>
  <si>
    <t>2004. 12. 11 오후 3:30:00</t>
  </si>
  <si>
    <t>2004. 12. 12 오후 4:00:00</t>
  </si>
  <si>
    <t>2004. 12. 12 오후 3:30:00</t>
  </si>
  <si>
    <t>2004. 12. 13 오후 4:00:00</t>
  </si>
  <si>
    <t>2004. 12. 13 오후 3:30:00</t>
  </si>
  <si>
    <t>2004. 12. 14 오후 4:00:00</t>
  </si>
  <si>
    <t>2004. 12. 14 오후 3:30:00</t>
  </si>
  <si>
    <t>2004. 12. 15 오후 4:00:00</t>
  </si>
  <si>
    <t>2004. 12. 15 오후 3:30:00</t>
  </si>
  <si>
    <t>2004. 12. 16 오후 4:00:00</t>
  </si>
  <si>
    <t>2004. 12. 16 오후 3:30:00</t>
  </si>
  <si>
    <t>2004. 12. 17 오후 4:00:00</t>
  </si>
  <si>
    <t>2004. 12. 17 오후 3:30:00</t>
  </si>
  <si>
    <t>2004. 12. 18 오후 4:00:00</t>
  </si>
  <si>
    <t>2004. 12. 18 오후 3:30:00</t>
  </si>
  <si>
    <t>2004. 12. 19 오후 4:00:00</t>
  </si>
  <si>
    <t>2004. 12. 19 오후 3:30:00</t>
  </si>
  <si>
    <t>2004. 12. 20 오후 4:00:00</t>
  </si>
  <si>
    <t>2004. 12. 20 오후 3:30:00</t>
  </si>
  <si>
    <t>2004. 12. 21 오후 4:00:00</t>
  </si>
  <si>
    <t>2004. 12. 21 오후 3:30:00</t>
  </si>
  <si>
    <t>2004. 12. 22 오후 4:00:00</t>
  </si>
  <si>
    <t>2004. 12. 22 오후 3:30:00</t>
  </si>
  <si>
    <t>2004. 12. 23 오후 4:00:00</t>
  </si>
  <si>
    <t>2004. 12. 23 오후 3:30:00</t>
  </si>
  <si>
    <t>2004. 12. 24 오후 4:00:00</t>
  </si>
  <si>
    <t>2004. 12. 24 오후 3:30:00</t>
  </si>
  <si>
    <t>2004. 12. 25 오후 4:00:00</t>
  </si>
  <si>
    <t>2004. 12. 25 오후 3:30:00</t>
  </si>
  <si>
    <t>2004. 12. 26 오후 4:00:00</t>
  </si>
  <si>
    <t>2004. 12. 26 오후 3:30:00</t>
  </si>
  <si>
    <t>2004. 12. 27 오후 4:00:00</t>
  </si>
  <si>
    <t>2004. 12. 27 오후 3:30:00</t>
  </si>
  <si>
    <t>2004. 12. 28 오후 4:00:00</t>
  </si>
  <si>
    <t>2004. 12. 28 오후 3:30:00</t>
  </si>
  <si>
    <t>2004. 12. 29 오후 4:00:00</t>
  </si>
  <si>
    <t>2004. 12. 29 오후 3:30:00</t>
  </si>
  <si>
    <t>2004. 12. 30 오후 4:00:00</t>
  </si>
  <si>
    <t>2004. 12. 30 오후 3:30:00</t>
  </si>
  <si>
    <t>2004. 12. 31 오후 4:00:00</t>
  </si>
  <si>
    <t>2004. 12. 31 오후 3:30:00</t>
  </si>
  <si>
    <t>2005. 1. 1 오후 4:00:00</t>
  </si>
  <si>
    <t>2005. 1. 1 오후 3:30:00</t>
  </si>
  <si>
    <t>2005. 1. 2 오후 4:00:00</t>
  </si>
  <si>
    <t>2005. 1. 2 오후 3:30:00</t>
  </si>
  <si>
    <t>2005. 1. 3 오후 4:00:00</t>
  </si>
  <si>
    <t>2005. 1. 3 오후 3:30:00</t>
  </si>
  <si>
    <t>2005. 1. 4 오후 4:00:00</t>
  </si>
  <si>
    <t>2005. 1. 4 오후 3:30:00</t>
  </si>
  <si>
    <t>2005. 1. 5 오후 4:00:00</t>
  </si>
  <si>
    <t>2005. 1. 5 오후 3:30:00</t>
  </si>
  <si>
    <t>2005. 1. 6 오후 4:00:00</t>
  </si>
  <si>
    <t>2005. 1. 6 오후 3:30:00</t>
  </si>
  <si>
    <t>2005. 1. 7 오후 4:00:00</t>
  </si>
  <si>
    <t>2005. 1. 7 오후 3:30:00</t>
  </si>
  <si>
    <t>2005. 1. 8 오후 4:00:00</t>
  </si>
  <si>
    <t>2005. 1. 8 오후 3:30:00</t>
  </si>
  <si>
    <t>2005. 1. 9 오후 4:00:00</t>
  </si>
  <si>
    <t>2005. 1. 9 오후 3:30:00</t>
  </si>
  <si>
    <t>2005. 1. 10 오후 4:00:00</t>
  </si>
  <si>
    <t>2005. 1. 10 오후 3:30:00</t>
  </si>
  <si>
    <t>2005. 1. 11 오후 4:00:00</t>
  </si>
  <si>
    <t>2005. 1. 11 오후 3:30:00</t>
  </si>
  <si>
    <t>2005. 1. 12 오후 4:00:00</t>
  </si>
  <si>
    <t>2005. 1. 12 오후 3:30:00</t>
  </si>
  <si>
    <t>2005. 1. 13 오후 4:00:00</t>
  </si>
  <si>
    <t>2005. 1. 13 오후 3:30:00</t>
  </si>
  <si>
    <t>2005. 1. 14 오후 4:00:00</t>
  </si>
  <si>
    <t>2005. 1. 14 오후 3:30:00</t>
  </si>
  <si>
    <t>2005. 1. 15 오후 4:00:00</t>
  </si>
  <si>
    <t>2005. 1. 15 오후 3:30:00</t>
  </si>
  <si>
    <t>2005. 1. 16 오후 4:00:00</t>
  </si>
  <si>
    <t>2005. 1. 16 오후 3:30:00</t>
  </si>
  <si>
    <t>2005. 1. 17 오후 4:00:00</t>
  </si>
  <si>
    <t>2005. 1. 17 오후 3:30:00</t>
  </si>
  <si>
    <t>2005. 1. 18 오후 4:00:00</t>
  </si>
  <si>
    <t>2005. 1. 18 오후 3:30:00</t>
  </si>
  <si>
    <t>2005. 1. 19 오후 4:00:00</t>
  </si>
  <si>
    <t>2005. 1. 19 오후 3:30:00</t>
  </si>
  <si>
    <t>2005. 1. 20 오후 4:00:00</t>
  </si>
  <si>
    <t>2005. 1. 20 오후 3:30:00</t>
  </si>
  <si>
    <t>2005. 1. 21 오후 4:00:00</t>
  </si>
  <si>
    <t>2005. 1. 21 오후 3:30:00</t>
  </si>
  <si>
    <t>2005. 1. 22 오후 4:00:00</t>
  </si>
  <si>
    <t>2005. 1. 22 오후 3:30:00</t>
  </si>
  <si>
    <t>2005. 1. 23 오후 4:00:00</t>
  </si>
  <si>
    <t>2005. 1. 23 오후 3:30:00</t>
  </si>
  <si>
    <t>2005. 1. 24 오후 4:00:00</t>
  </si>
  <si>
    <t>2005. 1. 24 오후 3:30:00</t>
  </si>
  <si>
    <t>2005. 1. 25 오후 4:00:00</t>
  </si>
  <si>
    <t>2005. 1. 25 오후 3:30:00</t>
  </si>
  <si>
    <t>2005. 1. 26 오후 4:00:00</t>
  </si>
  <si>
    <t>2005. 1. 26 오후 3:30:00</t>
  </si>
  <si>
    <t>2005. 1. 27 오후 4:00:00</t>
  </si>
  <si>
    <t>2005. 1. 27 오후 3:30:00</t>
  </si>
  <si>
    <t>2005. 1. 28 오후 4:00:00</t>
  </si>
  <si>
    <t>2005. 1. 28 오후 3:30:00</t>
  </si>
  <si>
    <t>2005. 1. 29 오후 4:00:00</t>
  </si>
  <si>
    <t>2005. 1. 29 오후 3:30:00</t>
  </si>
  <si>
    <t>2005. 1. 30 오후 4:00:00</t>
  </si>
  <si>
    <t>2005. 1. 30 오후 3:30:00</t>
  </si>
  <si>
    <t>2005. 1. 31 오후 4:00:00</t>
  </si>
  <si>
    <t>2005. 1. 31 오후 3:30:00</t>
  </si>
  <si>
    <t>2005. 2. 1 오후 4:00:00</t>
  </si>
  <si>
    <t>2005. 2. 1 오후 3:30:00</t>
  </si>
  <si>
    <t>2005. 2. 2 오후 4:00:00</t>
  </si>
  <si>
    <t>2005. 2. 2 오후 3:30:00</t>
  </si>
  <si>
    <t>2005. 2. 3 오후 4:00:00</t>
  </si>
  <si>
    <t>2005. 2. 3 오후 3:30:00</t>
  </si>
  <si>
    <t>2005. 2. 4 오후 4:00:00</t>
  </si>
  <si>
    <t>2005. 2. 4 오후 3:30:00</t>
  </si>
  <si>
    <t>2005. 2. 5 오후 4:00:00</t>
  </si>
  <si>
    <t>2005. 2. 5 오후 3:30:00</t>
  </si>
  <si>
    <t>2005. 2. 6 오후 4:00:00</t>
  </si>
  <si>
    <t>2005. 2. 6 오후 3:30:00</t>
  </si>
  <si>
    <t>2005. 2. 7 오후 4:00:00</t>
  </si>
  <si>
    <t>2005. 2. 7 오후 3:30:00</t>
  </si>
  <si>
    <t>2005. 2. 8 오후 4:00:00</t>
  </si>
  <si>
    <t>2005. 2. 8 오후 3:30:00</t>
  </si>
  <si>
    <t>2005. 2. 9 오후 4:00:00</t>
  </si>
  <si>
    <t>2005. 2. 9 오후 3:30:00</t>
  </si>
  <si>
    <t>2005. 2. 10 오후 4:00:00</t>
  </si>
  <si>
    <t>2005. 2. 10 오후 3:30:00</t>
  </si>
  <si>
    <t>2005. 2. 11 오후 4:00:00</t>
  </si>
  <si>
    <t>2005. 2. 11 오후 3:30:00</t>
  </si>
  <si>
    <t>2005. 2. 12 오후 4:00:00</t>
  </si>
  <si>
    <t>2005. 2. 12 오후 3:30:00</t>
  </si>
  <si>
    <t>2005. 2. 13 오후 4:00:00</t>
  </si>
  <si>
    <t>2005. 2. 13 오후 3:30:00</t>
  </si>
  <si>
    <t>2005. 2. 14 오후 4:00:00</t>
  </si>
  <si>
    <t>2005. 2. 14 오후 3:30:00</t>
  </si>
  <si>
    <t>2005. 2. 15 오후 4:00:00</t>
  </si>
  <si>
    <t>2005. 2. 15 오후 3:30:00</t>
  </si>
  <si>
    <t>2005. 2. 16 오후 4:00:00</t>
  </si>
  <si>
    <t>2005. 2. 16 오후 3:30:00</t>
  </si>
  <si>
    <t>2005. 2. 17 오후 4:00:00</t>
  </si>
  <si>
    <t>2005. 2. 17 오후 3:30:00</t>
  </si>
  <si>
    <t>2005. 2. 18 오후 4:00:00</t>
  </si>
  <si>
    <t>2005. 2. 18 오후 3:30:00</t>
  </si>
  <si>
    <t>2005. 2. 19 오후 4:00:00</t>
  </si>
  <si>
    <t>2005. 2. 19 오후 3:30:00</t>
  </si>
  <si>
    <t>2005. 2. 20 오후 4:00:00</t>
  </si>
  <si>
    <t>2005. 2. 20 오후 3:30:00</t>
  </si>
  <si>
    <t>2005. 2. 21 오후 4:00:00</t>
  </si>
  <si>
    <t>2005. 2. 21 오후 3:30:00</t>
  </si>
  <si>
    <t>2005. 2. 22 오후 4:00:00</t>
  </si>
  <si>
    <t>2005. 2. 22 오후 3:30:00</t>
  </si>
  <si>
    <t>2005. 2. 23 오후 4:00:00</t>
  </si>
  <si>
    <t>2005. 2. 23 오후 3:30:00</t>
  </si>
  <si>
    <t>2005. 2. 24 오후 4:00:00</t>
  </si>
  <si>
    <t>2005. 2. 24 오후 3:30:00</t>
  </si>
  <si>
    <t>2005. 2. 25 오후 4:00:00</t>
  </si>
  <si>
    <t>2005. 2. 25 오후 3:30:00</t>
  </si>
  <si>
    <t>2005. 2. 26 오후 4:00:00</t>
  </si>
  <si>
    <t>2005. 2. 26 오후 3:30:00</t>
  </si>
  <si>
    <t>2005. 2. 27 오후 4:00:00</t>
  </si>
  <si>
    <t>2005. 2. 27 오후 3:30:00</t>
  </si>
  <si>
    <t>2005. 2. 28 오후 4:00:00</t>
  </si>
  <si>
    <t>2005. 2. 28 오후 3:30:00</t>
  </si>
  <si>
    <t>2005. 3. 1 오후 4:00:00</t>
  </si>
  <si>
    <t>2005. 3. 1 오후 3:30:00</t>
  </si>
  <si>
    <t>2005. 3. 2 오후 4:00:00</t>
  </si>
  <si>
    <t>2005. 3. 2 오후 3:30:00</t>
  </si>
  <si>
    <t>2005. 3. 3 오후 4:00:00</t>
  </si>
  <si>
    <t>2005. 3. 3 오후 3:30:00</t>
  </si>
  <si>
    <t>2005. 3. 4 오후 4:00:00</t>
  </si>
  <si>
    <t>2005. 3. 4 오후 3:30:00</t>
  </si>
  <si>
    <t>2005. 3. 5 오후 4:00:00</t>
  </si>
  <si>
    <t>2005. 3. 5 오후 3:30:00</t>
  </si>
  <si>
    <t>2005. 3. 6 오후 4:00:00</t>
  </si>
  <si>
    <t>2005. 3. 6 오후 3:30:00</t>
  </si>
  <si>
    <t>2005. 3. 7 오후 4:00:00</t>
  </si>
  <si>
    <t>2005. 3. 7 오후 3:30:00</t>
  </si>
  <si>
    <t>2005. 3. 8 오후 4:00:00</t>
  </si>
  <si>
    <t>2005. 3. 8 오후 3:30:00</t>
  </si>
  <si>
    <t>2005. 3. 9 오후 4:00:00</t>
  </si>
  <si>
    <t>2005. 3. 9 오후 3:30:00</t>
  </si>
  <si>
    <t>2005. 3. 10 오후 4:00:00</t>
  </si>
  <si>
    <t>2005. 3. 10 오후 3:30:00</t>
  </si>
  <si>
    <t>2005. 3. 11 오후 4:00:00</t>
  </si>
  <si>
    <t>2005. 3. 11 오후 3:30:00</t>
  </si>
  <si>
    <t>2005. 3. 12 오후 4:00:00</t>
  </si>
  <si>
    <t>2005. 3. 12 오후 3:30:00</t>
  </si>
  <si>
    <t>2005. 3. 13 오후 4:00:00</t>
  </si>
  <si>
    <t>2005. 3. 13 오후 3:30:00</t>
  </si>
  <si>
    <t>2005. 3. 14 오후 4:00:00</t>
  </si>
  <si>
    <t>2005. 3. 14 오후 3:30:00</t>
  </si>
  <si>
    <t>2005. 3. 15 오후 4:00:00</t>
  </si>
  <si>
    <t>2005. 3. 15 오후 3:30:00</t>
  </si>
  <si>
    <t>2005. 3. 16 오후 4:00:00</t>
  </si>
  <si>
    <t>2005. 3. 16 오후 3:30:00</t>
  </si>
  <si>
    <t>2005. 3. 17 오후 4:00:00</t>
  </si>
  <si>
    <t>2005. 3. 17 오후 3:30:00</t>
  </si>
  <si>
    <t>2005. 3. 18 오후 4:00:00</t>
  </si>
  <si>
    <t>2005. 3. 18 오후 3:30:00</t>
  </si>
  <si>
    <t>2005. 3. 19 오후 4:00:00</t>
  </si>
  <si>
    <t>2005. 3. 19 오후 3:30:00</t>
  </si>
  <si>
    <t>2005. 3. 20 오후 4:00:00</t>
  </si>
  <si>
    <t>2005. 3. 20 오후 3:30:00</t>
  </si>
  <si>
    <t>2005. 3. 21 오후 4:00:00</t>
  </si>
  <si>
    <t>2005. 3. 21 오후 3:30:00</t>
  </si>
  <si>
    <t>2005. 3. 22 오후 4:00:00</t>
  </si>
  <si>
    <t>2005. 3. 22 오후 3:30:00</t>
  </si>
  <si>
    <t>2005. 3. 23 오후 4:00:00</t>
  </si>
  <si>
    <t>2005. 3. 23 오후 3:30:00</t>
  </si>
  <si>
    <t>2005. 3. 24 오후 4:00:00</t>
  </si>
  <si>
    <t>2005. 3. 24 오후 3:30:00</t>
  </si>
  <si>
    <t>2005. 3. 25 오후 4:00:00</t>
  </si>
  <si>
    <t>2005. 3. 25 오후 3:30:00</t>
  </si>
  <si>
    <t>2005. 3. 26 오후 4:00:00</t>
  </si>
  <si>
    <t>2005. 3. 26 오후 3:30:00</t>
  </si>
  <si>
    <t>2005. 3. 27 오후 4:00:00</t>
  </si>
  <si>
    <t>2005. 3. 27 오후 3:30:00</t>
  </si>
  <si>
    <t>2005. 3. 28 오후 4:00:00</t>
  </si>
  <si>
    <t>2005. 3. 28 오후 3:30:00</t>
  </si>
  <si>
    <t>2005. 3. 29 오후 4:00:00</t>
  </si>
  <si>
    <t>2005. 3. 29 오후 3:30:00</t>
  </si>
  <si>
    <t>2005. 3. 30 오후 4:00:00</t>
  </si>
  <si>
    <t>2005. 3. 30 오후 3:30:00</t>
  </si>
  <si>
    <t>2005. 3. 31 오후 4:00:00</t>
  </si>
  <si>
    <t>2005. 3. 31 오후 3:30:00</t>
  </si>
  <si>
    <t>2005. 4. 1 오후 4:00:00</t>
  </si>
  <si>
    <t>2005. 4. 1 오후 3:30:00</t>
  </si>
  <si>
    <t>2005. 4. 2 오후 4:00:00</t>
  </si>
  <si>
    <t>2005. 4. 2 오후 3:30:00</t>
  </si>
  <si>
    <t>2005. 4. 3 오후 4:00:00</t>
  </si>
  <si>
    <t>2005. 4. 3 오후 3:30:00</t>
  </si>
  <si>
    <t>2005. 4. 4 오후 4:00:00</t>
  </si>
  <si>
    <t>2005. 4. 4 오후 3:30:00</t>
  </si>
  <si>
    <t>2005. 4. 5 오후 4:00:00</t>
  </si>
  <si>
    <t>2005. 4. 5 오후 3:30:00</t>
  </si>
  <si>
    <t>2005. 4. 6 오후 4:00:00</t>
  </si>
  <si>
    <t>2005. 4. 6 오후 3:30:00</t>
  </si>
  <si>
    <t>2005. 4. 7 오후 4:00:00</t>
  </si>
  <si>
    <t>2005. 4. 7 오후 3:30:00</t>
  </si>
  <si>
    <t>2005. 4. 8 오후 4:00:00</t>
  </si>
  <si>
    <t>2005. 4. 8 오후 3:30:00</t>
  </si>
  <si>
    <t>2005. 4. 9 오후 4:00:00</t>
  </si>
  <si>
    <t>2005. 4. 9 오후 3:30:00</t>
  </si>
  <si>
    <t>2005. 4. 10 오후 4:00:00</t>
  </si>
  <si>
    <t>2005. 4. 10 오후 3:30:00</t>
  </si>
  <si>
    <t>2005. 4. 11 오후 4:00:00</t>
  </si>
  <si>
    <t>2005. 4. 11 오후 3:30:00</t>
  </si>
  <si>
    <t>2005. 4. 12 오후 4:00:00</t>
  </si>
  <si>
    <t>2005. 4. 12 오후 3:30:00</t>
  </si>
  <si>
    <t>2005. 4. 13 오후 4:00:00</t>
  </si>
  <si>
    <t>2005. 4. 13 오후 3:30:00</t>
  </si>
  <si>
    <t>2005. 4. 14 오후 4:00:00</t>
  </si>
  <si>
    <t>2005. 4. 14 오후 3:30:00</t>
  </si>
  <si>
    <t>2005. 4. 15 오후 4:00:00</t>
  </si>
  <si>
    <t>2005. 4. 15 오후 3:30:00</t>
  </si>
  <si>
    <t>2005. 4. 16 오후 4:00:00</t>
  </si>
  <si>
    <t>2005. 4. 16 오후 3:30:00</t>
  </si>
  <si>
    <t>2005. 4. 17 오후 4:00:00</t>
  </si>
  <si>
    <t>2005. 4. 17 오후 3:30:00</t>
  </si>
  <si>
    <t>2005. 4. 18 오후 4:00:00</t>
  </si>
  <si>
    <t>2005. 4. 18 오후 3:30:00</t>
  </si>
  <si>
    <t>2005. 4. 19 오후 4:00:00</t>
  </si>
  <si>
    <t>2005. 4. 19 오후 3:30:00</t>
  </si>
  <si>
    <t>2005. 4. 20 오후 4:00:00</t>
  </si>
  <si>
    <t>2005. 4. 20 오후 3:30:00</t>
  </si>
  <si>
    <t>2005. 4. 21 오후 4:00:00</t>
  </si>
  <si>
    <t>2005. 4. 21 오후 3:30:00</t>
  </si>
  <si>
    <t>2005. 4. 22 오후 4:00:00</t>
  </si>
  <si>
    <t>2005. 4. 22 오후 3:30:00</t>
  </si>
  <si>
    <t>2005. 4. 23 오후 4:00:00</t>
  </si>
  <si>
    <t>2005. 4. 23 오후 3:30:00</t>
  </si>
  <si>
    <t>2005. 4. 24 오후 4:00:00</t>
  </si>
  <si>
    <t>2005. 4. 24 오후 3:30:00</t>
  </si>
  <si>
    <t>2005. 4. 25 오후 4:00:00</t>
  </si>
  <si>
    <t>2005. 4. 25 오후 3:30:00</t>
  </si>
  <si>
    <t>2005. 4. 26 오후 4:00:00</t>
  </si>
  <si>
    <t>2005. 4. 26 오후 3:30:00</t>
  </si>
  <si>
    <t>2005. 4. 27 오후 4:00:00</t>
  </si>
  <si>
    <t>2005. 4. 27 오후 3:30:00</t>
  </si>
  <si>
    <t>2005. 4. 28 오후 4:00:00</t>
  </si>
  <si>
    <t>2005. 4. 28 오후 3:30:00</t>
  </si>
  <si>
    <t>2005. 4. 29 오후 4:00:00</t>
  </si>
  <si>
    <t>2005. 4. 29 오후 3:30:00</t>
  </si>
  <si>
    <t>2005. 4. 30 오후 4:00:00</t>
  </si>
  <si>
    <t>2005. 4. 30 오후 3:30:00</t>
  </si>
  <si>
    <t>2005. 5. 1 오후 4:00:00</t>
  </si>
  <si>
    <t>2005. 5. 1 오후 3:30:00</t>
  </si>
  <si>
    <t>2005. 5. 2 오후 4:00:00</t>
  </si>
  <si>
    <t>2005. 5. 2 오후 3:30:00</t>
  </si>
  <si>
    <t>2005. 5. 3 오후 4:00:00</t>
  </si>
  <si>
    <t>2005. 5. 3 오후 3:30:00</t>
  </si>
  <si>
    <t>2005. 5. 4 오후 4:00:00</t>
  </si>
  <si>
    <t>2005. 5. 4 오후 3:30:00</t>
  </si>
  <si>
    <t>2005. 5. 5 오후 4:00:00</t>
  </si>
  <si>
    <t>2005. 5. 5 오후 3:30:00</t>
  </si>
  <si>
    <t>2005. 5. 6 오후 4:00:00</t>
  </si>
  <si>
    <t>2005. 5. 6 오후 3:30:00</t>
  </si>
  <si>
    <t>2005. 5. 7 오후 4:00:00</t>
  </si>
  <si>
    <t>2005. 5. 7 오후 3:30:00</t>
  </si>
  <si>
    <t>2005. 5. 8 오후 4:00:00</t>
  </si>
  <si>
    <t>2005. 5. 8 오후 3:30:00</t>
  </si>
  <si>
    <t>2005. 5. 9 오후 4:00:00</t>
  </si>
  <si>
    <t>2005. 5. 9 오후 3:30:00</t>
  </si>
  <si>
    <t>2005. 5. 10 오후 4:00:00</t>
  </si>
  <si>
    <t>2005. 5. 10 오후 3:30:00</t>
  </si>
  <si>
    <t>2005. 5. 11 오후 4:00:00</t>
  </si>
  <si>
    <t>2005. 5. 11 오후 3:30:00</t>
  </si>
  <si>
    <t>2005. 5. 12 오후 4:00:00</t>
  </si>
  <si>
    <t>2005. 5. 12 오후 3:30:00</t>
  </si>
  <si>
    <t>2005. 5. 13 오후 4:00:00</t>
  </si>
  <si>
    <t>2005. 5. 13 오후 3:30:00</t>
  </si>
  <si>
    <t>2005. 5. 14 오후 4:00:00</t>
  </si>
  <si>
    <t>2005. 5. 14 오후 3:30:00</t>
  </si>
  <si>
    <t>2005. 5. 15 오후 4:00:00</t>
  </si>
  <si>
    <t>2005. 5. 15 오후 3:30:00</t>
  </si>
  <si>
    <t>2005. 5. 16 오후 4:00:00</t>
  </si>
  <si>
    <t>2005. 5. 16 오후 3:30:00</t>
  </si>
  <si>
    <t>2005. 5. 17 오후 4:00:00</t>
  </si>
  <si>
    <t>2005. 5. 17 오후 3:30:00</t>
  </si>
  <si>
    <t>2005. 5. 18 오후 4:00:00</t>
  </si>
  <si>
    <t>2005. 5. 18 오후 3:30:00</t>
  </si>
  <si>
    <t>2005. 5. 19 오후 4:00:00</t>
  </si>
  <si>
    <t>2005. 5. 19 오후 3:30:00</t>
  </si>
  <si>
    <t>2005. 5. 20 오후 4:00:00</t>
  </si>
  <si>
    <t>2005. 5. 20 오후 3:30:00</t>
  </si>
  <si>
    <t>2005. 5. 21 오후 4:00:00</t>
  </si>
  <si>
    <t>2005. 5. 21 오후 3:30:00</t>
  </si>
  <si>
    <t>2005. 5. 22 오후 4:00:00</t>
  </si>
  <si>
    <t>2005. 5. 22 오후 3:30:00</t>
  </si>
  <si>
    <t>2005. 5. 23 오후 4:00:00</t>
  </si>
  <si>
    <t>2005. 5. 23 오후 3:30:00</t>
  </si>
  <si>
    <t>2005. 5. 24 오후 4:00:00</t>
  </si>
  <si>
    <t>2005. 5. 24 오후 3:30:00</t>
  </si>
  <si>
    <t>2005. 5. 25 오후 4:00:00</t>
  </si>
  <si>
    <t>2005. 5. 25 오후 3:30:00</t>
  </si>
  <si>
    <t>2005. 5. 26 오후 4:00:00</t>
  </si>
  <si>
    <t>2005. 5. 26 오후 3:30:00</t>
  </si>
  <si>
    <t>2005. 5. 27 오후 4:00:00</t>
  </si>
  <si>
    <t>2005. 5. 27 오후 3:30:00</t>
  </si>
  <si>
    <t>2005. 5. 28 오후 4:00:00</t>
  </si>
  <si>
    <t>2005. 5. 28 오후 3:30:00</t>
  </si>
  <si>
    <t>2005. 5. 29 오후 4:00:00</t>
  </si>
  <si>
    <t>2005. 5. 29 오후 3:30:00</t>
  </si>
  <si>
    <t>2005. 5. 30 오후 4:00:00</t>
  </si>
  <si>
    <t>2005. 5. 30 오후 3:30:00</t>
  </si>
  <si>
    <t>2005. 5. 31 오후 4:00:00</t>
  </si>
  <si>
    <t>2005. 5. 31 오후 3:30:00</t>
  </si>
  <si>
    <t>2005. 6. 1 오후 4:00:00</t>
  </si>
  <si>
    <t>2005. 6. 1 오후 3:30:00</t>
  </si>
  <si>
    <t>2005. 6. 2 오후 4:00:00</t>
  </si>
  <si>
    <t>2005. 6. 2 오후 3:30:00</t>
  </si>
  <si>
    <t>2005. 6. 3 오후 4:00:00</t>
  </si>
  <si>
    <t>2005. 6. 3 오후 3:30:00</t>
  </si>
  <si>
    <t>2005. 6. 4 오후 4:00:00</t>
  </si>
  <si>
    <t>2005. 6. 4 오후 3:30:00</t>
  </si>
  <si>
    <t>2005. 6. 5 오후 4:00:00</t>
  </si>
  <si>
    <t>2005. 6. 5 오후 3:30:00</t>
  </si>
  <si>
    <t>2005. 6. 6 오후 4:00:00</t>
  </si>
  <si>
    <t>2005. 6. 6 오후 3:30:00</t>
  </si>
  <si>
    <t>2005. 6. 7 오후 4:00:00</t>
  </si>
  <si>
    <t>2005. 6. 7 오후 3:30:00</t>
  </si>
  <si>
    <t>2005. 6. 8 오후 4:00:00</t>
  </si>
  <si>
    <t>2005. 6. 8 오후 3:30:00</t>
  </si>
  <si>
    <t>2005. 6. 9 오후 4:00:00</t>
  </si>
  <si>
    <t>2005. 6. 9 오후 3:30:00</t>
  </si>
  <si>
    <t>2005. 6. 10 오후 4:00:00</t>
  </si>
  <si>
    <t>2005. 6. 10 오후 3:30:00</t>
  </si>
  <si>
    <t>2005. 6. 11 오후 4:00:00</t>
  </si>
  <si>
    <t>2005. 6. 11 오후 3:30:00</t>
  </si>
  <si>
    <t>2005. 6. 12 오후 4:00:00</t>
  </si>
  <si>
    <t>2005. 6. 12 오후 3:30:00</t>
  </si>
  <si>
    <t>2005. 6. 13 오후 4:00:00</t>
  </si>
  <si>
    <t>2005. 6. 13 오후 3:30:00</t>
  </si>
  <si>
    <t>2005. 6. 14 오후 4:00:00</t>
  </si>
  <si>
    <t>2005. 6. 14 오후 3:30:00</t>
  </si>
  <si>
    <t>2005. 6. 15 오후 4:00:00</t>
  </si>
  <si>
    <t>2005. 6. 15 오후 3:30:00</t>
  </si>
  <si>
    <t>2005. 6. 16 오후 4:00:00</t>
  </si>
  <si>
    <t>2005. 6. 16 오후 3:30:00</t>
  </si>
  <si>
    <t>2005. 6. 17 오후 4:00:00</t>
  </si>
  <si>
    <t>2005. 6. 17 오후 3:30:00</t>
  </si>
  <si>
    <t>2005. 6. 18 오후 4:00:00</t>
  </si>
  <si>
    <t>2005. 6. 18 오후 3:30:00</t>
  </si>
  <si>
    <t>2005. 6. 19 오후 4:00:00</t>
  </si>
  <si>
    <t>2005. 6. 19 오후 3:30:00</t>
  </si>
  <si>
    <t>2005. 6. 20 오후 4:00:00</t>
  </si>
  <si>
    <t>2005. 6. 20 오후 3:30:00</t>
  </si>
  <si>
    <t>2005. 6. 21 오후 4:00:00</t>
  </si>
  <si>
    <t>2005. 6. 21 오후 3:30:00</t>
  </si>
  <si>
    <t>2005. 6. 22 오후 4:00:00</t>
  </si>
  <si>
    <t>2005. 6. 22 오후 3:30:00</t>
  </si>
  <si>
    <t>2005. 6. 23 오후 4:00:00</t>
  </si>
  <si>
    <t>2005. 6. 23 오후 3:30:00</t>
  </si>
  <si>
    <t>2005. 6. 24 오후 4:00:00</t>
  </si>
  <si>
    <t>2005. 6. 24 오후 3:30:00</t>
  </si>
  <si>
    <t>2005. 6. 25 오후 4:00:00</t>
  </si>
  <si>
    <t>2005. 6. 25 오후 3:30:00</t>
  </si>
  <si>
    <t>2005. 6. 26 오후 4:00:00</t>
  </si>
  <si>
    <t>2005. 6. 26 오후 3:30:00</t>
  </si>
  <si>
    <t>2005. 6. 27 오후 4:00:00</t>
  </si>
  <si>
    <t>2005. 6. 27 오후 3:30:00</t>
  </si>
  <si>
    <t>2005. 6. 28 오후 4:00:00</t>
  </si>
  <si>
    <t>2005. 6. 28 오후 3:30:00</t>
  </si>
  <si>
    <t>2005. 6. 29 오후 4:00:00</t>
  </si>
  <si>
    <t>2005. 6. 29 오후 3:30:00</t>
  </si>
  <si>
    <t>2005. 6. 30 오후 4:00:00</t>
  </si>
  <si>
    <t>2005. 6. 30 오후 3:30:00</t>
  </si>
  <si>
    <t>2005. 7. 1 오후 4:00:00</t>
  </si>
  <si>
    <t>2005. 7. 1 오후 3:30:00</t>
  </si>
  <si>
    <t>2005. 7. 2 오후 4:00:00</t>
  </si>
  <si>
    <t>2005. 7. 2 오후 3:30:00</t>
  </si>
  <si>
    <t>2005. 7. 3 오후 4:00:00</t>
  </si>
  <si>
    <t>2005. 7. 3 오후 3:30:00</t>
  </si>
  <si>
    <t>2005. 7. 4 오후 4:00:00</t>
  </si>
  <si>
    <t>2005. 7. 4 오후 3:30:00</t>
  </si>
  <si>
    <t>2005. 7. 5 오후 4:00:00</t>
  </si>
  <si>
    <t>2005. 7. 5 오후 3:30:00</t>
  </si>
  <si>
    <t>2005. 7. 6 오후 4:00:00</t>
  </si>
  <si>
    <t>2005. 7. 6 오후 3:30:00</t>
  </si>
  <si>
    <t>2005. 7. 7 오후 4:00:00</t>
  </si>
  <si>
    <t>2005. 7. 7 오후 3:30:00</t>
  </si>
  <si>
    <t>2005. 7. 8 오후 4:00:00</t>
  </si>
  <si>
    <t>2005. 7. 8 오후 3:30:00</t>
  </si>
  <si>
    <t>2005. 7. 9 오후 4:00:00</t>
  </si>
  <si>
    <t>2005. 7. 9 오후 3:30:00</t>
  </si>
  <si>
    <t>2005. 7. 10 오후 4:00:00</t>
  </si>
  <si>
    <t>2005. 7. 10 오후 3:30:00</t>
  </si>
  <si>
    <t>2005. 7. 11 오후 4:00:00</t>
  </si>
  <si>
    <t>2005. 7. 11 오후 3:30:00</t>
  </si>
  <si>
    <t>2005. 7. 12 오후 4:00:00</t>
  </si>
  <si>
    <t>2005. 7. 12 오후 3:30:00</t>
  </si>
  <si>
    <t>2005. 7. 13 오후 4:00:00</t>
  </si>
  <si>
    <t>2005. 7. 13 오후 3:30:00</t>
  </si>
  <si>
    <t>2005. 7. 14 오후 4:00:00</t>
  </si>
  <si>
    <t>2005. 7. 14 오후 3:30:00</t>
  </si>
  <si>
    <t>2005. 7. 15 오후 4:00:00</t>
  </si>
  <si>
    <t>2005. 7. 15 오후 3:30:00</t>
  </si>
  <si>
    <t>2005. 7. 16 오후 4:00:00</t>
  </si>
  <si>
    <t>2005. 7. 16 오후 3:30:00</t>
  </si>
  <si>
    <t>2005. 7. 17 오후 4:00:00</t>
  </si>
  <si>
    <t>2005. 7. 17 오후 3:30:00</t>
  </si>
  <si>
    <t>2005. 7. 18 오후 4:00:00</t>
  </si>
  <si>
    <t>2005. 7. 18 오후 3:30:00</t>
  </si>
  <si>
    <t>2005. 7. 19 오후 4:00:00</t>
  </si>
  <si>
    <t>2005. 7. 19 오후 3:30:00</t>
  </si>
  <si>
    <t>2005. 7. 20 오후 4:00:00</t>
  </si>
  <si>
    <t>2005. 7. 20 오후 3:30:00</t>
  </si>
  <si>
    <t>2005. 7. 21 오후 4:00:00</t>
  </si>
  <si>
    <t>2005. 7. 21 오후 3:30:00</t>
  </si>
  <si>
    <t>2005. 7. 22 오후 4:00:00</t>
  </si>
  <si>
    <t>2005. 7. 22 오후 3:30:00</t>
  </si>
  <si>
    <t>2005. 7. 23 오후 4:00:00</t>
  </si>
  <si>
    <t>2005. 7. 23 오후 3:30:00</t>
  </si>
  <si>
    <t>2005. 7. 24 오후 4:00:00</t>
  </si>
  <si>
    <t>2005. 7. 24 오후 3:30:00</t>
  </si>
  <si>
    <t>2005. 7. 25 오후 4:00:00</t>
  </si>
  <si>
    <t>2005. 7. 25 오후 3:30:00</t>
  </si>
  <si>
    <t>2005. 7. 26 오후 4:00:00</t>
  </si>
  <si>
    <t>2005. 7. 26 오후 3:30:00</t>
  </si>
  <si>
    <t>2005. 7. 27 오후 4:00:00</t>
  </si>
  <si>
    <t>2005. 7. 27 오후 3:30:00</t>
  </si>
  <si>
    <t>2005. 7. 28 오후 4:00:00</t>
  </si>
  <si>
    <t>2005. 7. 28 오후 3:30:00</t>
  </si>
  <si>
    <t>2005. 7. 29 오후 4:00:00</t>
  </si>
  <si>
    <t>2005. 7. 29 오후 3:30:00</t>
  </si>
  <si>
    <t>2005. 7. 30 오후 4:00:00</t>
  </si>
  <si>
    <t>2005. 7. 30 오후 3:30:00</t>
  </si>
  <si>
    <t>2005. 7. 31 오후 4:00:00</t>
  </si>
  <si>
    <t>2005. 7. 31 오후 3:30:00</t>
  </si>
  <si>
    <t>2005. 8. 1 오후 4:00:00</t>
  </si>
  <si>
    <t>2005. 8. 1 오후 3:30:00</t>
  </si>
  <si>
    <t>2005. 8. 2 오후 4:00:00</t>
  </si>
  <si>
    <t>2005. 8. 2 오후 3:30:00</t>
  </si>
  <si>
    <t>2005. 8. 3 오후 4:00:00</t>
  </si>
  <si>
    <t>2005. 8. 3 오후 3:30:00</t>
  </si>
  <si>
    <t>2005. 8. 4 오후 4:00:00</t>
  </si>
  <si>
    <t>2005. 8. 4 오후 3:30:00</t>
  </si>
  <si>
    <t>2005. 8. 5 오후 4:00:00</t>
  </si>
  <si>
    <t>2005. 8. 5 오후 3:30:00</t>
  </si>
  <si>
    <t>2005. 8. 6 오후 4:00:00</t>
  </si>
  <si>
    <t>2005. 8. 6 오후 3:30:00</t>
  </si>
  <si>
    <t>2005. 8. 7 오후 4:00:00</t>
  </si>
  <si>
    <t>2005. 8. 7 오후 3:30:00</t>
  </si>
  <si>
    <t>2005. 8. 8 오후 4:00:00</t>
  </si>
  <si>
    <t>2005. 8. 8 오후 3:30:00</t>
  </si>
  <si>
    <t>2005. 8. 9 오후 4:00:00</t>
  </si>
  <si>
    <t>2005. 8. 9 오후 3:30:00</t>
  </si>
  <si>
    <t>2005. 8. 10 오후 4:00:00</t>
  </si>
  <si>
    <t>2005. 8. 10 오후 3:30:00</t>
  </si>
  <si>
    <t>2005. 8. 11 오후 4:00:00</t>
  </si>
  <si>
    <t>2005. 8. 11 오후 3:30:00</t>
  </si>
  <si>
    <t>2005. 8. 12 오후 4:00:00</t>
  </si>
  <si>
    <t>2005. 8. 12 오후 3:30:00</t>
  </si>
  <si>
    <t>2005. 8. 13 오후 4:00:00</t>
  </si>
  <si>
    <t>2005. 8. 13 오후 3:30:00</t>
  </si>
  <si>
    <t>2005. 8. 14 오후 4:00:00</t>
  </si>
  <si>
    <t>2005. 8. 14 오후 3:30:00</t>
  </si>
  <si>
    <t>2005. 8. 15 오후 4:00:00</t>
  </si>
  <si>
    <t>2005. 8. 15 오후 3:30:00</t>
  </si>
  <si>
    <t>2005. 8. 16 오후 4:00:00</t>
  </si>
  <si>
    <t>2005. 8. 16 오후 3:30:00</t>
  </si>
  <si>
    <t>2005. 8. 17 오후 4:00:00</t>
  </si>
  <si>
    <t>2005. 8. 17 오후 3:30:00</t>
  </si>
  <si>
    <t>2005. 8. 18 오후 4:00:00</t>
  </si>
  <si>
    <t>2005. 8. 18 오후 3:30:00</t>
  </si>
  <si>
    <t>2005. 8. 19 오후 4:00:00</t>
  </si>
  <si>
    <t>2005. 8. 19 오후 3:30:00</t>
  </si>
  <si>
    <t>2005. 8. 20 오후 4:00:00</t>
  </si>
  <si>
    <t>2005. 8. 20 오후 3:30:00</t>
  </si>
  <si>
    <t>2005. 8. 21 오후 4:00:00</t>
  </si>
  <si>
    <t>2005. 8. 21 오후 3:30:00</t>
  </si>
  <si>
    <t>2005. 8. 22 오후 4:00:00</t>
  </si>
  <si>
    <t>2005. 8. 22 오후 3:30:00</t>
  </si>
  <si>
    <t>2005. 8. 23 오후 4:00:00</t>
  </si>
  <si>
    <t>2005. 8. 23 오후 3:30:00</t>
  </si>
  <si>
    <t>2005. 8. 24 오후 4:00:00</t>
  </si>
  <si>
    <t>2005. 8. 24 오후 3:30:00</t>
  </si>
  <si>
    <t>2005. 8. 25 오후 4:00:00</t>
  </si>
  <si>
    <t>2005. 8. 25 오후 3:30:00</t>
  </si>
  <si>
    <t>2005. 8. 26 오후 4:00:00</t>
  </si>
  <si>
    <t>2005. 8. 26 오후 3:30:00</t>
  </si>
  <si>
    <t>2005. 8. 27 오후 4:00:00</t>
  </si>
  <si>
    <t>2005. 8. 27 오후 3:30:00</t>
  </si>
  <si>
    <t>2005. 8. 28 오후 4:00:00</t>
  </si>
  <si>
    <t>2005. 8. 28 오후 3:30:00</t>
  </si>
  <si>
    <t>2005. 8. 29 오후 4:00:00</t>
  </si>
  <si>
    <t>2005. 8. 29 오후 3:30:00</t>
  </si>
  <si>
    <t>2005. 8. 30 오후 4:00:00</t>
  </si>
  <si>
    <t>2005. 8. 30 오후 3:30:00</t>
  </si>
  <si>
    <t>2005. 8. 31 오후 4:00:00</t>
  </si>
  <si>
    <t>2005. 8. 31 오후 3:30:00</t>
  </si>
  <si>
    <t>2005. 9. 1 오후 4:00:00</t>
  </si>
  <si>
    <t>2005. 9. 1 오후 3:30:00</t>
  </si>
  <si>
    <t>2005. 9. 2 오후 4:00:00</t>
  </si>
  <si>
    <t>2005. 9. 2 오후 3:30:00</t>
  </si>
  <si>
    <t>2005. 9. 3 오후 4:00:00</t>
  </si>
  <si>
    <t>2005. 9. 3 오후 3:30:00</t>
  </si>
  <si>
    <t>2005. 9. 4 오후 4:00:00</t>
  </si>
  <si>
    <t>2005. 9. 4 오후 3:30:00</t>
  </si>
  <si>
    <t>2005. 9. 5 오후 4:00:00</t>
  </si>
  <si>
    <t>2005. 9. 5 오후 3:30:00</t>
  </si>
  <si>
    <t>2005. 9. 6 오후 4:00:00</t>
  </si>
  <si>
    <t>2005. 9. 6 오후 3:30:00</t>
  </si>
  <si>
    <t>2005. 9. 7 오후 4:00:00</t>
  </si>
  <si>
    <t>2005. 9. 7 오후 3:30:00</t>
  </si>
  <si>
    <t>2005. 9. 8 오후 4:00:00</t>
  </si>
  <si>
    <t>2005. 9. 8 오후 3:30:00</t>
  </si>
  <si>
    <t>2005. 9. 9 오후 4:00:00</t>
  </si>
  <si>
    <t>2005. 9. 9 오후 3:30:00</t>
  </si>
  <si>
    <t>2005. 9. 10 오후 4:00:00</t>
  </si>
  <si>
    <t>2005. 9. 10 오후 3:30:00</t>
  </si>
  <si>
    <t>2005. 9. 11 오후 4:00:00</t>
  </si>
  <si>
    <t>2005. 9. 11 오후 3:30:00</t>
  </si>
  <si>
    <t>2005. 9. 12 오후 4:00:00</t>
  </si>
  <si>
    <t>2005. 9. 12 오후 3:30:00</t>
  </si>
  <si>
    <t>2005. 9. 13 오후 4:00:00</t>
  </si>
  <si>
    <t>2005. 9. 13 오후 3:30:00</t>
  </si>
  <si>
    <t>2005. 9. 14 오후 4:00:00</t>
  </si>
  <si>
    <t>2005. 9. 14 오후 3:30:00</t>
  </si>
  <si>
    <t>2005. 9. 15 오후 4:00:00</t>
  </si>
  <si>
    <t>2005. 9. 15 오후 3:30:00</t>
  </si>
  <si>
    <t>2005. 9. 16 오후 4:00:00</t>
  </si>
  <si>
    <t>2005. 9. 16 오후 3:30:00</t>
  </si>
  <si>
    <t>2005. 9. 17 오후 4:00:00</t>
  </si>
  <si>
    <t>2005. 9. 17 오후 3:30:00</t>
  </si>
  <si>
    <t>2005. 9. 18 오후 4:00:00</t>
  </si>
  <si>
    <t>2005. 9. 18 오후 3:30:00</t>
  </si>
  <si>
    <t>2005. 9. 19 오후 4:00:00</t>
  </si>
  <si>
    <t>2005. 9. 19 오후 3:30:00</t>
  </si>
  <si>
    <t>2005. 9. 20 오후 4:00:00</t>
  </si>
  <si>
    <t>2005. 9. 20 오후 3:30:00</t>
  </si>
  <si>
    <t>2005. 9. 21 오후 4:00:00</t>
  </si>
  <si>
    <t>2005. 9. 21 오후 3:30:00</t>
  </si>
  <si>
    <t>2005. 9. 22 오후 4:00:00</t>
  </si>
  <si>
    <t>2005. 9. 22 오후 3:30:00</t>
  </si>
  <si>
    <t>2005. 9. 23 오후 4:00:00</t>
  </si>
  <si>
    <t>2005. 9. 23 오후 3:30:00</t>
  </si>
  <si>
    <t>2005. 9. 24 오후 4:00:00</t>
  </si>
  <si>
    <t>2005. 9. 24 오후 3:30:00</t>
  </si>
  <si>
    <t>2005. 9. 25 오후 4:00:00</t>
  </si>
  <si>
    <t>2005. 9. 25 오후 3:30:00</t>
  </si>
  <si>
    <t>2005. 9. 26 오후 4:00:00</t>
  </si>
  <si>
    <t>2005. 9. 26 오후 3:30:00</t>
  </si>
  <si>
    <t>2005. 9. 27 오후 4:00:00</t>
  </si>
  <si>
    <t>2005. 9. 27 오후 3:30:00</t>
  </si>
  <si>
    <t>2005. 9. 28 오후 4:00:00</t>
  </si>
  <si>
    <t>2005. 9. 28 오후 3:30:00</t>
  </si>
  <si>
    <t>2005. 9. 29 오후 4:00:00</t>
  </si>
  <si>
    <t>2005. 9. 29 오후 3:30:00</t>
  </si>
  <si>
    <t>2005. 9. 30 오후 4:00:00</t>
  </si>
  <si>
    <t>2005. 9. 30 오후 3:30:00</t>
  </si>
  <si>
    <t>2005. 10. 1 오후 4:00:00</t>
  </si>
  <si>
    <t>2005. 10. 1 오후 3:30:00</t>
  </si>
  <si>
    <t>2005. 10. 2 오후 4:00:00</t>
  </si>
  <si>
    <t>2005. 10. 2 오후 3:30:00</t>
  </si>
  <si>
    <t>2005. 10. 3 오후 4:00:00</t>
  </si>
  <si>
    <t>2005. 10. 3 오후 3:30:00</t>
  </si>
  <si>
    <t>2005. 10. 4 오후 4:00:00</t>
  </si>
  <si>
    <t>2005. 10. 4 오후 3:30:00</t>
  </si>
  <si>
    <t>2005. 10. 5 오후 4:00:00</t>
  </si>
  <si>
    <t>2005. 10. 5 오후 3:30:00</t>
  </si>
  <si>
    <t>2005. 10. 6 오후 4:00:00</t>
  </si>
  <si>
    <t>2005. 10. 6 오후 3:30:00</t>
  </si>
  <si>
    <t>2005. 10. 7 오후 4:00:00</t>
  </si>
  <si>
    <t>2005. 10. 7 오후 3:30:00</t>
  </si>
  <si>
    <t>2005. 10. 8 오후 4:00:00</t>
  </si>
  <si>
    <t>2005. 10. 8 오후 3:30:00</t>
  </si>
  <si>
    <t>2005. 10. 9 오후 4:00:00</t>
  </si>
  <si>
    <t>2005. 10. 9 오후 3:30:00</t>
  </si>
  <si>
    <t>2005. 10. 10 오후 4:00:00</t>
  </si>
  <si>
    <t>2005. 10. 10 오후 3:30:00</t>
  </si>
  <si>
    <t>2005. 10. 11 오후 4:00:00</t>
  </si>
  <si>
    <t>2005. 10. 11 오후 3:30:00</t>
  </si>
  <si>
    <t>2005. 10. 12 오후 4:00:00</t>
  </si>
  <si>
    <t>2005. 10. 12 오후 3:30:00</t>
  </si>
  <si>
    <t>2005. 10. 13 오후 4:00:00</t>
  </si>
  <si>
    <t>2005. 10. 13 오후 3:30:00</t>
  </si>
  <si>
    <t>2005. 10. 14 오후 4:00:00</t>
  </si>
  <si>
    <t>2005. 10. 14 오후 3:30:00</t>
  </si>
  <si>
    <t>2005. 10. 15 오후 4:00:00</t>
  </si>
  <si>
    <t>2005. 10. 15 오후 3:30:00</t>
  </si>
  <si>
    <t>2005. 10. 16 오후 4:00:00</t>
  </si>
  <si>
    <t>2005. 10. 16 오후 3:30:00</t>
  </si>
  <si>
    <t>2005. 10. 17 오후 4:00:00</t>
  </si>
  <si>
    <t>2005. 10. 17 오후 3:30:00</t>
  </si>
  <si>
    <t>2005. 10. 18 오후 4:00:00</t>
  </si>
  <si>
    <t>2005. 10. 18 오후 3:30:00</t>
  </si>
  <si>
    <t>2005. 10. 19 오후 4:00:00</t>
  </si>
  <si>
    <t>2005. 10. 19 오후 3:30:00</t>
  </si>
  <si>
    <t>2005. 10. 20 오후 4:00:00</t>
  </si>
  <si>
    <t>2005. 10. 20 오후 3:30:00</t>
  </si>
  <si>
    <t>2005. 10. 21 오후 4:00:00</t>
  </si>
  <si>
    <t>2005. 10. 21 오후 3:30:00</t>
  </si>
  <si>
    <t>2005. 10. 22 오후 4:00:00</t>
  </si>
  <si>
    <t>2005. 10. 22 오후 3:30:00</t>
  </si>
  <si>
    <t>2005. 10. 23 오후 4:00:00</t>
  </si>
  <si>
    <t>2005. 10. 23 오후 3:30:00</t>
  </si>
  <si>
    <t>2005. 10. 24 오후 4:00:00</t>
  </si>
  <si>
    <t>2005. 10. 24 오후 3:30:00</t>
  </si>
  <si>
    <t>2005. 10. 25 오후 4:00:00</t>
  </si>
  <si>
    <t>2005. 10. 25 오후 3:30:00</t>
  </si>
  <si>
    <t>2005. 10. 26 오후 4:00:00</t>
  </si>
  <si>
    <t>2005. 10. 26 오후 3:30:00</t>
  </si>
  <si>
    <t>2005. 10. 27 오후 4:00:00</t>
  </si>
  <si>
    <t>2005. 10. 27 오후 3:30:00</t>
  </si>
  <si>
    <t>2005. 10. 28 오후 4:00:00</t>
  </si>
  <si>
    <t>2005. 10. 28 오후 3:30:00</t>
  </si>
  <si>
    <t>2005. 10. 29 오후 4:00:00</t>
  </si>
  <si>
    <t>2005. 10. 29 오후 3:30:00</t>
  </si>
  <si>
    <t>2005. 10. 30 오후 4:00:00</t>
  </si>
  <si>
    <t>2005. 10. 30 오후 3:30:00</t>
  </si>
  <si>
    <t>2005. 10. 31 오후 4:00:00</t>
  </si>
  <si>
    <t>2005. 10. 31 오후 3:30:00</t>
  </si>
  <si>
    <t>2005. 11. 1 오후 4:00:00</t>
  </si>
  <si>
    <t>2005. 11. 1 오후 3:30:00</t>
  </si>
  <si>
    <t>2005. 11. 2 오후 4:00:00</t>
  </si>
  <si>
    <t>2005. 11. 2 오후 3:30:00</t>
  </si>
  <si>
    <t>2005. 11. 3 오후 4:00:00</t>
  </si>
  <si>
    <t>2005. 11. 3 오후 3:30:00</t>
  </si>
  <si>
    <t>2005. 11. 4 오후 4:00:00</t>
  </si>
  <si>
    <t>2005. 11. 4 오후 3:30:00</t>
  </si>
  <si>
    <t>2005. 11. 5 오후 4:00:00</t>
  </si>
  <si>
    <t>2005. 11. 5 오후 3:30:00</t>
  </si>
  <si>
    <t>2005. 11. 6 오후 4:00:00</t>
  </si>
  <si>
    <t>2005. 11. 6 오후 3:30:00</t>
  </si>
  <si>
    <t>2005. 11. 7 오후 4:00:00</t>
  </si>
  <si>
    <t>2005. 11. 7 오후 3:30:00</t>
  </si>
  <si>
    <t>2005. 11. 8 오후 4:00:00</t>
  </si>
  <si>
    <t>2005. 11. 8 오후 3:30:00</t>
  </si>
  <si>
    <t>2005. 11. 9 오후 4:00:00</t>
  </si>
  <si>
    <t>2005. 11. 9 오후 3:30:00</t>
  </si>
  <si>
    <t>2005. 11. 10 오후 4:00:00</t>
  </si>
  <si>
    <t>2005. 11. 10 오후 3:30:00</t>
  </si>
  <si>
    <t>2005. 11. 11 오후 4:00:00</t>
  </si>
  <si>
    <t>2005. 11. 11 오후 3:30:00</t>
  </si>
  <si>
    <t>2005. 11. 12 오후 4:00:00</t>
  </si>
  <si>
    <t>2005. 11. 12 오후 3:30:00</t>
  </si>
  <si>
    <t>2005. 11. 13 오후 4:00:00</t>
  </si>
  <si>
    <t>2005. 11. 13 오후 3:30:00</t>
  </si>
  <si>
    <t>2005. 11. 14 오후 4:00:00</t>
  </si>
  <si>
    <t>2005. 11. 14 오후 3:30:00</t>
  </si>
  <si>
    <t>2005. 11. 15 오후 4:00:00</t>
  </si>
  <si>
    <t>2005. 11. 15 오후 3:30:00</t>
  </si>
  <si>
    <t>2005. 11. 16 오후 4:00:00</t>
  </si>
  <si>
    <t>2005. 11. 16 오후 3:30:00</t>
  </si>
  <si>
    <t>2005. 11. 17 오후 4:00:00</t>
  </si>
  <si>
    <t>2005. 11. 17 오후 3:30:00</t>
  </si>
  <si>
    <t>2005. 11. 18 오후 4:00:00</t>
  </si>
  <si>
    <t>2005. 11. 18 오후 3:30:00</t>
  </si>
  <si>
    <t>2005. 11. 19 오후 4:00:00</t>
  </si>
  <si>
    <t>2005. 11. 19 오후 3:30:00</t>
  </si>
  <si>
    <t>2005. 11. 20 오후 4:00:00</t>
  </si>
  <si>
    <t>2005. 11. 20 오후 3:30:00</t>
  </si>
  <si>
    <t>2005. 11. 21 오후 4:00:00</t>
  </si>
  <si>
    <t>2005. 11. 21 오후 3:30:00</t>
  </si>
  <si>
    <t>2005. 11. 22 오후 4:00:00</t>
  </si>
  <si>
    <t>2005. 11. 22 오후 3:30:00</t>
  </si>
  <si>
    <t>2005. 11. 23 오후 4:00:00</t>
  </si>
  <si>
    <t>2005. 11. 23 오후 3:30:00</t>
  </si>
  <si>
    <t>2005. 11. 24 오후 4:00:00</t>
  </si>
  <si>
    <t>2005. 11. 24 오후 3:30:00</t>
  </si>
  <si>
    <t>2005. 11. 25 오후 4:00:00</t>
  </si>
  <si>
    <t>2005. 11. 25 오후 3:30:00</t>
  </si>
  <si>
    <t>2005. 11. 26 오후 4:00:00</t>
  </si>
  <si>
    <t>2005. 11. 26 오후 3:30:00</t>
  </si>
  <si>
    <t>2005. 11. 27 오후 4:00:00</t>
  </si>
  <si>
    <t>2005. 11. 27 오후 3:30:00</t>
  </si>
  <si>
    <t>2005. 11. 28 오후 4:00:00</t>
  </si>
  <si>
    <t>2005. 11. 28 오후 3:30:00</t>
  </si>
  <si>
    <t>2005. 11. 29 오후 4:00:00</t>
  </si>
  <si>
    <t>2005. 11. 29 오후 3:30:00</t>
  </si>
  <si>
    <t>2005. 11. 30 오후 4:00:00</t>
  </si>
  <si>
    <t>2005. 11. 30 오후 3:30:00</t>
  </si>
  <si>
    <t>2005. 12. 1 오후 4:00:00</t>
  </si>
  <si>
    <t>2005. 12. 1 오후 3:30:00</t>
  </si>
  <si>
    <t>2005. 12. 2 오후 4:00:00</t>
  </si>
  <si>
    <t>2005. 12. 2 오후 3:30:00</t>
  </si>
  <si>
    <t>2005. 12. 3 오후 4:00:00</t>
  </si>
  <si>
    <t>2005. 12. 3 오후 3:30:00</t>
  </si>
  <si>
    <t>2005. 12. 4 오후 4:00:00</t>
  </si>
  <si>
    <t>2005. 12. 4 오후 3:30:00</t>
  </si>
  <si>
    <t>2005. 12. 5 오후 4:00:00</t>
  </si>
  <si>
    <t>2005. 12. 5 오후 3:30:00</t>
  </si>
  <si>
    <t>2005. 12. 6 오후 4:00:00</t>
  </si>
  <si>
    <t>2005. 12. 6 오후 3:30:00</t>
  </si>
  <si>
    <t>2005. 12. 7 오후 4:00:00</t>
  </si>
  <si>
    <t>2005. 12. 7 오후 3:30:00</t>
  </si>
  <si>
    <t>2005. 12. 8 오후 4:00:00</t>
  </si>
  <si>
    <t>2005. 12. 8 오후 3:30:00</t>
  </si>
  <si>
    <t>2005. 12. 9 오후 4:00:00</t>
  </si>
  <si>
    <t>2005. 12. 9 오후 3:30:00</t>
  </si>
  <si>
    <t>2005. 12. 10 오후 4:00:00</t>
  </si>
  <si>
    <t>2005. 12. 10 오후 3:30:00</t>
  </si>
  <si>
    <t>2005. 12. 11 오후 4:00:00</t>
  </si>
  <si>
    <t>2005. 12. 11 오후 3:30:00</t>
  </si>
  <si>
    <t>2005. 12. 12 오후 4:00:00</t>
  </si>
  <si>
    <t>2005. 12. 12 오후 3:30:00</t>
  </si>
  <si>
    <t>2005. 12. 13 오후 4:00:00</t>
  </si>
  <si>
    <t>2005. 12. 13 오후 3:30:00</t>
  </si>
  <si>
    <t>2005. 12. 14 오후 4:00:00</t>
  </si>
  <si>
    <t>2005. 12. 14 오후 3:30:00</t>
  </si>
  <si>
    <t>2005. 12. 15 오후 4:00:00</t>
  </si>
  <si>
    <t>2005. 12. 15 오후 3:30:00</t>
  </si>
  <si>
    <t>2005. 12. 16 오후 4:00:00</t>
  </si>
  <si>
    <t>2005. 12. 16 오후 3:30:00</t>
  </si>
  <si>
    <t>2005. 12. 17 오후 4:00:00</t>
  </si>
  <si>
    <t>2005. 12. 17 오후 3:30:00</t>
  </si>
  <si>
    <t>2005. 12. 18 오후 4:00:00</t>
  </si>
  <si>
    <t>2005. 12. 18 오후 3:30:00</t>
  </si>
  <si>
    <t>2005. 12. 19 오후 4:00:00</t>
  </si>
  <si>
    <t>2005. 12. 19 오후 3:30:00</t>
  </si>
  <si>
    <t>2005. 12. 20 오후 4:00:00</t>
  </si>
  <si>
    <t>2005. 12. 20 오후 3:30:00</t>
  </si>
  <si>
    <t>2005. 12. 21 오후 4:00:00</t>
  </si>
  <si>
    <t>2005. 12. 21 오후 3:30:00</t>
  </si>
  <si>
    <t>2005. 12. 22 오후 4:00:00</t>
  </si>
  <si>
    <t>2005. 12. 22 오후 3:30:00</t>
  </si>
  <si>
    <t>2005. 12. 23 오후 4:00:00</t>
  </si>
  <si>
    <t>2005. 12. 23 오후 3:30:00</t>
  </si>
  <si>
    <t>2005. 12. 24 오후 4:00:00</t>
  </si>
  <si>
    <t>2005. 12. 24 오후 3:30:00</t>
  </si>
  <si>
    <t>2005. 12. 25 오후 4:00:00</t>
  </si>
  <si>
    <t>2005. 12. 25 오후 3:30:00</t>
  </si>
  <si>
    <t>2005. 12. 26 오후 4:00:00</t>
  </si>
  <si>
    <t>2005. 12. 26 오후 3:30:00</t>
  </si>
  <si>
    <t>2005. 12. 27 오후 4:00:00</t>
  </si>
  <si>
    <t>2005. 12. 27 오후 3:30:00</t>
  </si>
  <si>
    <t>2005. 12. 28 오후 4:00:00</t>
  </si>
  <si>
    <t>2005. 12. 28 오후 3:30:00</t>
  </si>
  <si>
    <t>2005. 12. 29 오후 4:00:00</t>
  </si>
  <si>
    <t>2005. 12. 29 오후 3:30:00</t>
  </si>
  <si>
    <t>2005. 12. 30 오후 4:00:00</t>
  </si>
  <si>
    <t>2005. 12. 30 오후 3:30:00</t>
  </si>
  <si>
    <t>2005. 12. 31 오후 4:00:00</t>
  </si>
  <si>
    <t>2005. 12. 31 오후 3:30:00</t>
  </si>
  <si>
    <t>2006. 1. 1 오후 4:00:00</t>
  </si>
  <si>
    <t>2006. 1. 1 오후 3:30:00</t>
  </si>
  <si>
    <t>2006. 1. 2 오후 4:00:00</t>
  </si>
  <si>
    <t>2006. 1. 2 오후 3:30:00</t>
  </si>
  <si>
    <t>2006. 1. 3 오후 4:00:00</t>
  </si>
  <si>
    <t>2006. 1. 3 오후 3:30:00</t>
  </si>
  <si>
    <t>2006. 1. 4 오후 4:00:00</t>
  </si>
  <si>
    <t>2006. 1. 4 오후 3:30:00</t>
  </si>
  <si>
    <t>2006. 1. 5 오후 4:00:00</t>
  </si>
  <si>
    <t>2006. 1. 5 오후 3:30:00</t>
  </si>
  <si>
    <t>2006. 1. 6 오후 4:00:00</t>
  </si>
  <si>
    <t>2006. 1. 6 오후 3:30:00</t>
  </si>
  <si>
    <t>2006. 1. 7 오후 4:00:00</t>
  </si>
  <si>
    <t>2006. 1. 7 오후 3:30:00</t>
  </si>
  <si>
    <t>2006. 1. 8 오후 4:00:00</t>
  </si>
  <si>
    <t>2006. 1. 8 오후 3:30:00</t>
  </si>
  <si>
    <t>2006. 1. 9 오후 4:00:00</t>
  </si>
  <si>
    <t>2006. 1. 9 오후 3:30:00</t>
  </si>
  <si>
    <t>2006. 1. 10 오후 4:00:00</t>
  </si>
  <si>
    <t>2006. 1. 10 오후 3:30:00</t>
  </si>
  <si>
    <t>2006. 1. 11 오후 4:00:00</t>
  </si>
  <si>
    <t>2006. 1. 11 오후 3:30:00</t>
  </si>
  <si>
    <t>2006. 1. 12 오후 4:00:00</t>
  </si>
  <si>
    <t>2006. 1. 12 오후 3:30:00</t>
  </si>
  <si>
    <t>2006. 1. 13 오후 4:00:00</t>
  </si>
  <si>
    <t>2006. 1. 13 오후 3:30:00</t>
  </si>
  <si>
    <t>2006. 1. 14 오후 4:00:00</t>
  </si>
  <si>
    <t>2006. 1. 14 오후 3:30:00</t>
  </si>
  <si>
    <t>2006. 1. 15 오후 4:00:00</t>
  </si>
  <si>
    <t>2006. 1. 15 오후 3:30:00</t>
  </si>
  <si>
    <t>2006. 1. 16 오후 4:00:00</t>
  </si>
  <si>
    <t>2006. 1. 16 오후 3:30:00</t>
  </si>
  <si>
    <t>2006. 1. 17 오후 4:00:00</t>
  </si>
  <si>
    <t>2006. 1. 17 오후 3:30:00</t>
  </si>
  <si>
    <t>2006. 1. 18 오후 4:00:00</t>
  </si>
  <si>
    <t>2006. 1. 18 오후 3:30:00</t>
  </si>
  <si>
    <t>2006. 1. 19 오후 4:00:00</t>
  </si>
  <si>
    <t>2006. 1. 19 오후 3:30:00</t>
  </si>
  <si>
    <t>2006. 1. 20 오후 4:00:00</t>
  </si>
  <si>
    <t>2006. 1. 20 오후 3:30:00</t>
  </si>
  <si>
    <t>2006. 1. 21 오후 4:00:00</t>
  </si>
  <si>
    <t>2006. 1. 21 오후 3:30:00</t>
  </si>
  <si>
    <t>2006. 1. 22 오후 4:00:00</t>
  </si>
  <si>
    <t>2006. 1. 22 오후 3:30:00</t>
  </si>
  <si>
    <t>2006. 1. 23 오후 4:00:00</t>
  </si>
  <si>
    <t>2006. 1. 23 오후 3:30:00</t>
  </si>
  <si>
    <t>2006. 1. 24 오후 4:00:00</t>
  </si>
  <si>
    <t>2006. 1. 24 오후 3:30:00</t>
  </si>
  <si>
    <t>2006. 1. 25 오후 4:00:00</t>
  </si>
  <si>
    <t>2006. 1. 25 오후 3:30:00</t>
  </si>
  <si>
    <t>2006. 1. 26 오후 4:00:00</t>
  </si>
  <si>
    <t>2006. 1. 26 오후 3:30:00</t>
  </si>
  <si>
    <t>2006. 1. 27 오후 4:00:00</t>
  </si>
  <si>
    <t>2006. 1. 27 오후 3:30:00</t>
  </si>
  <si>
    <t>2006. 1. 28 오후 4:00:00</t>
  </si>
  <si>
    <t>2006. 1. 28 오후 3:30:00</t>
  </si>
  <si>
    <t>2006. 1. 29 오후 4:00:00</t>
  </si>
  <si>
    <t>2006. 1. 29 오후 3:30:00</t>
  </si>
  <si>
    <t>2006. 1. 30 오후 4:00:00</t>
  </si>
  <si>
    <t>2006. 1. 30 오후 3:30:00</t>
  </si>
  <si>
    <t>2006. 1. 31 오후 4:00:00</t>
  </si>
  <si>
    <t>2006. 1. 31 오후 3:30:00</t>
  </si>
  <si>
    <t>2006. 2. 1 오후 4:00:00</t>
  </si>
  <si>
    <t>2006. 2. 1 오후 3:30:00</t>
  </si>
  <si>
    <t>2006. 2. 2 오후 4:00:00</t>
  </si>
  <si>
    <t>2006. 2. 2 오후 3:30:00</t>
  </si>
  <si>
    <t>2006. 2. 3 오후 4:00:00</t>
  </si>
  <si>
    <t>2006. 2. 3 오후 3:30:00</t>
  </si>
  <si>
    <t>2006. 2. 4 오후 4:00:00</t>
  </si>
  <si>
    <t>2006. 2. 4 오후 3:30:00</t>
  </si>
  <si>
    <t>2006. 2. 5 오후 4:00:00</t>
  </si>
  <si>
    <t>2006. 2. 5 오후 3:30:00</t>
  </si>
  <si>
    <t>2006. 2. 6 오후 4:00:00</t>
  </si>
  <si>
    <t>2006. 2. 6 오후 3:30:00</t>
  </si>
  <si>
    <t>2006. 2. 7 오후 4:00:00</t>
  </si>
  <si>
    <t>2006. 2. 7 오후 3:30:00</t>
  </si>
  <si>
    <t>2006. 2. 8 오후 4:00:00</t>
  </si>
  <si>
    <t>2006. 2. 8 오후 3:30:00</t>
  </si>
  <si>
    <t>2006. 2. 9 오후 4:00:00</t>
  </si>
  <si>
    <t>2006. 2. 9 오후 3:30:00</t>
  </si>
  <si>
    <t>2006. 2. 10 오후 4:00:00</t>
  </si>
  <si>
    <t>2006. 2. 10 오후 3:30:00</t>
  </si>
  <si>
    <t>2006. 2. 11 오후 4:00:00</t>
  </si>
  <si>
    <t>2006. 2. 11 오후 3:30:00</t>
  </si>
  <si>
    <t>2006. 2. 12 오후 4:00:00</t>
  </si>
  <si>
    <t>2006. 2. 12 오후 3:30:00</t>
  </si>
  <si>
    <t>2006. 2. 13 오후 4:00:00</t>
  </si>
  <si>
    <t>2006. 2. 13 오후 3:30:00</t>
  </si>
  <si>
    <t>2006. 2. 14 오후 4:00:00</t>
  </si>
  <si>
    <t>2006. 2. 14 오후 3:30:00</t>
  </si>
  <si>
    <t>2006. 2. 15 오후 4:00:00</t>
  </si>
  <si>
    <t>2006. 2. 15 오후 3:30:00</t>
  </si>
  <si>
    <t>2006. 2. 16 오후 4:00:00</t>
  </si>
  <si>
    <t>2006. 2. 16 오후 3:30:00</t>
  </si>
  <si>
    <t>2006. 2. 17 오후 4:00:00</t>
  </si>
  <si>
    <t>2006. 2. 17 오후 3:30:00</t>
  </si>
  <si>
    <t>2006. 2. 18 오후 4:00:00</t>
  </si>
  <si>
    <t>2006. 2. 18 오후 3:30:00</t>
  </si>
  <si>
    <t>2006. 2. 19 오후 4:00:00</t>
  </si>
  <si>
    <t>2006. 2. 19 오후 3:30:00</t>
  </si>
  <si>
    <t>2006. 2. 20 오후 4:00:00</t>
  </si>
  <si>
    <t>2006. 2. 20 오후 3:30:00</t>
  </si>
  <si>
    <t>2006. 2. 21 오후 4:00:00</t>
  </si>
  <si>
    <t>2006. 2. 21 오후 3:30:00</t>
  </si>
  <si>
    <t>2006. 2. 22 오후 4:00:00</t>
  </si>
  <si>
    <t>2006. 2. 22 오후 3:30:00</t>
  </si>
  <si>
    <t>2006. 2. 23 오후 4:00:00</t>
  </si>
  <si>
    <t>2006. 2. 23 오후 3:30:00</t>
  </si>
  <si>
    <t>2006. 2. 24 오후 4:00:00</t>
  </si>
  <si>
    <t>2006. 2. 24 오후 3:30:00</t>
  </si>
  <si>
    <t>2006. 2. 25 오후 4:00:00</t>
  </si>
  <si>
    <t>2006. 2. 25 오후 3:30:00</t>
  </si>
  <si>
    <t>2006. 2. 26 오후 4:00:00</t>
  </si>
  <si>
    <t>2006. 2. 26 오후 3:30:00</t>
  </si>
  <si>
    <t>2006. 2. 27 오후 4:00:00</t>
  </si>
  <si>
    <t>2006. 2. 27 오후 3:30:00</t>
  </si>
  <si>
    <t>2006. 2. 28 오후 4:00:00</t>
  </si>
  <si>
    <t>2006. 2. 28 오후 3:30:00</t>
  </si>
  <si>
    <t>2006. 3. 1 오후 4:00:00</t>
  </si>
  <si>
    <t>2006. 3. 1 오후 3:30:00</t>
  </si>
  <si>
    <t>2006. 3. 2 오후 4:00:00</t>
  </si>
  <si>
    <t>2006. 3. 2 오후 3:30:00</t>
  </si>
  <si>
    <t>2006. 3. 3 오후 4:00:00</t>
  </si>
  <si>
    <t>2006. 3. 3 오후 3:30:00</t>
  </si>
  <si>
    <t>2006. 3. 4 오후 4:00:00</t>
  </si>
  <si>
    <t>2006. 3. 4 오후 3:30:00</t>
  </si>
  <si>
    <t>2006. 3. 5 오후 4:00:00</t>
  </si>
  <si>
    <t>2006. 3. 5 오후 3:30:00</t>
  </si>
  <si>
    <t>2006. 3. 6 오후 4:00:00</t>
  </si>
  <si>
    <t>2006. 3. 6 오후 3:30:00</t>
  </si>
  <si>
    <t>2006. 3. 7 오후 4:00:00</t>
  </si>
  <si>
    <t>2006. 3. 7 오후 3:30:00</t>
  </si>
  <si>
    <t>2006. 3. 8 오후 4:00:00</t>
  </si>
  <si>
    <t>2006. 3. 8 오후 3:30:00</t>
  </si>
  <si>
    <t>2006. 3. 9 오후 4:00:00</t>
  </si>
  <si>
    <t>2006. 3. 9 오후 3:30:00</t>
  </si>
  <si>
    <t>2006. 3. 10 오후 4:00:00</t>
  </si>
  <si>
    <t>2006. 3. 10 오후 3:30:00</t>
  </si>
  <si>
    <t>2006. 3. 11 오후 4:00:00</t>
  </si>
  <si>
    <t>2006. 3. 11 오후 3:30:00</t>
  </si>
  <si>
    <t>2006. 3. 12 오후 4:00:00</t>
  </si>
  <si>
    <t>2006. 3. 12 오후 3:30:00</t>
  </si>
  <si>
    <t>2006. 3. 13 오후 4:00:00</t>
  </si>
  <si>
    <t>2006. 3. 13 오후 3:30:00</t>
  </si>
  <si>
    <t>2006. 3. 14 오후 4:00:00</t>
  </si>
  <si>
    <t>2006. 3. 14 오후 3:30:00</t>
  </si>
  <si>
    <t>2006. 3. 15 오후 4:00:00</t>
  </si>
  <si>
    <t>2006. 3. 15 오후 3:30:00</t>
  </si>
  <si>
    <t>2006. 3. 16 오후 4:00:00</t>
  </si>
  <si>
    <t>2006. 3. 16 오후 3:30:00</t>
  </si>
  <si>
    <t>2006. 3. 17 오후 4:00:00</t>
  </si>
  <si>
    <t>2006. 3. 17 오후 3:30:00</t>
  </si>
  <si>
    <t>2006. 3. 18 오후 4:00:00</t>
  </si>
  <si>
    <t>2006. 3. 18 오후 3:30:00</t>
  </si>
  <si>
    <t>2006. 3. 19 오후 4:00:00</t>
  </si>
  <si>
    <t>2006. 3. 19 오후 3:30:00</t>
  </si>
  <si>
    <t>2006. 3. 20 오후 4:00:00</t>
  </si>
  <si>
    <t>2006. 3. 20 오후 3:30:00</t>
  </si>
  <si>
    <t>2006. 3. 21 오후 4:00:00</t>
  </si>
  <si>
    <t>2006. 3. 21 오후 3:30:00</t>
  </si>
  <si>
    <t>2006. 3. 22 오후 4:00:00</t>
  </si>
  <si>
    <t>2006. 3. 22 오후 3:30:00</t>
  </si>
  <si>
    <t>2006. 3. 23 오후 4:00:00</t>
  </si>
  <si>
    <t>2006. 3. 23 오후 3:30:00</t>
  </si>
  <si>
    <t>2006. 3. 24 오후 4:00:00</t>
  </si>
  <si>
    <t>2006. 3. 24 오후 3:30:00</t>
  </si>
  <si>
    <t>2006. 3. 25 오후 4:00:00</t>
  </si>
  <si>
    <t>2006. 3. 25 오후 3:30:00</t>
  </si>
  <si>
    <t>2006. 3. 26 오후 4:00:00</t>
  </si>
  <si>
    <t>2006. 3. 26 오후 3:30:00</t>
  </si>
  <si>
    <t>2006. 3. 27 오후 4:00:00</t>
  </si>
  <si>
    <t>2006. 3. 27 오후 3:30:00</t>
  </si>
  <si>
    <t>2006. 3. 28 오후 4:00:00</t>
  </si>
  <si>
    <t>2006. 3. 28 오후 3:30:00</t>
  </si>
  <si>
    <t>2006. 3. 29 오후 4:00:00</t>
  </si>
  <si>
    <t>2006. 3. 29 오후 3:30:00</t>
  </si>
  <si>
    <t>2006. 3. 30 오후 4:00:00</t>
  </si>
  <si>
    <t>2006. 3. 30 오후 3:30:00</t>
  </si>
  <si>
    <t>2006. 3. 31 오후 4:00:00</t>
  </si>
  <si>
    <t>2006. 3. 31 오후 3:30:00</t>
  </si>
  <si>
    <t>2006. 4. 1 오후 4:00:00</t>
  </si>
  <si>
    <t>2006. 4. 1 오후 3:30:00</t>
  </si>
  <si>
    <t>2006. 4. 2 오후 4:00:00</t>
  </si>
  <si>
    <t>2006. 4. 2 오후 3:30:00</t>
  </si>
  <si>
    <t>2006. 4. 3 오후 4:00:00</t>
  </si>
  <si>
    <t>2006. 4. 3 오후 3:30:00</t>
  </si>
  <si>
    <t>2006. 4. 4 오후 4:00:00</t>
  </si>
  <si>
    <t>2006. 4. 4 오후 3:30:00</t>
  </si>
  <si>
    <t>2006. 4. 5 오후 4:00:00</t>
  </si>
  <si>
    <t>2006. 4. 5 오후 3:30:00</t>
  </si>
  <si>
    <t>2006. 4. 6 오후 4:00:00</t>
  </si>
  <si>
    <t>2006. 4. 6 오후 3:30:00</t>
  </si>
  <si>
    <t>2006. 4. 7 오후 4:00:00</t>
  </si>
  <si>
    <t>2006. 4. 7 오후 3:30:00</t>
  </si>
  <si>
    <t>2006. 4. 8 오후 4:00:00</t>
  </si>
  <si>
    <t>2006. 4. 8 오후 3:30:00</t>
  </si>
  <si>
    <t>2006. 4. 9 오후 4:00:00</t>
  </si>
  <si>
    <t>2006. 4. 9 오후 3:30:00</t>
  </si>
  <si>
    <t>2006. 4. 10 오후 4:00:00</t>
  </si>
  <si>
    <t>2006. 4. 10 오후 3:30:00</t>
  </si>
  <si>
    <t>2006. 4. 11 오후 4:00:00</t>
  </si>
  <si>
    <t>2006. 4. 11 오후 3:30:00</t>
  </si>
  <si>
    <t>2006. 4. 12 오후 4:00:00</t>
  </si>
  <si>
    <t>2006. 4. 12 오후 3:30:00</t>
  </si>
  <si>
    <t>2006. 4. 13 오후 4:00:00</t>
  </si>
  <si>
    <t>2006. 4. 13 오후 3:30:00</t>
  </si>
  <si>
    <t>2006. 4. 14 오후 4:00:00</t>
  </si>
  <si>
    <t>2006. 4. 14 오후 3:30:00</t>
  </si>
  <si>
    <t>2006. 4. 15 오후 4:00:00</t>
  </si>
  <si>
    <t>2006. 4. 15 오후 3:30:00</t>
  </si>
  <si>
    <t>2006. 4. 16 오후 4:00:00</t>
  </si>
  <si>
    <t>2006. 4. 16 오후 3:30:00</t>
  </si>
  <si>
    <t>2006. 4. 17 오후 4:00:00</t>
  </si>
  <si>
    <t>2006. 4. 17 오후 3:30:00</t>
  </si>
  <si>
    <t>2006. 4. 18 오후 4:00:00</t>
  </si>
  <si>
    <t>2006. 4. 18 오후 3:30:00</t>
  </si>
  <si>
    <t>2006. 4. 19 오후 4:00:00</t>
  </si>
  <si>
    <t>2006. 4. 19 오후 3:30:00</t>
  </si>
  <si>
    <t>2006. 4. 20 오후 4:00:00</t>
  </si>
  <si>
    <t>2006. 4. 20 오후 3:30:00</t>
  </si>
  <si>
    <t>2006. 4. 21 오후 4:00:00</t>
  </si>
  <si>
    <t>2006. 4. 21 오후 3:30:00</t>
  </si>
  <si>
    <t>2006. 4. 22 오후 4:00:00</t>
  </si>
  <si>
    <t>2006. 4. 22 오후 3:30:00</t>
  </si>
  <si>
    <t>2006. 4. 23 오후 4:00:00</t>
  </si>
  <si>
    <t>2006. 4. 23 오후 3:30:00</t>
  </si>
  <si>
    <t>2006. 4. 24 오후 4:00:00</t>
  </si>
  <si>
    <t>2006. 4. 24 오후 3:30:00</t>
  </si>
  <si>
    <t>2006. 4. 25 오후 4:00:00</t>
  </si>
  <si>
    <t>2006. 4. 25 오후 3:30:00</t>
  </si>
  <si>
    <t>2006. 4. 26 오후 4:00:00</t>
  </si>
  <si>
    <t>2006. 4. 26 오후 3:30:00</t>
  </si>
  <si>
    <t>2006. 4. 27 오후 4:00:00</t>
  </si>
  <si>
    <t>2006. 4. 27 오후 3:30:00</t>
  </si>
  <si>
    <t>2006. 4. 28 오후 4:00:00</t>
  </si>
  <si>
    <t>2006. 4. 28 오후 3:30:00</t>
  </si>
  <si>
    <t>2006. 4. 29 오후 4:00:00</t>
  </si>
  <si>
    <t>2006. 4. 29 오후 3:30:00</t>
  </si>
  <si>
    <t>2006. 4. 30 오후 4:00:00</t>
  </si>
  <si>
    <t>2006. 4. 30 오후 3:30:00</t>
  </si>
  <si>
    <t>2006. 5. 1 오후 4:00:00</t>
  </si>
  <si>
    <t>2006. 5. 1 오후 3:30:00</t>
  </si>
  <si>
    <t>2006. 5. 2 오후 4:00:00</t>
  </si>
  <si>
    <t>2006. 5. 2 오후 3:30:00</t>
  </si>
  <si>
    <t>2006. 5. 3 오후 4:00:00</t>
  </si>
  <si>
    <t>2006. 5. 3 오후 3:30:00</t>
  </si>
  <si>
    <t>2006. 5. 4 오후 4:00:00</t>
  </si>
  <si>
    <t>2006. 5. 4 오후 3:30:00</t>
  </si>
  <si>
    <t>2006. 5. 5 오후 4:00:00</t>
  </si>
  <si>
    <t>2006. 5. 5 오후 3:30:00</t>
  </si>
  <si>
    <t>2006. 5. 6 오후 4:00:00</t>
  </si>
  <si>
    <t>2006. 5. 6 오후 3:30:00</t>
  </si>
  <si>
    <t>2006. 5. 7 오후 4:00:00</t>
  </si>
  <si>
    <t>2006. 5. 7 오후 3:30:00</t>
  </si>
  <si>
    <t>2006. 5. 8 오후 4:00:00</t>
  </si>
  <si>
    <t>2006. 5. 8 오후 3:30:00</t>
  </si>
  <si>
    <t>2006. 5. 9 오후 4:00:00</t>
  </si>
  <si>
    <t>2006. 5. 9 오후 3:30:00</t>
  </si>
  <si>
    <t>2006. 5. 10 오후 4:00:00</t>
  </si>
  <si>
    <t>2006. 5. 10 오후 3:30:00</t>
  </si>
  <si>
    <t>2006. 5. 11 오후 4:00:00</t>
  </si>
  <si>
    <t>2006. 5. 11 오후 3:30:00</t>
  </si>
  <si>
    <t>2006. 5. 12 오후 4:00:00</t>
  </si>
  <si>
    <t>2006. 5. 12 오후 3:30:00</t>
  </si>
  <si>
    <t>2006. 5. 13 오후 4:00:00</t>
  </si>
  <si>
    <t>2006. 5. 13 오후 3:30:00</t>
  </si>
  <si>
    <t>2006. 5. 14 오후 4:00:00</t>
  </si>
  <si>
    <t>2006. 5. 14 오후 3:30:00</t>
  </si>
  <si>
    <t>2006. 5. 15 오후 4:00:00</t>
  </si>
  <si>
    <t>2006. 5. 15 오후 3:30:00</t>
  </si>
  <si>
    <t>2006. 5. 16 오후 4:00:00</t>
  </si>
  <si>
    <t>2006. 5. 16 오후 3:30:00</t>
  </si>
  <si>
    <t>2006. 5. 17 오후 4:00:00</t>
  </si>
  <si>
    <t>2006. 5. 17 오후 3:30:00</t>
  </si>
  <si>
    <t>2006. 5. 18 오후 4:00:00</t>
  </si>
  <si>
    <t>2006. 5. 18 오후 3:30:00</t>
  </si>
  <si>
    <t>2006. 5. 19 오후 4:00:00</t>
  </si>
  <si>
    <t>2006. 5. 19 오후 3:30:00</t>
  </si>
  <si>
    <t>2006. 5. 20 오후 4:00:00</t>
  </si>
  <si>
    <t>2006. 5. 20 오후 3:30:00</t>
  </si>
  <si>
    <t>2006. 5. 21 오후 4:00:00</t>
  </si>
  <si>
    <t>2006. 5. 21 오후 3:30:00</t>
  </si>
  <si>
    <t>2006. 5. 22 오후 4:00:00</t>
  </si>
  <si>
    <t>2006. 5. 22 오후 3:30:00</t>
  </si>
  <si>
    <t>2006. 5. 23 오후 4:00:00</t>
  </si>
  <si>
    <t>2006. 5. 23 오후 3:30:00</t>
  </si>
  <si>
    <t>2006. 5. 24 오후 4:00:00</t>
  </si>
  <si>
    <t>2006. 5. 24 오후 3:30:00</t>
  </si>
  <si>
    <t>2006. 5. 25 오후 4:00:00</t>
  </si>
  <si>
    <t>2006. 5. 25 오후 3:30:00</t>
  </si>
  <si>
    <t>2006. 5. 26 오후 4:00:00</t>
  </si>
  <si>
    <t>2006. 5. 26 오후 3:30:00</t>
  </si>
  <si>
    <t>2006. 5. 27 오후 4:00:00</t>
  </si>
  <si>
    <t>2006. 5. 27 오후 3:30:00</t>
  </si>
  <si>
    <t>2006. 5. 28 오후 4:00:00</t>
  </si>
  <si>
    <t>2006. 5. 28 오후 3:30:00</t>
  </si>
  <si>
    <t>2006. 5. 29 오후 4:00:00</t>
  </si>
  <si>
    <t>2006. 5. 29 오후 3:30:00</t>
  </si>
  <si>
    <t>2006. 5. 30 오후 4:00:00</t>
  </si>
  <si>
    <t>2006. 5. 30 오후 3:30:00</t>
  </si>
  <si>
    <t>2006. 5. 31 오후 4:00:00</t>
  </si>
  <si>
    <t>2006. 5. 31 오후 3:30:00</t>
  </si>
  <si>
    <t>2006. 6. 1 오후 4:00:00</t>
  </si>
  <si>
    <t>2006. 6. 1 오후 3:30:00</t>
  </si>
  <si>
    <t>2006. 6. 2 오후 4:00:00</t>
  </si>
  <si>
    <t>2006. 6. 2 오후 3:30:00</t>
  </si>
  <si>
    <t>2006. 6. 3 오후 4:00:00</t>
  </si>
  <si>
    <t>2006. 6. 3 오후 3:30:00</t>
  </si>
  <si>
    <t>2006. 6. 4 오후 4:00:00</t>
  </si>
  <si>
    <t>2006. 6. 4 오후 3:30:00</t>
  </si>
  <si>
    <t>2006. 6. 5 오후 4:00:00</t>
  </si>
  <si>
    <t>2006. 6. 5 오후 3:30:00</t>
  </si>
  <si>
    <t>2006. 6. 6 오후 4:00:00</t>
  </si>
  <si>
    <t>2006. 6. 6 오후 3:30:00</t>
  </si>
  <si>
    <t>2006. 6. 7 오후 4:00:00</t>
  </si>
  <si>
    <t>2006. 6. 7 오후 3:30:00</t>
  </si>
  <si>
    <t>2006. 6. 8 오후 4:00:00</t>
  </si>
  <si>
    <t>2006. 6. 8 오후 3:30:00</t>
  </si>
  <si>
    <t>2006. 6. 9 오후 4:00:00</t>
  </si>
  <si>
    <t>2006. 6. 9 오후 3:30:00</t>
  </si>
  <si>
    <t>2006. 6. 10 오후 4:00:00</t>
  </si>
  <si>
    <t>2006. 6. 10 오후 3:30:00</t>
  </si>
  <si>
    <t>2006. 6. 11 오후 4:00:00</t>
  </si>
  <si>
    <t>2006. 6. 11 오후 3:30:00</t>
  </si>
  <si>
    <t>2006. 6. 12 오후 4:00:00</t>
  </si>
  <si>
    <t>2006. 6. 12 오후 3:30:00</t>
  </si>
  <si>
    <t>2006. 6. 13 오후 4:00:00</t>
  </si>
  <si>
    <t>2006. 6. 13 오후 3:30:00</t>
  </si>
  <si>
    <t>2006. 6. 14 오후 4:00:00</t>
  </si>
  <si>
    <t>2006. 6. 14 오후 3:30:00</t>
  </si>
  <si>
    <t>2006. 6. 15 오후 4:00:00</t>
  </si>
  <si>
    <t>2006. 6. 15 오후 3:30:00</t>
  </si>
  <si>
    <t>2006. 6. 16 오후 4:00:00</t>
  </si>
  <si>
    <t>2006. 6. 16 오후 3:30:00</t>
  </si>
  <si>
    <t>2006. 6. 17 오후 4:00:00</t>
  </si>
  <si>
    <t>2006. 6. 17 오후 3:30:00</t>
  </si>
  <si>
    <t>2006. 6. 18 오후 4:00:00</t>
  </si>
  <si>
    <t>2006. 6. 18 오후 3:30:00</t>
  </si>
  <si>
    <t>2006. 6. 19 오후 4:00:00</t>
  </si>
  <si>
    <t>2006. 6. 19 오후 3:30:00</t>
  </si>
  <si>
    <t>2006. 6. 20 오후 4:00:00</t>
  </si>
  <si>
    <t>2006. 6. 20 오후 3:30:00</t>
  </si>
  <si>
    <t>2006. 6. 21 오후 4:00:00</t>
  </si>
  <si>
    <t>2006. 6. 21 오후 3:30:00</t>
  </si>
  <si>
    <t>2006. 6. 22 오후 4:00:00</t>
  </si>
  <si>
    <t>2006. 6. 22 오후 3:30:00</t>
  </si>
  <si>
    <t>2006. 6. 23 오후 4:00:00</t>
  </si>
  <si>
    <t>2006. 6. 23 오후 3:30:00</t>
  </si>
  <si>
    <t>2006. 6. 24 오후 4:00:00</t>
  </si>
  <si>
    <t>2006. 6. 24 오후 3:30:00</t>
  </si>
  <si>
    <t>2006. 6. 25 오후 4:00:00</t>
  </si>
  <si>
    <t>2006. 6. 25 오후 3:30:00</t>
  </si>
  <si>
    <t>2006. 6. 26 오후 4:00:00</t>
  </si>
  <si>
    <t>2006. 6. 26 오후 3:30:00</t>
  </si>
  <si>
    <t>2006. 6. 27 오후 4:00:00</t>
  </si>
  <si>
    <t>2006. 6. 27 오후 3:30:00</t>
  </si>
  <si>
    <t>2006. 6. 28 오후 4:00:00</t>
  </si>
  <si>
    <t>2006. 6. 28 오후 3:30:00</t>
  </si>
  <si>
    <t>2006. 6. 29 오후 4:00:00</t>
  </si>
  <si>
    <t>2006. 6. 29 오후 3:30:00</t>
  </si>
  <si>
    <t>2006. 6. 30 오후 4:00:00</t>
  </si>
  <si>
    <t>2006. 6. 30 오후 3:30:00</t>
  </si>
  <si>
    <t>2006. 7. 1 오후 4:00:00</t>
  </si>
  <si>
    <t>2006. 7. 1 오후 3:30:00</t>
  </si>
  <si>
    <t>2006. 7. 2 오후 4:00:00</t>
  </si>
  <si>
    <t>2006. 7. 2 오후 3:30:00</t>
  </si>
  <si>
    <t>2006. 7. 3 오후 4:00:00</t>
  </si>
  <si>
    <t>2006. 7. 3 오후 3:30:00</t>
  </si>
  <si>
    <t>2006. 7. 4 오후 4:00:00</t>
  </si>
  <si>
    <t>2006. 7. 4 오후 3:30:00</t>
  </si>
  <si>
    <t>2006. 7. 5 오후 4:00:00</t>
  </si>
  <si>
    <t>2006. 7. 5 오후 3:30:00</t>
  </si>
  <si>
    <t>2006. 7. 6 오후 4:00:00</t>
  </si>
  <si>
    <t>2006. 7. 6 오후 3:30:00</t>
  </si>
  <si>
    <t>2006. 7. 7 오후 4:00:00</t>
  </si>
  <si>
    <t>2006. 7. 7 오후 3:30:00</t>
  </si>
  <si>
    <t>2006. 7. 8 오후 4:00:00</t>
  </si>
  <si>
    <t>2006. 7. 8 오후 3:30:00</t>
  </si>
  <si>
    <t>2006. 7. 9 오후 4:00:00</t>
  </si>
  <si>
    <t>2006. 7. 9 오후 3:30:00</t>
  </si>
  <si>
    <t>2006. 7. 10 오후 4:00:00</t>
  </si>
  <si>
    <t>2006. 7. 10 오후 3:30:00</t>
  </si>
  <si>
    <t>2006. 7. 11 오후 4:00:00</t>
  </si>
  <si>
    <t>2006. 7. 11 오후 3:30:00</t>
  </si>
  <si>
    <t>2006. 7. 12 오후 4:00:00</t>
  </si>
  <si>
    <t>2006. 7. 12 오후 3:30:00</t>
  </si>
  <si>
    <t>2006. 7. 13 오후 4:00:00</t>
  </si>
  <si>
    <t>2006. 7. 13 오후 3:30:00</t>
  </si>
  <si>
    <t>2006. 7. 14 오후 4:00:00</t>
  </si>
  <si>
    <t>2006. 7. 14 오후 3:30:00</t>
  </si>
  <si>
    <t>2006. 7. 15 오후 4:00:00</t>
  </si>
  <si>
    <t>2006. 7. 15 오후 3:30:00</t>
  </si>
  <si>
    <t>2006. 7. 16 오후 4:00:00</t>
  </si>
  <si>
    <t>2006. 7. 16 오후 3:30:00</t>
  </si>
  <si>
    <t>2006. 7. 17 오후 4:00:00</t>
  </si>
  <si>
    <t>2006. 7. 17 오후 3:30:00</t>
  </si>
  <si>
    <t>2006. 7. 18 오후 4:00:00</t>
  </si>
  <si>
    <t>2006. 7. 18 오후 3:30:00</t>
  </si>
  <si>
    <t>2006. 7. 19 오후 4:00:00</t>
  </si>
  <si>
    <t>2006. 7. 19 오후 3:30:00</t>
  </si>
  <si>
    <t>2006. 7. 20 오후 4:00:00</t>
  </si>
  <si>
    <t>2006. 7. 20 오후 3:30:00</t>
  </si>
  <si>
    <t>2006. 7. 21 오후 4:00:00</t>
  </si>
  <si>
    <t>2006. 7. 21 오후 3:30:00</t>
  </si>
  <si>
    <t>2006. 7. 22 오후 4:00:00</t>
  </si>
  <si>
    <t>2006. 7. 22 오후 3:30:00</t>
  </si>
  <si>
    <t>2006. 7. 23 오후 4:00:00</t>
  </si>
  <si>
    <t>2006. 7. 23 오후 3:30:00</t>
  </si>
  <si>
    <t>2006. 7. 24 오후 4:00:00</t>
  </si>
  <si>
    <t>2006. 7. 24 오후 3:30:00</t>
  </si>
  <si>
    <t>2006. 7. 25 오후 4:00:00</t>
  </si>
  <si>
    <t>2006. 7. 25 오후 3:30:00</t>
  </si>
  <si>
    <t>2006. 7. 26 오후 4:00:00</t>
  </si>
  <si>
    <t>2006. 7. 26 오후 3:30:00</t>
  </si>
  <si>
    <t>2006. 7. 27 오후 4:00:00</t>
  </si>
  <si>
    <t>2006. 7. 27 오후 3:30:00</t>
  </si>
  <si>
    <t>2006. 7. 28 오후 4:00:00</t>
  </si>
  <si>
    <t>2006. 7. 28 오후 3:30:00</t>
  </si>
  <si>
    <t>2006. 7. 29 오후 4:00:00</t>
  </si>
  <si>
    <t>2006. 7. 29 오후 3:30:00</t>
  </si>
  <si>
    <t>2006. 7. 30 오후 4:00:00</t>
  </si>
  <si>
    <t>2006. 7. 30 오후 3:30:00</t>
  </si>
  <si>
    <t>2006. 7. 31 오후 4:00:00</t>
  </si>
  <si>
    <t>2006. 7. 31 오후 3:30:00</t>
  </si>
  <si>
    <t>2006. 8. 1 오후 4:00:00</t>
  </si>
  <si>
    <t>2006. 8. 1 오후 3:30:00</t>
  </si>
  <si>
    <t>2006. 8. 2 오후 4:00:00</t>
  </si>
  <si>
    <t>2006. 8. 2 오후 3:30:00</t>
  </si>
  <si>
    <t>2006. 8. 3 오후 4:00:00</t>
  </si>
  <si>
    <t>2006. 8. 3 오후 3:30:00</t>
  </si>
  <si>
    <t>2006. 8. 4 오후 4:00:00</t>
  </si>
  <si>
    <t>2006. 8. 4 오후 3:30:00</t>
  </si>
  <si>
    <t>2006. 8. 5 오후 4:00:00</t>
  </si>
  <si>
    <t>2006. 8. 5 오후 3:30:00</t>
  </si>
  <si>
    <t>2006. 8. 6 오후 4:00:00</t>
  </si>
  <si>
    <t>2006. 8. 6 오후 3:30:00</t>
  </si>
  <si>
    <t>2006. 8. 7 오후 4:00:00</t>
  </si>
  <si>
    <t>2006. 8. 7 오후 3:30:00</t>
  </si>
  <si>
    <t>2006. 8. 8 오후 4:00:00</t>
  </si>
  <si>
    <t>2006. 8. 8 오후 3:30:00</t>
  </si>
  <si>
    <t>2006. 8. 9 오후 4:00:00</t>
  </si>
  <si>
    <t>2006. 8. 9 오후 3:30:00</t>
  </si>
  <si>
    <t>2006. 8. 10 오후 4:00:00</t>
  </si>
  <si>
    <t>2006. 8. 10 오후 3:30:00</t>
  </si>
  <si>
    <t>2006. 8. 11 오후 4:00:00</t>
  </si>
  <si>
    <t>2006. 8. 11 오후 3:30:00</t>
  </si>
  <si>
    <t>2006. 8. 12 오후 4:00:00</t>
  </si>
  <si>
    <t>2006. 8. 12 오후 3:30:00</t>
  </si>
  <si>
    <t>2006. 8. 13 오후 4:00:00</t>
  </si>
  <si>
    <t>2006. 8. 13 오후 3:30:00</t>
  </si>
  <si>
    <t>2006. 8. 14 오후 4:00:00</t>
  </si>
  <si>
    <t>2006. 8. 14 오후 3:30:00</t>
  </si>
  <si>
    <t>2006. 8. 15 오후 4:00:00</t>
  </si>
  <si>
    <t>2006. 8. 15 오후 3:30:00</t>
  </si>
  <si>
    <t>2006. 8. 16 오후 4:00:00</t>
  </si>
  <si>
    <t>2006. 8. 16 오후 3:30:00</t>
  </si>
  <si>
    <t>2006. 8. 17 오후 4:00:00</t>
  </si>
  <si>
    <t>2006. 8. 17 오후 3:30:00</t>
  </si>
  <si>
    <t>2006. 8. 18 오후 4:00:00</t>
  </si>
  <si>
    <t>2006. 8. 18 오후 3:30:00</t>
  </si>
  <si>
    <t>2006. 8. 19 오후 4:00:00</t>
  </si>
  <si>
    <t>2006. 8. 19 오후 3:30:00</t>
  </si>
  <si>
    <t>2006. 8. 20 오후 4:00:00</t>
  </si>
  <si>
    <t>2006. 8. 20 오후 3:30:00</t>
  </si>
  <si>
    <t>2006. 8. 21 오후 4:00:00</t>
  </si>
  <si>
    <t>2006. 8. 21 오후 3:30:00</t>
  </si>
  <si>
    <t>2006. 8. 22 오후 4:00:00</t>
  </si>
  <si>
    <t>2006. 8. 22 오후 3:30:00</t>
  </si>
  <si>
    <t>2006. 8. 23 오후 4:00:00</t>
  </si>
  <si>
    <t>2006. 8. 23 오후 3:30:00</t>
  </si>
  <si>
    <t>2006. 8. 24 오후 4:00:00</t>
  </si>
  <si>
    <t>2006. 8. 24 오후 3:30:00</t>
  </si>
  <si>
    <t>2006. 8. 25 오후 4:00:00</t>
  </si>
  <si>
    <t>2006. 8. 25 오후 3:30:00</t>
  </si>
  <si>
    <t>2006. 8. 26 오후 4:00:00</t>
  </si>
  <si>
    <t>2006. 8. 26 오후 3:30:00</t>
  </si>
  <si>
    <t>2006. 8. 27 오후 4:00:00</t>
  </si>
  <si>
    <t>2006. 8. 27 오후 3:30:00</t>
  </si>
  <si>
    <t>2006. 8. 28 오후 4:00:00</t>
  </si>
  <si>
    <t>2006. 8. 28 오후 3:30:00</t>
  </si>
  <si>
    <t>2006. 8. 29 오후 4:00:00</t>
  </si>
  <si>
    <t>2006. 8. 29 오후 3:30:00</t>
  </si>
  <si>
    <t>2006. 8. 30 오후 4:00:00</t>
  </si>
  <si>
    <t>2006. 8. 30 오후 3:30:00</t>
  </si>
  <si>
    <t>2006. 8. 31 오후 4:00:00</t>
  </si>
  <si>
    <t>2006. 8. 31 오후 3:30:00</t>
  </si>
  <si>
    <t>2006. 9. 1 오후 4:00:00</t>
  </si>
  <si>
    <t>2006. 9. 1 오후 3:30:00</t>
  </si>
  <si>
    <t>2006. 9. 2 오후 4:00:00</t>
  </si>
  <si>
    <t>2006. 9. 2 오후 3:30:00</t>
  </si>
  <si>
    <t>2006. 9. 3 오후 4:00:00</t>
  </si>
  <si>
    <t>2006. 9. 3 오후 3:30:00</t>
  </si>
  <si>
    <t>2006. 9. 4 오후 4:00:00</t>
  </si>
  <si>
    <t>2006. 9. 4 오후 3:30:00</t>
  </si>
  <si>
    <t>2006. 9. 5 오후 4:00:00</t>
  </si>
  <si>
    <t>2006. 9. 5 오후 3:30:00</t>
  </si>
  <si>
    <t>2006. 9. 6 오후 4:00:00</t>
  </si>
  <si>
    <t>2006. 9. 6 오후 3:30:00</t>
  </si>
  <si>
    <t>2006. 9. 7 오후 4:00:00</t>
  </si>
  <si>
    <t>2006. 9. 7 오후 3:30:00</t>
  </si>
  <si>
    <t>2006. 9. 8 오후 4:00:00</t>
  </si>
  <si>
    <t>2006. 9. 8 오후 3:30:00</t>
  </si>
  <si>
    <t>2006. 9. 9 오후 4:00:00</t>
  </si>
  <si>
    <t>2006. 9. 9 오후 3:30:00</t>
  </si>
  <si>
    <t>2006. 9. 10 오후 4:00:00</t>
  </si>
  <si>
    <t>2006. 9. 10 오후 3:30:00</t>
  </si>
  <si>
    <t>2006. 9. 11 오후 4:00:00</t>
  </si>
  <si>
    <t>2006. 9. 11 오후 3:30:00</t>
  </si>
  <si>
    <t>2006. 9. 12 오후 4:00:00</t>
  </si>
  <si>
    <t>2006. 9. 12 오후 3:30:00</t>
  </si>
  <si>
    <t>2006. 9. 13 오후 4:00:00</t>
  </si>
  <si>
    <t>2006. 9. 13 오후 3:30:00</t>
  </si>
  <si>
    <t>2006. 9. 14 오후 4:00:00</t>
  </si>
  <si>
    <t>2006. 9. 14 오후 3:30:00</t>
  </si>
  <si>
    <t>2006. 9. 15 오후 4:00:00</t>
  </si>
  <si>
    <t>2006. 9. 15 오후 3:30:00</t>
  </si>
  <si>
    <t>2006. 9. 16 오후 4:00:00</t>
  </si>
  <si>
    <t>2006. 9. 16 오후 3:30:00</t>
  </si>
  <si>
    <t>2006. 9. 17 오후 4:00:00</t>
  </si>
  <si>
    <t>2006. 9. 17 오후 3:30:00</t>
  </si>
  <si>
    <t>2006. 9. 18 오후 4:00:00</t>
  </si>
  <si>
    <t>2006. 9. 18 오후 3:30:00</t>
  </si>
  <si>
    <t>2006. 9. 19 오후 4:00:00</t>
  </si>
  <si>
    <t>2006. 9. 19 오후 3:30:00</t>
  </si>
  <si>
    <t>2006. 9. 20 오후 4:00:00</t>
  </si>
  <si>
    <t>2006. 9. 20 오후 3:30:00</t>
  </si>
  <si>
    <t>2006. 9. 21 오후 4:00:00</t>
  </si>
  <si>
    <t>2006. 9. 21 오후 3:30:00</t>
  </si>
  <si>
    <t>2006. 9. 22 오후 4:00:00</t>
  </si>
  <si>
    <t>2006. 9. 22 오후 3:30:00</t>
  </si>
  <si>
    <t>2006. 9. 23 오후 4:00:00</t>
  </si>
  <si>
    <t>2006. 9. 23 오후 3:30:00</t>
  </si>
  <si>
    <t>2006. 9. 24 오후 4:00:00</t>
  </si>
  <si>
    <t>2006. 9. 24 오후 3:30:00</t>
  </si>
  <si>
    <t>2006. 9. 25 오후 4:00:00</t>
  </si>
  <si>
    <t>2006. 9. 25 오후 3:30:00</t>
  </si>
  <si>
    <t>2006. 9. 26 오후 4:00:00</t>
  </si>
  <si>
    <t>2006. 9. 26 오후 3:30:00</t>
  </si>
  <si>
    <t>2006. 9. 27 오후 4:00:00</t>
  </si>
  <si>
    <t>2006. 9. 27 오후 3:30:00</t>
  </si>
  <si>
    <t>2006. 9. 28 오후 4:00:00</t>
  </si>
  <si>
    <t>2006. 9. 28 오후 3:30:00</t>
  </si>
  <si>
    <t>2006. 9. 29 오후 4:00:00</t>
  </si>
  <si>
    <t>2006. 9. 29 오후 3:30:00</t>
  </si>
  <si>
    <t>2006. 9. 30 오후 4:00:00</t>
  </si>
  <si>
    <t>2006. 9. 30 오후 3:30:00</t>
  </si>
  <si>
    <t>2006. 10. 1 오후 4:00:00</t>
  </si>
  <si>
    <t>2006. 10. 1 오후 3:30:00</t>
  </si>
  <si>
    <t>2006. 10. 2 오후 4:00:00</t>
  </si>
  <si>
    <t>2006. 10. 2 오후 3:30:00</t>
  </si>
  <si>
    <t>2006. 10. 3 오후 4:00:00</t>
  </si>
  <si>
    <t>2006. 10. 3 오후 3:30:00</t>
  </si>
  <si>
    <t>2006. 10. 4 오후 4:00:00</t>
  </si>
  <si>
    <t>2006. 10. 4 오후 3:30:00</t>
  </si>
  <si>
    <t>2006. 10. 5 오후 4:00:00</t>
  </si>
  <si>
    <t>2006. 10. 5 오후 3:30:00</t>
  </si>
  <si>
    <t>2006. 10. 6 오후 4:00:00</t>
  </si>
  <si>
    <t>2006. 10. 6 오후 3:30:00</t>
  </si>
  <si>
    <t>2006. 10. 7 오후 4:00:00</t>
  </si>
  <si>
    <t>2006. 10. 7 오후 3:30:00</t>
  </si>
  <si>
    <t>2006. 10. 8 오후 4:00:00</t>
  </si>
  <si>
    <t>2006. 10. 8 오후 3:30:00</t>
  </si>
  <si>
    <t>2006. 10. 9 오후 4:00:00</t>
  </si>
  <si>
    <t>2006. 10. 9 오후 3:30:00</t>
  </si>
  <si>
    <t>2006. 10. 10 오후 4:00:00</t>
  </si>
  <si>
    <t>2006. 10. 10 오후 3:30:00</t>
  </si>
  <si>
    <t>2006. 10. 11 오후 4:00:00</t>
  </si>
  <si>
    <t>2006. 10. 11 오후 3:30:00</t>
  </si>
  <si>
    <t>2006. 10. 12 오후 4:00:00</t>
  </si>
  <si>
    <t>2006. 10. 12 오후 3:30:00</t>
  </si>
  <si>
    <t>2006. 10. 13 오후 4:00:00</t>
  </si>
  <si>
    <t>2006. 10. 13 오후 3:30:00</t>
  </si>
  <si>
    <t>2006. 10. 14 오후 4:00:00</t>
  </si>
  <si>
    <t>2006. 10. 14 오후 3:30:00</t>
  </si>
  <si>
    <t>2006. 10. 15 오후 4:00:00</t>
  </si>
  <si>
    <t>2006. 10. 15 오후 3:30:00</t>
  </si>
  <si>
    <t>2006. 10. 16 오후 4:00:00</t>
  </si>
  <si>
    <t>2006. 10. 16 오후 3:30:00</t>
  </si>
  <si>
    <t>2006. 10. 17 오후 4:00:00</t>
  </si>
  <si>
    <t>2006. 10. 17 오후 3:30:00</t>
  </si>
  <si>
    <t>2006. 10. 18 오후 4:00:00</t>
  </si>
  <si>
    <t>2006. 10. 18 오후 3:30:00</t>
  </si>
  <si>
    <t>2006. 10. 19 오후 4:00:00</t>
  </si>
  <si>
    <t>2006. 10. 19 오후 3:30:00</t>
  </si>
  <si>
    <t>2006. 10. 20 오후 4:00:00</t>
  </si>
  <si>
    <t>2006. 10. 20 오후 3:30:00</t>
  </si>
  <si>
    <t>2006. 10. 21 오후 4:00:00</t>
  </si>
  <si>
    <t>2006. 10. 21 오후 3:30:00</t>
  </si>
  <si>
    <t>2006. 10. 22 오후 4:00:00</t>
  </si>
  <si>
    <t>2006. 10. 22 오후 3:30:00</t>
  </si>
  <si>
    <t>2006. 10. 23 오후 4:00:00</t>
  </si>
  <si>
    <t>2006. 10. 23 오후 3:30:00</t>
  </si>
  <si>
    <t>2006. 10. 24 오후 4:00:00</t>
  </si>
  <si>
    <t>2006. 10. 24 오후 3:30:00</t>
  </si>
  <si>
    <t>2006. 10. 25 오후 4:00:00</t>
  </si>
  <si>
    <t>2006. 10. 25 오후 3:30:00</t>
  </si>
  <si>
    <t>2006. 10. 26 오후 4:00:00</t>
  </si>
  <si>
    <t>2006. 10. 26 오후 3:30:00</t>
  </si>
  <si>
    <t>2006. 10. 27 오후 4:00:00</t>
  </si>
  <si>
    <t>2006. 10. 27 오후 3:30:00</t>
  </si>
  <si>
    <t>2006. 10. 28 오후 4:00:00</t>
  </si>
  <si>
    <t>2006. 10. 28 오후 3:30:00</t>
  </si>
  <si>
    <t>2006. 10. 29 오후 4:00:00</t>
  </si>
  <si>
    <t>2006. 10. 29 오후 3:30:00</t>
  </si>
  <si>
    <t>2006. 10. 30 오후 4:00:00</t>
  </si>
  <si>
    <t>2006. 10. 30 오후 3:30:00</t>
  </si>
  <si>
    <t>2006. 10. 31 오후 4:00:00</t>
  </si>
  <si>
    <t>2006. 10. 31 오후 3:30:00</t>
  </si>
  <si>
    <t>2006. 11. 1 오후 4:00:00</t>
  </si>
  <si>
    <t>2006. 11. 1 오후 3:30:00</t>
  </si>
  <si>
    <t>2006. 11. 2 오후 4:00:00</t>
  </si>
  <si>
    <t>2006. 11. 2 오후 3:30:00</t>
  </si>
  <si>
    <t>2006. 11. 3 오후 4:00:00</t>
  </si>
  <si>
    <t>2006. 11. 3 오후 3:30:00</t>
  </si>
  <si>
    <t>2006. 11. 4 오후 4:00:00</t>
  </si>
  <si>
    <t>2006. 11. 4 오후 3:30:00</t>
  </si>
  <si>
    <t>2006. 11. 5 오후 4:00:00</t>
  </si>
  <si>
    <t>2006. 11. 5 오후 3:30:00</t>
  </si>
  <si>
    <t>2006. 11. 6 오후 4:00:00</t>
  </si>
  <si>
    <t>2006. 11. 6 오후 3:30:00</t>
  </si>
  <si>
    <t>2006. 11. 7 오후 4:00:00</t>
  </si>
  <si>
    <t>2006. 11. 7 오후 3:30:00</t>
  </si>
  <si>
    <t>2006. 11. 8 오후 4:00:00</t>
  </si>
  <si>
    <t>2006. 11. 8 오후 3:30:00</t>
  </si>
  <si>
    <t>2006. 11. 9 오후 4:00:00</t>
  </si>
  <si>
    <t>2006. 11. 9 오후 3:30:00</t>
  </si>
  <si>
    <t>2006. 11. 10 오후 4:00:00</t>
  </si>
  <si>
    <t>2006. 11. 10 오후 3:30:00</t>
  </si>
  <si>
    <t>2006. 11. 11 오후 4:00:00</t>
  </si>
  <si>
    <t>2006. 11. 11 오후 3:30:00</t>
  </si>
  <si>
    <t>2006. 11. 12 오후 4:00:00</t>
  </si>
  <si>
    <t>2006. 11. 12 오후 3:30:00</t>
  </si>
  <si>
    <t>2006. 11. 13 오후 4:00:00</t>
  </si>
  <si>
    <t>2006. 11. 13 오후 3:30:00</t>
  </si>
  <si>
    <t>2006. 11. 14 오후 4:00:00</t>
  </si>
  <si>
    <t>2006. 11. 14 오후 3:30:00</t>
  </si>
  <si>
    <t>2006. 11. 15 오후 4:00:00</t>
  </si>
  <si>
    <t>2006. 11. 15 오후 3:30:00</t>
  </si>
  <si>
    <t>2006. 11. 16 오후 4:00:00</t>
  </si>
  <si>
    <t>2006. 11. 16 오후 3:30:00</t>
  </si>
  <si>
    <t>2006. 11. 17 오후 4:00:00</t>
  </si>
  <si>
    <t>2006. 11. 17 오후 3:30:00</t>
  </si>
  <si>
    <t>2006. 11. 18 오후 4:00:00</t>
  </si>
  <si>
    <t>2006. 11. 18 오후 3:30:00</t>
  </si>
  <si>
    <t>2006. 11. 19 오후 4:00:00</t>
  </si>
  <si>
    <t>2006. 11. 19 오후 3:30:00</t>
  </si>
  <si>
    <t>2006. 11. 20 오후 4:00:00</t>
  </si>
  <si>
    <t>2006. 11. 20 오후 3:30:00</t>
  </si>
  <si>
    <t>2006. 11. 21 오후 4:00:00</t>
  </si>
  <si>
    <t>2006. 11. 21 오후 3:30:00</t>
  </si>
  <si>
    <t>2006. 11. 22 오후 4:00:00</t>
  </si>
  <si>
    <t>2006. 11. 22 오후 3:30:00</t>
  </si>
  <si>
    <t>2006. 11. 23 오후 4:00:00</t>
  </si>
  <si>
    <t>2006. 11. 23 오후 3:30:00</t>
  </si>
  <si>
    <t>2006. 11. 24 오후 4:00:00</t>
  </si>
  <si>
    <t>2006. 11. 24 오후 3:30:00</t>
  </si>
  <si>
    <t>2006. 11. 25 오후 4:00:00</t>
  </si>
  <si>
    <t>2006. 11. 25 오후 3:30:00</t>
  </si>
  <si>
    <t>2006. 11. 26 오후 4:00:00</t>
  </si>
  <si>
    <t>2006. 11. 26 오후 3:30:00</t>
  </si>
  <si>
    <t>2006. 11. 27 오후 4:00:00</t>
  </si>
  <si>
    <t>2006. 11. 27 오후 3:30:00</t>
  </si>
  <si>
    <t>2006. 11. 28 오후 4:00:00</t>
  </si>
  <si>
    <t>2006. 11. 28 오후 3:30:00</t>
  </si>
  <si>
    <t>2006. 11. 29 오후 4:00:00</t>
  </si>
  <si>
    <t>2006. 11. 29 오후 3:30:00</t>
  </si>
  <si>
    <t>2006. 11. 30 오후 4:00:00</t>
  </si>
  <si>
    <t>2006. 11. 30 오후 3:30:00</t>
  </si>
  <si>
    <t>2006. 12. 1 오후 4:00:00</t>
  </si>
  <si>
    <t>2006. 12. 1 오후 3:30:00</t>
  </si>
  <si>
    <t>2006. 12. 2 오후 4:00:00</t>
  </si>
  <si>
    <t>2006. 12. 2 오후 3:30:00</t>
  </si>
  <si>
    <t>2006. 12. 3 오후 4:00:00</t>
  </si>
  <si>
    <t>2006. 12. 3 오후 3:30:00</t>
  </si>
  <si>
    <t>2006. 12. 4 오후 4:00:00</t>
  </si>
  <si>
    <t>2006. 12. 4 오후 3:30:00</t>
  </si>
  <si>
    <t>2006. 12. 5 오후 4:00:00</t>
  </si>
  <si>
    <t>2006. 12. 5 오후 3:30:00</t>
  </si>
  <si>
    <t>2006. 12. 6 오후 4:00:00</t>
  </si>
  <si>
    <t>2006. 12. 6 오후 3:30:00</t>
  </si>
  <si>
    <t>2006. 12. 7 오후 4:00:00</t>
  </si>
  <si>
    <t>2006. 12. 7 오후 3:30:00</t>
  </si>
  <si>
    <t>2006. 12. 8 오후 4:00:00</t>
  </si>
  <si>
    <t>2006. 12. 8 오후 3:30:00</t>
  </si>
  <si>
    <t>2006. 12. 9 오후 4:00:00</t>
  </si>
  <si>
    <t>2006. 12. 9 오후 3:30:00</t>
  </si>
  <si>
    <t>2006. 12. 10 오후 4:00:00</t>
  </si>
  <si>
    <t>2006. 12. 10 오후 3:30:00</t>
  </si>
  <si>
    <t>2006. 12. 11 오후 4:00:00</t>
  </si>
  <si>
    <t>2006. 12. 11 오후 3:30:00</t>
  </si>
  <si>
    <t>2006. 12. 12 오후 4:00:00</t>
  </si>
  <si>
    <t>2006. 12. 12 오후 3:30:00</t>
  </si>
  <si>
    <t>2006. 12. 13 오후 4:00:00</t>
  </si>
  <si>
    <t>2006. 12. 13 오후 3:30:00</t>
  </si>
  <si>
    <t>2006. 12. 14 오후 4:00:00</t>
  </si>
  <si>
    <t>2006. 12. 14 오후 3:30:00</t>
  </si>
  <si>
    <t>2006. 12. 15 오후 4:00:00</t>
  </si>
  <si>
    <t>2006. 12. 15 오후 3:30:00</t>
  </si>
  <si>
    <t>2006. 12. 16 오후 4:00:00</t>
  </si>
  <si>
    <t>2006. 12. 16 오후 3:30:00</t>
  </si>
  <si>
    <t>2006. 12. 17 오후 4:00:00</t>
  </si>
  <si>
    <t>2006. 12. 17 오후 3:30:00</t>
  </si>
  <si>
    <t>2006. 12. 18 오후 4:00:00</t>
  </si>
  <si>
    <t>2006. 12. 18 오후 3:30:00</t>
  </si>
  <si>
    <t>2006. 12. 19 오후 4:00:00</t>
  </si>
  <si>
    <t>2006. 12. 19 오후 3:30:00</t>
  </si>
  <si>
    <t>2006. 12. 20 오후 4:00:00</t>
  </si>
  <si>
    <t>2006. 12. 20 오후 3:30:00</t>
  </si>
  <si>
    <t>2006. 12. 21 오후 4:00:00</t>
  </si>
  <si>
    <t>2006. 12. 21 오후 3:30:00</t>
  </si>
  <si>
    <t>2006. 12. 22 오후 4:00:00</t>
  </si>
  <si>
    <t>2006. 12. 22 오후 3:30:00</t>
  </si>
  <si>
    <t>2006. 12. 23 오후 4:00:00</t>
  </si>
  <si>
    <t>2006. 12. 23 오후 3:30:00</t>
  </si>
  <si>
    <t>2006. 12. 24 오후 4:00:00</t>
  </si>
  <si>
    <t>2006. 12. 24 오후 3:30:00</t>
  </si>
  <si>
    <t>2006. 12. 25 오후 4:00:00</t>
  </si>
  <si>
    <t>2006. 12. 25 오후 3:30:00</t>
  </si>
  <si>
    <t>2006. 12. 26 오후 4:00:00</t>
  </si>
  <si>
    <t>2006. 12. 26 오후 3:30:00</t>
  </si>
  <si>
    <t>2006. 12. 27 오후 4:00:00</t>
  </si>
  <si>
    <t>2006. 12. 27 오후 3:30:00</t>
  </si>
  <si>
    <t>2006. 12. 28 오후 4:00:00</t>
  </si>
  <si>
    <t>2006. 12. 28 오후 3:30:00</t>
  </si>
  <si>
    <t>2006. 12. 29 오후 4:00:00</t>
  </si>
  <si>
    <t>2006. 12. 29 오후 3:30:00</t>
  </si>
  <si>
    <t>2006. 12. 30 오후 4:00:00</t>
  </si>
  <si>
    <t>2006. 12. 30 오후 3:30:00</t>
  </si>
  <si>
    <t>2006. 12. 31 오후 4:00:00</t>
  </si>
  <si>
    <t>2006. 12. 31 오후 3:30:00</t>
  </si>
  <si>
    <t>2007. 1. 1 오후 4:00:00</t>
  </si>
  <si>
    <t>2007. 1. 1 오후 3:30:00</t>
  </si>
  <si>
    <t>2007. 1. 2 오후 4:00:00</t>
  </si>
  <si>
    <t>2007. 1. 2 오후 3:30:00</t>
  </si>
  <si>
    <t>2007. 1. 3 오후 4:00:00</t>
  </si>
  <si>
    <t>2007. 1. 3 오후 3:30:00</t>
  </si>
  <si>
    <t>2007. 1. 4 오후 4:00:00</t>
  </si>
  <si>
    <t>2007. 1. 4 오후 3:30:00</t>
  </si>
  <si>
    <t>2007. 1. 5 오후 4:00:00</t>
  </si>
  <si>
    <t>2007. 1. 5 오후 3:30:00</t>
  </si>
  <si>
    <t>2007. 1. 6 오후 4:00:00</t>
  </si>
  <si>
    <t>2007. 1. 6 오후 3:30:00</t>
  </si>
  <si>
    <t>2007. 1. 7 오후 4:00:00</t>
  </si>
  <si>
    <t>2007. 1. 7 오후 3:30:00</t>
  </si>
  <si>
    <t>2007. 1. 8 오후 4:00:00</t>
  </si>
  <si>
    <t>2007. 1. 8 오후 3:30:00</t>
  </si>
  <si>
    <t>2007. 1. 9 오후 4:00:00</t>
  </si>
  <si>
    <t>2007. 1. 9 오후 3:30:00</t>
  </si>
  <si>
    <t>2007. 1. 10 오후 4:00:00</t>
  </si>
  <si>
    <t>2007. 1. 10 오후 3:30:00</t>
  </si>
  <si>
    <t>2007. 1. 11 오후 4:00:00</t>
  </si>
  <si>
    <t>2007. 1. 11 오후 3:30:00</t>
  </si>
  <si>
    <t>2007. 1. 12 오후 4:00:00</t>
  </si>
  <si>
    <t>2007. 1. 12 오후 3:30:00</t>
  </si>
  <si>
    <t>2007. 1. 13 오후 4:00:00</t>
  </si>
  <si>
    <t>2007. 1. 13 오후 3:30:00</t>
  </si>
  <si>
    <t>2007. 1. 14 오후 4:00:00</t>
  </si>
  <si>
    <t>2007. 1. 14 오후 3:30:00</t>
  </si>
  <si>
    <t>2007. 1. 15 오후 4:00:00</t>
  </si>
  <si>
    <t>2007. 1. 15 오후 3:30:00</t>
  </si>
  <si>
    <t>2007. 1. 16 오후 4:00:00</t>
  </si>
  <si>
    <t>2007. 1. 16 오후 3:30:00</t>
  </si>
  <si>
    <t>2007. 1. 17 오후 4:00:00</t>
  </si>
  <si>
    <t>2007. 1. 17 오후 3:30:00</t>
  </si>
  <si>
    <t>2007. 1. 18 오후 4:00:00</t>
  </si>
  <si>
    <t>2007. 1. 18 오후 3:30:00</t>
  </si>
  <si>
    <t>2007. 1. 19 오후 4:00:00</t>
  </si>
  <si>
    <t>2007. 1. 19 오후 3:30:00</t>
  </si>
  <si>
    <t>2007. 1. 20 오후 4:00:00</t>
  </si>
  <si>
    <t>2007. 1. 20 오후 3:30:00</t>
  </si>
  <si>
    <t>2007. 1. 21 오후 4:00:00</t>
  </si>
  <si>
    <t>2007. 1. 21 오후 3:30:00</t>
  </si>
  <si>
    <t>2007. 1. 22 오후 4:00:00</t>
  </si>
  <si>
    <t>2007. 1. 22 오후 3:30:00</t>
  </si>
  <si>
    <t>2007. 1. 23 오후 4:00:00</t>
  </si>
  <si>
    <t>2007. 1. 23 오후 3:30:00</t>
  </si>
  <si>
    <t>2007. 1. 24 오후 4:00:00</t>
  </si>
  <si>
    <t>2007. 1. 24 오후 3:30:00</t>
  </si>
  <si>
    <t>2007. 1. 25 오후 4:00:00</t>
  </si>
  <si>
    <t>2007. 1. 25 오후 3:30:00</t>
  </si>
  <si>
    <t>2007. 1. 26 오후 4:00:00</t>
  </si>
  <si>
    <t>2007. 1. 26 오후 3:30:00</t>
  </si>
  <si>
    <t>2007. 1. 27 오후 4:00:00</t>
  </si>
  <si>
    <t>2007. 1. 27 오후 3:30:00</t>
  </si>
  <si>
    <t>2007. 1. 28 오후 4:00:00</t>
  </si>
  <si>
    <t>2007. 1. 28 오후 3:30:00</t>
  </si>
  <si>
    <t>2007. 1. 29 오후 4:00:00</t>
  </si>
  <si>
    <t>2007. 1. 29 오후 3:30:00</t>
  </si>
  <si>
    <t>2007. 1. 30 오후 4:00:00</t>
  </si>
  <si>
    <t>2007. 1. 30 오후 3:30:00</t>
  </si>
  <si>
    <t>2007. 1. 31 오후 4:00:00</t>
  </si>
  <si>
    <t>2007. 1. 31 오후 3:30:00</t>
  </si>
  <si>
    <t>2007. 2. 1 오후 4:00:00</t>
  </si>
  <si>
    <t>2007. 2. 1 오후 3:30:00</t>
  </si>
  <si>
    <t>2007. 2. 2 오후 4:00:00</t>
  </si>
  <si>
    <t>2007. 2. 2 오후 3:30:00</t>
  </si>
  <si>
    <t>2007. 2. 3 오후 4:00:00</t>
  </si>
  <si>
    <t>2007. 2. 3 오후 3:30:00</t>
  </si>
  <si>
    <t>2007. 2. 4 오후 4:00:00</t>
  </si>
  <si>
    <t>2007. 2. 4 오후 3:30:00</t>
  </si>
  <si>
    <t>2007. 2. 5 오후 4:00:00</t>
  </si>
  <si>
    <t>2007. 2. 5 오후 3:30:00</t>
  </si>
  <si>
    <t>2007. 2. 6 오후 4:00:00</t>
  </si>
  <si>
    <t>2007. 2. 6 오후 3:30:00</t>
  </si>
  <si>
    <t>2007. 2. 7 오후 4:00:00</t>
  </si>
  <si>
    <t>2007. 2. 7 오후 3:30:00</t>
  </si>
  <si>
    <t>2007. 2. 8 오후 4:00:00</t>
  </si>
  <si>
    <t>2007. 2. 8 오후 3:30:00</t>
  </si>
  <si>
    <t>2007. 2. 9 오후 4:00:00</t>
  </si>
  <si>
    <t>2007. 2. 9 오후 3:30:00</t>
  </si>
  <si>
    <t>2007. 2. 10 오후 4:00:00</t>
  </si>
  <si>
    <t>2007. 2. 10 오후 3:30:00</t>
  </si>
  <si>
    <t>2007. 2. 11 오후 4:00:00</t>
  </si>
  <si>
    <t>2007. 2. 11 오후 3:30:00</t>
  </si>
  <si>
    <t>2007. 2. 12 오후 4:00:00</t>
  </si>
  <si>
    <t>2007. 2. 12 오후 3:30:00</t>
  </si>
  <si>
    <t>2007. 2. 13 오후 4:00:00</t>
  </si>
  <si>
    <t>2007. 2. 13 오후 3:30:00</t>
  </si>
  <si>
    <t>2007. 2. 14 오후 4:00:00</t>
  </si>
  <si>
    <t>2007. 2. 14 오후 3:30:00</t>
  </si>
  <si>
    <t>2007. 2. 15 오후 4:00:00</t>
  </si>
  <si>
    <t>2007. 2. 15 오후 3:30:00</t>
  </si>
  <si>
    <t>2007. 2. 16 오후 4:00:00</t>
  </si>
  <si>
    <t>2007. 2. 16 오후 3:30:00</t>
  </si>
  <si>
    <t>2007. 2. 17 오후 4:00:00</t>
  </si>
  <si>
    <t>2007. 2. 17 오후 3:30:00</t>
  </si>
  <si>
    <t>2007. 2. 18 오후 4:00:00</t>
  </si>
  <si>
    <t>2007. 2. 18 오후 3:30:00</t>
  </si>
  <si>
    <t>2007. 2. 19 오후 4:00:00</t>
  </si>
  <si>
    <t>2007. 2. 19 오후 3:30:00</t>
  </si>
  <si>
    <t>2007. 2. 20 오후 4:00:00</t>
  </si>
  <si>
    <t>2007. 2. 20 오후 3:30:00</t>
  </si>
  <si>
    <t>2007. 2. 21 오후 4:00:00</t>
  </si>
  <si>
    <t>2007. 2. 21 오후 3:30:00</t>
  </si>
  <si>
    <t>2007. 2. 22 오후 4:00:00</t>
  </si>
  <si>
    <t>2007. 2. 22 오후 3:30:00</t>
  </si>
  <si>
    <t>2007. 2. 23 오후 4:00:00</t>
  </si>
  <si>
    <t>2007. 2. 23 오후 3:30:00</t>
  </si>
  <si>
    <t>2007. 2. 24 오후 4:00:00</t>
  </si>
  <si>
    <t>2007. 2. 24 오후 3:30:00</t>
  </si>
  <si>
    <t>2007. 2. 25 오후 4:00:00</t>
  </si>
  <si>
    <t>2007. 2. 25 오후 3:30:00</t>
  </si>
  <si>
    <t>2007. 2. 26 오후 4:00:00</t>
  </si>
  <si>
    <t>2007. 2. 26 오후 3:30:00</t>
  </si>
  <si>
    <t>2007. 2. 27 오후 4:00:00</t>
  </si>
  <si>
    <t>2007. 2. 27 오후 3:30:00</t>
  </si>
  <si>
    <t>2007. 2. 28 오후 4:00:00</t>
  </si>
  <si>
    <t>2007. 2. 28 오후 3:30:00</t>
  </si>
  <si>
    <t>2007. 3. 1 오후 4:00:00</t>
  </si>
  <si>
    <t>2007. 3. 1 오후 3:30:00</t>
  </si>
  <si>
    <t>2007. 3. 2 오후 4:00:00</t>
  </si>
  <si>
    <t>2007. 3. 2 오후 3:30:00</t>
  </si>
  <si>
    <t>2007. 3. 3 오후 4:00:00</t>
  </si>
  <si>
    <t>2007. 3. 3 오후 3:30:00</t>
  </si>
  <si>
    <t>2007. 3. 4 오후 4:00:00</t>
  </si>
  <si>
    <t>2007. 3. 4 오후 3:30:00</t>
  </si>
  <si>
    <t>2007. 3. 5 오후 4:00:00</t>
  </si>
  <si>
    <t>2007. 3. 5 오후 3:30:00</t>
  </si>
  <si>
    <t>2007. 3. 6 오후 4:00:00</t>
  </si>
  <si>
    <t>2007. 3. 6 오후 3:30:00</t>
  </si>
  <si>
    <t>2007. 3. 7 오후 4:00:00</t>
  </si>
  <si>
    <t>2007. 3. 7 오후 3:30:00</t>
  </si>
  <si>
    <t>2007. 3. 8 오후 4:00:00</t>
  </si>
  <si>
    <t>2007. 3. 8 오후 3:30:00</t>
  </si>
  <si>
    <t>2007. 3. 9 오후 4:00:00</t>
  </si>
  <si>
    <t>2007. 3. 9 오후 3:30:00</t>
  </si>
  <si>
    <t>2007. 3. 10 오후 4:00:00</t>
  </si>
  <si>
    <t>2007. 3. 10 오후 3:30:00</t>
  </si>
  <si>
    <t>2007. 3. 11 오후 4:00:00</t>
  </si>
  <si>
    <t>2007. 3. 11 오후 3:30:00</t>
  </si>
  <si>
    <t>2007. 3. 12 오후 4:00:00</t>
  </si>
  <si>
    <t>2007. 3. 12 오후 3:30:00</t>
  </si>
  <si>
    <t>2007. 3. 13 오후 4:00:00</t>
  </si>
  <si>
    <t>2007. 3. 13 오후 3:30:00</t>
  </si>
  <si>
    <t>2007. 3. 14 오후 4:00:00</t>
  </si>
  <si>
    <t>2007. 3. 14 오후 3:30:00</t>
  </si>
  <si>
    <t>2007. 3. 15 오후 4:00:00</t>
  </si>
  <si>
    <t>2007. 3. 15 오후 3:30:00</t>
  </si>
  <si>
    <t>2007. 3. 16 오후 4:00:00</t>
  </si>
  <si>
    <t>2007. 3. 16 오후 3:30:00</t>
  </si>
  <si>
    <t>2007. 3. 17 오후 4:00:00</t>
  </si>
  <si>
    <t>2007. 3. 17 오후 3:30:00</t>
  </si>
  <si>
    <t>2007. 3. 18 오후 4:00:00</t>
  </si>
  <si>
    <t>2007. 3. 18 오후 3:30:00</t>
  </si>
  <si>
    <t>2007. 3. 19 오후 4:00:00</t>
  </si>
  <si>
    <t>2007. 3. 19 오후 3:30:00</t>
  </si>
  <si>
    <t>2007. 3. 20 오후 4:00:00</t>
  </si>
  <si>
    <t>2007. 3. 20 오후 3:30:00</t>
  </si>
  <si>
    <t>2007. 3. 21 오후 4:00:00</t>
  </si>
  <si>
    <t>2007. 3. 21 오후 3:30:00</t>
  </si>
  <si>
    <t>2007. 3. 22 오후 4:00:00</t>
  </si>
  <si>
    <t>2007. 3. 22 오후 3:30:00</t>
  </si>
  <si>
    <t>2007. 3. 23 오후 4:00:00</t>
  </si>
  <si>
    <t>2007. 3. 23 오후 3:30:00</t>
  </si>
  <si>
    <t>2007. 3. 24 오후 4:00:00</t>
  </si>
  <si>
    <t>2007. 3. 24 오후 3:30:00</t>
  </si>
  <si>
    <t>2007. 3. 25 오후 4:00:00</t>
  </si>
  <si>
    <t>2007. 3. 25 오후 3:30:00</t>
  </si>
  <si>
    <t>2007. 3. 26 오후 4:00:00</t>
  </si>
  <si>
    <t>2007. 3. 26 오후 3:30:00</t>
  </si>
  <si>
    <t>2007. 3. 27 오후 4:00:00</t>
  </si>
  <si>
    <t>2007. 3. 27 오후 3:30:00</t>
  </si>
  <si>
    <t>2007. 3. 28 오후 4:00:00</t>
  </si>
  <si>
    <t>2007. 3. 28 오후 3:30:00</t>
  </si>
  <si>
    <t>2007. 3. 29 오후 4:00:00</t>
  </si>
  <si>
    <t>2007. 3. 29 오후 3:30:00</t>
  </si>
  <si>
    <t>2007. 3. 30 오후 4:00:00</t>
  </si>
  <si>
    <t>2007. 3. 30 오후 3:30:00</t>
  </si>
  <si>
    <t>2007. 3. 31 오후 4:00:00</t>
  </si>
  <si>
    <t>2007. 3. 31 오후 3:30:00</t>
  </si>
  <si>
    <t>2007. 4. 1 오후 4:00:00</t>
  </si>
  <si>
    <t>2007. 4. 1 오후 3:30:00</t>
  </si>
  <si>
    <t>2007. 4. 2 오후 4:00:00</t>
  </si>
  <si>
    <t>2007. 4. 2 오후 3:30:00</t>
  </si>
  <si>
    <t>2007. 4. 3 오후 4:00:00</t>
  </si>
  <si>
    <t>2007. 4. 3 오후 3:30:00</t>
  </si>
  <si>
    <t>2007. 4. 4 오후 4:00:00</t>
  </si>
  <si>
    <t>2007. 4. 4 오후 3:30:00</t>
  </si>
  <si>
    <t>2007. 4. 5 오후 4:00:00</t>
  </si>
  <si>
    <t>2007. 4. 5 오후 3:30:00</t>
  </si>
  <si>
    <t>2007. 4. 6 오후 4:00:00</t>
  </si>
  <si>
    <t>2007. 4. 6 오후 3:30:00</t>
  </si>
  <si>
    <t>2007. 4. 7 오후 4:00:00</t>
  </si>
  <si>
    <t>2007. 4. 7 오후 3:30:00</t>
  </si>
  <si>
    <t>2007. 4. 8 오후 4:00:00</t>
  </si>
  <si>
    <t>2007. 4. 8 오후 3:30:00</t>
  </si>
  <si>
    <t>2007. 4. 9 오후 4:00:00</t>
  </si>
  <si>
    <t>2007. 4. 9 오후 3:30:00</t>
  </si>
  <si>
    <t>2007. 4. 10 오후 4:00:00</t>
  </si>
  <si>
    <t>2007. 4. 10 오후 3:30:00</t>
  </si>
  <si>
    <t>2007. 4. 11 오후 4:00:00</t>
  </si>
  <si>
    <t>2007. 4. 11 오후 3:30:00</t>
  </si>
  <si>
    <t>2007. 4. 12 오후 4:00:00</t>
  </si>
  <si>
    <t>2007. 4. 12 오후 3:30:00</t>
  </si>
  <si>
    <t>2007. 4. 13 오후 4:00:00</t>
  </si>
  <si>
    <t>2007. 4. 13 오후 3:30:00</t>
  </si>
  <si>
    <t>2007. 4. 14 오후 4:00:00</t>
  </si>
  <si>
    <t>2007. 4. 14 오후 3:30:00</t>
  </si>
  <si>
    <t>2007. 4. 15 오후 4:00:00</t>
  </si>
  <si>
    <t>2007. 4. 15 오후 3:30:00</t>
  </si>
  <si>
    <t>2007. 4. 16 오후 4:00:00</t>
  </si>
  <si>
    <t>2007. 4. 16 오후 3:30:00</t>
  </si>
  <si>
    <t>2007. 4. 17 오후 4:00:00</t>
  </si>
  <si>
    <t>2007. 4. 17 오후 3:30:00</t>
  </si>
  <si>
    <t>2007. 4. 18 오후 4:00:00</t>
  </si>
  <si>
    <t>2007. 4. 18 오후 3:30:00</t>
  </si>
  <si>
    <t>2007. 4. 19 오후 4:00:00</t>
  </si>
  <si>
    <t>2007. 4. 19 오후 3:30:00</t>
  </si>
  <si>
    <t>2007. 4. 20 오후 4:00:00</t>
  </si>
  <si>
    <t>2007. 4. 20 오후 3:30:00</t>
  </si>
  <si>
    <t>2007. 4. 21 오후 4:00:00</t>
  </si>
  <si>
    <t>2007. 4. 21 오후 3:30:00</t>
  </si>
  <si>
    <t>2007. 4. 22 오후 4:00:00</t>
  </si>
  <si>
    <t>2007. 4. 22 오후 3:30:00</t>
  </si>
  <si>
    <t>2007. 4. 23 오후 4:00:00</t>
  </si>
  <si>
    <t>2007. 4. 23 오후 3:30:00</t>
  </si>
  <si>
    <t>2007. 4. 24 오후 4:00:00</t>
  </si>
  <si>
    <t>2007. 4. 24 오후 3:30:00</t>
  </si>
  <si>
    <t>2007. 4. 25 오후 4:00:00</t>
  </si>
  <si>
    <t>2007. 4. 25 오후 3:30:00</t>
  </si>
  <si>
    <t>2007. 4. 26 오후 4:00:00</t>
  </si>
  <si>
    <t>2007. 4. 26 오후 3:30:00</t>
  </si>
  <si>
    <t>2007. 4. 27 오후 4:00:00</t>
  </si>
  <si>
    <t>2007. 4. 27 오후 3:30:00</t>
  </si>
  <si>
    <t>2007. 4. 28 오후 4:00:00</t>
  </si>
  <si>
    <t>2007. 4. 28 오후 3:30:00</t>
  </si>
  <si>
    <t>2007. 4. 29 오후 4:00:00</t>
  </si>
  <si>
    <t>2007. 4. 29 오후 3:30:00</t>
  </si>
  <si>
    <t>2007. 4. 30 오후 4:00:00</t>
  </si>
  <si>
    <t>2007. 4. 30 오후 3:30:00</t>
  </si>
  <si>
    <t>2007. 5. 1 오후 4:00:00</t>
  </si>
  <si>
    <t>2007. 5. 1 오후 3:30:00</t>
  </si>
  <si>
    <t>2007. 5. 2 오후 4:00:00</t>
  </si>
  <si>
    <t>2007. 5. 2 오후 3:30:00</t>
  </si>
  <si>
    <t>2007. 5. 3 오후 4:00:00</t>
  </si>
  <si>
    <t>2007. 5. 3 오후 3:30:00</t>
  </si>
  <si>
    <t>2007. 5. 4 오후 4:00:00</t>
  </si>
  <si>
    <t>2007. 5. 4 오후 3:30:00</t>
  </si>
  <si>
    <t>2007. 5. 5 오후 4:00:00</t>
  </si>
  <si>
    <t>2007. 5. 5 오후 3:30:00</t>
  </si>
  <si>
    <t>2007. 5. 6 오후 4:00:00</t>
  </si>
  <si>
    <t>2007. 5. 6 오후 3:30:00</t>
  </si>
  <si>
    <t>2007. 5. 7 오후 4:00:00</t>
  </si>
  <si>
    <t>2007. 5. 7 오후 3:30:00</t>
  </si>
  <si>
    <t>2007. 5. 8 오후 4:00:00</t>
  </si>
  <si>
    <t>2007. 5. 8 오후 3:30:00</t>
  </si>
  <si>
    <t>2007. 5. 9 오후 4:00:00</t>
  </si>
  <si>
    <t>2007. 5. 9 오후 3:30:00</t>
  </si>
  <si>
    <t>2007. 5. 10 오후 4:00:00</t>
  </si>
  <si>
    <t>2007. 5. 10 오후 3:30:00</t>
  </si>
  <si>
    <t>2007. 5. 11 오후 4:00:00</t>
  </si>
  <si>
    <t>2007. 5. 11 오후 3:30:00</t>
  </si>
  <si>
    <t>2007. 5. 12 오후 4:00:00</t>
  </si>
  <si>
    <t>2007. 5. 12 오후 3:30:00</t>
  </si>
  <si>
    <t>2007. 5. 13 오후 4:00:00</t>
  </si>
  <si>
    <t>2007. 5. 13 오후 3:30:00</t>
  </si>
  <si>
    <t>2007. 5. 14 오후 4:00:00</t>
  </si>
  <si>
    <t>2007. 5. 14 오후 3:30:00</t>
  </si>
  <si>
    <t>2007. 5. 15 오후 4:00:00</t>
  </si>
  <si>
    <t>2007. 5. 15 오후 3:30:00</t>
  </si>
  <si>
    <t>2007. 5. 16 오후 4:00:00</t>
  </si>
  <si>
    <t>2007. 5. 16 오후 3:30:00</t>
  </si>
  <si>
    <t>2007. 5. 17 오후 4:00:00</t>
  </si>
  <si>
    <t>2007. 5. 17 오후 3:30:00</t>
  </si>
  <si>
    <t>2007. 5. 18 오후 4:00:00</t>
  </si>
  <si>
    <t>2007. 5. 18 오후 3:30:00</t>
  </si>
  <si>
    <t>2007. 5. 19 오후 4:00:00</t>
  </si>
  <si>
    <t>2007. 5. 19 오후 3:30:00</t>
  </si>
  <si>
    <t>2007. 5. 20 오후 4:00:00</t>
  </si>
  <si>
    <t>2007. 5. 20 오후 3:30:00</t>
  </si>
  <si>
    <t>2007. 5. 21 오후 4:00:00</t>
  </si>
  <si>
    <t>2007. 5. 21 오후 3:30:00</t>
  </si>
  <si>
    <t>2007. 5. 22 오후 4:00:00</t>
  </si>
  <si>
    <t>2007. 5. 22 오후 3:30:00</t>
  </si>
  <si>
    <t>2007. 5. 23 오후 4:00:00</t>
  </si>
  <si>
    <t>2007. 5. 23 오후 3:30:00</t>
  </si>
  <si>
    <t>2007. 5. 24 오후 4:00:00</t>
  </si>
  <si>
    <t>2007. 5. 24 오후 3:30:00</t>
  </si>
  <si>
    <t>2007. 5. 25 오후 4:00:00</t>
  </si>
  <si>
    <t>2007. 5. 25 오후 3:30:00</t>
  </si>
  <si>
    <t>2007. 5. 26 오후 4:00:00</t>
  </si>
  <si>
    <t>2007. 5. 26 오후 3:30:00</t>
  </si>
  <si>
    <t>2007. 5. 27 오후 4:00:00</t>
  </si>
  <si>
    <t>2007. 5. 27 오후 3:30:00</t>
  </si>
  <si>
    <t>2007. 5. 28 오후 4:00:00</t>
  </si>
  <si>
    <t>2007. 5. 28 오후 3:30:00</t>
  </si>
  <si>
    <t>2007. 5. 29 오후 4:00:00</t>
  </si>
  <si>
    <t>2007. 5. 29 오후 3:30:00</t>
  </si>
  <si>
    <t>2007. 5. 30 오후 4:00:00</t>
  </si>
  <si>
    <t>2007. 5. 30 오후 3:30:00</t>
  </si>
  <si>
    <t>2007. 5. 31 오후 4:00:00</t>
  </si>
  <si>
    <t>2007. 5. 31 오후 3:30:00</t>
  </si>
  <si>
    <t>2007. 6. 1 오후 4:00:00</t>
  </si>
  <si>
    <t>2007. 6. 1 오후 3:30:00</t>
  </si>
  <si>
    <t>2007. 6. 2 오후 4:00:00</t>
  </si>
  <si>
    <t>2007. 6. 2 오후 3:30:00</t>
  </si>
  <si>
    <t>2007. 6. 3 오후 4:00:00</t>
  </si>
  <si>
    <t>2007. 6. 3 오후 3:30:00</t>
  </si>
  <si>
    <t>2007. 6. 4 오후 4:00:00</t>
  </si>
  <si>
    <t>2007. 6. 4 오후 3:30:00</t>
  </si>
  <si>
    <t>2007. 6. 5 오후 4:00:00</t>
  </si>
  <si>
    <t>2007. 6. 5 오후 3:30:00</t>
  </si>
  <si>
    <t>2007. 6. 6 오후 4:00:00</t>
  </si>
  <si>
    <t>2007. 6. 6 오후 3:30:00</t>
  </si>
  <si>
    <t>2007. 6. 7 오후 4:00:00</t>
  </si>
  <si>
    <t>2007. 6. 7 오후 3:30:00</t>
  </si>
  <si>
    <t>2007. 6. 8 오후 4:00:00</t>
  </si>
  <si>
    <t>2007. 6. 8 오후 3:30:00</t>
  </si>
  <si>
    <t>2007. 6. 9 오후 4:00:00</t>
  </si>
  <si>
    <t>2007. 6. 9 오후 3:30:00</t>
  </si>
  <si>
    <t>2007. 6. 10 오후 4:00:00</t>
  </si>
  <si>
    <t>2007. 6. 10 오후 3:30:00</t>
  </si>
  <si>
    <t>2007. 6. 11 오후 4:00:00</t>
  </si>
  <si>
    <t>2007. 6. 11 오후 3:30:00</t>
  </si>
  <si>
    <t>2007. 6. 12 오후 4:00:00</t>
  </si>
  <si>
    <t>2007. 6. 12 오후 3:30:00</t>
  </si>
  <si>
    <t>2007. 6. 13 오후 4:00:00</t>
  </si>
  <si>
    <t>2007. 6. 13 오후 3:30:00</t>
  </si>
  <si>
    <t>2007. 6. 14 오후 4:00:00</t>
  </si>
  <si>
    <t>2007. 6. 14 오후 3:30:00</t>
  </si>
  <si>
    <t>2007. 6. 15 오후 4:00:00</t>
  </si>
  <si>
    <t>2007. 6. 15 오후 3:30:00</t>
  </si>
  <si>
    <t>2007. 6. 16 오후 4:00:00</t>
  </si>
  <si>
    <t>2007. 6. 16 오후 3:30:00</t>
  </si>
  <si>
    <t>2007. 6. 17 오후 4:00:00</t>
  </si>
  <si>
    <t>2007. 6. 17 오후 3:30:00</t>
  </si>
  <si>
    <t>2007. 6. 18 오후 4:00:00</t>
  </si>
  <si>
    <t>2007. 6. 18 오후 3:30:00</t>
  </si>
  <si>
    <t>2007. 6. 19 오후 4:00:00</t>
  </si>
  <si>
    <t>2007. 6. 19 오후 3:30:00</t>
  </si>
  <si>
    <t>2007. 6. 20 오후 4:00:00</t>
  </si>
  <si>
    <t>2007. 6. 20 오후 3:30:00</t>
  </si>
  <si>
    <t>2007. 6. 21 오후 4:00:00</t>
  </si>
  <si>
    <t>2007. 6. 21 오후 3:30:00</t>
  </si>
  <si>
    <t>2007. 6. 22 오후 4:00:00</t>
  </si>
  <si>
    <t>2007. 6. 22 오후 3:30:00</t>
  </si>
  <si>
    <t>2007. 6. 23 오후 4:00:00</t>
  </si>
  <si>
    <t>2007. 6. 23 오후 3:30:00</t>
  </si>
  <si>
    <t>2007. 6. 24 오후 4:00:00</t>
  </si>
  <si>
    <t>2007. 6. 24 오후 3:30:00</t>
  </si>
  <si>
    <t>2007. 6. 25 오후 4:00:00</t>
  </si>
  <si>
    <t>2007. 6. 25 오후 3:30:00</t>
  </si>
  <si>
    <t>2007. 6. 26 오후 4:00:00</t>
  </si>
  <si>
    <t>2007. 6. 26 오후 3:30:00</t>
  </si>
  <si>
    <t>2007. 6. 27 오후 4:00:00</t>
  </si>
  <si>
    <t>2007. 6. 27 오후 3:30:00</t>
  </si>
  <si>
    <t>2007. 6. 28 오후 4:00:00</t>
  </si>
  <si>
    <t>2007. 6. 28 오후 3:30:00</t>
  </si>
  <si>
    <t>2007. 6. 29 오후 4:00:00</t>
  </si>
  <si>
    <t>2007. 6. 29 오후 3:30:00</t>
  </si>
  <si>
    <t>2007. 6. 30 오후 4:00:00</t>
  </si>
  <si>
    <t>2007. 6. 30 오후 3:30:00</t>
  </si>
  <si>
    <t>2007. 7. 1 오후 4:00:00</t>
  </si>
  <si>
    <t>2007. 7. 1 오후 3:30:00</t>
  </si>
  <si>
    <t>2007. 7. 2 오후 4:00:00</t>
  </si>
  <si>
    <t>2007. 7. 2 오후 3:30:00</t>
  </si>
  <si>
    <t>2007. 7. 3 오후 4:00:00</t>
  </si>
  <si>
    <t>2007. 7. 3 오후 3:30:00</t>
  </si>
  <si>
    <t>2007. 7. 4 오후 4:00:00</t>
  </si>
  <si>
    <t>2007. 7. 4 오후 3:30:00</t>
  </si>
  <si>
    <t>2007. 7. 5 오후 4:00:00</t>
  </si>
  <si>
    <t>2007. 7. 5 오후 3:30:00</t>
  </si>
  <si>
    <t>2007. 7. 6 오후 4:00:00</t>
  </si>
  <si>
    <t>2007. 7. 6 오후 3:30:00</t>
  </si>
  <si>
    <t>2007. 7. 7 오후 4:00:00</t>
  </si>
  <si>
    <t>2007. 7. 7 오후 3:30:00</t>
  </si>
  <si>
    <t>2007. 7. 8 오후 4:00:00</t>
  </si>
  <si>
    <t>2007. 7. 8 오후 3:30:00</t>
  </si>
  <si>
    <t>2007. 7. 9 오후 4:00:00</t>
  </si>
  <si>
    <t>2007. 7. 9 오후 3:30:00</t>
  </si>
  <si>
    <t>2007. 7. 10 오후 4:00:00</t>
  </si>
  <si>
    <t>2007. 7. 10 오후 3:30:00</t>
  </si>
  <si>
    <t>2007. 7. 11 오후 4:00:00</t>
  </si>
  <si>
    <t>2007. 7. 11 오후 3:30:00</t>
  </si>
  <si>
    <t>2007. 7. 12 오후 4:00:00</t>
  </si>
  <si>
    <t>2007. 7. 12 오후 3:30:00</t>
  </si>
  <si>
    <t>2007. 7. 13 오후 4:00:00</t>
  </si>
  <si>
    <t>2007. 7. 13 오후 3:30:00</t>
  </si>
  <si>
    <t>2007. 7. 14 오후 4:00:00</t>
  </si>
  <si>
    <t>2007. 7. 14 오후 3:30:00</t>
  </si>
  <si>
    <t>2007. 7. 15 오후 4:00:00</t>
  </si>
  <si>
    <t>2007. 7. 15 오후 3:30:00</t>
  </si>
  <si>
    <t>2007. 7. 16 오후 4:00:00</t>
  </si>
  <si>
    <t>2007. 7. 16 오후 3:30:00</t>
  </si>
  <si>
    <t>2007. 7. 17 오후 4:00:00</t>
  </si>
  <si>
    <t>2007. 7. 17 오후 3:30:00</t>
  </si>
  <si>
    <t>2007. 7. 18 오후 4:00:00</t>
  </si>
  <si>
    <t>2007. 7. 18 오후 3:30:00</t>
  </si>
  <si>
    <t>2007. 7. 19 오후 4:00:00</t>
  </si>
  <si>
    <t>2007. 7. 19 오후 3:30:00</t>
  </si>
  <si>
    <t>2007. 7. 20 오후 4:00:00</t>
  </si>
  <si>
    <t>2007. 7. 20 오후 3:30:00</t>
  </si>
  <si>
    <t>2007. 7. 21 오후 4:00:00</t>
  </si>
  <si>
    <t>2007. 7. 21 오후 3:30:00</t>
  </si>
  <si>
    <t>2007. 7. 22 오후 4:00:00</t>
  </si>
  <si>
    <t>2007. 7. 22 오후 3:30:00</t>
  </si>
  <si>
    <t>2007. 7. 23 오후 4:00:00</t>
  </si>
  <si>
    <t>2007. 7. 23 오후 3:30:00</t>
  </si>
  <si>
    <t>2007. 7. 24 오후 4:00:00</t>
  </si>
  <si>
    <t>2007. 7. 24 오후 3:30:00</t>
  </si>
  <si>
    <t>2007. 7. 25 오후 4:00:00</t>
  </si>
  <si>
    <t>2007. 7. 25 오후 3:30:00</t>
  </si>
  <si>
    <t>2007. 7. 26 오후 4:00:00</t>
  </si>
  <si>
    <t>2007. 7. 26 오후 3:30:00</t>
  </si>
  <si>
    <t>2007. 7. 27 오후 4:00:00</t>
  </si>
  <si>
    <t>2007. 7. 27 오후 3:30:00</t>
  </si>
  <si>
    <t>2007. 7. 28 오후 4:00:00</t>
  </si>
  <si>
    <t>2007. 7. 28 오후 3:30:00</t>
  </si>
  <si>
    <t>2007. 7. 29 오후 4:00:00</t>
  </si>
  <si>
    <t>2007. 7. 29 오후 3:30:00</t>
  </si>
  <si>
    <t>2007. 7. 30 오후 4:00:00</t>
  </si>
  <si>
    <t>2007. 7. 30 오후 3:30:00</t>
  </si>
  <si>
    <t>2007. 7. 31 오후 4:00:00</t>
  </si>
  <si>
    <t>2007. 7. 31 오후 3:30:00</t>
  </si>
  <si>
    <t>2007. 8. 1 오후 4:00:00</t>
  </si>
  <si>
    <t>2007. 8. 1 오후 3:30:00</t>
  </si>
  <si>
    <t>2007. 8. 2 오후 4:00:00</t>
  </si>
  <si>
    <t>2007. 8. 2 오후 3:30:00</t>
  </si>
  <si>
    <t>2007. 8. 3 오후 4:00:00</t>
  </si>
  <si>
    <t>2007. 8. 3 오후 3:30:00</t>
  </si>
  <si>
    <t>2007. 8. 4 오후 4:00:00</t>
  </si>
  <si>
    <t>2007. 8. 4 오후 3:30:00</t>
  </si>
  <si>
    <t>2007. 8. 5 오후 4:00:00</t>
  </si>
  <si>
    <t>2007. 8. 5 오후 3:30:00</t>
  </si>
  <si>
    <t>2007. 8. 6 오후 4:00:00</t>
  </si>
  <si>
    <t>2007. 8. 6 오후 3:30:00</t>
  </si>
  <si>
    <t>2007. 8. 7 오후 4:00:00</t>
  </si>
  <si>
    <t>2007. 8. 7 오후 3:30:00</t>
  </si>
  <si>
    <t>2007. 8. 8 오후 4:00:00</t>
  </si>
  <si>
    <t>2007. 8. 8 오후 3:30:00</t>
  </si>
  <si>
    <t>2007. 8. 9 오후 4:00:00</t>
  </si>
  <si>
    <t>2007. 8. 9 오후 3:30:00</t>
  </si>
  <si>
    <t>2007. 8. 10 오후 4:00:00</t>
  </si>
  <si>
    <t>2007. 8. 10 오후 3:30:00</t>
  </si>
  <si>
    <t>2007. 8. 11 오후 4:00:00</t>
  </si>
  <si>
    <t>2007. 8. 11 오후 3:30:00</t>
  </si>
  <si>
    <t>2007. 8. 12 오후 4:00:00</t>
  </si>
  <si>
    <t>2007. 8. 12 오후 3:30:00</t>
  </si>
  <si>
    <t>2007. 8. 13 오후 4:00:00</t>
  </si>
  <si>
    <t>2007. 8. 13 오후 3:30:00</t>
  </si>
  <si>
    <t>2007. 8. 14 오후 4:00:00</t>
  </si>
  <si>
    <t>2007. 8. 14 오후 3:30:00</t>
  </si>
  <si>
    <t>2007. 8. 15 오후 4:00:00</t>
  </si>
  <si>
    <t>2007. 8. 15 오후 3:30:00</t>
  </si>
  <si>
    <t>2007. 8. 16 오후 4:00:00</t>
  </si>
  <si>
    <t>2007. 8. 16 오후 3:30:00</t>
  </si>
  <si>
    <t>2007. 8. 17 오후 4:00:00</t>
  </si>
  <si>
    <t>2007. 8. 17 오후 3:30:00</t>
  </si>
  <si>
    <t>2007. 8. 18 오후 4:00:00</t>
  </si>
  <si>
    <t>2007. 8. 18 오후 3:30:00</t>
  </si>
  <si>
    <t>2007. 8. 19 오후 4:00:00</t>
  </si>
  <si>
    <t>2007. 8. 19 오후 3:30:00</t>
  </si>
  <si>
    <t>2007. 8. 20 오후 4:00:00</t>
  </si>
  <si>
    <t>2007. 8. 20 오후 3:30:00</t>
  </si>
  <si>
    <t>2007. 8. 21 오후 4:00:00</t>
  </si>
  <si>
    <t>2007. 8. 21 오후 3:30:00</t>
  </si>
  <si>
    <t>2007. 8. 22 오후 4:00:00</t>
  </si>
  <si>
    <t>2007. 8. 22 오후 3:30:00</t>
  </si>
  <si>
    <t>2007. 8. 23 오후 4:00:00</t>
  </si>
  <si>
    <t>2007. 8. 23 오후 3:30:00</t>
  </si>
  <si>
    <t>2007. 8. 24 오후 4:00:00</t>
  </si>
  <si>
    <t>2007. 8. 24 오후 3:30:00</t>
  </si>
  <si>
    <t>2007. 8. 25 오후 4:00:00</t>
  </si>
  <si>
    <t>2007. 8. 25 오후 3:30:00</t>
  </si>
  <si>
    <t>2007. 8. 26 오후 4:00:00</t>
  </si>
  <si>
    <t>2007. 8. 26 오후 3:30:00</t>
  </si>
  <si>
    <t>2007. 8. 27 오후 4:00:00</t>
  </si>
  <si>
    <t>2007. 8. 27 오후 3:30:00</t>
  </si>
  <si>
    <t>2007. 8. 28 오후 4:00:00</t>
  </si>
  <si>
    <t>2007. 8. 28 오후 3:30:00</t>
  </si>
  <si>
    <t>2007. 8. 29 오후 4:00:00</t>
  </si>
  <si>
    <t>2007. 8. 29 오후 3:30:00</t>
  </si>
  <si>
    <t>2007. 8. 30 오후 4:00:00</t>
  </si>
  <si>
    <t>2007. 8. 30 오후 3:30:00</t>
  </si>
  <si>
    <t>2007. 8. 31 오후 4:00:00</t>
  </si>
  <si>
    <t>2007. 8. 31 오후 3:30:00</t>
  </si>
  <si>
    <t>2007. 9. 1 오후 4:00:00</t>
  </si>
  <si>
    <t>2007. 9. 1 오후 3:30:00</t>
  </si>
  <si>
    <t>2007. 9. 2 오후 4:00:00</t>
  </si>
  <si>
    <t>2007. 9. 2 오후 3:30:00</t>
  </si>
  <si>
    <t>2007. 9. 3 오후 4:00:00</t>
  </si>
  <si>
    <t>2007. 9. 3 오후 3:30:00</t>
  </si>
  <si>
    <t>2007. 9. 4 오후 4:00:00</t>
  </si>
  <si>
    <t>2007. 9. 4 오후 3:30:00</t>
  </si>
  <si>
    <t>2007. 9. 5 오후 4:00:00</t>
  </si>
  <si>
    <t>2007. 9. 5 오후 3:30:00</t>
  </si>
  <si>
    <t>2007. 9. 6 오후 4:00:00</t>
  </si>
  <si>
    <t>2007. 9. 6 오후 3:30:00</t>
  </si>
  <si>
    <t>2007. 9. 7 오후 4:00:00</t>
  </si>
  <si>
    <t>2007. 9. 7 오후 3:30:00</t>
  </si>
  <si>
    <t>2007. 9. 8 오후 4:00:00</t>
  </si>
  <si>
    <t>2007. 9. 8 오후 3:30:00</t>
  </si>
  <si>
    <t>2007. 9. 9 오후 4:00:00</t>
  </si>
  <si>
    <t>2007. 9. 9 오후 3:30:00</t>
  </si>
  <si>
    <t>2007. 9. 10 오후 4:00:00</t>
  </si>
  <si>
    <t>2007. 9. 10 오후 3:30:00</t>
  </si>
  <si>
    <t>2007. 9. 11 오후 4:00:00</t>
  </si>
  <si>
    <t>2007. 9. 11 오후 3:30:00</t>
  </si>
  <si>
    <t>2007. 9. 12 오후 4:00:00</t>
  </si>
  <si>
    <t>2007. 9. 12 오후 3:30:00</t>
  </si>
  <si>
    <t>2007. 9. 13 오후 4:00:00</t>
  </si>
  <si>
    <t>2007. 9. 13 오후 3:30:00</t>
  </si>
  <si>
    <t>2007. 9. 14 오후 4:00:00</t>
  </si>
  <si>
    <t>2007. 9. 14 오후 3:30:00</t>
  </si>
  <si>
    <t>2007. 9. 15 오후 4:00:00</t>
  </si>
  <si>
    <t>2007. 9. 15 오후 3:30:00</t>
  </si>
  <si>
    <t>2007. 9. 16 오후 4:00:00</t>
  </si>
  <si>
    <t>2007. 9. 16 오후 3:30:00</t>
  </si>
  <si>
    <t>2007. 9. 17 오후 4:00:00</t>
  </si>
  <si>
    <t>2007. 9. 17 오후 3:30:00</t>
  </si>
  <si>
    <t>2007. 9. 18 오후 4:00:00</t>
  </si>
  <si>
    <t>2007. 9. 18 오후 3:30:00</t>
  </si>
  <si>
    <t>2007. 9. 19 오후 4:00:00</t>
  </si>
  <si>
    <t>2007. 9. 19 오후 3:30:00</t>
  </si>
  <si>
    <t>2007. 9. 20 오후 4:00:00</t>
  </si>
  <si>
    <t>2007. 9. 20 오후 3:30:00</t>
  </si>
  <si>
    <t>2007. 9. 21 오후 4:00:00</t>
  </si>
  <si>
    <t>2007. 9. 21 오후 3:30:00</t>
  </si>
  <si>
    <t>2007. 9. 22 오후 4:00:00</t>
  </si>
  <si>
    <t>2007. 9. 22 오후 3:30:00</t>
  </si>
  <si>
    <t>2007. 9. 23 오후 4:00:00</t>
  </si>
  <si>
    <t>2007. 9. 23 오후 3:30:00</t>
  </si>
  <si>
    <t>2007. 9. 24 오후 4:00:00</t>
  </si>
  <si>
    <t>2007. 9. 24 오후 3:30:00</t>
  </si>
  <si>
    <t>2007. 9. 25 오후 4:00:00</t>
  </si>
  <si>
    <t>2007. 9. 25 오후 3:30:00</t>
  </si>
  <si>
    <t>2007. 9. 26 오후 4:00:00</t>
  </si>
  <si>
    <t>2007. 9. 26 오후 3:30:00</t>
  </si>
  <si>
    <t>2007. 9. 27 오후 4:00:00</t>
  </si>
  <si>
    <t>2007. 9. 27 오후 3:30:00</t>
  </si>
  <si>
    <t>2007. 9. 28 오후 4:00:00</t>
  </si>
  <si>
    <t>2007. 9. 28 오후 3:30:00</t>
  </si>
  <si>
    <t>2007. 9. 29 오후 4:00:00</t>
  </si>
  <si>
    <t>2007. 9. 29 오후 3:30:00</t>
  </si>
  <si>
    <t>2007. 9. 30 오후 4:00:00</t>
  </si>
  <si>
    <t>2007. 9. 30 오후 3:30:00</t>
  </si>
  <si>
    <t>2007. 10. 1 오후 4:00:00</t>
  </si>
  <si>
    <t>2007. 10. 1 오후 3:30:00</t>
  </si>
  <si>
    <t>2007. 10. 2 오후 4:00:00</t>
  </si>
  <si>
    <t>2007. 10. 2 오후 3:30:00</t>
  </si>
  <si>
    <t>2007. 10. 3 오후 4:00:00</t>
  </si>
  <si>
    <t>2007. 10. 3 오후 3:30:00</t>
  </si>
  <si>
    <t>2007. 10. 4 오후 4:00:00</t>
  </si>
  <si>
    <t>2007. 10. 4 오후 3:30:00</t>
  </si>
  <si>
    <t>2007. 10. 5 오후 4:00:00</t>
  </si>
  <si>
    <t>2007. 10. 5 오후 3:30:00</t>
  </si>
  <si>
    <t>2007. 10. 6 오후 4:00:00</t>
  </si>
  <si>
    <t>2007. 10. 6 오후 3:30:00</t>
  </si>
  <si>
    <t>2007. 10. 7 오후 4:00:00</t>
  </si>
  <si>
    <t>2007. 10. 7 오후 3:30:00</t>
  </si>
  <si>
    <t>2007. 10. 8 오후 4:00:00</t>
  </si>
  <si>
    <t>2007. 10. 8 오후 3:30:00</t>
  </si>
  <si>
    <t>2007. 10. 9 오후 4:00:00</t>
  </si>
  <si>
    <t>2007. 10. 9 오후 3:30:00</t>
  </si>
  <si>
    <t>2007. 10. 10 오후 4:00:00</t>
  </si>
  <si>
    <t>2007. 10. 10 오후 3:30:00</t>
  </si>
  <si>
    <t>2007. 10. 11 오후 4:00:00</t>
  </si>
  <si>
    <t>2007. 10. 11 오후 3:30:00</t>
  </si>
  <si>
    <t>2007. 10. 12 오후 4:00:00</t>
  </si>
  <si>
    <t>2007. 10. 12 오후 3:30:00</t>
  </si>
  <si>
    <t>2007. 10. 13 오후 4:00:00</t>
  </si>
  <si>
    <t>2007. 10. 13 오후 3:30:00</t>
  </si>
  <si>
    <t>2007. 10. 14 오후 4:00:00</t>
  </si>
  <si>
    <t>2007. 10. 14 오후 3:30:00</t>
  </si>
  <si>
    <t>2007. 10. 15 오후 4:00:00</t>
  </si>
  <si>
    <t>2007. 10. 15 오후 3:30:00</t>
  </si>
  <si>
    <t>2007. 10. 16 오후 4:00:00</t>
  </si>
  <si>
    <t>2007. 10. 16 오후 3:30:00</t>
  </si>
  <si>
    <t>2007. 10. 17 오후 4:00:00</t>
  </si>
  <si>
    <t>2007. 10. 17 오후 3:30:00</t>
  </si>
  <si>
    <t>2007. 10. 18 오후 4:00:00</t>
  </si>
  <si>
    <t>2007. 10. 18 오후 3:30:00</t>
  </si>
  <si>
    <t>2007. 10. 19 오후 4:00:00</t>
  </si>
  <si>
    <t>2007. 10. 19 오후 3:30:00</t>
  </si>
  <si>
    <t>2007. 10. 20 오후 4:00:00</t>
  </si>
  <si>
    <t>2007. 10. 20 오후 3:30:00</t>
  </si>
  <si>
    <t>2007. 10. 21 오후 4:00:00</t>
  </si>
  <si>
    <t>2007. 10. 21 오후 3:30:00</t>
  </si>
  <si>
    <t>2007. 10. 22 오후 4:00:00</t>
  </si>
  <si>
    <t>2007. 10. 22 오후 3:30:00</t>
  </si>
  <si>
    <t>2007. 10. 23 오후 4:00:00</t>
  </si>
  <si>
    <t>2007. 10. 23 오후 3:30:00</t>
  </si>
  <si>
    <t>2007. 10. 24 오후 4:00:00</t>
  </si>
  <si>
    <t>2007. 10. 24 오후 3:30:00</t>
  </si>
  <si>
    <t>2007. 10. 25 오후 4:00:00</t>
  </si>
  <si>
    <t>2007. 10. 25 오후 3:30:00</t>
  </si>
  <si>
    <t>2007. 10. 26 오후 4:00:00</t>
  </si>
  <si>
    <t>2007. 10. 26 오후 3:30:00</t>
  </si>
  <si>
    <t>2007. 10. 27 오후 4:00:00</t>
  </si>
  <si>
    <t>2007. 10. 27 오후 3:30:00</t>
  </si>
  <si>
    <t>2007. 10. 28 오후 4:00:00</t>
  </si>
  <si>
    <t>2007. 10. 28 오후 3:30:00</t>
  </si>
  <si>
    <t>2007. 10. 29 오후 4:00:00</t>
  </si>
  <si>
    <t>2007. 10. 29 오후 3:30:00</t>
  </si>
  <si>
    <t>2007. 10. 30 오후 4:00:00</t>
  </si>
  <si>
    <t>2007. 10. 30 오후 3:30:00</t>
  </si>
  <si>
    <t>2007. 10. 31 오후 4:00:00</t>
  </si>
  <si>
    <t>2007. 10. 31 오후 3:30:00</t>
  </si>
  <si>
    <t>2007. 11. 1 오후 4:00:00</t>
  </si>
  <si>
    <t>2007. 11. 1 오후 3:30:00</t>
  </si>
  <si>
    <t>2007. 11. 2 오후 4:00:00</t>
  </si>
  <si>
    <t>2007. 11. 2 오후 3:30:00</t>
  </si>
  <si>
    <t>2007. 11. 3 오후 4:00:00</t>
  </si>
  <si>
    <t>2007. 11. 3 오후 3:30:00</t>
  </si>
  <si>
    <t>2007. 11. 4 오후 4:00:00</t>
  </si>
  <si>
    <t>2007. 11. 4 오후 3:30:00</t>
  </si>
  <si>
    <t>2007. 11. 5 오후 4:00:00</t>
  </si>
  <si>
    <t>2007. 11. 5 오후 3:30:00</t>
  </si>
  <si>
    <t>2007. 11. 6 오후 4:00:00</t>
  </si>
  <si>
    <t>2007. 11. 6 오후 3:30:00</t>
  </si>
  <si>
    <t>2007. 11. 7 오후 4:00:00</t>
  </si>
  <si>
    <t>2007. 11. 7 오후 3:30:00</t>
  </si>
  <si>
    <t>2007. 11. 8 오후 4:00:00</t>
  </si>
  <si>
    <t>2007. 11. 8 오후 3:30:00</t>
  </si>
  <si>
    <t>2007. 11. 9 오후 4:00:00</t>
  </si>
  <si>
    <t>2007. 11. 9 오후 3:30:00</t>
  </si>
  <si>
    <t>2007. 11. 10 오후 4:00:00</t>
  </si>
  <si>
    <t>2007. 11. 10 오후 3:30:00</t>
  </si>
  <si>
    <t>2007. 11. 11 오후 4:00:00</t>
  </si>
  <si>
    <t>2007. 11. 11 오후 3:30:00</t>
  </si>
  <si>
    <t>2007. 11. 12 오후 4:00:00</t>
  </si>
  <si>
    <t>2007. 11. 12 오후 3:30:00</t>
  </si>
  <si>
    <t>2007. 11. 13 오후 4:00:00</t>
  </si>
  <si>
    <t>2007. 11. 13 오후 3:30:00</t>
  </si>
  <si>
    <t>2007. 11. 14 오후 4:00:00</t>
  </si>
  <si>
    <t>2007. 11. 14 오후 3:30:00</t>
  </si>
  <si>
    <t>2007. 11. 15 오후 4:00:00</t>
  </si>
  <si>
    <t>2007. 11. 15 오후 3:30:00</t>
  </si>
  <si>
    <t>2007. 11. 16 오후 4:00:00</t>
  </si>
  <si>
    <t>2007. 11. 16 오후 3:30:00</t>
  </si>
  <si>
    <t>2007. 11. 17 오후 4:00:00</t>
  </si>
  <si>
    <t>2007. 11. 17 오후 3:30:00</t>
  </si>
  <si>
    <t>2007. 11. 18 오후 4:00:00</t>
  </si>
  <si>
    <t>2007. 11. 18 오후 3:30:00</t>
  </si>
  <si>
    <t>2007. 11. 19 오후 4:00:00</t>
  </si>
  <si>
    <t>2007. 11. 19 오후 3:30:00</t>
  </si>
  <si>
    <t>2007. 11. 20 오후 4:00:00</t>
  </si>
  <si>
    <t>2007. 11. 20 오후 3:30:00</t>
  </si>
  <si>
    <t>2007. 11. 21 오후 4:00:00</t>
  </si>
  <si>
    <t>2007. 11. 21 오후 3:30:00</t>
  </si>
  <si>
    <t>2007. 11. 22 오후 4:00:00</t>
  </si>
  <si>
    <t>2007. 11. 22 오후 3:30:00</t>
  </si>
  <si>
    <t>2007. 11. 23 오후 4:00:00</t>
  </si>
  <si>
    <t>2007. 11. 23 오후 3:30:00</t>
  </si>
  <si>
    <t>2007. 11. 24 오후 4:00:00</t>
  </si>
  <si>
    <t>2007. 11. 24 오후 3:30:00</t>
  </si>
  <si>
    <t>2007. 11. 25 오후 4:00:00</t>
  </si>
  <si>
    <t>2007. 11. 25 오후 3:30:00</t>
  </si>
  <si>
    <t>2007. 11. 26 오후 4:00:00</t>
  </si>
  <si>
    <t>2007. 11. 26 오후 3:30:00</t>
  </si>
  <si>
    <t>2007. 11. 27 오후 4:00:00</t>
  </si>
  <si>
    <t>2007. 11. 27 오후 3:30:00</t>
  </si>
  <si>
    <t>2007. 11. 28 오후 4:00:00</t>
  </si>
  <si>
    <t>2007. 11. 28 오후 3:30:00</t>
  </si>
  <si>
    <t>2007. 11. 29 오후 4:00:00</t>
  </si>
  <si>
    <t>2007. 11. 29 오후 3:30:00</t>
  </si>
  <si>
    <t>2007. 11. 30 오후 4:00:00</t>
  </si>
  <si>
    <t>2007. 11. 30 오후 3:30:00</t>
  </si>
  <si>
    <t>2007. 12. 1 오후 4:00:00</t>
  </si>
  <si>
    <t>2007. 12. 1 오후 3:30:00</t>
  </si>
  <si>
    <t>2007. 12. 2 오후 4:00:00</t>
  </si>
  <si>
    <t>2007. 12. 2 오후 3:30:00</t>
  </si>
  <si>
    <t>2007. 12. 3 오후 4:00:00</t>
  </si>
  <si>
    <t>2007. 12. 3 오후 3:30:00</t>
  </si>
  <si>
    <t>2007. 12. 4 오후 4:00:00</t>
  </si>
  <si>
    <t>2007. 12. 4 오후 3:30:00</t>
  </si>
  <si>
    <t>2007. 12. 5 오후 4:00:00</t>
  </si>
  <si>
    <t>2007. 12. 5 오후 3:30:00</t>
  </si>
  <si>
    <t>2007. 12. 6 오후 4:00:00</t>
  </si>
  <si>
    <t>2007. 12. 6 오후 3:30:00</t>
  </si>
  <si>
    <t>2007. 12. 7 오후 4:00:00</t>
  </si>
  <si>
    <t>2007. 12. 7 오후 3:30:00</t>
  </si>
  <si>
    <t>2007. 12. 8 오후 4:00:00</t>
  </si>
  <si>
    <t>2007. 12. 8 오후 3:30:00</t>
  </si>
  <si>
    <t>2007. 12. 9 오후 4:00:00</t>
  </si>
  <si>
    <t>2007. 12. 9 오후 3:30:00</t>
  </si>
  <si>
    <t>2007. 12. 10 오후 4:00:00</t>
  </si>
  <si>
    <t>2007. 12. 10 오후 3:30:00</t>
  </si>
  <si>
    <t>2007. 12. 11 오후 4:00:00</t>
  </si>
  <si>
    <t>2007. 12. 11 오후 3:30:00</t>
  </si>
  <si>
    <t>2007. 12. 12 오후 4:00:00</t>
  </si>
  <si>
    <t>2007. 12. 12 오후 3:30:00</t>
  </si>
  <si>
    <t>2007. 12. 13 오후 4:00:00</t>
  </si>
  <si>
    <t>2007. 12. 13 오후 3:30:00</t>
  </si>
  <si>
    <t>2007. 12. 14 오후 4:00:00</t>
  </si>
  <si>
    <t>2007. 12. 14 오후 3:30:00</t>
  </si>
  <si>
    <t>2007. 12. 15 오후 4:00:00</t>
  </si>
  <si>
    <t>2007. 12. 15 오후 3:30:00</t>
  </si>
  <si>
    <t>2007. 12. 16 오후 4:00:00</t>
  </si>
  <si>
    <t>2007. 12. 16 오후 3:30:00</t>
  </si>
  <si>
    <t>2007. 12. 17 오후 4:00:00</t>
  </si>
  <si>
    <t>2007. 12. 17 오후 3:30:00</t>
  </si>
  <si>
    <t>2007. 12. 18 오후 4:00:00</t>
  </si>
  <si>
    <t>2007. 12. 18 오후 3:30:00</t>
  </si>
  <si>
    <t>2007. 12. 19 오후 4:00:00</t>
  </si>
  <si>
    <t>2007. 12. 19 오후 3:30:00</t>
  </si>
  <si>
    <t>2007. 12. 20 오후 4:00:00</t>
  </si>
  <si>
    <t>2007. 12. 20 오후 3:30:00</t>
  </si>
  <si>
    <t>2007. 12. 21 오후 4:00:00</t>
  </si>
  <si>
    <t>2007. 12. 21 오후 3:30:00</t>
  </si>
  <si>
    <t>2007. 12. 22 오후 4:00:00</t>
  </si>
  <si>
    <t>2007. 12. 22 오후 3:30:00</t>
  </si>
  <si>
    <t>2007. 12. 23 오후 4:00:00</t>
  </si>
  <si>
    <t>2007. 12. 23 오후 3:30:00</t>
  </si>
  <si>
    <t>2007. 12. 24 오후 4:00:00</t>
  </si>
  <si>
    <t>2007. 12. 24 오후 3:30:00</t>
  </si>
  <si>
    <t>2007. 12. 25 오후 4:00:00</t>
  </si>
  <si>
    <t>2007. 12. 25 오후 3:30:00</t>
  </si>
  <si>
    <t>2007. 12. 26 오후 4:00:00</t>
  </si>
  <si>
    <t>2007. 12. 26 오후 3:30:00</t>
  </si>
  <si>
    <t>2007. 12. 27 오후 4:00:00</t>
  </si>
  <si>
    <t>2007. 12. 27 오후 3:30:00</t>
  </si>
  <si>
    <t>2007. 12. 28 오후 4:00:00</t>
  </si>
  <si>
    <t>2007. 12. 28 오후 3:30:00</t>
  </si>
  <si>
    <t>2007. 12. 29 오후 4:00:00</t>
  </si>
  <si>
    <t>2007. 12. 29 오후 3:30:00</t>
  </si>
  <si>
    <t>2007. 12. 30 오후 4:00:00</t>
  </si>
  <si>
    <t>2007. 12. 30 오후 3:30:00</t>
  </si>
  <si>
    <t>2007. 12. 31 오후 4:00:00</t>
  </si>
  <si>
    <t>2007. 12. 31 오후 3:30:00</t>
  </si>
  <si>
    <t>2008. 1. 1 오후 4:00:00</t>
  </si>
  <si>
    <t>2008. 1. 1 오후 3:30:00</t>
  </si>
  <si>
    <t>2008. 1. 2 오후 4:00:00</t>
  </si>
  <si>
    <t>2008. 1. 2 오후 3:30:00</t>
  </si>
  <si>
    <t>2008. 1. 3 오후 4:00:00</t>
  </si>
  <si>
    <t>2008. 1. 3 오후 3:30:00</t>
  </si>
  <si>
    <t>2008. 1. 4 오후 4:00:00</t>
  </si>
  <si>
    <t>2008. 1. 4 오후 3:30:00</t>
  </si>
  <si>
    <t>2008. 1. 5 오후 4:00:00</t>
  </si>
  <si>
    <t>2008. 1. 5 오후 3:30:00</t>
  </si>
  <si>
    <t>2008. 1. 6 오후 4:00:00</t>
  </si>
  <si>
    <t>2008. 1. 6 오후 3:30:00</t>
  </si>
  <si>
    <t>2008. 1. 7 오후 4:00:00</t>
  </si>
  <si>
    <t>2008. 1. 7 오후 3:30:00</t>
  </si>
  <si>
    <t>2008. 1. 8 오후 4:00:00</t>
  </si>
  <si>
    <t>2008. 1. 8 오후 3:30:00</t>
  </si>
  <si>
    <t>2008. 1. 9 오후 4:00:00</t>
  </si>
  <si>
    <t>2008. 1. 9 오후 3:30:00</t>
  </si>
  <si>
    <t>2008. 1. 10 오후 4:00:00</t>
  </si>
  <si>
    <t>2008. 1. 10 오후 3:30:00</t>
  </si>
  <si>
    <t>2008. 1. 11 오후 4:00:00</t>
  </si>
  <si>
    <t>2008. 1. 11 오후 3:30:00</t>
  </si>
  <si>
    <t>2008. 1. 12 오후 4:00:00</t>
  </si>
  <si>
    <t>2008. 1. 12 오후 3:30:00</t>
  </si>
  <si>
    <t>2008. 1. 13 오후 4:00:00</t>
  </si>
  <si>
    <t>2008. 1. 13 오후 3:30:00</t>
  </si>
  <si>
    <t>2008. 1. 14 오후 4:00:00</t>
  </si>
  <si>
    <t>2008. 1. 14 오후 3:30:00</t>
  </si>
  <si>
    <t>2008. 1. 15 오후 4:00:00</t>
  </si>
  <si>
    <t>2008. 1. 15 오후 3:30:00</t>
  </si>
  <si>
    <t>2008. 1. 16 오후 4:00:00</t>
  </si>
  <si>
    <t>2008. 1. 16 오후 3:30:00</t>
  </si>
  <si>
    <t>2008. 1. 17 오후 4:00:00</t>
  </si>
  <si>
    <t>2008. 1. 17 오후 3:30:00</t>
  </si>
  <si>
    <t>2008. 1. 18 오후 4:00:00</t>
  </si>
  <si>
    <t>2008. 1. 18 오후 3:30:00</t>
  </si>
  <si>
    <t>2008. 1. 19 오후 4:00:00</t>
  </si>
  <si>
    <t>2008. 1. 19 오후 3:30:00</t>
  </si>
  <si>
    <t>2008. 1. 20 오후 4:00:00</t>
  </si>
  <si>
    <t>2008. 1. 20 오후 3:30:00</t>
  </si>
  <si>
    <t>2008. 1. 21 오후 4:00:00</t>
  </si>
  <si>
    <t>2008. 1. 21 오후 3:30:00</t>
  </si>
  <si>
    <t>2008. 1. 22 오후 4:00:00</t>
  </si>
  <si>
    <t>2008. 1. 22 오후 3:30:00</t>
  </si>
  <si>
    <t>2008. 1. 23 오후 4:00:00</t>
  </si>
  <si>
    <t>2008. 1. 23 오후 3:30:00</t>
  </si>
  <si>
    <t>2008. 1. 24 오후 4:00:00</t>
  </si>
  <si>
    <t>2008. 1. 24 오후 3:30:00</t>
  </si>
  <si>
    <t>2008. 1. 25 오후 4:00:00</t>
  </si>
  <si>
    <t>2008. 1. 25 오후 3:30:00</t>
  </si>
  <si>
    <t>2008. 1. 26 오후 4:00:00</t>
  </si>
  <si>
    <t>2008. 1. 26 오후 3:30:00</t>
  </si>
  <si>
    <t>2008. 1. 27 오후 4:00:00</t>
  </si>
  <si>
    <t>2008. 1. 27 오후 3:30:00</t>
  </si>
  <si>
    <t>2008. 1. 28 오후 4:00:00</t>
  </si>
  <si>
    <t>2008. 1. 28 오후 3:30:00</t>
  </si>
  <si>
    <t>2008. 1. 29 오후 4:00:00</t>
  </si>
  <si>
    <t>2008. 1. 29 오후 3:30:00</t>
  </si>
  <si>
    <t>2008. 1. 30 오후 4:00:00</t>
  </si>
  <si>
    <t>2008. 1. 30 오후 3:30:00</t>
  </si>
  <si>
    <t>2008. 1. 31 오후 4:00:00</t>
  </si>
  <si>
    <t>2008. 1. 31 오후 3:30:00</t>
  </si>
  <si>
    <t>2008. 2. 1 오후 4:00:00</t>
  </si>
  <si>
    <t>2008. 2. 1 오후 3:30:00</t>
  </si>
  <si>
    <t>2008. 2. 2 오후 4:00:00</t>
  </si>
  <si>
    <t>2008. 2. 2 오후 3:30:00</t>
  </si>
  <si>
    <t>2008. 2. 3 오후 4:00:00</t>
  </si>
  <si>
    <t>2008. 2. 3 오후 3:30:00</t>
  </si>
  <si>
    <t>2008. 2. 4 오후 4:00:00</t>
  </si>
  <si>
    <t>2008. 2. 4 오후 3:30:00</t>
  </si>
  <si>
    <t>2008. 2. 5 오후 4:00:00</t>
  </si>
  <si>
    <t>2008. 2. 5 오후 3:30:00</t>
  </si>
  <si>
    <t>2008. 2. 6 오후 4:00:00</t>
  </si>
  <si>
    <t>2008. 2. 6 오후 3:30:00</t>
  </si>
  <si>
    <t>2008. 2. 7 오후 4:00:00</t>
  </si>
  <si>
    <t>2008. 2. 7 오후 3:30:00</t>
  </si>
  <si>
    <t>2008. 2. 8 오후 4:00:00</t>
  </si>
  <si>
    <t>2008. 2. 8 오후 3:30:00</t>
  </si>
  <si>
    <t>2008. 2. 9 오후 4:00:00</t>
  </si>
  <si>
    <t>2008. 2. 9 오후 3:30:00</t>
  </si>
  <si>
    <t>2008. 2. 10 오후 4:00:00</t>
  </si>
  <si>
    <t>2008. 2. 10 오후 3:30:00</t>
  </si>
  <si>
    <t>2008. 2. 11 오후 4:00:00</t>
  </si>
  <si>
    <t>2008. 2. 11 오후 3:30:00</t>
  </si>
  <si>
    <t>2008. 2. 12 오후 4:00:00</t>
  </si>
  <si>
    <t>2008. 2. 12 오후 3:30:00</t>
  </si>
  <si>
    <t>2008. 2. 13 오후 4:00:00</t>
  </si>
  <si>
    <t>2008. 2. 13 오후 3:30:00</t>
  </si>
  <si>
    <t>2008. 2. 14 오후 4:00:00</t>
  </si>
  <si>
    <t>2008. 2. 14 오후 3:30:00</t>
  </si>
  <si>
    <t>2008. 2. 15 오후 4:00:00</t>
  </si>
  <si>
    <t>2008. 2. 15 오후 3:30:00</t>
  </si>
  <si>
    <t>2008. 2. 16 오후 4:00:00</t>
  </si>
  <si>
    <t>2008. 2. 16 오후 3:30:00</t>
  </si>
  <si>
    <t>2008. 2. 17 오후 4:00:00</t>
  </si>
  <si>
    <t>2008. 2. 17 오후 3:30:00</t>
  </si>
  <si>
    <t>2008. 2. 18 오후 4:00:00</t>
  </si>
  <si>
    <t>2008. 2. 18 오후 3:30:00</t>
  </si>
  <si>
    <t>2008. 2. 19 오후 4:00:00</t>
  </si>
  <si>
    <t>2008. 2. 19 오후 3:30:00</t>
  </si>
  <si>
    <t>2008. 2. 20 오후 4:00:00</t>
  </si>
  <si>
    <t>2008. 2. 20 오후 3:30:00</t>
  </si>
  <si>
    <t>2008. 2. 21 오후 4:00:00</t>
  </si>
  <si>
    <t>2008. 2. 21 오후 3:30:00</t>
  </si>
  <si>
    <t>2008. 2. 22 오후 4:00:00</t>
  </si>
  <si>
    <t>2008. 2. 22 오후 3:30:00</t>
  </si>
  <si>
    <t>2008. 2. 23 오후 4:00:00</t>
  </si>
  <si>
    <t>2008. 2. 23 오후 3:30:00</t>
  </si>
  <si>
    <t>2008. 2. 24 오후 4:00:00</t>
  </si>
  <si>
    <t>2008. 2. 24 오후 3:30:00</t>
  </si>
  <si>
    <t>2008. 2. 25 오후 4:00:00</t>
  </si>
  <si>
    <t>2008. 2. 25 오후 3:30:00</t>
  </si>
  <si>
    <t>2008. 2. 26 오후 4:00:00</t>
  </si>
  <si>
    <t>2008. 2. 26 오후 3:30:00</t>
  </si>
  <si>
    <t>2008. 2. 27 오후 4:00:00</t>
  </si>
  <si>
    <t>2008. 2. 27 오후 3:30:00</t>
  </si>
  <si>
    <t>2008. 2. 28 오후 4:00:00</t>
  </si>
  <si>
    <t>2008. 2. 28 오후 3:30:00</t>
  </si>
  <si>
    <t>2008. 2. 29 오후 4:00:00</t>
  </si>
  <si>
    <t>2008. 2. 29 오후 3:30:00</t>
  </si>
  <si>
    <t>2008. 3. 1 오후 4:00:00</t>
  </si>
  <si>
    <t>2008. 3. 1 오후 3:30:00</t>
  </si>
  <si>
    <t>2008. 3. 2 오후 4:00:00</t>
  </si>
  <si>
    <t>2008. 3. 2 오후 3:30:00</t>
  </si>
  <si>
    <t>2008. 3. 3 오후 4:00:00</t>
  </si>
  <si>
    <t>2008. 3. 3 오후 3:30:00</t>
  </si>
  <si>
    <t>2008. 3. 4 오후 4:00:00</t>
  </si>
  <si>
    <t>2008. 3. 4 오후 3:30:00</t>
  </si>
  <si>
    <t>2008. 3. 5 오후 4:00:00</t>
  </si>
  <si>
    <t>2008. 3. 5 오후 3:30:00</t>
  </si>
  <si>
    <t>2008. 3. 6 오후 4:00:00</t>
  </si>
  <si>
    <t>2008. 3. 6 오후 3:30:00</t>
  </si>
  <si>
    <t>2008. 3. 7 오후 4:00:00</t>
  </si>
  <si>
    <t>2008. 3. 7 오후 3:30:00</t>
  </si>
  <si>
    <t>2008. 3. 8 오후 4:00:00</t>
  </si>
  <si>
    <t>2008. 3. 8 오후 3:30:00</t>
  </si>
  <si>
    <t>2008. 3. 9 오후 4:00:00</t>
  </si>
  <si>
    <t>2008. 3. 9 오후 3:30:00</t>
  </si>
  <si>
    <t>2008. 3. 10 오후 4:00:00</t>
  </si>
  <si>
    <t>2008. 3. 10 오후 3:30:00</t>
  </si>
  <si>
    <t>2008. 3. 11 오후 4:00:00</t>
  </si>
  <si>
    <t>2008. 3. 11 오후 3:30:00</t>
  </si>
  <si>
    <t>2008. 3. 12 오후 4:00:00</t>
  </si>
  <si>
    <t>2008. 3. 12 오후 3:30:00</t>
  </si>
  <si>
    <t>2008. 3. 13 오후 4:00:00</t>
  </si>
  <si>
    <t>2008. 3. 13 오후 3:30:00</t>
  </si>
  <si>
    <t>2008. 3. 14 오후 4:00:00</t>
  </si>
  <si>
    <t>2008. 3. 14 오후 3:30:00</t>
  </si>
  <si>
    <t>2008. 3. 15 오후 4:00:00</t>
  </si>
  <si>
    <t>2008. 3. 15 오후 3:30:00</t>
  </si>
  <si>
    <t>2008. 3. 16 오후 4:00:00</t>
  </si>
  <si>
    <t>2008. 3. 16 오후 3:30:00</t>
  </si>
  <si>
    <t>2008. 3. 17 오후 4:00:00</t>
  </si>
  <si>
    <t>2008. 3. 17 오후 3:30:00</t>
  </si>
  <si>
    <t>2008. 3. 18 오후 4:00:00</t>
  </si>
  <si>
    <t>2008. 3. 18 오후 3:30:00</t>
  </si>
  <si>
    <t>2008. 3. 19 오후 4:00:00</t>
  </si>
  <si>
    <t>2008. 3. 19 오후 3:30:00</t>
  </si>
  <si>
    <t>2008. 3. 20 오후 4:00:00</t>
  </si>
  <si>
    <t>2008. 3. 20 오후 3:30:00</t>
  </si>
  <si>
    <t>2008. 3. 21 오후 4:00:00</t>
  </si>
  <si>
    <t>2008. 3. 21 오후 3:30:00</t>
  </si>
  <si>
    <t>2008. 3. 22 오후 4:00:00</t>
  </si>
  <si>
    <t>2008. 3. 22 오후 3:30:00</t>
  </si>
  <si>
    <t>2008. 3. 23 오후 4:00:00</t>
  </si>
  <si>
    <t>2008. 3. 23 오후 3:30:00</t>
  </si>
  <si>
    <t>2008. 3. 24 오후 4:00:00</t>
  </si>
  <si>
    <t>2008. 3. 24 오후 3:30:00</t>
  </si>
  <si>
    <t>2008. 3. 25 오후 4:00:00</t>
  </si>
  <si>
    <t>2008. 3. 25 오후 3:30:00</t>
  </si>
  <si>
    <t>2008. 3. 26 오후 4:00:00</t>
  </si>
  <si>
    <t>2008. 3. 26 오후 3:30:00</t>
  </si>
  <si>
    <t>2008. 3. 27 오후 4:00:00</t>
  </si>
  <si>
    <t>2008. 3. 27 오후 3:30:00</t>
  </si>
  <si>
    <t>2008. 3. 28 오후 4:00:00</t>
  </si>
  <si>
    <t>2008. 3. 28 오후 3:30:00</t>
  </si>
  <si>
    <t>2008. 3. 29 오후 4:00:00</t>
  </si>
  <si>
    <t>2008. 3. 29 오후 3:30:00</t>
  </si>
  <si>
    <t>2008. 3. 30 오후 4:00:00</t>
  </si>
  <si>
    <t>2008. 3. 30 오후 3:30:00</t>
  </si>
  <si>
    <t>2008. 3. 31 오후 4:00:00</t>
  </si>
  <si>
    <t>2008. 3. 31 오후 3:30:00</t>
  </si>
  <si>
    <t>2008. 4. 1 오후 4:00:00</t>
  </si>
  <si>
    <t>2008. 4. 1 오후 3:30:00</t>
  </si>
  <si>
    <t>2008. 4. 2 오후 4:00:00</t>
  </si>
  <si>
    <t>2008. 4. 2 오후 3:30:00</t>
  </si>
  <si>
    <t>2008. 4. 3 오후 4:00:00</t>
  </si>
  <si>
    <t>2008. 4. 3 오후 3:30:00</t>
  </si>
  <si>
    <t>2008. 4. 4 오후 4:00:00</t>
  </si>
  <si>
    <t>2008. 4. 4 오후 3:30:00</t>
  </si>
  <si>
    <t>2008. 4. 5 오후 4:00:00</t>
  </si>
  <si>
    <t>2008. 4. 5 오후 3:30:00</t>
  </si>
  <si>
    <t>2008. 4. 6 오후 4:00:00</t>
  </si>
  <si>
    <t>2008. 4. 6 오후 3:30:00</t>
  </si>
  <si>
    <t>2008. 4. 7 오후 4:00:00</t>
  </si>
  <si>
    <t>2008. 4. 7 오후 3:30:00</t>
  </si>
  <si>
    <t>2008. 4. 8 오후 4:00:00</t>
  </si>
  <si>
    <t>2008. 4. 8 오후 3:30:00</t>
  </si>
  <si>
    <t>2008. 4. 9 오후 4:00:00</t>
  </si>
  <si>
    <t>2008. 4. 9 오후 3:30:00</t>
  </si>
  <si>
    <t>2008. 4. 10 오후 4:00:00</t>
  </si>
  <si>
    <t>2008. 4. 10 오후 3:30:00</t>
  </si>
  <si>
    <t>2008. 4. 11 오후 4:00:00</t>
  </si>
  <si>
    <t>2008. 4. 11 오후 3:30:00</t>
  </si>
  <si>
    <t>2008. 4. 12 오후 4:00:00</t>
  </si>
  <si>
    <t>2008. 4. 12 오후 3:30:00</t>
  </si>
  <si>
    <t>2008. 4. 13 오후 4:00:00</t>
  </si>
  <si>
    <t>2008. 4. 13 오후 3:30:00</t>
  </si>
  <si>
    <t>2008. 4. 14 오후 4:00:00</t>
  </si>
  <si>
    <t>2008. 4. 14 오후 3:30:00</t>
  </si>
  <si>
    <t>2008. 4. 15 오후 4:00:00</t>
  </si>
  <si>
    <t>2008. 4. 15 오후 3:30:00</t>
  </si>
  <si>
    <t>2008. 4. 16 오후 4:00:00</t>
  </si>
  <si>
    <t>2008. 4. 16 오후 3:30:00</t>
  </si>
  <si>
    <t>2008. 4. 17 오후 4:00:00</t>
  </si>
  <si>
    <t>2008. 4. 17 오후 3:30:00</t>
  </si>
  <si>
    <t>2008. 4. 18 오후 4:00:00</t>
  </si>
  <si>
    <t>2008. 4. 18 오후 3:30:00</t>
  </si>
  <si>
    <t>2008. 4. 19 오후 4:00:00</t>
  </si>
  <si>
    <t>2008. 4. 19 오후 3:30:00</t>
  </si>
  <si>
    <t>2008. 4. 20 오후 4:00:00</t>
  </si>
  <si>
    <t>2008. 4. 20 오후 3:30:00</t>
  </si>
  <si>
    <t>2008. 4. 21 오후 4:00:00</t>
  </si>
  <si>
    <t>2008. 4. 21 오후 3:30:00</t>
  </si>
  <si>
    <t>2008. 4. 22 오후 4:00:00</t>
  </si>
  <si>
    <t>2008. 4. 22 오후 3:30:00</t>
  </si>
  <si>
    <t>2008. 4. 23 오후 4:00:00</t>
  </si>
  <si>
    <t>2008. 4. 23 오후 3:30:00</t>
  </si>
  <si>
    <t>2008. 4. 24 오후 4:00:00</t>
  </si>
  <si>
    <t>2008. 4. 24 오후 3:30:00</t>
  </si>
  <si>
    <t>2008. 4. 25 오후 4:00:00</t>
  </si>
  <si>
    <t>2008. 4. 25 오후 3:30:00</t>
  </si>
  <si>
    <t>2008. 4. 26 오후 4:00:00</t>
  </si>
  <si>
    <t>2008. 4. 26 오후 3:30:00</t>
  </si>
  <si>
    <t>2008. 4. 27 오후 4:00:00</t>
  </si>
  <si>
    <t>2008. 4. 27 오후 3:30:00</t>
  </si>
  <si>
    <t>2008. 4. 28 오후 4:00:00</t>
  </si>
  <si>
    <t>2008. 4. 28 오후 3:30:00</t>
  </si>
  <si>
    <t>2008. 4. 29 오후 4:00:00</t>
  </si>
  <si>
    <t>2008. 4. 29 오후 3:30:00</t>
  </si>
  <si>
    <t>2008. 4. 30 오후 4:00:00</t>
  </si>
  <si>
    <t>2008. 4. 30 오후 3:30:00</t>
  </si>
  <si>
    <t>2008. 5. 1 오후 4:00:00</t>
  </si>
  <si>
    <t>2008. 5. 1 오후 3:30:00</t>
  </si>
  <si>
    <t>2008. 5. 2 오후 4:00:00</t>
  </si>
  <si>
    <t>2008. 5. 2 오후 3:30:00</t>
  </si>
  <si>
    <t>2008. 5. 3 오후 4:00:00</t>
  </si>
  <si>
    <t>2008. 5. 3 오후 3:30:00</t>
  </si>
  <si>
    <t>2008. 5. 4 오후 4:00:00</t>
  </si>
  <si>
    <t>2008. 5. 4 오후 3:30:00</t>
  </si>
  <si>
    <t>2008. 5. 5 오후 4:00:00</t>
  </si>
  <si>
    <t>2008. 5. 5 오후 3:30:00</t>
  </si>
  <si>
    <t>2008. 5. 6 오후 4:00:00</t>
  </si>
  <si>
    <t>2008. 5. 6 오후 3:30:00</t>
  </si>
  <si>
    <t>2008. 5. 7 오후 4:00:00</t>
  </si>
  <si>
    <t>2008. 5. 7 오후 3:30:00</t>
  </si>
  <si>
    <t>2008. 5. 8 오후 4:00:00</t>
  </si>
  <si>
    <t>2008. 5. 8 오후 3:30:00</t>
  </si>
  <si>
    <t>2008. 5. 9 오후 4:00:00</t>
  </si>
  <si>
    <t>2008. 5. 9 오후 3:30:00</t>
  </si>
  <si>
    <t>2008. 5. 10 오후 4:00:00</t>
  </si>
  <si>
    <t>2008. 5. 10 오후 3:30:00</t>
  </si>
  <si>
    <t>2008. 5. 11 오후 4:00:00</t>
  </si>
  <si>
    <t>2008. 5. 11 오후 3:30:00</t>
  </si>
  <si>
    <t>2008. 5. 12 오후 4:00:00</t>
  </si>
  <si>
    <t>2008. 5. 12 오후 3:30:00</t>
  </si>
  <si>
    <t>2008. 5. 13 오후 4:00:00</t>
  </si>
  <si>
    <t>2008. 5. 13 오후 3:30:00</t>
  </si>
  <si>
    <t>2008. 5. 14 오후 4:00:00</t>
  </si>
  <si>
    <t>2008. 5. 14 오후 3:30:00</t>
  </si>
  <si>
    <t>2008. 5. 15 오후 4:00:00</t>
  </si>
  <si>
    <t>2008. 5. 15 오후 3:30:00</t>
  </si>
  <si>
    <t>2008. 5. 16 오후 4:00:00</t>
  </si>
  <si>
    <t>2008. 5. 16 오후 3:30:00</t>
  </si>
  <si>
    <t>2008. 5. 17 오후 4:00:00</t>
  </si>
  <si>
    <t>2008. 5. 17 오후 3:30:00</t>
  </si>
  <si>
    <t>2008. 5. 18 오후 4:00:00</t>
  </si>
  <si>
    <t>2008. 5. 18 오후 3:30:00</t>
  </si>
  <si>
    <t>2008. 5. 19 오후 4:00:00</t>
  </si>
  <si>
    <t>2008. 5. 19 오후 3:30:00</t>
  </si>
  <si>
    <t>2008. 5. 20 오후 4:00:00</t>
  </si>
  <si>
    <t>2008. 5. 20 오후 3:30:00</t>
  </si>
  <si>
    <t>2008. 5. 21 오후 4:00:00</t>
  </si>
  <si>
    <t>2008. 5. 21 오후 3:30:00</t>
  </si>
  <si>
    <t>2008. 5. 22 오후 4:00:00</t>
  </si>
  <si>
    <t>2008. 5. 22 오후 3:30:00</t>
  </si>
  <si>
    <t>2008. 5. 23 오후 4:00:00</t>
  </si>
  <si>
    <t>2008. 5. 23 오후 3:30:00</t>
  </si>
  <si>
    <t>2008. 5. 24 오후 4:00:00</t>
  </si>
  <si>
    <t>2008. 5. 24 오후 3:30:00</t>
  </si>
  <si>
    <t>2008. 5. 25 오후 4:00:00</t>
  </si>
  <si>
    <t>2008. 5. 25 오후 3:30:00</t>
  </si>
  <si>
    <t>2008. 5. 26 오후 4:00:00</t>
  </si>
  <si>
    <t>2008. 5. 26 오후 3:30:00</t>
  </si>
  <si>
    <t>2008. 5. 27 오후 4:00:00</t>
  </si>
  <si>
    <t>2008. 5. 27 오후 3:30:00</t>
  </si>
  <si>
    <t>2008. 5. 28 오후 4:00:00</t>
  </si>
  <si>
    <t>2008. 5. 28 오후 3:30:00</t>
  </si>
  <si>
    <t>2008. 5. 29 오후 4:00:00</t>
  </si>
  <si>
    <t>2008. 5. 29 오후 3:30:00</t>
  </si>
  <si>
    <t>2008. 5. 30 오후 4:00:00</t>
  </si>
  <si>
    <t>2008. 5. 30 오후 3:30:00</t>
  </si>
  <si>
    <t>2008. 5. 31 오후 4:00:00</t>
  </si>
  <si>
    <t>2008. 5. 31 오후 3:30:00</t>
  </si>
  <si>
    <t>2008. 6. 1 오후 4:00:00</t>
  </si>
  <si>
    <t>2008. 6. 1 오후 3:30:00</t>
  </si>
  <si>
    <t>2008. 6. 2 오후 4:00:00</t>
  </si>
  <si>
    <t>2008. 6. 2 오후 3:30:00</t>
  </si>
  <si>
    <t>2008. 6. 3 오후 4:00:00</t>
  </si>
  <si>
    <t>2008. 6. 3 오후 3:30:00</t>
  </si>
  <si>
    <t>2008. 6. 4 오후 4:00:00</t>
  </si>
  <si>
    <t>2008. 6. 4 오후 3:30:00</t>
  </si>
  <si>
    <t>2008. 6. 5 오후 4:00:00</t>
  </si>
  <si>
    <t>2008. 6. 5 오후 3:30:00</t>
  </si>
  <si>
    <t>2008. 6. 6 오후 4:00:00</t>
  </si>
  <si>
    <t>2008. 6. 6 오후 3:30:00</t>
  </si>
  <si>
    <t>2008. 6. 7 오후 4:00:00</t>
  </si>
  <si>
    <t>2008. 6. 7 오후 3:30:00</t>
  </si>
  <si>
    <t>2008. 6. 8 오후 4:00:00</t>
  </si>
  <si>
    <t>2008. 6. 8 오후 3:30:00</t>
  </si>
  <si>
    <t>2008. 6. 9 오후 4:00:00</t>
  </si>
  <si>
    <t>2008. 6. 9 오후 3:30:00</t>
  </si>
  <si>
    <t>2008. 6. 10 오후 4:00:00</t>
  </si>
  <si>
    <t>2008. 6. 10 오후 3:30:00</t>
  </si>
  <si>
    <t>2008. 6. 11 오후 4:00:00</t>
  </si>
  <si>
    <t>2008. 6. 11 오후 3:30:00</t>
  </si>
  <si>
    <t>2008. 6. 12 오후 4:00:00</t>
  </si>
  <si>
    <t>2008. 6. 12 오후 3:30:00</t>
  </si>
  <si>
    <t>2008. 6. 13 오후 4:00:00</t>
  </si>
  <si>
    <t>2008. 6. 13 오후 3:30:00</t>
  </si>
  <si>
    <t>2008. 6. 14 오후 4:00:00</t>
  </si>
  <si>
    <t>2008. 6. 14 오후 3:30:00</t>
  </si>
  <si>
    <t>2008. 6. 15 오후 4:00:00</t>
  </si>
  <si>
    <t>2008. 6. 15 오후 3:30:00</t>
  </si>
  <si>
    <t>2008. 6. 16 오후 4:00:00</t>
  </si>
  <si>
    <t>2008. 6. 16 오후 3:30:00</t>
  </si>
  <si>
    <t>2008. 6. 17 오후 4:00:00</t>
  </si>
  <si>
    <t>2008. 6. 17 오후 3:30:00</t>
  </si>
  <si>
    <t>2008. 6. 18 오후 4:00:00</t>
  </si>
  <si>
    <t>2008. 6. 18 오후 3:30:00</t>
  </si>
  <si>
    <t>2008. 6. 19 오후 4:00:00</t>
  </si>
  <si>
    <t>2008. 6. 19 오후 3:30:00</t>
  </si>
  <si>
    <t>2008. 6. 20 오후 4:00:00</t>
  </si>
  <si>
    <t>2008. 6. 20 오후 3:30:00</t>
  </si>
  <si>
    <t>2008. 6. 21 오후 4:00:00</t>
  </si>
  <si>
    <t>2008. 6. 21 오후 3:30:00</t>
  </si>
  <si>
    <t>2008. 6. 22 오후 4:00:00</t>
  </si>
  <si>
    <t>2008. 6. 22 오후 3:30:00</t>
  </si>
  <si>
    <t>2008. 6. 23 오후 4:00:00</t>
  </si>
  <si>
    <t>2008. 6. 23 오후 3:30:00</t>
  </si>
  <si>
    <t>2008. 6. 24 오후 4:00:00</t>
  </si>
  <si>
    <t>2008. 6. 24 오후 3:30:00</t>
  </si>
  <si>
    <t>2008. 6. 25 오후 4:00:00</t>
  </si>
  <si>
    <t>2008. 6. 25 오후 3:30:00</t>
  </si>
  <si>
    <t>2008. 6. 26 오후 4:00:00</t>
  </si>
  <si>
    <t>2008. 6. 26 오후 3:30:00</t>
  </si>
  <si>
    <t>2008. 6. 27 오후 4:00:00</t>
  </si>
  <si>
    <t>2008. 6. 27 오후 3:30:00</t>
  </si>
  <si>
    <t>2008. 6. 28 오후 4:00:00</t>
  </si>
  <si>
    <t>2008. 6. 28 오후 3:30:00</t>
  </si>
  <si>
    <t>2008. 6. 29 오후 4:00:00</t>
  </si>
  <si>
    <t>2008. 6. 29 오후 3:30:00</t>
  </si>
  <si>
    <t>2008. 6. 30 오후 4:00:00</t>
  </si>
  <si>
    <t>2008. 6. 30 오후 3:30:00</t>
  </si>
  <si>
    <t>2008. 7. 1 오후 4:00:00</t>
  </si>
  <si>
    <t>2008. 7. 1 오후 3:30:00</t>
  </si>
  <si>
    <t>2008. 7. 2 오후 4:00:00</t>
  </si>
  <si>
    <t>2008. 7. 2 오후 3:30:00</t>
  </si>
  <si>
    <t>2008. 7. 3 오후 4:00:00</t>
  </si>
  <si>
    <t>2008. 7. 3 오후 3:30:00</t>
  </si>
  <si>
    <t>2008. 7. 4 오후 4:00:00</t>
  </si>
  <si>
    <t>2008. 7. 4 오후 3:30:00</t>
  </si>
  <si>
    <t>2008. 7. 5 오후 4:00:00</t>
  </si>
  <si>
    <t>2008. 7. 5 오후 3:30:00</t>
  </si>
  <si>
    <t>2008. 7. 6 오후 4:00:00</t>
  </si>
  <si>
    <t>2008. 7. 6 오후 3:30:00</t>
  </si>
  <si>
    <t>2008. 7. 7 오후 4:00:00</t>
  </si>
  <si>
    <t>2008. 7. 7 오후 3:30:00</t>
  </si>
  <si>
    <t>2008. 7. 8 오후 4:00:00</t>
  </si>
  <si>
    <t>2008. 7. 8 오후 3:30:00</t>
  </si>
  <si>
    <t>2008. 7. 9 오후 4:00:00</t>
  </si>
  <si>
    <t>2008. 7. 9 오후 3:30:00</t>
  </si>
  <si>
    <t>2008. 7. 10 오후 4:00:00</t>
  </si>
  <si>
    <t>2008. 7. 10 오후 3:30:00</t>
  </si>
  <si>
    <t>2008. 7. 11 오후 4:00:00</t>
  </si>
  <si>
    <t>2008. 7. 11 오후 3:30:00</t>
  </si>
  <si>
    <t>2008. 7. 12 오후 4:00:00</t>
  </si>
  <si>
    <t>2008. 7. 12 오후 3:30:00</t>
  </si>
  <si>
    <t>2008. 7. 13 오후 4:00:00</t>
  </si>
  <si>
    <t>2008. 7. 13 오후 3:30:00</t>
  </si>
  <si>
    <t>2008. 7. 14 오후 4:00:00</t>
  </si>
  <si>
    <t>2008. 7. 14 오후 3:30:00</t>
  </si>
  <si>
    <t>2008. 7. 15 오후 4:00:00</t>
  </si>
  <si>
    <t>2008. 7. 15 오후 3:30:00</t>
  </si>
  <si>
    <t>2008. 7. 16 오후 4:00:00</t>
  </si>
  <si>
    <t>2008. 7. 16 오후 3:30:00</t>
  </si>
  <si>
    <t>2008. 7. 17 오후 4:00:00</t>
  </si>
  <si>
    <t>2008. 7. 17 오후 3:30:00</t>
  </si>
  <si>
    <t>2008. 7. 18 오후 4:00:00</t>
  </si>
  <si>
    <t>2008. 7. 18 오후 3:30:00</t>
  </si>
  <si>
    <t>2008. 7. 19 오후 4:00:00</t>
  </si>
  <si>
    <t>2008. 7. 19 오후 3:30:00</t>
  </si>
  <si>
    <t>2008. 7. 20 오후 4:00:00</t>
  </si>
  <si>
    <t>2008. 7. 20 오후 3:30:00</t>
  </si>
  <si>
    <t>2008. 7. 21 오후 4:00:00</t>
  </si>
  <si>
    <t>2008. 7. 21 오후 3:30:00</t>
  </si>
  <si>
    <t>2008. 7. 22 오후 4:00:00</t>
  </si>
  <si>
    <t>2008. 7. 22 오후 3:30:00</t>
  </si>
  <si>
    <t>2008. 7. 23 오후 4:00:00</t>
  </si>
  <si>
    <t>2008. 7. 23 오후 3:30:00</t>
  </si>
  <si>
    <t>2008. 7. 24 오후 4:00:00</t>
  </si>
  <si>
    <t>2008. 7. 24 오후 3:30:00</t>
  </si>
  <si>
    <t>2008. 7. 25 오후 4:00:00</t>
  </si>
  <si>
    <t>2008. 7. 25 오후 3:30:00</t>
  </si>
  <si>
    <t>2008. 7. 26 오후 4:00:00</t>
  </si>
  <si>
    <t>2008. 7. 26 오후 3:30:00</t>
  </si>
  <si>
    <t>2008. 7. 27 오후 4:00:00</t>
  </si>
  <si>
    <t>2008. 7. 27 오후 3:30:00</t>
  </si>
  <si>
    <t>2008. 7. 28 오후 4:00:00</t>
  </si>
  <si>
    <t>2008. 7. 28 오후 3:30:00</t>
  </si>
  <si>
    <t>2008. 7. 29 오후 4:00:00</t>
  </si>
  <si>
    <t>2008. 7. 29 오후 3:30:00</t>
  </si>
  <si>
    <t>2008. 7. 30 오후 4:00:00</t>
  </si>
  <si>
    <t>2008. 7. 30 오후 3:30:00</t>
  </si>
  <si>
    <t>2008. 7. 31 오후 4:00:00</t>
  </si>
  <si>
    <t>2008. 7. 31 오후 3:30:00</t>
  </si>
  <si>
    <t>2008. 8. 1 오후 4:00:00</t>
  </si>
  <si>
    <t>2008. 8. 1 오후 3:30:00</t>
  </si>
  <si>
    <t>2008. 8. 2 오후 4:00:00</t>
  </si>
  <si>
    <t>2008. 8. 2 오후 3:30:00</t>
  </si>
  <si>
    <t>2008. 8. 3 오후 4:00:00</t>
  </si>
  <si>
    <t>2008. 8. 3 오후 3:30:00</t>
  </si>
  <si>
    <t>2008. 8. 4 오후 4:00:00</t>
  </si>
  <si>
    <t>2008. 8. 4 오후 3:30:00</t>
  </si>
  <si>
    <t>2008. 8. 5 오후 4:00:00</t>
  </si>
  <si>
    <t>2008. 8. 5 오후 3:30:00</t>
  </si>
  <si>
    <t>2008. 8. 6 오후 4:00:00</t>
  </si>
  <si>
    <t>2008. 8. 6 오후 3:30:00</t>
  </si>
  <si>
    <t>2008. 8. 7 오후 4:00:00</t>
  </si>
  <si>
    <t>2008. 8. 7 오후 3:30:00</t>
  </si>
  <si>
    <t>2008. 8. 8 오후 4:00:00</t>
  </si>
  <si>
    <t>2008. 8. 8 오후 3:30:00</t>
  </si>
  <si>
    <t>2008. 8. 9 오후 4:00:00</t>
  </si>
  <si>
    <t>2008. 8. 9 오후 3:30:00</t>
  </si>
  <si>
    <t>2008. 8. 10 오후 4:00:00</t>
  </si>
  <si>
    <t>2008. 8. 10 오후 3:30:00</t>
  </si>
  <si>
    <t>2008. 8. 11 오후 4:00:00</t>
  </si>
  <si>
    <t>2008. 8. 11 오후 3:30:00</t>
  </si>
  <si>
    <t>2008. 8. 12 오후 4:00:00</t>
  </si>
  <si>
    <t>2008. 8. 12 오후 3:30:00</t>
  </si>
  <si>
    <t>2008. 8. 13 오후 4:00:00</t>
  </si>
  <si>
    <t>2008. 8. 13 오후 3:30:00</t>
  </si>
  <si>
    <t>2008. 8. 14 오후 4:00:00</t>
  </si>
  <si>
    <t>2008. 8. 14 오후 3:30:00</t>
  </si>
  <si>
    <t>2008. 8. 15 오후 4:00:00</t>
  </si>
  <si>
    <t>2008. 8. 15 오후 3:30:00</t>
  </si>
  <si>
    <t>2008. 8. 16 오후 4:00:00</t>
  </si>
  <si>
    <t>2008. 8. 16 오후 3:30:00</t>
  </si>
  <si>
    <t>2008. 8. 17 오후 4:00:00</t>
  </si>
  <si>
    <t>2008. 8. 17 오후 3:30:00</t>
  </si>
  <si>
    <t>2008. 8. 18 오후 4:00:00</t>
  </si>
  <si>
    <t>2008. 8. 18 오후 3:30:00</t>
  </si>
  <si>
    <t>2008. 8. 19 오후 4:00:00</t>
  </si>
  <si>
    <t>2008. 8. 19 오후 3:30:00</t>
  </si>
  <si>
    <t>2008. 8. 20 오후 4:00:00</t>
  </si>
  <si>
    <t>2008. 8. 20 오후 3:30:00</t>
  </si>
  <si>
    <t>2008. 8. 21 오후 4:00:00</t>
  </si>
  <si>
    <t>2008. 8. 21 오후 3:30:00</t>
  </si>
  <si>
    <t>2008. 8. 22 오후 4:00:00</t>
  </si>
  <si>
    <t>2008. 8. 22 오후 3:30:00</t>
  </si>
  <si>
    <t>2008. 8. 23 오후 4:00:00</t>
  </si>
  <si>
    <t>2008. 8. 23 오후 3:30:00</t>
  </si>
  <si>
    <t>2008. 8. 24 오후 4:00:00</t>
  </si>
  <si>
    <t>2008. 8. 24 오후 3:30:00</t>
  </si>
  <si>
    <t>2008. 8. 25 오후 4:00:00</t>
  </si>
  <si>
    <t>2008. 8. 25 오후 3:30:00</t>
  </si>
  <si>
    <t>2008. 8. 26 오후 4:00:00</t>
  </si>
  <si>
    <t>2008. 8. 26 오후 3:30:00</t>
  </si>
  <si>
    <t>2008. 8. 27 오후 4:00:00</t>
  </si>
  <si>
    <t>2008. 8. 27 오후 3:30:00</t>
  </si>
  <si>
    <t>2008. 8. 28 오후 4:00:00</t>
  </si>
  <si>
    <t>2008. 8. 28 오후 3:30:00</t>
  </si>
  <si>
    <t>2008. 8. 29 오후 4:00:00</t>
  </si>
  <si>
    <t>2008. 8. 29 오후 3:30:00</t>
  </si>
  <si>
    <t>2008. 8. 30 오후 4:00:00</t>
  </si>
  <si>
    <t>2008. 8. 30 오후 3:30:00</t>
  </si>
  <si>
    <t>2008. 8. 31 오후 4:00:00</t>
  </si>
  <si>
    <t>2008. 8. 31 오후 3:30:00</t>
  </si>
  <si>
    <t>2008. 9. 1 오후 4:00:00</t>
  </si>
  <si>
    <t>2008. 9. 1 오후 3:30:00</t>
  </si>
  <si>
    <t>2008. 9. 2 오후 4:00:00</t>
  </si>
  <si>
    <t>2008. 9. 2 오후 3:30:00</t>
  </si>
  <si>
    <t>2008. 9. 3 오후 4:00:00</t>
  </si>
  <si>
    <t>2008. 9. 3 오후 3:30:00</t>
  </si>
  <si>
    <t>2008. 9. 4 오후 4:00:00</t>
  </si>
  <si>
    <t>2008. 9. 4 오후 3:30:00</t>
  </si>
  <si>
    <t>2008. 9. 5 오후 4:00:00</t>
  </si>
  <si>
    <t>2008. 9. 5 오후 3:30:00</t>
  </si>
  <si>
    <t>2008. 9. 6 오후 4:00:00</t>
  </si>
  <si>
    <t>2008. 9. 6 오후 3:30:00</t>
  </si>
  <si>
    <t>2008. 9. 7 오후 4:00:00</t>
  </si>
  <si>
    <t>2008. 9. 7 오후 3:30:00</t>
  </si>
  <si>
    <t>2008. 9. 8 오후 4:00:00</t>
  </si>
  <si>
    <t>2008. 9. 8 오후 3:30:00</t>
  </si>
  <si>
    <t>2008. 9. 9 오후 4:00:00</t>
  </si>
  <si>
    <t>2008. 9. 9 오후 3:30:00</t>
  </si>
  <si>
    <t>2008. 9. 10 오후 4:00:00</t>
  </si>
  <si>
    <t>2008. 9. 10 오후 3:30:00</t>
  </si>
  <si>
    <t>2008. 9. 11 오후 4:00:00</t>
  </si>
  <si>
    <t>2008. 9. 11 오후 3:30:00</t>
  </si>
  <si>
    <t>2008. 9. 12 오후 4:00:00</t>
  </si>
  <si>
    <t>2008. 9. 12 오후 3:30:00</t>
  </si>
  <si>
    <t>2008. 9. 13 오후 4:00:00</t>
  </si>
  <si>
    <t>2008. 9. 13 오후 3:30:00</t>
  </si>
  <si>
    <t>2008. 9. 14 오후 4:00:00</t>
  </si>
  <si>
    <t>2008. 9. 14 오후 3:30:00</t>
  </si>
  <si>
    <t>2008. 9. 15 오후 4:00:00</t>
  </si>
  <si>
    <t>2008. 9. 15 오후 3:30:00</t>
  </si>
  <si>
    <t>2008. 9. 16 오후 4:00:00</t>
  </si>
  <si>
    <t>2008. 9. 16 오후 3:30:00</t>
  </si>
  <si>
    <t>2008. 9. 17 오후 4:00:00</t>
  </si>
  <si>
    <t>2008. 9. 17 오후 3:30:00</t>
  </si>
  <si>
    <t>2008. 9. 18 오후 4:00:00</t>
  </si>
  <si>
    <t>2008. 9. 18 오후 3:30:00</t>
  </si>
  <si>
    <t>2008. 9. 19 오후 4:00:00</t>
  </si>
  <si>
    <t>2008. 9. 19 오후 3:30:00</t>
  </si>
  <si>
    <t>2008. 9. 20 오후 4:00:00</t>
  </si>
  <si>
    <t>2008. 9. 20 오후 3:30:00</t>
  </si>
  <si>
    <t>2008. 9. 21 오후 4:00:00</t>
  </si>
  <si>
    <t>2008. 9. 21 오후 3:30:00</t>
  </si>
  <si>
    <t>2008. 9. 22 오후 4:00:00</t>
  </si>
  <si>
    <t>2008. 9. 22 오후 3:30:00</t>
  </si>
  <si>
    <t>2008. 9. 23 오후 4:00:00</t>
  </si>
  <si>
    <t>2008. 9. 23 오후 3:30:00</t>
  </si>
  <si>
    <t>2008. 9. 24 오후 4:00:00</t>
  </si>
  <si>
    <t>2008. 9. 24 오후 3:30:00</t>
  </si>
  <si>
    <t>2008. 9. 25 오후 4:00:00</t>
  </si>
  <si>
    <t>2008. 9. 25 오후 3:30:00</t>
  </si>
  <si>
    <t>2008. 9. 26 오후 4:00:00</t>
  </si>
  <si>
    <t>2008. 9. 26 오후 3:30:00</t>
  </si>
  <si>
    <t>2008. 9. 27 오후 4:00:00</t>
  </si>
  <si>
    <t>2008. 9. 27 오후 3:30:00</t>
  </si>
  <si>
    <t>2008. 9. 28 오후 4:00:00</t>
  </si>
  <si>
    <t>2008. 9. 28 오후 3:30:00</t>
  </si>
  <si>
    <t>2008. 9. 29 오후 4:00:00</t>
  </si>
  <si>
    <t>2008. 9. 29 오후 3:30:00</t>
  </si>
  <si>
    <t>2008. 9. 30 오후 4:00:00</t>
  </si>
  <si>
    <t>2008. 9. 30 오후 3:30:00</t>
  </si>
  <si>
    <t>2008. 10. 1 오후 4:00:00</t>
  </si>
  <si>
    <t>2008. 10. 1 오후 3:30:00</t>
  </si>
  <si>
    <t>2008. 10. 2 오후 4:00:00</t>
  </si>
  <si>
    <t>2008. 10. 2 오후 3:30:00</t>
  </si>
  <si>
    <t>2008. 10. 3 오후 4:00:00</t>
  </si>
  <si>
    <t>2008. 10. 3 오후 3:30:00</t>
  </si>
  <si>
    <t>2008. 10. 4 오후 4:00:00</t>
  </si>
  <si>
    <t>2008. 10. 4 오후 3:30:00</t>
  </si>
  <si>
    <t>2008. 10. 5 오후 4:00:00</t>
  </si>
  <si>
    <t>2008. 10. 5 오후 3:30:00</t>
  </si>
  <si>
    <t>2008. 10. 6 오후 4:00:00</t>
  </si>
  <si>
    <t>2008. 10. 6 오후 3:30:00</t>
  </si>
  <si>
    <t>2008. 10. 7 오후 4:00:00</t>
  </si>
  <si>
    <t>2008. 10. 7 오후 3:30:00</t>
  </si>
  <si>
    <t>2008. 10. 8 오후 4:00:00</t>
  </si>
  <si>
    <t>2008. 10. 8 오후 3:30:00</t>
  </si>
  <si>
    <t>2008. 10. 9 오후 4:00:00</t>
  </si>
  <si>
    <t>2008. 10. 9 오후 3:30:00</t>
  </si>
  <si>
    <t>2008. 10. 10 오후 4:00:00</t>
  </si>
  <si>
    <t>2008. 10. 10 오후 3:30:00</t>
  </si>
  <si>
    <t>2008. 10. 11 오후 4:00:00</t>
  </si>
  <si>
    <t>2008. 10. 11 오후 3:30:00</t>
  </si>
  <si>
    <t>2008. 10. 12 오후 4:00:00</t>
  </si>
  <si>
    <t>2008. 10. 12 오후 3:30:00</t>
  </si>
  <si>
    <t>2008. 10. 13 오후 4:00:00</t>
  </si>
  <si>
    <t>2008. 10. 13 오후 3:30:00</t>
  </si>
  <si>
    <t>2008. 10. 14 오후 4:00:00</t>
  </si>
  <si>
    <t>2008. 10. 14 오후 3:30:00</t>
  </si>
  <si>
    <t>2008. 10. 15 오후 4:00:00</t>
  </si>
  <si>
    <t>2008. 10. 15 오후 3:30:00</t>
  </si>
  <si>
    <t>2008. 10. 16 오후 4:00:00</t>
  </si>
  <si>
    <t>2008. 10. 16 오후 3:30:00</t>
  </si>
  <si>
    <t>2008. 10. 17 오후 4:00:00</t>
  </si>
  <si>
    <t>2008. 10. 17 오후 3:30:00</t>
  </si>
  <si>
    <t>2008. 10. 18 오후 4:00:00</t>
  </si>
  <si>
    <t>2008. 10. 18 오후 3:30:00</t>
  </si>
  <si>
    <t>2008. 10. 19 오후 4:00:00</t>
  </si>
  <si>
    <t>2008. 10. 19 오후 3:30:00</t>
  </si>
  <si>
    <t>2008. 10. 20 오후 4:00:00</t>
  </si>
  <si>
    <t>2008. 10. 20 오후 3:30:00</t>
  </si>
  <si>
    <t>2008. 10. 21 오후 4:00:00</t>
  </si>
  <si>
    <t>2008. 10. 21 오후 3:30:00</t>
  </si>
  <si>
    <t>2008. 10. 22 오후 4:00:00</t>
  </si>
  <si>
    <t>2008. 10. 22 오후 3:30:00</t>
  </si>
  <si>
    <t>2008. 10. 23 오후 4:00:00</t>
  </si>
  <si>
    <t>2008. 10. 23 오후 3:30:00</t>
  </si>
  <si>
    <t>2008. 10. 24 오후 4:00:00</t>
  </si>
  <si>
    <t>2008. 10. 24 오후 3:30:00</t>
  </si>
  <si>
    <t>2008. 10. 25 오후 4:00:00</t>
  </si>
  <si>
    <t>2008. 10. 25 오후 3:30:00</t>
  </si>
  <si>
    <t>2008. 10. 26 오후 4:00:00</t>
  </si>
  <si>
    <t>2008. 10. 26 오후 3:30:00</t>
  </si>
  <si>
    <t>2008. 10. 27 오후 4:00:00</t>
  </si>
  <si>
    <t>2008. 10. 27 오후 3:30:00</t>
  </si>
  <si>
    <t>2008. 10. 28 오후 4:00:00</t>
  </si>
  <si>
    <t>2008. 10. 28 오후 3:30:00</t>
  </si>
  <si>
    <t>2008. 10. 29 오후 4:00:00</t>
  </si>
  <si>
    <t>2008. 10. 29 오후 3:30:00</t>
  </si>
  <si>
    <t>2008. 10. 30 오후 4:00:00</t>
  </si>
  <si>
    <t>2008. 10. 30 오후 3:30:00</t>
  </si>
  <si>
    <t>2008. 10. 31 오후 4:00:00</t>
  </si>
  <si>
    <t>2008. 10. 31 오후 3:30:00</t>
  </si>
  <si>
    <t>2008. 11. 1 오후 4:00:00</t>
  </si>
  <si>
    <t>2008. 11. 1 오후 3:30:00</t>
  </si>
  <si>
    <t>2008. 11. 2 오후 4:00:00</t>
  </si>
  <si>
    <t>2008. 11. 2 오후 3:30:00</t>
  </si>
  <si>
    <t>2008. 11. 3 오후 4:00:00</t>
  </si>
  <si>
    <t>2008. 11. 3 오후 3:30:00</t>
  </si>
  <si>
    <t>2008. 11. 4 오후 4:00:00</t>
  </si>
  <si>
    <t>2008. 11. 4 오후 3:30:00</t>
  </si>
  <si>
    <t>2008. 11. 5 오후 4:00:00</t>
  </si>
  <si>
    <t>2008. 11. 5 오후 3:30:00</t>
  </si>
  <si>
    <t>2008. 11. 6 오후 4:00:00</t>
  </si>
  <si>
    <t>2008. 11. 6 오후 3:30:00</t>
  </si>
  <si>
    <t>2008. 11. 7 오후 4:00:00</t>
  </si>
  <si>
    <t>2008. 11. 7 오후 3:30:00</t>
  </si>
  <si>
    <t>2008. 11. 8 오후 4:00:00</t>
  </si>
  <si>
    <t>2008. 11. 8 오후 3:30:00</t>
  </si>
  <si>
    <t>2008. 11. 9 오후 4:00:00</t>
  </si>
  <si>
    <t>2008. 11. 9 오후 3:30:00</t>
  </si>
  <si>
    <t>2008. 11. 10 오후 4:00:00</t>
  </si>
  <si>
    <t>2008. 11. 10 오후 3:30:00</t>
  </si>
  <si>
    <t>2008. 11. 11 오후 4:00:00</t>
  </si>
  <si>
    <t>2008. 11. 11 오후 3:30:00</t>
  </si>
  <si>
    <t>2008. 11. 12 오후 4:00:00</t>
  </si>
  <si>
    <t>2008. 11. 12 오후 3:30:00</t>
  </si>
  <si>
    <t>2008. 11. 13 오후 4:00:00</t>
  </si>
  <si>
    <t>2008. 11. 13 오후 3:30:00</t>
  </si>
  <si>
    <t>2008. 11. 14 오후 4:00:00</t>
  </si>
  <si>
    <t>2008. 11. 14 오후 3:30:00</t>
  </si>
  <si>
    <t>2008. 11. 15 오후 4:00:00</t>
  </si>
  <si>
    <t>2008. 11. 15 오후 3:30:00</t>
  </si>
  <si>
    <t>2008. 11. 16 오후 4:00:00</t>
  </si>
  <si>
    <t>2008. 11. 16 오후 3:30:00</t>
  </si>
  <si>
    <t>2008. 11. 17 오후 4:00:00</t>
  </si>
  <si>
    <t>2008. 11. 17 오후 3:30:00</t>
  </si>
  <si>
    <t>2008. 11. 18 오후 4:00:00</t>
  </si>
  <si>
    <t>2008. 11. 18 오후 3:30:00</t>
  </si>
  <si>
    <t>2008. 11. 19 오후 4:00:00</t>
  </si>
  <si>
    <t>2008. 11. 19 오후 3:30:00</t>
  </si>
  <si>
    <t>2008. 11. 20 오후 4:00:00</t>
  </si>
  <si>
    <t>2008. 11. 20 오후 3:30:00</t>
  </si>
  <si>
    <t>2008. 11. 21 오후 4:00:00</t>
  </si>
  <si>
    <t>2008. 11. 21 오후 3:30:00</t>
  </si>
  <si>
    <t>2008. 11. 22 오후 4:00:00</t>
  </si>
  <si>
    <t>2008. 11. 22 오후 3:30:00</t>
  </si>
  <si>
    <t>2008. 11. 23 오후 4:00:00</t>
  </si>
  <si>
    <t>2008. 11. 23 오후 3:30:00</t>
  </si>
  <si>
    <t>2008. 11. 24 오후 4:00:00</t>
  </si>
  <si>
    <t>2008. 11. 24 오후 3:30:00</t>
  </si>
  <si>
    <t>2008. 11. 25 오후 4:00:00</t>
  </si>
  <si>
    <t>2008. 11. 25 오후 3:30:00</t>
  </si>
  <si>
    <t>2008. 11. 26 오후 4:00:00</t>
  </si>
  <si>
    <t>2008. 11. 26 오후 3:30:00</t>
  </si>
  <si>
    <t>2008. 11. 27 오후 4:00:00</t>
  </si>
  <si>
    <t>2008. 11. 27 오후 3:30:00</t>
  </si>
  <si>
    <t>2008. 11. 28 오후 4:00:00</t>
  </si>
  <si>
    <t>2008. 11. 28 오후 3:30:00</t>
  </si>
  <si>
    <t>2008. 11. 29 오후 4:00:00</t>
  </si>
  <si>
    <t>2008. 11. 29 오후 3:30:00</t>
  </si>
  <si>
    <t>2008. 11. 30 오후 4:00:00</t>
  </si>
  <si>
    <t>2008. 11. 30 오후 3:30:00</t>
  </si>
  <si>
    <t>2008. 12. 1 오후 4:00:00</t>
  </si>
  <si>
    <t>2008. 12. 1 오후 3:30:00</t>
  </si>
  <si>
    <t>2008. 12. 2 오후 4:00:00</t>
  </si>
  <si>
    <t>2008. 12. 2 오후 3:30:00</t>
  </si>
  <si>
    <t>2008. 12. 3 오후 4:00:00</t>
  </si>
  <si>
    <t>2008. 12. 3 오후 3:30:00</t>
  </si>
  <si>
    <t>2008. 12. 4 오후 4:00:00</t>
  </si>
  <si>
    <t>2008. 12. 4 오후 3:30:00</t>
  </si>
  <si>
    <t>2008. 12. 5 오후 4:00:00</t>
  </si>
  <si>
    <t>2008. 12. 5 오후 3:30:00</t>
  </si>
  <si>
    <t>2008. 12. 6 오후 4:00:00</t>
  </si>
  <si>
    <t>2008. 12. 6 오후 3:30:00</t>
  </si>
  <si>
    <t>2008. 12. 7 오후 4:00:00</t>
  </si>
  <si>
    <t>2008. 12. 7 오후 3:30:00</t>
  </si>
  <si>
    <t>2008. 12. 8 오후 4:00:00</t>
  </si>
  <si>
    <t>2008. 12. 8 오후 3:30:00</t>
  </si>
  <si>
    <t>2008. 12. 9 오후 4:00:00</t>
  </si>
  <si>
    <t>2008. 12. 9 오후 3:30:00</t>
  </si>
  <si>
    <t>2008. 12. 10 오후 4:00:00</t>
  </si>
  <si>
    <t>2008. 12. 10 오후 3:30:00</t>
  </si>
  <si>
    <t>2008. 12. 11 오후 4:00:00</t>
  </si>
  <si>
    <t>2008. 12. 11 오후 3:30:00</t>
  </si>
  <si>
    <t>2008. 12. 12 오후 4:00:00</t>
  </si>
  <si>
    <t>2008. 12. 12 오후 3:30:00</t>
  </si>
  <si>
    <t>2008. 12. 13 오후 4:00:00</t>
  </si>
  <si>
    <t>2008. 12. 13 오후 3:30:00</t>
  </si>
  <si>
    <t>2008. 12. 14 오후 4:00:00</t>
  </si>
  <si>
    <t>2008. 12. 14 오후 3:30:00</t>
  </si>
  <si>
    <t>2008. 12. 15 오후 4:00:00</t>
  </si>
  <si>
    <t>2008. 12. 15 오후 3:30:00</t>
  </si>
  <si>
    <t>2008. 12. 16 오후 4:00:00</t>
  </si>
  <si>
    <t>2008. 12. 16 오후 3:30:00</t>
  </si>
  <si>
    <t>2008. 12. 17 오후 4:00:00</t>
  </si>
  <si>
    <t>2008. 12. 17 오후 3:30:00</t>
  </si>
  <si>
    <t>2008. 12. 18 오후 4:00:00</t>
  </si>
  <si>
    <t>2008. 12. 18 오후 3:30:00</t>
  </si>
  <si>
    <t>2008. 12. 19 오후 4:00:00</t>
  </si>
  <si>
    <t>2008. 12. 19 오후 3:30:00</t>
  </si>
  <si>
    <t>2008. 12. 20 오후 4:00:00</t>
  </si>
  <si>
    <t>2008. 12. 20 오후 3:30:00</t>
  </si>
  <si>
    <t>2008. 12. 21 오후 4:00:00</t>
  </si>
  <si>
    <t>2008. 12. 21 오후 3:30:00</t>
  </si>
  <si>
    <t>2008. 12. 22 오후 4:00:00</t>
  </si>
  <si>
    <t>2008. 12. 22 오후 3:30:00</t>
  </si>
  <si>
    <t>2008. 12. 23 오후 4:00:00</t>
  </si>
  <si>
    <t>2008. 12. 23 오후 3:30:00</t>
  </si>
  <si>
    <t>2008. 12. 24 오후 4:00:00</t>
  </si>
  <si>
    <t>2008. 12. 24 오후 3:30:00</t>
  </si>
  <si>
    <t>2008. 12. 25 오후 4:00:00</t>
  </si>
  <si>
    <t>2008. 12. 25 오후 3:30:00</t>
  </si>
  <si>
    <t>2008. 12. 26 오후 4:00:00</t>
  </si>
  <si>
    <t>2008. 12. 26 오후 3:30:00</t>
  </si>
  <si>
    <t>2008. 12. 27 오후 4:00:00</t>
  </si>
  <si>
    <t>2008. 12. 27 오후 3:30:00</t>
  </si>
  <si>
    <t>2008. 12. 28 오후 4:00:00</t>
  </si>
  <si>
    <t>2008. 12. 28 오후 3:30:00</t>
  </si>
  <si>
    <t>2008. 12. 29 오후 4:00:00</t>
  </si>
  <si>
    <t>2008. 12. 29 오후 3:30:00</t>
  </si>
  <si>
    <t>2008. 12. 30 오후 4:00:00</t>
  </si>
  <si>
    <t>2008. 12. 30 오후 3:30:00</t>
  </si>
  <si>
    <t>2008. 12. 31 오후 4:00:00</t>
  </si>
  <si>
    <t>2008. 12. 31 오후 3:30:00</t>
  </si>
  <si>
    <t>2009. 1. 1 오후 4:00:00</t>
  </si>
  <si>
    <t>2009. 1. 1 오후 3:30:00</t>
  </si>
  <si>
    <t>2009. 1. 2 오후 4:00:00</t>
  </si>
  <si>
    <t>2009. 1. 2 오후 3:30:00</t>
  </si>
  <si>
    <t>2009. 1. 3 오후 4:00:00</t>
  </si>
  <si>
    <t>2009. 1. 3 오후 3:30:00</t>
  </si>
  <si>
    <t>2009. 1. 4 오후 4:00:00</t>
  </si>
  <si>
    <t>2009. 1. 4 오후 3:30:00</t>
  </si>
  <si>
    <t>2009. 1. 5 오후 4:00:00</t>
  </si>
  <si>
    <t>2009. 1. 5 오후 3:30:00</t>
  </si>
  <si>
    <t>2009. 1. 6 오후 4:00:00</t>
  </si>
  <si>
    <t>2009. 1. 6 오후 3:30:00</t>
  </si>
  <si>
    <t>2009. 1. 7 오후 4:00:00</t>
  </si>
  <si>
    <t>2009. 1. 7 오후 3:30:00</t>
  </si>
  <si>
    <t>2009. 1. 8 오후 4:00:00</t>
  </si>
  <si>
    <t>2009. 1. 8 오후 3:30:00</t>
  </si>
  <si>
    <t>2009. 1. 9 오후 4:00:00</t>
  </si>
  <si>
    <t>2009. 1. 9 오후 3:30:00</t>
  </si>
  <si>
    <t>2009. 1. 10 오후 4:00:00</t>
  </si>
  <si>
    <t>2009. 1. 10 오후 3:30:00</t>
  </si>
  <si>
    <t>2009. 1. 11 오후 4:00:00</t>
  </si>
  <si>
    <t>2009. 1. 11 오후 3:30:00</t>
  </si>
  <si>
    <t>2009. 1. 12 오후 4:00:00</t>
  </si>
  <si>
    <t>2009. 1. 12 오후 3:30:00</t>
  </si>
  <si>
    <t>2009. 1. 13 오후 4:00:00</t>
  </si>
  <si>
    <t>2009. 1. 13 오후 3:30:00</t>
  </si>
  <si>
    <t>2009. 1. 14 오후 4:00:00</t>
  </si>
  <si>
    <t>2009. 1. 14 오후 3:30:00</t>
  </si>
  <si>
    <t>2009. 1. 15 오후 4:00:00</t>
  </si>
  <si>
    <t>2009. 1. 15 오후 3:30:00</t>
  </si>
  <si>
    <t>2009. 1. 16 오후 4:00:00</t>
  </si>
  <si>
    <t>2009. 1. 16 오후 3:30:00</t>
  </si>
  <si>
    <t>2009. 1. 17 오후 4:00:00</t>
  </si>
  <si>
    <t>2009. 1. 17 오후 3:30:00</t>
  </si>
  <si>
    <t>2009. 1. 18 오후 4:00:00</t>
  </si>
  <si>
    <t>2009. 1. 18 오후 3:30:00</t>
  </si>
  <si>
    <t>2009. 1. 19 오후 4:00:00</t>
  </si>
  <si>
    <t>2009. 1. 19 오후 3:30:00</t>
  </si>
  <si>
    <t>2009. 1. 20 오후 4:00:00</t>
  </si>
  <si>
    <t>2009. 1. 20 오후 3:30:00</t>
  </si>
  <si>
    <t>2009. 1. 21 오후 4:00:00</t>
  </si>
  <si>
    <t>2009. 1. 21 오후 3:30:00</t>
  </si>
  <si>
    <t>2009. 1. 22 오후 4:00:00</t>
  </si>
  <si>
    <t>2009. 1. 22 오후 3:30:00</t>
  </si>
  <si>
    <t>2009. 1. 23 오후 4:00:00</t>
  </si>
  <si>
    <t>2009. 1. 23 오후 3:30:00</t>
  </si>
  <si>
    <t>2009. 1. 24 오후 4:00:00</t>
  </si>
  <si>
    <t>2009. 1. 24 오후 3:30:00</t>
  </si>
  <si>
    <t>2009. 1. 25 오후 4:00:00</t>
  </si>
  <si>
    <t>2009. 1. 25 오후 3:30:00</t>
  </si>
  <si>
    <t>2009. 1. 26 오후 4:00:00</t>
  </si>
  <si>
    <t>2009. 1. 26 오후 3:30:00</t>
  </si>
  <si>
    <t>2009. 1. 27 오후 4:00:00</t>
  </si>
  <si>
    <t>2009. 1. 27 오후 3:30:00</t>
  </si>
  <si>
    <t>2009. 1. 28 오후 4:00:00</t>
  </si>
  <si>
    <t>2009. 1. 28 오후 3:30:00</t>
  </si>
  <si>
    <t>2009. 1. 29 오후 4:00:00</t>
  </si>
  <si>
    <t>2009. 1. 29 오후 3:30:00</t>
  </si>
  <si>
    <t>2009. 1. 30 오후 4:00:00</t>
  </si>
  <si>
    <t>2009. 1. 30 오후 3:30:00</t>
  </si>
  <si>
    <t>2009. 1. 31 오후 4:00:00</t>
  </si>
  <si>
    <t>2009. 1. 31 오후 3:30:00</t>
  </si>
  <si>
    <t>2009. 2. 1 오후 4:00:00</t>
  </si>
  <si>
    <t>2009. 2. 1 오후 3:30:00</t>
  </si>
  <si>
    <t>2009. 2. 2 오후 4:00:00</t>
  </si>
  <si>
    <t>2009. 2. 2 오후 3:30:00</t>
  </si>
  <si>
    <t>2009. 2. 3 오후 4:00:00</t>
  </si>
  <si>
    <t>2009. 2. 3 오후 3:30:00</t>
  </si>
  <si>
    <t>2009. 2. 4 오후 4:00:00</t>
  </si>
  <si>
    <t>2009. 2. 4 오후 3:30:00</t>
  </si>
  <si>
    <t>2009. 2. 5 오후 4:00:00</t>
  </si>
  <si>
    <t>2009. 2. 5 오후 3:30:00</t>
  </si>
  <si>
    <t>2009. 2. 6 오후 4:00:00</t>
  </si>
  <si>
    <t>2009. 2. 6 오후 3:30:00</t>
  </si>
  <si>
    <t>2009. 2. 7 오후 4:00:00</t>
  </si>
  <si>
    <t>2009. 2. 7 오후 3:30:00</t>
  </si>
  <si>
    <t>2009. 2. 8 오후 4:00:00</t>
  </si>
  <si>
    <t>2009. 2. 8 오후 3:30:00</t>
  </si>
  <si>
    <t>2009. 2. 9 오후 4:00:00</t>
  </si>
  <si>
    <t>2009. 2. 9 오후 3:30:00</t>
  </si>
  <si>
    <t>2009. 2. 10 오후 4:00:00</t>
  </si>
  <si>
    <t>2009. 2. 10 오후 3:30:00</t>
  </si>
  <si>
    <t>2009. 2. 11 오후 4:00:00</t>
  </si>
  <si>
    <t>2009. 2. 11 오후 3:30:00</t>
  </si>
  <si>
    <t>2009. 2. 12 오후 4:00:00</t>
  </si>
  <si>
    <t>2009. 2. 12 오후 3:30:00</t>
  </si>
  <si>
    <t>2009. 2. 13 오후 4:00:00</t>
  </si>
  <si>
    <t>2009. 2. 13 오후 3:30:00</t>
  </si>
  <si>
    <t>2009. 2. 14 오후 4:00:00</t>
  </si>
  <si>
    <t>2009. 2. 14 오후 3:30:00</t>
  </si>
  <si>
    <t>2009. 2. 15 오후 4:00:00</t>
  </si>
  <si>
    <t>2009. 2. 15 오후 3:30:00</t>
  </si>
  <si>
    <t>2009. 2. 16 오후 4:00:00</t>
  </si>
  <si>
    <t>2009. 2. 16 오후 3:30:00</t>
  </si>
  <si>
    <t>2009. 2. 17 오후 4:00:00</t>
  </si>
  <si>
    <t>2009. 2. 17 오후 3:30:00</t>
  </si>
  <si>
    <t>2009. 2. 18 오후 4:00:00</t>
  </si>
  <si>
    <t>2009. 2. 18 오후 3:30:00</t>
  </si>
  <si>
    <t>2009. 2. 19 오후 4:00:00</t>
  </si>
  <si>
    <t>2009. 2. 19 오후 3:30:00</t>
  </si>
  <si>
    <t>2009. 2. 20 오후 4:00:00</t>
  </si>
  <si>
    <t>2009. 2. 20 오후 3:30:00</t>
  </si>
  <si>
    <t>2009. 2. 21 오후 4:00:00</t>
  </si>
  <si>
    <t>2009. 2. 21 오후 3:30:00</t>
  </si>
  <si>
    <t>2009. 2. 22 오후 4:00:00</t>
  </si>
  <si>
    <t>2009. 2. 22 오후 3:30:00</t>
  </si>
  <si>
    <t>2009. 2. 23 오후 4:00:00</t>
  </si>
  <si>
    <t>2009. 2. 23 오후 3:30:00</t>
  </si>
  <si>
    <t>2009. 2. 24 오후 4:00:00</t>
  </si>
  <si>
    <t>2009. 2. 24 오후 3:30:00</t>
  </si>
  <si>
    <t>2009. 2. 25 오후 4:00:00</t>
  </si>
  <si>
    <t>2009. 2. 25 오후 3:30:00</t>
  </si>
  <si>
    <t>2009. 2. 26 오후 4:00:00</t>
  </si>
  <si>
    <t>2009. 2. 26 오후 3:30:00</t>
  </si>
  <si>
    <t>2009. 2. 27 오후 4:00:00</t>
  </si>
  <si>
    <t>2009. 2. 27 오후 3:30:00</t>
  </si>
  <si>
    <t>2009. 2. 28 오후 4:00:00</t>
  </si>
  <si>
    <t>2009. 2. 28 오후 3:30:00</t>
  </si>
  <si>
    <t>2009. 3. 1 오후 4:00:00</t>
  </si>
  <si>
    <t>2009. 3. 1 오후 3:30:00</t>
  </si>
  <si>
    <t>2009. 3. 2 오후 4:00:00</t>
  </si>
  <si>
    <t>2009. 3. 2 오후 3:30:00</t>
  </si>
  <si>
    <t>2009. 3. 3 오후 4:00:00</t>
  </si>
  <si>
    <t>2009. 3. 3 오후 3:30:00</t>
  </si>
  <si>
    <t>2009. 3. 4 오후 4:00:00</t>
  </si>
  <si>
    <t>2009. 3. 4 오후 3:30:00</t>
  </si>
  <si>
    <t>2009. 3. 5 오후 4:00:00</t>
  </si>
  <si>
    <t>2009. 3. 5 오후 3:30:00</t>
  </si>
  <si>
    <t>2009. 3. 6 오후 4:00:00</t>
  </si>
  <si>
    <t>2009. 3. 6 오후 3:30:00</t>
  </si>
  <si>
    <t>2009. 3. 7 오후 4:00:00</t>
  </si>
  <si>
    <t>2009. 3. 7 오후 3:30:00</t>
  </si>
  <si>
    <t>2009. 3. 8 오후 4:00:00</t>
  </si>
  <si>
    <t>2009. 3. 8 오후 3:30:00</t>
  </si>
  <si>
    <t>2009. 3. 9 오후 4:00:00</t>
  </si>
  <si>
    <t>2009. 3. 9 오후 3:30:00</t>
  </si>
  <si>
    <t>2009. 3. 10 오후 4:00:00</t>
  </si>
  <si>
    <t>2009. 3. 10 오후 3:30:00</t>
  </si>
  <si>
    <t>2009. 3. 11 오후 4:00:00</t>
  </si>
  <si>
    <t>2009. 3. 11 오후 3:30:00</t>
  </si>
  <si>
    <t>2009. 3. 12 오후 4:00:00</t>
  </si>
  <si>
    <t>2009. 3. 12 오후 3:30:00</t>
  </si>
  <si>
    <t>2009. 3. 13 오후 4:00:00</t>
  </si>
  <si>
    <t>2009. 3. 13 오후 3:30:00</t>
  </si>
  <si>
    <t>2009. 3. 14 오후 4:00:00</t>
  </si>
  <si>
    <t>2009. 3. 14 오후 3:30:00</t>
  </si>
  <si>
    <t>2009. 3. 15 오후 4:00:00</t>
  </si>
  <si>
    <t>2009. 3. 15 오후 3:30:00</t>
  </si>
  <si>
    <t>2009. 3. 16 오후 4:00:00</t>
  </si>
  <si>
    <t>2009. 3. 16 오후 3:30:00</t>
  </si>
  <si>
    <t>2009. 3. 17 오후 4:00:00</t>
  </si>
  <si>
    <t>2009. 3. 17 오후 3:30:00</t>
  </si>
  <si>
    <t>2009. 3. 18 오후 4:00:00</t>
  </si>
  <si>
    <t>2009. 3. 18 오후 3:30:00</t>
  </si>
  <si>
    <t>2009. 3. 19 오후 4:00:00</t>
  </si>
  <si>
    <t>2009. 3. 19 오후 3:30:00</t>
  </si>
  <si>
    <t>2009. 3. 20 오후 4:00:00</t>
  </si>
  <si>
    <t>2009. 3. 20 오후 3:30:00</t>
  </si>
  <si>
    <t>2009. 3. 21 오후 4:00:00</t>
  </si>
  <si>
    <t>2009. 3. 21 오후 3:30:00</t>
  </si>
  <si>
    <t>2009. 3. 22 오후 4:00:00</t>
  </si>
  <si>
    <t>2009. 3. 22 오후 3:30:00</t>
  </si>
  <si>
    <t>2009. 3. 23 오후 4:00:00</t>
  </si>
  <si>
    <t>2009. 3. 23 오후 3:30:00</t>
  </si>
  <si>
    <t>2009. 3. 24 오후 4:00:00</t>
  </si>
  <si>
    <t>2009. 3. 24 오후 3:30:00</t>
  </si>
  <si>
    <t>2009. 3. 25 오후 4:00:00</t>
  </si>
  <si>
    <t>2009. 3. 25 오후 3:30:00</t>
  </si>
  <si>
    <t>2009. 3. 26 오후 4:00:00</t>
  </si>
  <si>
    <t>2009. 3. 26 오후 3:30:00</t>
  </si>
  <si>
    <t>2009. 3. 27 오후 4:00:00</t>
  </si>
  <si>
    <t>2009. 3. 27 오후 3:30:00</t>
  </si>
  <si>
    <t>2009. 3. 28 오후 4:00:00</t>
  </si>
  <si>
    <t>2009. 3. 28 오후 3:30:00</t>
  </si>
  <si>
    <t>2009. 3. 29 오후 4:00:00</t>
  </si>
  <si>
    <t>2009. 3. 29 오후 3:30:00</t>
  </si>
  <si>
    <t>2009. 3. 30 오후 4:00:00</t>
  </si>
  <si>
    <t>2009. 3. 30 오후 3:30:00</t>
  </si>
  <si>
    <t>2009. 3. 31 오후 4:00:00</t>
  </si>
  <si>
    <t>2009. 3. 31 오후 3:30:00</t>
  </si>
  <si>
    <t>2009. 4. 1 오후 4:00:00</t>
  </si>
  <si>
    <t>2009. 4. 1 오후 3:30:00</t>
  </si>
  <si>
    <t>2009. 4. 2 오후 4:00:00</t>
  </si>
  <si>
    <t>2009. 4. 2 오후 3:30:00</t>
  </si>
  <si>
    <t>2009. 4. 3 오후 4:00:00</t>
  </si>
  <si>
    <t>2009. 4. 3 오후 3:30:00</t>
  </si>
  <si>
    <t>2009. 4. 4 오후 4:00:00</t>
  </si>
  <si>
    <t>2009. 4. 4 오후 3:30:00</t>
  </si>
  <si>
    <t>2009. 4. 5 오후 4:00:00</t>
  </si>
  <si>
    <t>2009. 4. 5 오후 3:30:00</t>
  </si>
  <si>
    <t>2009. 4. 6 오후 4:00:00</t>
  </si>
  <si>
    <t>2009. 4. 6 오후 3:30:00</t>
  </si>
  <si>
    <t>2009. 4. 7 오후 4:00:00</t>
  </si>
  <si>
    <t>2009. 4. 7 오후 3:30:00</t>
  </si>
  <si>
    <t>2009. 4. 8 오후 4:00:00</t>
  </si>
  <si>
    <t>2009. 4. 8 오후 3:30:00</t>
  </si>
  <si>
    <t>2009. 4. 9 오후 4:00:00</t>
  </si>
  <si>
    <t>2009. 4. 9 오후 3:30:00</t>
  </si>
  <si>
    <t>2009. 4. 10 오후 4:00:00</t>
  </si>
  <si>
    <t>2009. 4. 10 오후 3:30:00</t>
  </si>
  <si>
    <t>2009. 4. 11 오후 4:00:00</t>
  </si>
  <si>
    <t>2009. 4. 11 오후 3:30:00</t>
  </si>
  <si>
    <t>2009. 4. 12 오후 4:00:00</t>
  </si>
  <si>
    <t>2009. 4. 12 오후 3:30:00</t>
  </si>
  <si>
    <t>2009. 4. 13 오후 4:00:00</t>
  </si>
  <si>
    <t>2009. 4. 13 오후 3:30:00</t>
  </si>
  <si>
    <t>2009. 4. 14 오후 4:00:00</t>
  </si>
  <si>
    <t>2009. 4. 14 오후 3:30:00</t>
  </si>
  <si>
    <t>2009. 4. 15 오후 4:00:00</t>
  </si>
  <si>
    <t>2009. 4. 15 오후 3:30:00</t>
  </si>
  <si>
    <t>2009. 4. 16 오후 4:00:00</t>
  </si>
  <si>
    <t>2009. 4. 16 오후 3:30:00</t>
  </si>
  <si>
    <t>2009. 4. 17 오후 4:00:00</t>
  </si>
  <si>
    <t>2009. 4. 17 오후 3:30:00</t>
  </si>
  <si>
    <t>2009. 4. 18 오후 4:00:00</t>
  </si>
  <si>
    <t>2009. 4. 18 오후 3:30:00</t>
  </si>
  <si>
    <t>2009. 4. 19 오후 4:00:00</t>
  </si>
  <si>
    <t>2009. 4. 19 오후 3:30:00</t>
  </si>
  <si>
    <t>2009. 4. 20 오후 4:00:00</t>
  </si>
  <si>
    <t>2009. 4. 20 오후 3:30:00</t>
  </si>
  <si>
    <t>2009. 4. 21 오후 4:00:00</t>
  </si>
  <si>
    <t>2009. 4. 21 오후 3:30:00</t>
  </si>
  <si>
    <t>2009. 4. 22 오후 4:00:00</t>
  </si>
  <si>
    <t>2009. 4. 22 오후 3:30:00</t>
  </si>
  <si>
    <t>2009. 4. 23 오후 4:00:00</t>
  </si>
  <si>
    <t>2009. 4. 23 오후 3:30:00</t>
  </si>
  <si>
    <t>2009. 4. 24 오후 4:00:00</t>
  </si>
  <si>
    <t>2009. 4. 24 오후 3:30:00</t>
  </si>
  <si>
    <t>2009. 4. 25 오후 4:00:00</t>
  </si>
  <si>
    <t>2009. 4. 25 오후 3:30:00</t>
  </si>
  <si>
    <t>2009. 4. 26 오후 4:00:00</t>
  </si>
  <si>
    <t>2009. 4. 26 오후 3:30:00</t>
  </si>
  <si>
    <t>2009. 4. 27 오후 4:00:00</t>
  </si>
  <si>
    <t>2009. 4. 27 오후 3:30:00</t>
  </si>
  <si>
    <t>2009. 4. 28 오후 4:00:00</t>
  </si>
  <si>
    <t>2009. 4. 28 오후 3:30:00</t>
  </si>
  <si>
    <t>2009. 4. 29 오후 4:00:00</t>
  </si>
  <si>
    <t>2009. 4. 29 오후 3:30:00</t>
  </si>
  <si>
    <t>2009. 4. 30 오후 4:00:00</t>
  </si>
  <si>
    <t>2009. 4. 30 오후 3:30:00</t>
  </si>
  <si>
    <t>2009. 5. 1 오후 4:00:00</t>
  </si>
  <si>
    <t>2009. 5. 1 오후 3:30:00</t>
  </si>
  <si>
    <t>2009. 5. 2 오후 4:00:00</t>
  </si>
  <si>
    <t>2009. 5. 2 오후 3:30:00</t>
  </si>
  <si>
    <t>2009. 5. 3 오후 4:00:00</t>
  </si>
  <si>
    <t>2009. 5. 3 오후 3:30:00</t>
  </si>
  <si>
    <t>2009. 5. 4 오후 4:00:00</t>
  </si>
  <si>
    <t>2009. 5. 4 오후 3:30:00</t>
  </si>
  <si>
    <t>2009. 5. 5 오후 4:00:00</t>
  </si>
  <si>
    <t>2009. 5. 5 오후 3:30:00</t>
  </si>
  <si>
    <t>2009. 5. 6 오후 4:00:00</t>
  </si>
  <si>
    <t>2009. 5. 6 오후 3:30:00</t>
  </si>
  <si>
    <t>2009. 5. 7 오후 4:00:00</t>
  </si>
  <si>
    <t>2009. 5. 7 오후 3:30:00</t>
  </si>
  <si>
    <t>2009. 5. 8 오후 4:00:00</t>
  </si>
  <si>
    <t>2009. 5. 8 오후 3:30:00</t>
  </si>
  <si>
    <t>2009. 5. 9 오후 4:00:00</t>
  </si>
  <si>
    <t>2009. 5. 9 오후 3:30:00</t>
  </si>
  <si>
    <t>2009. 5. 10 오후 4:00:00</t>
  </si>
  <si>
    <t>2009. 5. 10 오후 3:30:00</t>
  </si>
  <si>
    <t>2009. 5. 11 오후 4:00:00</t>
  </si>
  <si>
    <t>2009. 5. 11 오후 3:30:00</t>
  </si>
  <si>
    <t>2009. 5. 12 오후 4:00:00</t>
  </si>
  <si>
    <t>2009. 5. 12 오후 3:30:00</t>
  </si>
  <si>
    <t>2009. 5. 13 오후 4:00:00</t>
  </si>
  <si>
    <t>2009. 5. 13 오후 3:30:00</t>
  </si>
  <si>
    <t>2009. 5. 14 오후 4:00:00</t>
  </si>
  <si>
    <t>2009. 5. 14 오후 3:30:00</t>
  </si>
  <si>
    <t>2009. 5. 15 오후 4:00:00</t>
  </si>
  <si>
    <t>2009. 5. 15 오후 3:30:00</t>
  </si>
  <si>
    <t>2009. 5. 16 오후 4:00:00</t>
  </si>
  <si>
    <t>2009. 5. 16 오후 3:30:00</t>
  </si>
  <si>
    <t>2009. 5. 17 오후 4:00:00</t>
  </si>
  <si>
    <t>2009. 5. 17 오후 3:30:00</t>
  </si>
  <si>
    <t>2009. 5. 18 오후 4:00:00</t>
  </si>
  <si>
    <t>2009. 5. 18 오후 3:30:00</t>
  </si>
  <si>
    <t>2009. 5. 19 오후 4:00:00</t>
  </si>
  <si>
    <t>2009. 5. 19 오후 3:30:00</t>
  </si>
  <si>
    <t>2009. 5. 20 오후 4:00:00</t>
  </si>
  <si>
    <t>2009. 5. 20 오후 3:30:00</t>
  </si>
  <si>
    <t>2009. 5. 21 오후 4:00:00</t>
  </si>
  <si>
    <t>2009. 5. 21 오후 3:30:00</t>
  </si>
  <si>
    <t>2009. 5. 22 오후 4:00:00</t>
  </si>
  <si>
    <t>2009. 5. 22 오후 3:30:00</t>
  </si>
  <si>
    <t>2009. 5. 23 오후 4:00:00</t>
  </si>
  <si>
    <t>2009. 5. 23 오후 3:30:00</t>
  </si>
  <si>
    <t>2009. 5. 24 오후 4:00:00</t>
  </si>
  <si>
    <t>2009. 5. 24 오후 3:30:00</t>
  </si>
  <si>
    <t>2009. 5. 25 오후 4:00:00</t>
  </si>
  <si>
    <t>2009. 5. 25 오후 3:30:00</t>
  </si>
  <si>
    <t>2009. 5. 26 오후 4:00:00</t>
  </si>
  <si>
    <t>2009. 5. 26 오후 3:30:00</t>
  </si>
  <si>
    <t>2009. 5. 27 오후 4:00:00</t>
  </si>
  <si>
    <t>2009. 5. 27 오후 3:30:00</t>
  </si>
  <si>
    <t>2009. 5. 28 오후 4:00:00</t>
  </si>
  <si>
    <t>2009. 5. 28 오후 3:30:00</t>
  </si>
  <si>
    <t>2009. 5. 29 오후 4:00:00</t>
  </si>
  <si>
    <t>2009. 5. 29 오후 3:30:00</t>
  </si>
  <si>
    <t>2009. 5. 30 오후 4:00:00</t>
  </si>
  <si>
    <t>2009. 5. 30 오후 3:30:00</t>
  </si>
  <si>
    <t>2009. 5. 31 오후 4:00:00</t>
  </si>
  <si>
    <t>2009. 5. 31 오후 3:30:00</t>
  </si>
  <si>
    <t>2009. 6. 1 오후 4:00:00</t>
  </si>
  <si>
    <t>2009. 6. 1 오후 3:30:00</t>
  </si>
  <si>
    <t>2009. 6. 2 오후 4:00:00</t>
  </si>
  <si>
    <t>2009. 6. 2 오후 3:30:00</t>
  </si>
  <si>
    <t>2009. 6. 3 오후 4:00:00</t>
  </si>
  <si>
    <t>2009. 6. 3 오후 3:30:00</t>
  </si>
  <si>
    <t>2009. 6. 4 오후 4:00:00</t>
  </si>
  <si>
    <t>2009. 6. 4 오후 3:30:00</t>
  </si>
  <si>
    <t>2009. 6. 5 오후 4:00:00</t>
  </si>
  <si>
    <t>2009. 6. 5 오후 3:30:00</t>
  </si>
  <si>
    <t>2009. 6. 6 오후 4:00:00</t>
  </si>
  <si>
    <t>2009. 6. 6 오후 3:30:00</t>
  </si>
  <si>
    <t>2009. 6. 7 오후 4:00:00</t>
  </si>
  <si>
    <t>2009. 6. 7 오후 3:30:00</t>
  </si>
  <si>
    <t>2009. 6. 8 오후 4:00:00</t>
  </si>
  <si>
    <t>2009. 6. 8 오후 3:30:00</t>
  </si>
  <si>
    <t>2009. 6. 9 오후 4:00:00</t>
  </si>
  <si>
    <t>2009. 6. 9 오후 3:30:00</t>
  </si>
  <si>
    <t>2009. 6. 10 오후 4:00:00</t>
  </si>
  <si>
    <t>2009. 6. 10 오후 3:30:00</t>
  </si>
  <si>
    <t>2009. 6. 11 오후 4:00:00</t>
  </si>
  <si>
    <t>2009. 6. 11 오후 3:30:00</t>
  </si>
  <si>
    <t>2009. 6. 12 오후 4:00:00</t>
  </si>
  <si>
    <t>2009. 6. 12 오후 3:30:00</t>
  </si>
  <si>
    <t>2009. 6. 13 오후 4:00:00</t>
  </si>
  <si>
    <t>2009. 6. 13 오후 3:30:00</t>
  </si>
  <si>
    <t>2009. 6. 14 오후 4:00:00</t>
  </si>
  <si>
    <t>2009. 6. 14 오후 3:30:00</t>
  </si>
  <si>
    <t>2009. 6. 15 오후 4:00:00</t>
  </si>
  <si>
    <t>2009. 6. 15 오후 3:30:00</t>
  </si>
  <si>
    <t>2009. 6. 16 오후 4:00:00</t>
  </si>
  <si>
    <t>2009. 6. 16 오후 3:30:00</t>
  </si>
  <si>
    <t>2009. 6. 17 오후 4:00:00</t>
  </si>
  <si>
    <t>2009. 6. 17 오후 3:30:00</t>
  </si>
  <si>
    <t>2009. 6. 18 오후 4:00:00</t>
  </si>
  <si>
    <t>2009. 6. 18 오후 3:30:00</t>
  </si>
  <si>
    <t>2009. 6. 19 오후 4:00:00</t>
  </si>
  <si>
    <t>2009. 6. 19 오후 3:30:00</t>
  </si>
  <si>
    <t>2009. 6. 20 오후 4:00:00</t>
  </si>
  <si>
    <t>2009. 6. 20 오후 3:30:00</t>
  </si>
  <si>
    <t>2009. 6. 21 오후 4:00:00</t>
  </si>
  <si>
    <t>2009. 6. 21 오후 3:30:00</t>
  </si>
  <si>
    <t>2009. 6. 22 오후 4:00:00</t>
  </si>
  <si>
    <t>2009. 6. 22 오후 3:30:00</t>
  </si>
  <si>
    <t>2009. 6. 23 오후 4:00:00</t>
  </si>
  <si>
    <t>2009. 6. 23 오후 3:30:00</t>
  </si>
  <si>
    <t>2009. 6. 24 오후 4:00:00</t>
  </si>
  <si>
    <t>2009. 6. 24 오후 3:30:00</t>
  </si>
  <si>
    <t>2009. 6. 25 오후 4:00:00</t>
  </si>
  <si>
    <t>2009. 6. 25 오후 3:30:00</t>
  </si>
  <si>
    <t>2009. 6. 26 오후 4:00:00</t>
  </si>
  <si>
    <t>2009. 6. 26 오후 3:30:00</t>
  </si>
  <si>
    <t>2009. 6. 27 오후 4:00:00</t>
  </si>
  <si>
    <t>2009. 6. 27 오후 3:30:00</t>
  </si>
  <si>
    <t>2009. 6. 28 오후 4:00:00</t>
  </si>
  <si>
    <t>2009. 6. 28 오후 3:30:00</t>
  </si>
  <si>
    <t>2009. 6. 29 오후 4:00:00</t>
  </si>
  <si>
    <t>2009. 6. 29 오후 3:30:00</t>
  </si>
  <si>
    <t>2009. 6. 30 오후 4:00:00</t>
  </si>
  <si>
    <t>2009. 6. 30 오후 3:30:00</t>
  </si>
  <si>
    <t>2009. 7. 1 오후 4:00:00</t>
  </si>
  <si>
    <t>2009. 7. 1 오후 3:30:00</t>
  </si>
  <si>
    <t>2009. 7. 2 오후 4:00:00</t>
  </si>
  <si>
    <t>2009. 7. 2 오후 3:30:00</t>
  </si>
  <si>
    <t>2009. 7. 3 오후 4:00:00</t>
  </si>
  <si>
    <t>2009. 7. 3 오후 3:30:00</t>
  </si>
  <si>
    <t>2009. 7. 4 오후 4:00:00</t>
  </si>
  <si>
    <t>2009. 7. 4 오후 3:30:00</t>
  </si>
  <si>
    <t>2009. 7. 5 오후 4:00:00</t>
  </si>
  <si>
    <t>2009. 7. 5 오후 3:30:00</t>
  </si>
  <si>
    <t>2009. 7. 6 오후 4:00:00</t>
  </si>
  <si>
    <t>2009. 7. 6 오후 3:30:00</t>
  </si>
  <si>
    <t>2009. 7. 7 오후 4:00:00</t>
  </si>
  <si>
    <t>2009. 7. 7 오후 3:30:00</t>
  </si>
  <si>
    <t>2009. 7. 8 오후 4:00:00</t>
  </si>
  <si>
    <t>2009. 7. 8 오후 3:30:00</t>
  </si>
  <si>
    <t>2009. 7. 9 오후 4:00:00</t>
  </si>
  <si>
    <t>2009. 7. 9 오후 3:30:00</t>
  </si>
  <si>
    <t>2009. 7. 10 오후 4:00:00</t>
  </si>
  <si>
    <t>2009. 7. 10 오후 3:30:00</t>
  </si>
  <si>
    <t>2009. 7. 11 오후 4:00:00</t>
  </si>
  <si>
    <t>2009. 7. 11 오후 3:30:00</t>
  </si>
  <si>
    <t>2009. 7. 12 오후 4:00:00</t>
  </si>
  <si>
    <t>2009. 7. 12 오후 3:30:00</t>
  </si>
  <si>
    <t>2009. 7. 13 오후 4:00:00</t>
  </si>
  <si>
    <t>2009. 7. 13 오후 3:30:00</t>
  </si>
  <si>
    <t>2009. 7. 14 오후 4:00:00</t>
  </si>
  <si>
    <t>2009. 7. 14 오후 3:30:00</t>
  </si>
  <si>
    <t>2009. 7. 15 오후 4:00:00</t>
  </si>
  <si>
    <t>2009. 7. 15 오후 3:30:00</t>
  </si>
  <si>
    <t>2009. 7. 16 오후 4:00:00</t>
  </si>
  <si>
    <t>2009. 7. 16 오후 3:30:00</t>
  </si>
  <si>
    <t>2009. 7. 17 오후 4:00:00</t>
  </si>
  <si>
    <t>2009. 7. 17 오후 3:30:00</t>
  </si>
  <si>
    <t>2009. 7. 18 오후 4:00:00</t>
  </si>
  <si>
    <t>2009. 7. 18 오후 3:30:00</t>
  </si>
  <si>
    <t>2009. 7. 19 오후 4:00:00</t>
  </si>
  <si>
    <t>2009. 7. 19 오후 3:30:00</t>
  </si>
  <si>
    <t>2009. 7. 20 오후 4:00:00</t>
  </si>
  <si>
    <t>2009. 7. 20 오후 3:30:00</t>
  </si>
  <si>
    <t>2009. 7. 21 오후 4:00:00</t>
  </si>
  <si>
    <t>2009. 7. 21 오후 3:30:00</t>
  </si>
  <si>
    <t>2009. 7. 22 오후 4:00:00</t>
  </si>
  <si>
    <t>2009. 7. 22 오후 3:30:00</t>
  </si>
  <si>
    <t>2009. 7. 23 오후 4:00:00</t>
  </si>
  <si>
    <t>2009. 7. 23 오후 3:30:00</t>
  </si>
  <si>
    <t>2009. 7. 24 오후 4:00:00</t>
  </si>
  <si>
    <t>2009. 7. 24 오후 3:30:00</t>
  </si>
  <si>
    <t>2009. 7. 25 오후 4:00:00</t>
  </si>
  <si>
    <t>2009. 7. 25 오후 3:30:00</t>
  </si>
  <si>
    <t>2009. 7. 26 오후 4:00:00</t>
  </si>
  <si>
    <t>2009. 7. 26 오후 3:30:00</t>
  </si>
  <si>
    <t>2009. 7. 27 오후 4:00:00</t>
  </si>
  <si>
    <t>2009. 7. 27 오후 3:30:00</t>
  </si>
  <si>
    <t>2009. 7. 28 오후 4:00:00</t>
  </si>
  <si>
    <t>2009. 7. 28 오후 3:30:00</t>
  </si>
  <si>
    <t>2009. 7. 29 오후 4:00:00</t>
  </si>
  <si>
    <t>2009. 7. 29 오후 3:30:00</t>
  </si>
  <si>
    <t>2009. 7. 30 오후 4:00:00</t>
  </si>
  <si>
    <t>2009. 7. 30 오후 3:30:00</t>
  </si>
  <si>
    <t>2009. 7. 31 오후 4:00:00</t>
  </si>
  <si>
    <t>2009. 7. 31 오후 3:30:00</t>
  </si>
  <si>
    <t>2009. 8. 1 오후 4:00:00</t>
  </si>
  <si>
    <t>2009. 8. 1 오후 3:30:00</t>
  </si>
  <si>
    <t>2009. 8. 2 오후 4:00:00</t>
  </si>
  <si>
    <t>2009. 8. 2 오후 3:30:00</t>
  </si>
  <si>
    <t>2009. 8. 3 오후 4:00:00</t>
  </si>
  <si>
    <t>2009. 8. 3 오후 3:30:00</t>
  </si>
  <si>
    <t>2009. 8. 4 오후 4:00:00</t>
  </si>
  <si>
    <t>2009. 8. 4 오후 3:30:00</t>
  </si>
  <si>
    <t>2009. 8. 5 오후 4:00:00</t>
  </si>
  <si>
    <t>2009. 8. 5 오후 3:30:00</t>
  </si>
  <si>
    <t>2009. 8. 6 오후 4:00:00</t>
  </si>
  <si>
    <t>2009. 8. 6 오후 3:30:00</t>
  </si>
  <si>
    <t>2009. 8. 7 오후 4:00:00</t>
  </si>
  <si>
    <t>2009. 8. 7 오후 3:30:00</t>
  </si>
  <si>
    <t>2009. 8. 8 오후 4:00:00</t>
  </si>
  <si>
    <t>2009. 8. 8 오후 3:30:00</t>
  </si>
  <si>
    <t>2009. 8. 9 오후 4:00:00</t>
  </si>
  <si>
    <t>2009. 8. 9 오후 3:30:00</t>
  </si>
  <si>
    <t>2009. 8. 10 오후 4:00:00</t>
  </si>
  <si>
    <t>2009. 8. 10 오후 3:30:00</t>
  </si>
  <si>
    <t>2009. 8. 11 오후 4:00:00</t>
  </si>
  <si>
    <t>2009. 8. 11 오후 3:30:00</t>
  </si>
  <si>
    <t>2009. 8. 12 오후 4:00:00</t>
  </si>
  <si>
    <t>2009. 8. 12 오후 3:30:00</t>
  </si>
  <si>
    <t>2009. 8. 13 오후 4:00:00</t>
  </si>
  <si>
    <t>2009. 8. 13 오후 3:30:00</t>
  </si>
  <si>
    <t>2009. 8. 14 오후 4:00:00</t>
  </si>
  <si>
    <t>2009. 8. 14 오후 3:30:00</t>
  </si>
  <si>
    <t>2009. 8. 15 오후 4:00:00</t>
  </si>
  <si>
    <t>2009. 8. 15 오후 3:30:00</t>
  </si>
  <si>
    <t>2009. 8. 16 오후 4:00:00</t>
  </si>
  <si>
    <t>2009. 8. 16 오후 3:30:00</t>
  </si>
  <si>
    <t>2009. 8. 17 오후 4:00:00</t>
  </si>
  <si>
    <t>2009. 8. 17 오후 3:30:00</t>
  </si>
  <si>
    <t>2009. 8. 18 오후 4:00:00</t>
  </si>
  <si>
    <t>2009. 8. 18 오후 3:30:00</t>
  </si>
  <si>
    <t>2009. 8. 19 오후 4:00:00</t>
  </si>
  <si>
    <t>2009. 8. 19 오후 3:30:00</t>
  </si>
  <si>
    <t>2009. 8. 20 오후 4:00:00</t>
  </si>
  <si>
    <t>2009. 8. 20 오후 3:30:00</t>
  </si>
  <si>
    <t>2009. 8. 21 오후 4:00:00</t>
  </si>
  <si>
    <t>2009. 8. 21 오후 3:30:00</t>
  </si>
  <si>
    <t>2009. 8. 22 오후 4:00:00</t>
  </si>
  <si>
    <t>2009. 8. 22 오후 3:30:00</t>
  </si>
  <si>
    <t>2009. 8. 23 오후 4:00:00</t>
  </si>
  <si>
    <t>2009. 8. 23 오후 3:30:00</t>
  </si>
  <si>
    <t>2009. 8. 24 오후 4:00:00</t>
  </si>
  <si>
    <t>2009. 8. 24 오후 3:30:00</t>
  </si>
  <si>
    <t>2009. 8. 25 오후 4:00:00</t>
  </si>
  <si>
    <t>2009. 8. 25 오후 3:30:00</t>
  </si>
  <si>
    <t>2009. 8. 26 오후 4:00:00</t>
  </si>
  <si>
    <t>2009. 8. 26 오후 3:30:00</t>
  </si>
  <si>
    <t>2009. 8. 27 오후 4:00:00</t>
  </si>
  <si>
    <t>2009. 8. 27 오후 3:30:00</t>
  </si>
  <si>
    <t>2009. 8. 28 오후 4:00:00</t>
  </si>
  <si>
    <t>2009. 8. 28 오후 3:30:00</t>
  </si>
  <si>
    <t>2009. 8. 29 오후 4:00:00</t>
  </si>
  <si>
    <t>2009. 8. 29 오후 3:30:00</t>
  </si>
  <si>
    <t>2009. 8. 30 오후 4:00:00</t>
  </si>
  <si>
    <t>2009. 8. 30 오후 3:30:00</t>
  </si>
  <si>
    <t>2009. 8. 31 오후 4:00:00</t>
  </si>
  <si>
    <t>2009. 8. 31 오후 3:30:00</t>
  </si>
  <si>
    <t>2009. 9. 1 오후 4:00:00</t>
  </si>
  <si>
    <t>2009. 9. 1 오후 3:30:00</t>
  </si>
  <si>
    <t>2009. 9. 2 오후 4:00:00</t>
  </si>
  <si>
    <t>2009. 9. 2 오후 3:30:00</t>
  </si>
  <si>
    <t>2009. 9. 3 오후 4:00:00</t>
  </si>
  <si>
    <t>2009. 9. 3 오후 3:30:00</t>
  </si>
  <si>
    <t>2009. 9. 4 오후 4:00:00</t>
  </si>
  <si>
    <t>2009. 9. 4 오후 3:30:00</t>
  </si>
  <si>
    <t>2009. 9. 5 오후 4:00:00</t>
  </si>
  <si>
    <t>2009. 9. 5 오후 3:30:00</t>
  </si>
  <si>
    <t>2009. 9. 6 오후 4:00:00</t>
  </si>
  <si>
    <t>2009. 9. 6 오후 3:30:00</t>
  </si>
  <si>
    <t>2009. 9. 7 오후 4:00:00</t>
  </si>
  <si>
    <t>2009. 9. 7 오후 3:30:00</t>
  </si>
  <si>
    <t>2009. 9. 8 오후 4:00:00</t>
  </si>
  <si>
    <t>2009. 9. 8 오후 3:30:00</t>
  </si>
  <si>
    <t>2009. 9. 9 오후 4:00:00</t>
  </si>
  <si>
    <t>2009. 9. 9 오후 3:30:00</t>
  </si>
  <si>
    <t>2009. 9. 10 오후 4:00:00</t>
  </si>
  <si>
    <t>2009. 9. 10 오후 3:30:00</t>
  </si>
  <si>
    <t>2009. 9. 11 오후 4:00:00</t>
  </si>
  <si>
    <t>2009. 9. 11 오후 3:30:00</t>
  </si>
  <si>
    <t>2009. 9. 12 오후 4:00:00</t>
  </si>
  <si>
    <t>2009. 9. 12 오후 3:30:00</t>
  </si>
  <si>
    <t>2009. 9. 13 오후 4:00:00</t>
  </si>
  <si>
    <t>2009. 9. 13 오후 3:30:00</t>
  </si>
  <si>
    <t>2009. 9. 14 오후 4:00:00</t>
  </si>
  <si>
    <t>2009. 9. 14 오후 3:30:00</t>
  </si>
  <si>
    <t>2009. 9. 15 오후 4:00:00</t>
  </si>
  <si>
    <t>2009. 9. 15 오후 3:30:00</t>
  </si>
  <si>
    <t>2009. 9. 16 오후 4:00:00</t>
  </si>
  <si>
    <t>2009. 9. 16 오후 3:30:00</t>
  </si>
  <si>
    <t>2009. 9. 17 오후 4:00:00</t>
  </si>
  <si>
    <t>2009. 9. 17 오후 3:30:00</t>
  </si>
  <si>
    <t>2009. 9. 18 오후 4:00:00</t>
  </si>
  <si>
    <t>2009. 9. 18 오후 3:30:00</t>
  </si>
  <si>
    <t>2009. 9. 19 오후 4:00:00</t>
  </si>
  <si>
    <t>2009. 9. 19 오후 3:30:00</t>
  </si>
  <si>
    <t>2009. 9. 20 오후 4:00:00</t>
  </si>
  <si>
    <t>2009. 9. 20 오후 3:30:00</t>
  </si>
  <si>
    <t>2009. 9. 21 오후 4:00:00</t>
  </si>
  <si>
    <t>2009. 9. 21 오후 3:30:00</t>
  </si>
  <si>
    <t>2009. 9. 22 오후 4:00:00</t>
  </si>
  <si>
    <t>2009. 9. 22 오후 3:30:00</t>
  </si>
  <si>
    <t>2009. 9. 23 오후 4:00:00</t>
  </si>
  <si>
    <t>2009. 9. 23 오후 3:30:00</t>
  </si>
  <si>
    <t>2009. 9. 24 오후 4:00:00</t>
  </si>
  <si>
    <t>2009. 9. 24 오후 3:30:00</t>
  </si>
  <si>
    <t>2009. 9. 25 오후 4:00:00</t>
  </si>
  <si>
    <t>2009. 9. 25 오후 3:30:00</t>
  </si>
  <si>
    <t>2009. 9. 26 오후 4:00:00</t>
  </si>
  <si>
    <t>2009. 9. 26 오후 3:30:00</t>
  </si>
  <si>
    <t>2009. 9. 27 오후 4:00:00</t>
  </si>
  <si>
    <t>2009. 9. 27 오후 3:30:00</t>
  </si>
  <si>
    <t>2009. 9. 28 오후 4:00:00</t>
  </si>
  <si>
    <t>2009. 9. 28 오후 3:30:00</t>
  </si>
  <si>
    <t>2009. 9. 29 오후 4:00:00</t>
  </si>
  <si>
    <t>2009. 9. 29 오후 3:30:00</t>
  </si>
  <si>
    <t>2009. 9. 30 오후 4:00:00</t>
  </si>
  <si>
    <t>2009. 9. 30 오후 3:30:00</t>
  </si>
  <si>
    <t>2009. 10. 1 오후 4:00:00</t>
  </si>
  <si>
    <t>2009. 10. 1 오후 3:30:00</t>
  </si>
  <si>
    <t>2009. 10. 2 오후 4:00:00</t>
  </si>
  <si>
    <t>2009. 10. 2 오후 3:30:00</t>
  </si>
  <si>
    <t>2009. 10. 3 오후 4:00:00</t>
  </si>
  <si>
    <t>2009. 10. 3 오후 3:30:00</t>
  </si>
  <si>
    <t>2009. 10. 4 오후 4:00:00</t>
  </si>
  <si>
    <t>2009. 10. 4 오후 3:30:00</t>
  </si>
  <si>
    <t>2009. 10. 5 오후 4:00:00</t>
  </si>
  <si>
    <t>2009. 10. 5 오후 3:30:00</t>
  </si>
  <si>
    <t>2009. 10. 6 오후 4:00:00</t>
  </si>
  <si>
    <t>2009. 10. 6 오후 3:30:00</t>
  </si>
  <si>
    <t>2009. 10. 7 오후 4:00:00</t>
  </si>
  <si>
    <t>2009. 10. 7 오후 3:30:00</t>
  </si>
  <si>
    <t>2009. 10. 8 오후 4:00:00</t>
  </si>
  <si>
    <t>2009. 10. 8 오후 3:30:00</t>
  </si>
  <si>
    <t>2009. 10. 9 오후 4:00:00</t>
  </si>
  <si>
    <t>2009. 10. 9 오후 3:30:00</t>
  </si>
  <si>
    <t>2009. 10. 10 오후 4:00:00</t>
  </si>
  <si>
    <t>2009. 10. 10 오후 3:30:00</t>
  </si>
  <si>
    <t>2009. 10. 11 오후 4:00:00</t>
  </si>
  <si>
    <t>2009. 10. 11 오후 3:30:00</t>
  </si>
  <si>
    <t>2009. 10. 12 오후 4:00:00</t>
  </si>
  <si>
    <t>2009. 10. 12 오후 3:30:00</t>
  </si>
  <si>
    <t>2009. 10. 13 오후 4:00:00</t>
  </si>
  <si>
    <t>2009. 10. 13 오후 3:30:00</t>
  </si>
  <si>
    <t>2009. 10. 14 오후 4:00:00</t>
  </si>
  <si>
    <t>2009. 10. 14 오후 3:30:00</t>
  </si>
  <si>
    <t>2009. 10. 15 오후 4:00:00</t>
  </si>
  <si>
    <t>2009. 10. 15 오후 3:30:00</t>
  </si>
  <si>
    <t>2009. 10. 16 오후 4:00:00</t>
  </si>
  <si>
    <t>2009. 10. 16 오후 3:30:00</t>
  </si>
  <si>
    <t>2009. 10. 17 오후 4:00:00</t>
  </si>
  <si>
    <t>2009. 10. 17 오후 3:30:00</t>
  </si>
  <si>
    <t>2009. 10. 18 오후 4:00:00</t>
  </si>
  <si>
    <t>2009. 10. 18 오후 3:30:00</t>
  </si>
  <si>
    <t>2009. 10. 19 오후 4:00:00</t>
  </si>
  <si>
    <t>2009. 10. 19 오후 3:30:00</t>
  </si>
  <si>
    <t>2009. 10. 20 오후 4:00:00</t>
  </si>
  <si>
    <t>2009. 10. 20 오후 3:30:00</t>
  </si>
  <si>
    <t>2009. 10. 21 오후 4:00:00</t>
  </si>
  <si>
    <t>2009. 10. 21 오후 3:30:00</t>
  </si>
  <si>
    <t>2009. 10. 22 오후 4:00:00</t>
  </si>
  <si>
    <t>2009. 10. 22 오후 3:30:00</t>
  </si>
  <si>
    <t>2009. 10. 23 오후 4:00:00</t>
  </si>
  <si>
    <t>2009. 10. 23 오후 3:30:00</t>
  </si>
  <si>
    <t>2009. 10. 24 오후 4:00:00</t>
  </si>
  <si>
    <t>2009. 10. 24 오후 3:30:00</t>
  </si>
  <si>
    <t>2009. 10. 25 오후 4:00:00</t>
  </si>
  <si>
    <t>2009. 10. 25 오후 3:30:00</t>
  </si>
  <si>
    <t>2009. 10. 26 오후 4:00:00</t>
  </si>
  <si>
    <t>2009. 10. 26 오후 3:30:00</t>
  </si>
  <si>
    <t>2009. 10. 27 오후 4:00:00</t>
  </si>
  <si>
    <t>2009. 10. 27 오후 3:30:00</t>
  </si>
  <si>
    <t>2009. 10. 28 오후 4:00:00</t>
  </si>
  <si>
    <t>2009. 10. 28 오후 3:30:00</t>
  </si>
  <si>
    <t>2009. 10. 29 오후 4:00:00</t>
  </si>
  <si>
    <t>2009. 10. 29 오후 3:30:00</t>
  </si>
  <si>
    <t>2009. 10. 30 오후 4:00:00</t>
  </si>
  <si>
    <t>2009. 10. 30 오후 3:30:00</t>
  </si>
  <si>
    <t>2009. 10. 31 오후 4:00:00</t>
  </si>
  <si>
    <t>2009. 10. 31 오후 3:30:00</t>
  </si>
  <si>
    <t>2009. 11. 1 오후 4:00:00</t>
  </si>
  <si>
    <t>2009. 11. 1 오후 3:30:00</t>
  </si>
  <si>
    <t>2009. 11. 2 오후 4:00:00</t>
  </si>
  <si>
    <t>2009. 11. 2 오후 3:30:00</t>
  </si>
  <si>
    <t>2009. 11. 3 오후 4:00:00</t>
  </si>
  <si>
    <t>2009. 11. 3 오후 3:30:00</t>
  </si>
  <si>
    <t>2009. 11. 4 오후 4:00:00</t>
  </si>
  <si>
    <t>2009. 11. 4 오후 3:30:00</t>
  </si>
  <si>
    <t>2009. 11. 5 오후 4:00:00</t>
  </si>
  <si>
    <t>2009. 11. 5 오후 3:30:00</t>
  </si>
  <si>
    <t>2009. 11. 6 오후 4:00:00</t>
  </si>
  <si>
    <t>2009. 11. 6 오후 3:30:00</t>
  </si>
  <si>
    <t>2009. 11. 7 오후 4:00:00</t>
  </si>
  <si>
    <t>2009. 11. 7 오후 3:30:00</t>
  </si>
  <si>
    <t>2009. 11. 8 오후 4:00:00</t>
  </si>
  <si>
    <t>2009. 11. 8 오후 3:30:00</t>
  </si>
  <si>
    <t>2009. 11. 9 오후 4:00:00</t>
  </si>
  <si>
    <t>2009. 11. 9 오후 3:30:00</t>
  </si>
  <si>
    <t>2009. 11. 10 오후 4:00:00</t>
  </si>
  <si>
    <t>2009. 11. 10 오후 3:30:00</t>
  </si>
  <si>
    <t>2009. 11. 11 오후 4:00:00</t>
  </si>
  <si>
    <t>2009. 11. 11 오후 3:30:00</t>
  </si>
  <si>
    <t>2009. 11. 12 오후 4:00:00</t>
  </si>
  <si>
    <t>2009. 11. 12 오후 3:30:00</t>
  </si>
  <si>
    <t>2009. 11. 13 오후 4:00:00</t>
  </si>
  <si>
    <t>2009. 11. 13 오후 3:30:00</t>
  </si>
  <si>
    <t>2009. 11. 14 오후 4:00:00</t>
  </si>
  <si>
    <t>2009. 11. 14 오후 3:30:00</t>
  </si>
  <si>
    <t>2009. 11. 15 오후 4:00:00</t>
  </si>
  <si>
    <t>2009. 11. 15 오후 3:30:00</t>
  </si>
  <si>
    <t>2009. 11. 16 오후 4:00:00</t>
  </si>
  <si>
    <t>2009. 11. 16 오후 3:30:00</t>
  </si>
  <si>
    <t>2009. 11. 17 오후 4:00:00</t>
  </si>
  <si>
    <t>2009. 11. 17 오후 3:30:00</t>
  </si>
  <si>
    <t>2009. 11. 18 오후 4:00:00</t>
  </si>
  <si>
    <t>2009. 11. 18 오후 3:30:00</t>
  </si>
  <si>
    <t>2009. 11. 19 오후 4:00:00</t>
  </si>
  <si>
    <t>2009. 11. 19 오후 3:30:00</t>
  </si>
  <si>
    <t>2009. 11. 20 오후 4:00:00</t>
  </si>
  <si>
    <t>2009. 11. 20 오후 3:30:00</t>
  </si>
  <si>
    <t>2009. 11. 21 오후 4:00:00</t>
  </si>
  <si>
    <t>2009. 11. 21 오후 3:30:00</t>
  </si>
  <si>
    <t>2009. 11. 22 오후 4:00:00</t>
  </si>
  <si>
    <t>2009. 11. 22 오후 3:30:00</t>
  </si>
  <si>
    <t>2009. 11. 23 오후 4:00:00</t>
  </si>
  <si>
    <t>2009. 11. 23 오후 3:30:00</t>
  </si>
  <si>
    <t>2009. 11. 24 오후 4:00:00</t>
  </si>
  <si>
    <t>2009. 11. 24 오후 3:30:00</t>
  </si>
  <si>
    <t>2009. 11. 25 오후 4:00:00</t>
  </si>
  <si>
    <t>2009. 11. 25 오후 3:30:00</t>
  </si>
  <si>
    <t>2009. 11. 26 오후 4:00:00</t>
  </si>
  <si>
    <t>2009. 11. 26 오후 3:30:00</t>
  </si>
  <si>
    <t>2009. 11. 27 오후 4:00:00</t>
  </si>
  <si>
    <t>2009. 11. 27 오후 3:30:00</t>
  </si>
  <si>
    <t>2009. 11. 28 오후 4:00:00</t>
  </si>
  <si>
    <t>2009. 11. 28 오후 3:30:00</t>
  </si>
  <si>
    <t>2009. 11. 29 오후 4:00:00</t>
  </si>
  <si>
    <t>2009. 11. 29 오후 3:30:00</t>
  </si>
  <si>
    <t>2009. 11. 30 오후 4:00:00</t>
  </si>
  <si>
    <t>2009. 11. 30 오후 3:30:00</t>
  </si>
  <si>
    <t>2009. 12. 1 오후 4:00:00</t>
  </si>
  <si>
    <t>2009. 12. 1 오후 3:30:00</t>
  </si>
  <si>
    <t>2009. 12. 2 오후 4:00:00</t>
  </si>
  <si>
    <t>2009. 12. 2 오후 3:30:00</t>
  </si>
  <si>
    <t>2009. 12. 3 오후 4:00:00</t>
  </si>
  <si>
    <t>2009. 12. 3 오후 3:30:00</t>
  </si>
  <si>
    <t>2009. 12. 4 오후 4:00:00</t>
  </si>
  <si>
    <t>2009. 12. 4 오후 3:30:00</t>
  </si>
  <si>
    <t>2009. 12. 5 오후 4:00:00</t>
  </si>
  <si>
    <t>2009. 12. 5 오후 3:30:00</t>
  </si>
  <si>
    <t>2009. 12. 6 오후 4:00:00</t>
  </si>
  <si>
    <t>2009. 12. 6 오후 3:30:00</t>
  </si>
  <si>
    <t>2009. 12. 7 오후 4:00:00</t>
  </si>
  <si>
    <t>2009. 12. 7 오후 3:30:00</t>
  </si>
  <si>
    <t>2009. 12. 8 오후 4:00:00</t>
  </si>
  <si>
    <t>2009. 12. 8 오후 3:30:00</t>
  </si>
  <si>
    <t>2009. 12. 9 오후 4:00:00</t>
  </si>
  <si>
    <t>2009. 12. 9 오후 3:30:00</t>
  </si>
  <si>
    <t>2009. 12. 10 오후 4:00:00</t>
  </si>
  <si>
    <t>2009. 12. 10 오후 3:30:00</t>
  </si>
  <si>
    <t>2009. 12. 11 오후 4:00:00</t>
  </si>
  <si>
    <t>2009. 12. 11 오후 3:30:00</t>
  </si>
  <si>
    <t>2009. 12. 12 오후 4:00:00</t>
  </si>
  <si>
    <t>2009. 12. 12 오후 3:30:00</t>
  </si>
  <si>
    <t>2009. 12. 13 오후 4:00:00</t>
  </si>
  <si>
    <t>2009. 12. 13 오후 3:30:00</t>
  </si>
  <si>
    <t>2009. 12. 14 오후 4:00:00</t>
  </si>
  <si>
    <t>2009. 12. 14 오후 3:30:00</t>
  </si>
  <si>
    <t>2009. 12. 15 오후 4:00:00</t>
  </si>
  <si>
    <t>2009. 12. 15 오후 3:30:00</t>
  </si>
  <si>
    <t>2009. 12. 16 오후 4:00:00</t>
  </si>
  <si>
    <t>2009. 12. 16 오후 3:30:00</t>
  </si>
  <si>
    <t>2009. 12. 17 오후 4:00:00</t>
  </si>
  <si>
    <t>2009. 12. 17 오후 3:30:00</t>
  </si>
  <si>
    <t>2009. 12. 18 오후 4:00:00</t>
  </si>
  <si>
    <t>2009. 12. 18 오후 3:30:00</t>
  </si>
  <si>
    <t>2009. 12. 19 오후 4:00:00</t>
  </si>
  <si>
    <t>2009. 12. 19 오후 3:30:00</t>
  </si>
  <si>
    <t>2009. 12. 20 오후 4:00:00</t>
  </si>
  <si>
    <t>2009. 12. 20 오후 3:30:00</t>
  </si>
  <si>
    <t>2009. 12. 21 오후 4:00:00</t>
  </si>
  <si>
    <t>2009. 12. 21 오후 3:30:00</t>
  </si>
  <si>
    <t>2009. 12. 22 오후 4:00:00</t>
  </si>
  <si>
    <t>2009. 12. 22 오후 3:30:00</t>
  </si>
  <si>
    <t>2009. 12. 23 오후 4:00:00</t>
  </si>
  <si>
    <t>2009. 12. 23 오후 3:30:00</t>
  </si>
  <si>
    <t>2009. 12. 24 오후 4:00:00</t>
  </si>
  <si>
    <t>2009. 12. 24 오후 3:30:00</t>
  </si>
  <si>
    <t>2009. 12. 25 오후 4:00:00</t>
  </si>
  <si>
    <t>2009. 12. 25 오후 3:30:00</t>
  </si>
  <si>
    <t>2009. 12. 26 오후 4:00:00</t>
  </si>
  <si>
    <t>2009. 12. 26 오후 3:30:00</t>
  </si>
  <si>
    <t>2009. 12. 27 오후 4:00:00</t>
  </si>
  <si>
    <t>2009. 12. 27 오후 3:30:00</t>
  </si>
  <si>
    <t>2009. 12. 28 오후 4:00:00</t>
  </si>
  <si>
    <t>2009. 12. 28 오후 3:30:00</t>
  </si>
  <si>
    <t>2009. 12. 29 오후 4:00:00</t>
  </si>
  <si>
    <t>2009. 12. 29 오후 3:30:00</t>
  </si>
  <si>
    <t>2009. 12. 30 오후 4:00:00</t>
  </si>
  <si>
    <t>2009. 12. 30 오후 3:30:00</t>
  </si>
  <si>
    <t>2009. 12. 31 오후 4:00:00</t>
  </si>
  <si>
    <t>2009. 12. 31 오후 3:30:00</t>
  </si>
  <si>
    <t>2010. 1. 1 오후 4:00:00</t>
  </si>
  <si>
    <t>2010. 1. 1 오후 3:30:00</t>
  </si>
  <si>
    <t>2010. 1. 2 오후 4:00:00</t>
  </si>
  <si>
    <t>2010. 1. 2 오후 3:30:00</t>
  </si>
  <si>
    <t>2010. 1. 3 오후 4:00:00</t>
  </si>
  <si>
    <t>2010. 1. 3 오후 3:30:00</t>
  </si>
  <si>
    <t>2010. 1. 4 오후 4:00:00</t>
  </si>
  <si>
    <t>2010. 1. 4 오후 3:30:00</t>
  </si>
  <si>
    <t>2010. 1. 5 오후 4:00:00</t>
  </si>
  <si>
    <t>2010. 1. 5 오후 3:30:00</t>
  </si>
  <si>
    <t>2010. 1. 6 오후 4:00:00</t>
  </si>
  <si>
    <t>2010. 1. 6 오후 3:30:00</t>
  </si>
  <si>
    <t>2010. 1. 7 오후 4:00:00</t>
  </si>
  <si>
    <t>2010. 1. 7 오후 3:30:00</t>
  </si>
  <si>
    <t>2010. 1. 8 오후 4:00:00</t>
  </si>
  <si>
    <t>2010. 1. 8 오후 3:30:00</t>
  </si>
  <si>
    <t>2010. 1. 9 오후 4:00:00</t>
  </si>
  <si>
    <t>2010. 1. 9 오후 3:30:00</t>
  </si>
  <si>
    <t>2010. 1. 10 오후 4:00:00</t>
  </si>
  <si>
    <t>2010. 1. 10 오후 3:30:00</t>
  </si>
  <si>
    <t>2010. 1. 11 오후 4:00:00</t>
  </si>
  <si>
    <t>2010. 1. 11 오후 3:30:00</t>
  </si>
  <si>
    <t>2010. 1. 12 오후 4:00:00</t>
  </si>
  <si>
    <t>2010. 1. 12 오후 3:30:00</t>
  </si>
  <si>
    <t>2010. 1. 13 오후 4:00:00</t>
  </si>
  <si>
    <t>2010. 1. 13 오후 3:30:00</t>
  </si>
  <si>
    <t>2010. 1. 14 오후 4:00:00</t>
  </si>
  <si>
    <t>2010. 1. 14 오후 3:30:00</t>
  </si>
  <si>
    <t>2010. 1. 15 오후 4:00:00</t>
  </si>
  <si>
    <t>2010. 1. 15 오후 3:30:00</t>
  </si>
  <si>
    <t>2010. 1. 16 오후 4:00:00</t>
  </si>
  <si>
    <t>2010. 1. 16 오후 3:30:00</t>
  </si>
  <si>
    <t>2010. 1. 17 오후 4:00:00</t>
  </si>
  <si>
    <t>2010. 1. 17 오후 3:30:00</t>
  </si>
  <si>
    <t>2010. 1. 18 오후 4:00:00</t>
  </si>
  <si>
    <t>2010. 1. 18 오후 3:30:00</t>
  </si>
  <si>
    <t>2010. 1. 19 오후 4:00:00</t>
  </si>
  <si>
    <t>2010. 1. 19 오후 3:30:00</t>
  </si>
  <si>
    <t>2010. 1. 20 오후 4:00:00</t>
  </si>
  <si>
    <t>2010. 1. 20 오후 3:30:00</t>
  </si>
  <si>
    <t>2010. 1. 21 오후 4:00:00</t>
  </si>
  <si>
    <t>2010. 1. 21 오후 3:30:00</t>
  </si>
  <si>
    <t>2010. 1. 22 오후 4:00:00</t>
  </si>
  <si>
    <t>2010. 1. 22 오후 3:30:00</t>
  </si>
  <si>
    <t>2010. 1. 23 오후 4:00:00</t>
  </si>
  <si>
    <t>2010. 1. 23 오후 3:30:00</t>
  </si>
  <si>
    <t>2010. 1. 24 오후 4:00:00</t>
  </si>
  <si>
    <t>2010. 1. 24 오후 3:30:00</t>
  </si>
  <si>
    <t>2010. 1. 25 오후 4:00:00</t>
  </si>
  <si>
    <t>2010. 1. 25 오후 3:30:00</t>
  </si>
  <si>
    <t>2010. 1. 26 오후 4:00:00</t>
  </si>
  <si>
    <t>2010. 1. 26 오후 3:30:00</t>
  </si>
  <si>
    <t>2010. 1. 27 오후 4:00:00</t>
  </si>
  <si>
    <t>2010. 1. 27 오후 3:30:00</t>
  </si>
  <si>
    <t>2010. 1. 28 오후 4:00:00</t>
  </si>
  <si>
    <t>2010. 1. 28 오후 3:30:00</t>
  </si>
  <si>
    <t>2010. 1. 29 오후 4:00:00</t>
  </si>
  <si>
    <t>2010. 1. 29 오후 3:30:00</t>
  </si>
  <si>
    <t>2010. 1. 30 오후 4:00:00</t>
  </si>
  <si>
    <t>2010. 1. 30 오후 3:30:00</t>
  </si>
  <si>
    <t>2010. 1. 31 오후 4:00:00</t>
  </si>
  <si>
    <t>2010. 1. 31 오후 3:30:00</t>
  </si>
  <si>
    <t>2010. 2. 1 오후 4:00:00</t>
  </si>
  <si>
    <t>2010. 2. 1 오후 3:30:00</t>
  </si>
  <si>
    <t>2010. 2. 2 오후 4:00:00</t>
  </si>
  <si>
    <t>2010. 2. 2 오후 3:30:00</t>
  </si>
  <si>
    <t>2010. 2. 3 오후 4:00:00</t>
  </si>
  <si>
    <t>2010. 2. 3 오후 3:30:00</t>
  </si>
  <si>
    <t>2010. 2. 4 오후 4:00:00</t>
  </si>
  <si>
    <t>2010. 2. 4 오후 3:30:00</t>
  </si>
  <si>
    <t>2010. 2. 5 오후 4:00:00</t>
  </si>
  <si>
    <t>2010. 2. 5 오후 3:30:00</t>
  </si>
  <si>
    <t>2010. 2. 6 오후 4:00:00</t>
  </si>
  <si>
    <t>2010. 2. 6 오후 3:30:00</t>
  </si>
  <si>
    <t>2010. 2. 7 오후 4:00:00</t>
  </si>
  <si>
    <t>2010. 2. 7 오후 3:30:00</t>
  </si>
  <si>
    <t>2010. 2. 8 오후 4:00:00</t>
  </si>
  <si>
    <t>2010. 2. 8 오후 3:30:00</t>
  </si>
  <si>
    <t>2010. 2. 9 오후 4:00:00</t>
  </si>
  <si>
    <t>2010. 2. 9 오후 3:30:00</t>
  </si>
  <si>
    <t>2010. 2. 10 오후 4:00:00</t>
  </si>
  <si>
    <t>2010. 2. 10 오후 3:30:00</t>
  </si>
  <si>
    <t>2010. 2. 11 오후 4:00:00</t>
  </si>
  <si>
    <t>2010. 2. 11 오후 3:30:00</t>
  </si>
  <si>
    <t>2010. 2. 12 오후 4:00:00</t>
  </si>
  <si>
    <t>2010. 2. 12 오후 3:30:00</t>
  </si>
  <si>
    <t>2010. 2. 13 오후 4:00:00</t>
  </si>
  <si>
    <t>2010. 2. 13 오후 3:30:00</t>
  </si>
  <si>
    <t>2010. 2. 14 오후 4:00:00</t>
  </si>
  <si>
    <t>2010. 2. 14 오후 3:30:00</t>
  </si>
  <si>
    <t>2010. 2. 15 오후 4:00:00</t>
  </si>
  <si>
    <t>2010. 2. 15 오후 3:30:00</t>
  </si>
  <si>
    <t>2010. 2. 16 오후 4:00:00</t>
  </si>
  <si>
    <t>2010. 2. 16 오후 3:30:00</t>
  </si>
  <si>
    <t>2010. 2. 17 오후 4:00:00</t>
  </si>
  <si>
    <t>2010. 2. 17 오후 3:30:00</t>
  </si>
  <si>
    <t>2010. 2. 18 오후 4:00:00</t>
  </si>
  <si>
    <t>2010. 2. 18 오후 3:30:00</t>
  </si>
  <si>
    <t>2010. 2. 19 오후 4:00:00</t>
  </si>
  <si>
    <t>2010. 2. 19 오후 3:30:00</t>
  </si>
  <si>
    <t>2010. 2. 20 오후 4:00:00</t>
  </si>
  <si>
    <t>2010. 2. 20 오후 3:30:00</t>
  </si>
  <si>
    <t>2010. 2. 21 오후 4:00:00</t>
  </si>
  <si>
    <t>2010. 2. 21 오후 3:30:00</t>
  </si>
  <si>
    <t>2010. 2. 22 오후 4:00:00</t>
  </si>
  <si>
    <t>2010. 2. 22 오후 3:30:00</t>
  </si>
  <si>
    <t>2010. 2. 23 오후 4:00:00</t>
  </si>
  <si>
    <t>2010. 2. 23 오후 3:30:00</t>
  </si>
  <si>
    <t>2010. 2. 24 오후 4:00:00</t>
  </si>
  <si>
    <t>2010. 2. 24 오후 3:30:00</t>
  </si>
  <si>
    <t>2010. 2. 25 오후 4:00:00</t>
  </si>
  <si>
    <t>2010. 2. 25 오후 3:30:00</t>
  </si>
  <si>
    <t>2010. 2. 26 오후 4:00:00</t>
  </si>
  <si>
    <t>2010. 2. 26 오후 3:30:00</t>
  </si>
  <si>
    <t>2010. 2. 27 오후 4:00:00</t>
  </si>
  <si>
    <t>2010. 2. 27 오후 3:30:00</t>
  </si>
  <si>
    <t>2010. 2. 28 오후 4:00:00</t>
  </si>
  <si>
    <t>2010. 2. 28 오후 3:30:00</t>
  </si>
  <si>
    <t>2010. 3. 1 오후 4:00:00</t>
  </si>
  <si>
    <t>2010. 3. 1 오후 3:30:00</t>
  </si>
  <si>
    <t>2010. 3. 2 오후 4:00:00</t>
  </si>
  <si>
    <t>2010. 3. 2 오후 3:30:00</t>
  </si>
  <si>
    <t>2010. 3. 3 오후 4:00:00</t>
  </si>
  <si>
    <t>2010. 3. 3 오후 3:30:00</t>
  </si>
  <si>
    <t>2010. 3. 4 오후 4:00:00</t>
  </si>
  <si>
    <t>2010. 3. 4 오후 3:30:00</t>
  </si>
  <si>
    <t>2010. 3. 5 오후 4:00:00</t>
  </si>
  <si>
    <t>2010. 3. 5 오후 3:30:00</t>
  </si>
  <si>
    <t>2010. 3. 6 오후 4:00:00</t>
  </si>
  <si>
    <t>2010. 3. 6 오후 3:30:00</t>
  </si>
  <si>
    <t>2010. 3. 7 오후 4:00:00</t>
  </si>
  <si>
    <t>2010. 3. 7 오후 3:30:00</t>
  </si>
  <si>
    <t>2010. 3. 8 오후 4:00:00</t>
  </si>
  <si>
    <t>2010. 3. 8 오후 3:30:00</t>
  </si>
  <si>
    <t>2010. 3. 9 오후 4:00:00</t>
  </si>
  <si>
    <t>2010. 3. 9 오후 3:30:00</t>
  </si>
  <si>
    <t>2010. 3. 10 오후 4:00:00</t>
  </si>
  <si>
    <t>2010. 3. 10 오후 3:30:00</t>
  </si>
  <si>
    <t>2010. 3. 11 오후 4:00:00</t>
  </si>
  <si>
    <t>2010. 3. 11 오후 3:30:00</t>
  </si>
  <si>
    <t>2010. 3. 12 오후 4:00:00</t>
  </si>
  <si>
    <t>2010. 3. 12 오후 3:30:00</t>
  </si>
  <si>
    <t>2010. 3. 13 오후 4:00:00</t>
  </si>
  <si>
    <t>2010. 3. 13 오후 3:30:00</t>
  </si>
  <si>
    <t>2010. 3. 14 오후 4:00:00</t>
  </si>
  <si>
    <t>2010. 3. 14 오후 3:30:00</t>
  </si>
  <si>
    <t>2010. 3. 15 오후 4:00:00</t>
  </si>
  <si>
    <t>2010. 3. 15 오후 3:30:00</t>
  </si>
  <si>
    <t>2010. 3. 16 오후 4:00:00</t>
  </si>
  <si>
    <t>2010. 3. 16 오후 3:30:00</t>
  </si>
  <si>
    <t>2010. 3. 17 오후 4:00:00</t>
  </si>
  <si>
    <t>2010. 3. 17 오후 3:30:00</t>
  </si>
  <si>
    <t>2010. 3. 18 오후 4:00:00</t>
  </si>
  <si>
    <t>2010. 3. 18 오후 3:30:00</t>
  </si>
  <si>
    <t>2010. 3. 19 오후 4:00:00</t>
  </si>
  <si>
    <t>2010. 3. 19 오후 3:30:00</t>
  </si>
  <si>
    <t>2010. 3. 20 오후 4:00:00</t>
  </si>
  <si>
    <t>2010. 3. 20 오후 3:30:00</t>
  </si>
  <si>
    <t>2010. 3. 21 오후 4:00:00</t>
  </si>
  <si>
    <t>2010. 3. 21 오후 3:30:00</t>
  </si>
  <si>
    <t>2010. 3. 22 오후 4:00:00</t>
  </si>
  <si>
    <t>2010. 3. 22 오후 3:30:00</t>
  </si>
  <si>
    <t>2010. 3. 23 오후 4:00:00</t>
  </si>
  <si>
    <t>2010. 3. 23 오후 3:30:00</t>
  </si>
  <si>
    <t>2010. 3. 24 오후 4:00:00</t>
  </si>
  <si>
    <t>2010. 3. 24 오후 3:30:00</t>
  </si>
  <si>
    <t>2010. 3. 25 오후 4:00:00</t>
  </si>
  <si>
    <t>2010. 3. 25 오후 3:30:00</t>
  </si>
  <si>
    <t>2010. 3. 26 오후 4:00:00</t>
  </si>
  <si>
    <t>2010. 3. 26 오후 3:30:00</t>
  </si>
  <si>
    <t>2010. 3. 27 오후 4:00:00</t>
  </si>
  <si>
    <t>2010. 3. 27 오후 3:30:00</t>
  </si>
  <si>
    <t>2010. 3. 28 오후 4:00:00</t>
  </si>
  <si>
    <t>2010. 3. 28 오후 3:30:00</t>
  </si>
  <si>
    <t>2010. 3. 29 오후 4:00:00</t>
  </si>
  <si>
    <t>2010. 3. 29 오후 3:30:00</t>
  </si>
  <si>
    <t>2010. 3. 30 오후 4:00:00</t>
  </si>
  <si>
    <t>2010. 3. 30 오후 3:30:00</t>
  </si>
  <si>
    <t>2010. 3. 31 오후 4:00:00</t>
  </si>
  <si>
    <t>2010. 3. 31 오후 3:30:00</t>
  </si>
  <si>
    <t>2010. 4. 1 오후 4:00:00</t>
  </si>
  <si>
    <t>2010. 4. 1 오후 3:30:00</t>
  </si>
  <si>
    <t>2010. 4. 2 오후 4:00:00</t>
  </si>
  <si>
    <t>2010. 4. 2 오후 3:30:00</t>
  </si>
  <si>
    <t>2010. 4. 3 오후 4:00:00</t>
  </si>
  <si>
    <t>2010. 4. 3 오후 3:30:00</t>
  </si>
  <si>
    <t>2010. 4. 4 오후 4:00:00</t>
  </si>
  <si>
    <t>2010. 4. 4 오후 3:30:00</t>
  </si>
  <si>
    <t>2010. 4. 5 오후 4:00:00</t>
  </si>
  <si>
    <t>2010. 4. 5 오후 3:30:00</t>
  </si>
  <si>
    <t>2010. 4. 6 오후 4:00:00</t>
  </si>
  <si>
    <t>2010. 4. 6 오후 3:30:00</t>
  </si>
  <si>
    <t>2010. 4. 7 오후 4:00:00</t>
  </si>
  <si>
    <t>2010. 4. 7 오후 3:30:00</t>
  </si>
  <si>
    <t>2010. 4. 8 오후 4:00:00</t>
  </si>
  <si>
    <t>2010. 4. 8 오후 3:30:00</t>
  </si>
  <si>
    <t>2010. 4. 9 오후 4:00:00</t>
  </si>
  <si>
    <t>2010. 4. 9 오후 3:30:00</t>
  </si>
  <si>
    <t>2010. 4. 10 오후 4:00:00</t>
  </si>
  <si>
    <t>2010. 4. 10 오후 3:30:00</t>
  </si>
  <si>
    <t>2010. 4. 11 오후 4:00:00</t>
  </si>
  <si>
    <t>2010. 4. 11 오후 3:30:00</t>
  </si>
  <si>
    <t>2010. 4. 12 오후 4:00:00</t>
  </si>
  <si>
    <t>2010. 4. 12 오후 3:30:00</t>
  </si>
  <si>
    <t>2010. 4. 13 오후 4:00:00</t>
  </si>
  <si>
    <t>2010. 4. 13 오후 3:30:00</t>
  </si>
  <si>
    <t>2010. 4. 14 오후 4:00:00</t>
  </si>
  <si>
    <t>2010. 4. 14 오후 3:30:00</t>
  </si>
  <si>
    <t>2010. 4. 15 오후 4:00:00</t>
  </si>
  <si>
    <t>2010. 4. 15 오후 3:30:00</t>
  </si>
  <si>
    <t>2010. 4. 16 오후 4:00:00</t>
  </si>
  <si>
    <t>2010. 4. 16 오후 3:30:00</t>
  </si>
  <si>
    <t>2010. 4. 17 오후 4:00:00</t>
  </si>
  <si>
    <t>2010. 4. 17 오후 3:30:00</t>
  </si>
  <si>
    <t>2010. 4. 18 오후 4:00:00</t>
  </si>
  <si>
    <t>2010. 4. 18 오후 3:30:00</t>
  </si>
  <si>
    <t>2010. 4. 19 오후 4:00:00</t>
  </si>
  <si>
    <t>2010. 4. 19 오후 3:30:00</t>
  </si>
  <si>
    <t>2010. 4. 20 오후 4:00:00</t>
  </si>
  <si>
    <t>2010. 4. 20 오후 3:30:00</t>
  </si>
  <si>
    <t>2010. 4. 21 오후 4:00:00</t>
  </si>
  <si>
    <t>2010. 4. 21 오후 3:30:00</t>
  </si>
  <si>
    <t>2010. 4. 22 오후 4:00:00</t>
  </si>
  <si>
    <t>2010. 4. 22 오후 3:30:00</t>
  </si>
  <si>
    <t>2010. 4. 23 오후 4:00:00</t>
  </si>
  <si>
    <t>2010. 4. 23 오후 3:30:00</t>
  </si>
  <si>
    <t>2010. 4. 24 오후 4:00:00</t>
  </si>
  <si>
    <t>2010. 4. 24 오후 3:30:00</t>
  </si>
  <si>
    <t>2010. 4. 25 오후 4:00:00</t>
  </si>
  <si>
    <t>2010. 4. 25 오후 3:30:00</t>
  </si>
  <si>
    <t>2010. 4. 26 오후 4:00:00</t>
  </si>
  <si>
    <t>2010. 4. 26 오후 3:30:00</t>
  </si>
  <si>
    <t>2010. 4. 27 오후 4:00:00</t>
  </si>
  <si>
    <t>2010. 4. 27 오후 3:30:00</t>
  </si>
  <si>
    <t>2010. 4. 28 오후 4:00:00</t>
  </si>
  <si>
    <t>2010. 4. 28 오후 3:30:00</t>
  </si>
  <si>
    <t>2010. 4. 29 오후 4:00:00</t>
  </si>
  <si>
    <t>2010. 4. 29 오후 3:30:00</t>
  </si>
  <si>
    <t>2010. 4. 30 오후 4:00:00</t>
  </si>
  <si>
    <t>2010. 4. 30 오후 3:30:00</t>
  </si>
  <si>
    <t>2010. 5. 1 오후 4:00:00</t>
  </si>
  <si>
    <t>2010. 5. 1 오후 3:30:00</t>
  </si>
  <si>
    <t>2010. 5. 2 오후 4:00:00</t>
  </si>
  <si>
    <t>2010. 5. 2 오후 3:30:00</t>
  </si>
  <si>
    <t>2010. 5. 3 오후 4:00:00</t>
  </si>
  <si>
    <t>2010. 5. 3 오후 3:30:00</t>
  </si>
  <si>
    <t>2010. 5. 4 오후 4:00:00</t>
  </si>
  <si>
    <t>2010. 5. 4 오후 3:30:00</t>
  </si>
  <si>
    <t>2010. 5. 5 오후 4:00:00</t>
  </si>
  <si>
    <t>2010. 5. 5 오후 3:30:00</t>
  </si>
  <si>
    <t>2010. 5. 6 오후 4:00:00</t>
  </si>
  <si>
    <t>2010. 5. 6 오후 3:30:00</t>
  </si>
  <si>
    <t>2010. 5. 7 오후 4:00:00</t>
  </si>
  <si>
    <t>2010. 5. 7 오후 3:30:00</t>
  </si>
  <si>
    <t>2010. 5. 8 오후 4:00:00</t>
  </si>
  <si>
    <t>2010. 5. 8 오후 3:30:00</t>
  </si>
  <si>
    <t>2010. 5. 9 오후 4:00:00</t>
  </si>
  <si>
    <t>2010. 5. 9 오후 3:30:00</t>
  </si>
  <si>
    <t>2010. 5. 10 오후 4:00:00</t>
  </si>
  <si>
    <t>2010. 5. 10 오후 3:30:00</t>
  </si>
  <si>
    <t>2010. 5. 11 오후 4:00:00</t>
  </si>
  <si>
    <t>2010. 5. 11 오후 3:30:00</t>
  </si>
  <si>
    <t>2010. 5. 12 오후 4:00:00</t>
  </si>
  <si>
    <t>2010. 5. 12 오후 3:30:00</t>
  </si>
  <si>
    <t>2010. 5. 13 오후 4:00:00</t>
  </si>
  <si>
    <t>2010. 5. 13 오후 3:30:00</t>
  </si>
  <si>
    <t>2010. 5. 14 오후 4:00:00</t>
  </si>
  <si>
    <t>2010. 5. 14 오후 3:30:00</t>
  </si>
  <si>
    <t>2010. 5. 15 오후 4:00:00</t>
  </si>
  <si>
    <t>2010. 5. 15 오후 3:30:00</t>
  </si>
  <si>
    <t>2010. 5. 16 오후 4:00:00</t>
  </si>
  <si>
    <t>2010. 5. 16 오후 3:30:00</t>
  </si>
  <si>
    <t>2010. 5. 17 오후 4:00:00</t>
  </si>
  <si>
    <t>2010. 5. 17 오후 3:30:00</t>
  </si>
  <si>
    <t>2010. 5. 18 오후 4:00:00</t>
  </si>
  <si>
    <t>2010. 5. 18 오후 3:30:00</t>
  </si>
  <si>
    <t>2010. 5. 19 오후 4:00:00</t>
  </si>
  <si>
    <t>2010. 5. 19 오후 3:30:00</t>
  </si>
  <si>
    <t>2010. 5. 20 오후 4:00:00</t>
  </si>
  <si>
    <t>2010. 5. 20 오후 3:30:00</t>
  </si>
  <si>
    <t>2010. 5. 21 오후 4:00:00</t>
  </si>
  <si>
    <t>2010. 5. 21 오후 3:30:00</t>
  </si>
  <si>
    <t>2010. 5. 22 오후 4:00:00</t>
  </si>
  <si>
    <t>2010. 5. 22 오후 3:30:00</t>
  </si>
  <si>
    <t>2010. 5. 23 오후 4:00:00</t>
  </si>
  <si>
    <t>2010. 5. 23 오후 3:30:00</t>
  </si>
  <si>
    <t>2010. 5. 24 오후 4:00:00</t>
  </si>
  <si>
    <t>2010. 5. 24 오후 3:30:00</t>
  </si>
  <si>
    <t>2010. 5. 25 오후 4:00:00</t>
  </si>
  <si>
    <t>2010. 5. 25 오후 3:30:00</t>
  </si>
  <si>
    <t>2010. 5. 26 오후 4:00:00</t>
  </si>
  <si>
    <t>2010. 5. 26 오후 3:30:00</t>
  </si>
  <si>
    <t>2010. 5. 27 오후 4:00:00</t>
  </si>
  <si>
    <t>2010. 5. 27 오후 3:30:00</t>
  </si>
  <si>
    <t>2010. 5. 28 오후 4:00:00</t>
  </si>
  <si>
    <t>2010. 5. 28 오후 3:30:00</t>
  </si>
  <si>
    <t>2010. 5. 29 오후 4:00:00</t>
  </si>
  <si>
    <t>2010. 5. 29 오후 3:30:00</t>
  </si>
  <si>
    <t>2010. 5. 30 오후 4:00:00</t>
  </si>
  <si>
    <t>2010. 5. 30 오후 3:30:00</t>
  </si>
  <si>
    <t>2010. 5. 31 오후 4:00:00</t>
  </si>
  <si>
    <t>2010. 5. 31 오후 3:30:00</t>
  </si>
  <si>
    <t>2010. 6. 1 오후 4:00:00</t>
  </si>
  <si>
    <t>2010. 6. 1 오후 3:30:00</t>
  </si>
  <si>
    <t>2010. 6. 2 오후 4:00:00</t>
  </si>
  <si>
    <t>2010. 6. 2 오후 3:30:00</t>
  </si>
  <si>
    <t>2010. 6. 3 오후 4:00:00</t>
  </si>
  <si>
    <t>2010. 6. 3 오후 3:30:00</t>
  </si>
  <si>
    <t>2010. 6. 4 오후 4:00:00</t>
  </si>
  <si>
    <t>2010. 6. 4 오후 3:30:00</t>
  </si>
  <si>
    <t>2010. 6. 5 오후 4:00:00</t>
  </si>
  <si>
    <t>2010. 6. 5 오후 3:30:00</t>
  </si>
  <si>
    <t>2010. 6. 6 오후 4:00:00</t>
  </si>
  <si>
    <t>2010. 6. 6 오후 3:30:00</t>
  </si>
  <si>
    <t>2010. 6. 7 오후 4:00:00</t>
  </si>
  <si>
    <t>2010. 6. 7 오후 3:30:00</t>
  </si>
  <si>
    <t>2010. 6. 8 오후 4:00:00</t>
  </si>
  <si>
    <t>2010. 6. 8 오후 3:30:00</t>
  </si>
  <si>
    <t>2010. 6. 9 오후 4:00:00</t>
  </si>
  <si>
    <t>2010. 6. 9 오후 3:30:00</t>
  </si>
  <si>
    <t>2010. 6. 10 오후 4:00:00</t>
  </si>
  <si>
    <t>2010. 6. 10 오후 3:30:00</t>
  </si>
  <si>
    <t>2010. 6. 11 오후 4:00:00</t>
  </si>
  <si>
    <t>2010. 6. 11 오후 3:30:00</t>
  </si>
  <si>
    <t>2010. 6. 12 오후 4:00:00</t>
  </si>
  <si>
    <t>2010. 6. 12 오후 3:30:00</t>
  </si>
  <si>
    <t>2010. 6. 13 오후 4:00:00</t>
  </si>
  <si>
    <t>2010. 6. 13 오후 3:30:00</t>
  </si>
  <si>
    <t>2010. 6. 14 오후 4:00:00</t>
  </si>
  <si>
    <t>2010. 6. 14 오후 3:30:00</t>
  </si>
  <si>
    <t>2010. 6. 15 오후 4:00:00</t>
  </si>
  <si>
    <t>2010. 6. 15 오후 3:30:00</t>
  </si>
  <si>
    <t>2010. 6. 16 오후 4:00:00</t>
  </si>
  <si>
    <t>2010. 6. 16 오후 3:30:00</t>
  </si>
  <si>
    <t>2010. 6. 17 오후 4:00:00</t>
  </si>
  <si>
    <t>2010. 6. 17 오후 3:30:00</t>
  </si>
  <si>
    <t>2010. 6. 18 오후 4:00:00</t>
  </si>
  <si>
    <t>2010. 6. 18 오후 3:30:00</t>
  </si>
  <si>
    <t>2010. 6. 19 오후 4:00:00</t>
  </si>
  <si>
    <t>2010. 6. 19 오후 3:30:00</t>
  </si>
  <si>
    <t>2010. 6. 20 오후 4:00:00</t>
  </si>
  <si>
    <t>2010. 6. 20 오후 3:30:00</t>
  </si>
  <si>
    <t>2010. 6. 21 오후 4:00:00</t>
  </si>
  <si>
    <t>2010. 6. 21 오후 3:30:00</t>
  </si>
  <si>
    <t>2010. 6. 22 오후 4:00:00</t>
  </si>
  <si>
    <t>2010. 6. 22 오후 3:30:00</t>
  </si>
  <si>
    <t>2010. 6. 23 오후 4:00:00</t>
  </si>
  <si>
    <t>2010. 6. 23 오후 3:30:00</t>
  </si>
  <si>
    <t>2010. 6. 24 오후 4:00:00</t>
  </si>
  <si>
    <t>2010. 6. 24 오후 3:30:00</t>
  </si>
  <si>
    <t>2010. 6. 25 오후 4:00:00</t>
  </si>
  <si>
    <t>2010. 6. 25 오후 3:30:00</t>
  </si>
  <si>
    <t>2010. 6. 26 오후 4:00:00</t>
  </si>
  <si>
    <t>2010. 6. 26 오후 3:30:00</t>
  </si>
  <si>
    <t>2010. 6. 27 오후 4:00:00</t>
  </si>
  <si>
    <t>2010. 6. 27 오후 3:30:00</t>
  </si>
  <si>
    <t>2010. 6. 28 오후 4:00:00</t>
  </si>
  <si>
    <t>2010. 6. 28 오후 3:30:00</t>
  </si>
  <si>
    <t>2010. 6. 29 오후 4:00:00</t>
  </si>
  <si>
    <t>2010. 6. 29 오후 3:30:00</t>
  </si>
  <si>
    <t>2010. 6. 30 오후 4:00:00</t>
  </si>
  <si>
    <t>2010. 6. 30 오후 3:30:00</t>
  </si>
  <si>
    <t>2010. 7. 1 오후 4:00:00</t>
  </si>
  <si>
    <t>2010. 7. 1 오후 3:30:00</t>
  </si>
  <si>
    <t>2010. 7. 2 오후 4:00:00</t>
  </si>
  <si>
    <t>2010. 7. 2 오후 3:30:00</t>
  </si>
  <si>
    <t>2010. 7. 3 오후 4:00:00</t>
  </si>
  <si>
    <t>2010. 7. 3 오후 3:30:00</t>
  </si>
  <si>
    <t>2010. 7. 4 오후 4:00:00</t>
  </si>
  <si>
    <t>2010. 7. 4 오후 3:30:00</t>
  </si>
  <si>
    <t>2010. 7. 5 오후 4:00:00</t>
  </si>
  <si>
    <t>2010. 7. 5 오후 3:30:00</t>
  </si>
  <si>
    <t>2010. 7. 6 오후 4:00:00</t>
  </si>
  <si>
    <t>2010. 7. 6 오후 3:30:00</t>
  </si>
  <si>
    <t>2010. 7. 7 오후 4:00:00</t>
  </si>
  <si>
    <t>2010. 7. 7 오후 3:30:00</t>
  </si>
  <si>
    <t>2010. 7. 8 오후 4:00:00</t>
  </si>
  <si>
    <t>2010. 7. 8 오후 3:30:00</t>
  </si>
  <si>
    <t>2010. 7. 9 오후 4:00:00</t>
  </si>
  <si>
    <t>2010. 7. 9 오후 3:30:00</t>
  </si>
  <si>
    <t>2010. 7. 10 오후 4:00:00</t>
  </si>
  <si>
    <t>2010. 7. 10 오후 3:30:00</t>
  </si>
  <si>
    <t>2010. 7. 11 오후 4:00:00</t>
  </si>
  <si>
    <t>2010. 7. 11 오후 3:30:00</t>
  </si>
  <si>
    <t>2010. 7. 12 오후 4:00:00</t>
  </si>
  <si>
    <t>2010. 7. 12 오후 3:30:00</t>
  </si>
  <si>
    <t>2010. 7. 13 오후 4:00:00</t>
  </si>
  <si>
    <t>2010. 7. 13 오후 3:30:00</t>
  </si>
  <si>
    <t>2010. 7. 14 오후 4:00:00</t>
  </si>
  <si>
    <t>2010. 7. 14 오후 3:30:00</t>
  </si>
  <si>
    <t>2010. 7. 15 오후 4:00:00</t>
  </si>
  <si>
    <t>2010. 7. 15 오후 3:30:00</t>
  </si>
  <si>
    <t>2010. 7. 16 오후 4:00:00</t>
  </si>
  <si>
    <t>2010. 7. 16 오후 3:30:00</t>
  </si>
  <si>
    <t>2010. 7. 17 오후 4:00:00</t>
  </si>
  <si>
    <t>2010. 7. 17 오후 3:30:00</t>
  </si>
  <si>
    <t>2010. 7. 18 오후 4:00:00</t>
  </si>
  <si>
    <t>2010. 7. 18 오후 3:30:00</t>
  </si>
  <si>
    <t>2010. 7. 19 오후 4:00:00</t>
  </si>
  <si>
    <t>2010. 7. 19 오후 3:30:00</t>
  </si>
  <si>
    <t>2010. 7. 20 오후 4:00:00</t>
  </si>
  <si>
    <t>2010. 7. 20 오후 3:30:00</t>
  </si>
  <si>
    <t>2010. 7. 21 오후 4:00:00</t>
  </si>
  <si>
    <t>2010. 7. 21 오후 3:30:00</t>
  </si>
  <si>
    <t>2010. 7. 22 오후 4:00:00</t>
  </si>
  <si>
    <t>2010. 7. 22 오후 3:30:00</t>
  </si>
  <si>
    <t>2010. 7. 23 오후 4:00:00</t>
  </si>
  <si>
    <t>2010. 7. 23 오후 3:30:00</t>
  </si>
  <si>
    <t>2010. 7. 24 오후 4:00:00</t>
  </si>
  <si>
    <t>2010. 7. 24 오후 3:30:00</t>
  </si>
  <si>
    <t>2010. 7. 25 오후 4:00:00</t>
  </si>
  <si>
    <t>2010. 7. 25 오후 3:30:00</t>
  </si>
  <si>
    <t>2010. 7. 26 오후 4:00:00</t>
  </si>
  <si>
    <t>2010. 7. 26 오후 3:30:00</t>
  </si>
  <si>
    <t>2010. 7. 27 오후 4:00:00</t>
  </si>
  <si>
    <t>2010. 7. 27 오후 3:30:00</t>
  </si>
  <si>
    <t>2010. 7. 28 오후 4:00:00</t>
  </si>
  <si>
    <t>2010. 7. 28 오후 3:30:00</t>
  </si>
  <si>
    <t>2010. 7. 29 오후 4:00:00</t>
  </si>
  <si>
    <t>2010. 7. 29 오후 3:30:00</t>
  </si>
  <si>
    <t>2010. 7. 30 오후 4:00:00</t>
  </si>
  <si>
    <t>2010. 7. 30 오후 3:30:00</t>
  </si>
  <si>
    <t>2010. 7. 31 오후 4:00:00</t>
  </si>
  <si>
    <t>2010. 7. 31 오후 3:30:00</t>
  </si>
  <si>
    <t>2010. 8. 1 오후 4:00:00</t>
  </si>
  <si>
    <t>2010. 8. 1 오후 3:30:00</t>
  </si>
  <si>
    <t>2010. 8. 2 오후 4:00:00</t>
  </si>
  <si>
    <t>2010. 8. 2 오후 3:30:00</t>
  </si>
  <si>
    <t>2010. 8. 3 오후 4:00:00</t>
  </si>
  <si>
    <t>2010. 8. 3 오후 3:30:00</t>
  </si>
  <si>
    <t>2010. 8. 4 오후 4:00:00</t>
  </si>
  <si>
    <t>2010. 8. 4 오후 3:30:00</t>
  </si>
  <si>
    <t>2010. 8. 5 오후 4:00:00</t>
  </si>
  <si>
    <t>2010. 8. 5 오후 3:30:00</t>
  </si>
  <si>
    <t>2010. 8. 6 오후 4:00:00</t>
  </si>
  <si>
    <t>2010. 8. 6 오후 3:30:00</t>
  </si>
  <si>
    <t>2010. 8. 7 오후 4:00:00</t>
  </si>
  <si>
    <t>2010. 8. 7 오후 3:30:00</t>
  </si>
  <si>
    <t>2010. 8. 8 오후 4:00:00</t>
  </si>
  <si>
    <t>2010. 8. 8 오후 3:30:00</t>
  </si>
  <si>
    <t>2010. 8. 9 오후 4:00:00</t>
  </si>
  <si>
    <t>2010. 8. 9 오후 3:30:00</t>
  </si>
  <si>
    <t>2010. 8. 10 오후 4:00:00</t>
  </si>
  <si>
    <t>2010. 8. 10 오후 3:30:00</t>
  </si>
  <si>
    <t>2010. 8. 11 오후 4:00:00</t>
  </si>
  <si>
    <t>2010. 8. 11 오후 3:30:00</t>
  </si>
  <si>
    <t>2010. 8. 12 오후 4:00:00</t>
  </si>
  <si>
    <t>2010. 8. 12 오후 3:30:00</t>
  </si>
  <si>
    <t>2010. 8. 13 오후 4:00:00</t>
  </si>
  <si>
    <t>2010. 8. 13 오후 3:30:00</t>
  </si>
  <si>
    <t>2010. 8. 14 오후 4:00:00</t>
  </si>
  <si>
    <t>2010. 8. 14 오후 3:30:00</t>
  </si>
  <si>
    <t>2010. 8. 15 오후 4:00:00</t>
  </si>
  <si>
    <t>2010. 8. 15 오후 3:30:00</t>
  </si>
  <si>
    <t>2010. 8. 16 오후 4:00:00</t>
  </si>
  <si>
    <t>2010. 8. 16 오후 3:30:00</t>
  </si>
  <si>
    <t>2010. 8. 17 오후 4:00:00</t>
  </si>
  <si>
    <t>2010. 8. 17 오후 3:30:00</t>
  </si>
  <si>
    <t>2010. 8. 18 오후 4:00:00</t>
  </si>
  <si>
    <t>2010. 8. 18 오후 3:30:00</t>
  </si>
  <si>
    <t>2010. 8. 19 오후 4:00:00</t>
  </si>
  <si>
    <t>2010. 8. 19 오후 3:30:00</t>
  </si>
  <si>
    <t>2010. 8. 20 오후 4:00:00</t>
  </si>
  <si>
    <t>2010. 8. 20 오후 3:30:00</t>
  </si>
  <si>
    <t>2010. 8. 21 오후 4:00:00</t>
  </si>
  <si>
    <t>2010. 8. 21 오후 3:30:00</t>
  </si>
  <si>
    <t>2010. 8. 22 오후 4:00:00</t>
  </si>
  <si>
    <t>2010. 8. 22 오후 3:30:00</t>
  </si>
  <si>
    <t>2010. 8. 23 오후 4:00:00</t>
  </si>
  <si>
    <t>2010. 8. 23 오후 3:30:00</t>
  </si>
  <si>
    <t>2010. 8. 24 오후 4:00:00</t>
  </si>
  <si>
    <t>2010. 8. 24 오후 3:30:00</t>
  </si>
  <si>
    <t>2010. 8. 25 오후 4:00:00</t>
  </si>
  <si>
    <t>2010. 8. 25 오후 3:30:00</t>
  </si>
  <si>
    <t>2010. 8. 26 오후 4:00:00</t>
  </si>
  <si>
    <t>2010. 8. 26 오후 3:30:00</t>
  </si>
  <si>
    <t>2010. 8. 27 오후 4:00:00</t>
  </si>
  <si>
    <t>2010. 8. 27 오후 3:30:00</t>
  </si>
  <si>
    <t>2010. 8. 28 오후 4:00:00</t>
  </si>
  <si>
    <t>2010. 8. 28 오후 3:30:00</t>
  </si>
  <si>
    <t>2010. 8. 29 오후 4:00:00</t>
  </si>
  <si>
    <t>2010. 8. 29 오후 3:30:00</t>
  </si>
  <si>
    <t>2010. 8. 30 오후 4:00:00</t>
  </si>
  <si>
    <t>2010. 8. 30 오후 3:30:00</t>
  </si>
  <si>
    <t>2010. 8. 31 오후 4:00:00</t>
  </si>
  <si>
    <t>2010. 8. 31 오후 3:30:00</t>
  </si>
  <si>
    <t>2010. 9. 1 오후 4:00:00</t>
  </si>
  <si>
    <t>2010. 9. 1 오후 3:30:00</t>
  </si>
  <si>
    <t>2010. 9. 2 오후 4:00:00</t>
  </si>
  <si>
    <t>2010. 9. 2 오후 3:30:00</t>
  </si>
  <si>
    <t>2010. 9. 3 오후 4:00:00</t>
  </si>
  <si>
    <t>2010. 9. 3 오후 3:30:00</t>
  </si>
  <si>
    <t>2010. 9. 4 오후 4:00:00</t>
  </si>
  <si>
    <t>2010. 9. 4 오후 3:30:00</t>
  </si>
  <si>
    <t>2010. 9. 5 오후 4:00:00</t>
  </si>
  <si>
    <t>2010. 9. 5 오후 3:30:00</t>
  </si>
  <si>
    <t>2010. 9. 6 오후 4:00:00</t>
  </si>
  <si>
    <t>2010. 9. 6 오후 3:30:00</t>
  </si>
  <si>
    <t>2010. 9. 7 오후 4:00:00</t>
  </si>
  <si>
    <t>2010. 9. 7 오후 3:30:00</t>
  </si>
  <si>
    <t>2010. 9. 8 오후 4:00:00</t>
  </si>
  <si>
    <t>2010. 9. 8 오후 3:30:00</t>
  </si>
  <si>
    <t>2010. 9. 9 오후 4:00:00</t>
  </si>
  <si>
    <t>2010. 9. 9 오후 3:30:00</t>
  </si>
  <si>
    <t>2010. 9. 10 오후 4:00:00</t>
  </si>
  <si>
    <t>2010. 9. 10 오후 3:30:00</t>
  </si>
  <si>
    <t>2010. 9. 11 오후 4:00:00</t>
  </si>
  <si>
    <t>2010. 9. 11 오후 3:30:00</t>
  </si>
  <si>
    <t>2010. 9. 12 오후 4:00:00</t>
  </si>
  <si>
    <t>2010. 9. 12 오후 3:30:00</t>
  </si>
  <si>
    <t>2010. 9. 13 오후 4:00:00</t>
  </si>
  <si>
    <t>2010. 9. 13 오후 3:30:00</t>
  </si>
  <si>
    <t>2010. 9. 14 오후 4:00:00</t>
  </si>
  <si>
    <t>2010. 9. 14 오후 3:30:00</t>
  </si>
  <si>
    <t>2010. 9. 15 오후 4:00:00</t>
  </si>
  <si>
    <t>2010. 9. 15 오후 3:30:00</t>
  </si>
  <si>
    <t>2010. 9. 16 오후 4:00:00</t>
  </si>
  <si>
    <t>2010. 9. 16 오후 3:30:00</t>
  </si>
  <si>
    <t>2010. 9. 17 오후 4:00:00</t>
  </si>
  <si>
    <t>2010. 9. 17 오후 3:30:00</t>
  </si>
  <si>
    <t>2010. 9. 18 오후 4:00:00</t>
  </si>
  <si>
    <t>2010. 9. 18 오후 3:30:00</t>
  </si>
  <si>
    <t>2010. 9. 19 오후 4:00:00</t>
  </si>
  <si>
    <t>2010. 9. 19 오후 3:30:00</t>
  </si>
  <si>
    <t>2010. 9. 20 오후 4:00:00</t>
  </si>
  <si>
    <t>2010. 9. 20 오후 3:30:00</t>
  </si>
  <si>
    <t>2010. 9. 21 오후 4:00:00</t>
  </si>
  <si>
    <t>2010. 9. 21 오후 3:30:00</t>
  </si>
  <si>
    <t>2010. 9. 22 오후 4:00:00</t>
  </si>
  <si>
    <t>2010. 9. 22 오후 3:30:00</t>
  </si>
  <si>
    <t>2010. 9. 23 오후 4:00:00</t>
  </si>
  <si>
    <t>2010. 9. 23 오후 3:30:00</t>
  </si>
  <si>
    <t>2010. 9. 24 오후 4:00:00</t>
  </si>
  <si>
    <t>2010. 9. 24 오후 3:30:00</t>
  </si>
  <si>
    <t>2010. 9. 25 오후 4:00:00</t>
  </si>
  <si>
    <t>2010. 9. 25 오후 3:30:00</t>
  </si>
  <si>
    <t>2010. 9. 26 오후 4:00:00</t>
  </si>
  <si>
    <t>2010. 9. 26 오후 3:30:00</t>
  </si>
  <si>
    <t>2010. 9. 27 오후 4:00:00</t>
  </si>
  <si>
    <t>2010. 9. 27 오후 3:30:00</t>
  </si>
  <si>
    <t>2010. 9. 28 오후 4:00:00</t>
  </si>
  <si>
    <t>2010. 9. 28 오후 3:30:00</t>
  </si>
  <si>
    <t>2010. 9. 29 오후 4:00:00</t>
  </si>
  <si>
    <t>2010. 9. 29 오후 3:30:00</t>
  </si>
  <si>
    <t>2010. 9. 30 오후 4:00:00</t>
  </si>
  <si>
    <t>2010. 9. 30 오후 3:30:00</t>
  </si>
  <si>
    <t>2010. 10. 1 오후 4:00:00</t>
  </si>
  <si>
    <t>2010. 10. 1 오후 3:30:00</t>
  </si>
  <si>
    <t>2010. 10. 2 오후 4:00:00</t>
  </si>
  <si>
    <t>2010. 10. 2 오후 3:30:00</t>
  </si>
  <si>
    <t>2010. 10. 3 오후 4:00:00</t>
  </si>
  <si>
    <t>2010. 10. 3 오후 3:30:00</t>
  </si>
  <si>
    <t>2010. 10. 4 오후 4:00:00</t>
  </si>
  <si>
    <t>2010. 10. 4 오후 3:30:00</t>
  </si>
  <si>
    <t>2010. 10. 5 오후 4:00:00</t>
  </si>
  <si>
    <t>2010. 10. 5 오후 3:30:00</t>
  </si>
  <si>
    <t>2010. 10. 6 오후 4:00:00</t>
  </si>
  <si>
    <t>2010. 10. 6 오후 3:30:00</t>
  </si>
  <si>
    <t>2010. 10. 7 오후 4:00:00</t>
  </si>
  <si>
    <t>2010. 10. 7 오후 3:30:00</t>
  </si>
  <si>
    <t>2010. 10. 8 오후 4:00:00</t>
  </si>
  <si>
    <t>2010. 10. 8 오후 3:30:00</t>
  </si>
  <si>
    <t>2010. 10. 9 오후 4:00:00</t>
  </si>
  <si>
    <t>2010. 10. 9 오후 3:30:00</t>
  </si>
  <si>
    <t>2010. 10. 10 오후 4:00:00</t>
  </si>
  <si>
    <t>2010. 10. 10 오후 3:30:00</t>
  </si>
  <si>
    <t>2010. 10. 11 오후 4:00:00</t>
  </si>
  <si>
    <t>2010. 10. 11 오후 3:30:00</t>
  </si>
  <si>
    <t>2010. 10. 12 오후 4:00:00</t>
  </si>
  <si>
    <t>2010. 10. 12 오후 3:30:00</t>
  </si>
  <si>
    <t>2010. 10. 13 오후 4:00:00</t>
  </si>
  <si>
    <t>2010. 10. 13 오후 3:30:00</t>
  </si>
  <si>
    <t>2010. 10. 14 오후 4:00:00</t>
  </si>
  <si>
    <t>2010. 10. 14 오후 3:30:00</t>
  </si>
  <si>
    <t>2010. 10. 15 오후 4:00:00</t>
  </si>
  <si>
    <t>2010. 10. 15 오후 3:30:00</t>
  </si>
  <si>
    <t>2010. 10. 16 오후 4:00:00</t>
  </si>
  <si>
    <t>2010. 10. 16 오후 3:30:00</t>
  </si>
  <si>
    <t>2010. 10. 17 오후 4:00:00</t>
  </si>
  <si>
    <t>2010. 10. 17 오후 3:30:00</t>
  </si>
  <si>
    <t>2010. 10. 18 오후 4:00:00</t>
  </si>
  <si>
    <t>2010. 10. 18 오후 3:30:00</t>
  </si>
  <si>
    <t>2010. 10. 19 오후 4:00:00</t>
  </si>
  <si>
    <t>2010. 10. 19 오후 3:30:00</t>
  </si>
  <si>
    <t>2010. 10. 20 오후 4:00:00</t>
  </si>
  <si>
    <t>2010. 10. 20 오후 3:30:00</t>
  </si>
  <si>
    <t>2010. 10. 21 오후 4:00:00</t>
  </si>
  <si>
    <t>2010. 10. 21 오후 3:30:00</t>
  </si>
  <si>
    <t>2010. 10. 22 오후 4:00:00</t>
  </si>
  <si>
    <t>2010. 10. 22 오후 3:30:00</t>
  </si>
  <si>
    <t>2010. 10. 23 오후 4:00:00</t>
  </si>
  <si>
    <t>2010. 10. 23 오후 3:30:00</t>
  </si>
  <si>
    <t>2010. 10. 24 오후 4:00:00</t>
  </si>
  <si>
    <t>2010. 10. 24 오후 3:30:00</t>
  </si>
  <si>
    <t>2010. 10. 25 오후 4:00:00</t>
  </si>
  <si>
    <t>2010. 10. 25 오후 3:30:00</t>
  </si>
  <si>
    <t>2010. 10. 26 오후 4:00:00</t>
  </si>
  <si>
    <t>2010. 10. 26 오후 3:30:00</t>
  </si>
  <si>
    <t>2010. 10. 27 오후 4:00:00</t>
  </si>
  <si>
    <t>2010. 10. 27 오후 3:30:00</t>
  </si>
  <si>
    <t>2010. 10. 28 오후 4:00:00</t>
  </si>
  <si>
    <t>2010. 10. 28 오후 3:30:00</t>
  </si>
  <si>
    <t>2010. 10. 29 오후 4:00:00</t>
  </si>
  <si>
    <t>2010. 10. 29 오후 3:30:00</t>
  </si>
  <si>
    <t>2010. 10. 30 오후 4:00:00</t>
  </si>
  <si>
    <t>2010. 10. 30 오후 3:30:00</t>
  </si>
  <si>
    <t>2010. 10. 31 오후 4:00:00</t>
  </si>
  <si>
    <t>2010. 10. 31 오후 3:30:00</t>
  </si>
  <si>
    <t>2010. 11. 1 오후 4:00:00</t>
  </si>
  <si>
    <t>2010. 11. 1 오후 3:30:00</t>
  </si>
  <si>
    <t>2010. 11. 2 오후 4:00:00</t>
  </si>
  <si>
    <t>2010. 11. 2 오후 3:30:00</t>
  </si>
  <si>
    <t>2010. 11. 3 오후 4:00:00</t>
  </si>
  <si>
    <t>2010. 11. 3 오후 3:30:00</t>
  </si>
  <si>
    <t>2010. 11. 4 오후 4:00:00</t>
  </si>
  <si>
    <t>2010. 11. 4 오후 3:30:00</t>
  </si>
  <si>
    <t>2010. 11. 5 오후 4:00:00</t>
  </si>
  <si>
    <t>2010. 11. 5 오후 3:30:00</t>
  </si>
  <si>
    <t>2010. 11. 6 오후 4:00:00</t>
  </si>
  <si>
    <t>2010. 11. 6 오후 3:30:00</t>
  </si>
  <si>
    <t>2010. 11. 7 오후 4:00:00</t>
  </si>
  <si>
    <t>2010. 11. 7 오후 3:30:00</t>
  </si>
  <si>
    <t>2010. 11. 8 오후 4:00:00</t>
  </si>
  <si>
    <t>2010. 11. 8 오후 3:30:00</t>
  </si>
  <si>
    <t>2010. 11. 9 오후 4:00:00</t>
  </si>
  <si>
    <t>2010. 11. 9 오후 3:30:00</t>
  </si>
  <si>
    <t>2010. 11. 10 오후 4:00:00</t>
  </si>
  <si>
    <t>2010. 11. 10 오후 3:30:00</t>
  </si>
  <si>
    <t>2010. 11. 11 오후 4:00:00</t>
  </si>
  <si>
    <t>2010. 11. 11 오후 3:30:00</t>
  </si>
  <si>
    <t>2010. 11. 12 오후 4:00:00</t>
  </si>
  <si>
    <t>2010. 11. 12 오후 3:30:00</t>
  </si>
  <si>
    <t>2010. 11. 13 오후 4:00:00</t>
  </si>
  <si>
    <t>2010. 11. 13 오후 3:30:00</t>
  </si>
  <si>
    <t>2010. 11. 14 오후 4:00:00</t>
  </si>
  <si>
    <t>2010. 11. 14 오후 3:30:00</t>
  </si>
  <si>
    <t>2010. 11. 15 오후 4:00:00</t>
  </si>
  <si>
    <t>2010. 11. 15 오후 3:30:00</t>
  </si>
  <si>
    <t>2010. 11. 16 오후 4:00:00</t>
  </si>
  <si>
    <t>2010. 11. 16 오후 3:30:00</t>
  </si>
  <si>
    <t>2010. 11. 17 오후 4:00:00</t>
  </si>
  <si>
    <t>2010. 11. 17 오후 3:30:00</t>
  </si>
  <si>
    <t>2010. 11. 18 오후 4:00:00</t>
  </si>
  <si>
    <t>2010. 11. 18 오후 3:30:00</t>
  </si>
  <si>
    <t>2010. 11. 19 오후 4:00:00</t>
  </si>
  <si>
    <t>2010. 11. 19 오후 3:30:00</t>
  </si>
  <si>
    <t>2010. 11. 20 오후 4:00:00</t>
  </si>
  <si>
    <t>2010. 11. 20 오후 3:30:00</t>
  </si>
  <si>
    <t>2010. 11. 21 오후 4:00:00</t>
  </si>
  <si>
    <t>2010. 11. 21 오후 3:30:00</t>
  </si>
  <si>
    <t>2010. 11. 22 오후 4:00:00</t>
  </si>
  <si>
    <t>2010. 11. 22 오후 3:30:00</t>
  </si>
  <si>
    <t>2010. 11. 23 오후 4:00:00</t>
  </si>
  <si>
    <t>2010. 11. 23 오후 3:30:00</t>
  </si>
  <si>
    <t>2010. 11. 24 오후 4:00:00</t>
  </si>
  <si>
    <t>2010. 11. 24 오후 3:30:00</t>
  </si>
  <si>
    <t>2010. 11. 25 오후 4:00:00</t>
  </si>
  <si>
    <t>2010. 11. 25 오후 3:30:00</t>
  </si>
  <si>
    <t>2010. 11. 26 오후 4:00:00</t>
  </si>
  <si>
    <t>2010. 11. 26 오후 3:30:00</t>
  </si>
  <si>
    <t>2010. 11. 27 오후 4:00:00</t>
  </si>
  <si>
    <t>2010. 11. 27 오후 3:30:00</t>
  </si>
  <si>
    <t>2010. 11. 28 오후 4:00:00</t>
  </si>
  <si>
    <t>2010. 11. 28 오후 3:30:00</t>
  </si>
  <si>
    <t>2010. 11. 29 오후 4:00:00</t>
  </si>
  <si>
    <t>2010. 11. 29 오후 3:30:00</t>
  </si>
  <si>
    <t>2010. 11. 30 오후 4:00:00</t>
  </si>
  <si>
    <t>2010. 11. 30 오후 3:30:00</t>
  </si>
  <si>
    <t>2010. 12. 1 오후 4:00:00</t>
  </si>
  <si>
    <t>2010. 12. 1 오후 3:30:00</t>
  </si>
  <si>
    <t>2010. 12. 2 오후 4:00:00</t>
  </si>
  <si>
    <t>2010. 12. 2 오후 3:30:00</t>
  </si>
  <si>
    <t>2010. 12. 3 오후 4:00:00</t>
  </si>
  <si>
    <t>2010. 12. 3 오후 3:30:00</t>
  </si>
  <si>
    <t>2010. 12. 4 오후 4:00:00</t>
  </si>
  <si>
    <t>2010. 12. 4 오후 3:30:00</t>
  </si>
  <si>
    <t>2010. 12. 5 오후 4:00:00</t>
  </si>
  <si>
    <t>2010. 12. 5 오후 3:30:00</t>
  </si>
  <si>
    <t>2010. 12. 6 오후 4:00:00</t>
  </si>
  <si>
    <t>2010. 12. 6 오후 3:30:00</t>
  </si>
  <si>
    <t>2010. 12. 7 오후 4:00:00</t>
  </si>
  <si>
    <t>2010. 12. 7 오후 3:30:00</t>
  </si>
  <si>
    <t>2010. 12. 8 오후 4:00:00</t>
  </si>
  <si>
    <t>2010. 12. 8 오후 3:30:00</t>
  </si>
  <si>
    <t>2010. 12. 9 오후 4:00:00</t>
  </si>
  <si>
    <t>2010. 12. 9 오후 3:30:00</t>
  </si>
  <si>
    <t>2010. 12. 10 오후 4:00:00</t>
  </si>
  <si>
    <t>2010. 12. 10 오후 3:30:00</t>
  </si>
  <si>
    <t>2010. 12. 11 오후 4:00:00</t>
  </si>
  <si>
    <t>2010. 12. 11 오후 3:30:00</t>
  </si>
  <si>
    <t>2010. 12. 12 오후 4:00:00</t>
  </si>
  <si>
    <t>2010. 12. 12 오후 3:30:00</t>
  </si>
  <si>
    <t>2010. 12. 13 오후 4:00:00</t>
  </si>
  <si>
    <t>2010. 12. 13 오후 3:30:00</t>
  </si>
  <si>
    <t>2010. 12. 14 오후 4:00:00</t>
  </si>
  <si>
    <t>2010. 12. 14 오후 3:30:00</t>
  </si>
  <si>
    <t>2010. 12. 15 오후 4:00:00</t>
  </si>
  <si>
    <t>2010. 12. 15 오후 3:30:00</t>
  </si>
  <si>
    <t>2010. 12. 16 오후 4:00:00</t>
  </si>
  <si>
    <t>2010. 12. 16 오후 3:30:00</t>
  </si>
  <si>
    <t>2010. 12. 17 오후 4:00:00</t>
  </si>
  <si>
    <t>2010. 12. 17 오후 3:30:00</t>
  </si>
  <si>
    <t>2010. 12. 18 오후 4:00:00</t>
  </si>
  <si>
    <t>2010. 12. 18 오후 3:30:00</t>
  </si>
  <si>
    <t>2010. 12. 19 오후 4:00:00</t>
  </si>
  <si>
    <t>2010. 12. 19 오후 3:30:00</t>
  </si>
  <si>
    <t>2010. 12. 20 오후 4:00:00</t>
  </si>
  <si>
    <t>2010. 12. 20 오후 3:30:00</t>
  </si>
  <si>
    <t>2010. 12. 21 오후 4:00:00</t>
  </si>
  <si>
    <t>2010. 12. 21 오후 3:30:00</t>
  </si>
  <si>
    <t>2010. 12. 22 오후 4:00:00</t>
  </si>
  <si>
    <t>2010. 12. 22 오후 3:30:00</t>
  </si>
  <si>
    <t>2010. 12. 23 오후 4:00:00</t>
  </si>
  <si>
    <t>2010. 12. 23 오후 3:30:00</t>
  </si>
  <si>
    <t>2010. 12. 24 오후 4:00:00</t>
  </si>
  <si>
    <t>2010. 12. 24 오후 3:30:00</t>
  </si>
  <si>
    <t>2010. 12. 25 오후 4:00:00</t>
  </si>
  <si>
    <t>2010. 12. 25 오후 3:30:00</t>
  </si>
  <si>
    <t>2010. 12. 26 오후 4:00:00</t>
  </si>
  <si>
    <t>2010. 12. 26 오후 3:30:00</t>
  </si>
  <si>
    <t>2010. 12. 27 오후 4:00:00</t>
  </si>
  <si>
    <t>2010. 12. 27 오후 3:30:00</t>
  </si>
  <si>
    <t>2010. 12. 28 오후 4:00:00</t>
  </si>
  <si>
    <t>2010. 12. 28 오후 3:30:00</t>
  </si>
  <si>
    <t>2010. 12. 29 오후 4:00:00</t>
  </si>
  <si>
    <t>2010. 12. 29 오후 3:30:00</t>
  </si>
  <si>
    <t>2010. 12. 30 오후 4:00:00</t>
  </si>
  <si>
    <t>2010. 12. 30 오후 3:30:00</t>
  </si>
  <si>
    <t>2010. 12. 31 오후 4:00:00</t>
  </si>
  <si>
    <t>2010. 12. 31 오후 3:30:00</t>
  </si>
  <si>
    <t>2011. 1. 1 오후 4:00:00</t>
  </si>
  <si>
    <t>2011. 1. 1 오후 3:30:00</t>
  </si>
  <si>
    <t>2011. 1. 2 오후 4:00:00</t>
  </si>
  <si>
    <t>2011. 1. 2 오후 3:30:00</t>
  </si>
  <si>
    <t>2011. 1. 3 오후 4:00:00</t>
  </si>
  <si>
    <t>2011. 1. 3 오후 3:30:00</t>
  </si>
  <si>
    <t>2011. 1. 4 오후 4:00:00</t>
  </si>
  <si>
    <t>2011. 1. 4 오후 3:30:00</t>
  </si>
  <si>
    <t>2011. 1. 5 오후 4:00:00</t>
  </si>
  <si>
    <t>2011. 1. 5 오후 3:30:00</t>
  </si>
  <si>
    <t>2011. 1. 6 오후 4:00:00</t>
  </si>
  <si>
    <t>2011. 1. 6 오후 3:30:00</t>
  </si>
  <si>
    <t>2011. 1. 7 오후 4:00:00</t>
  </si>
  <si>
    <t>2011. 1. 7 오후 3:30:00</t>
  </si>
  <si>
    <t>2011. 1. 8 오후 4:00:00</t>
  </si>
  <si>
    <t>2011. 1. 8 오후 3:30:00</t>
  </si>
  <si>
    <t>2011. 1. 9 오후 4:00:00</t>
  </si>
  <si>
    <t>2011. 1. 9 오후 3:30:00</t>
  </si>
  <si>
    <t>2011. 1. 10 오후 4:00:00</t>
  </si>
  <si>
    <t>2011. 1. 10 오후 3:30:00</t>
  </si>
  <si>
    <t>2011. 1. 11 오후 4:00:00</t>
  </si>
  <si>
    <t>2011. 1. 11 오후 3:30:00</t>
  </si>
  <si>
    <t>2011. 1. 12 오후 4:00:00</t>
  </si>
  <si>
    <t>2011. 1. 12 오후 3:30:00</t>
  </si>
  <si>
    <t>2011. 1. 13 오후 4:00:00</t>
  </si>
  <si>
    <t>2011. 1. 13 오후 3:30:00</t>
  </si>
  <si>
    <t>2011. 1. 14 오후 4:00:00</t>
  </si>
  <si>
    <t>2011. 1. 14 오후 3:30:00</t>
  </si>
  <si>
    <t>2011. 1. 15 오후 4:00:00</t>
  </si>
  <si>
    <t>2011. 1. 15 오후 3:30:00</t>
  </si>
  <si>
    <t>2011. 1. 16 오후 4:00:00</t>
  </si>
  <si>
    <t>2011. 1. 16 오후 3:30:00</t>
  </si>
  <si>
    <t>2011. 1. 17 오후 4:00:00</t>
  </si>
  <si>
    <t>2011. 1. 17 오후 3:30:00</t>
  </si>
  <si>
    <t>2011. 1. 18 오후 4:00:00</t>
  </si>
  <si>
    <t>2011. 1. 18 오후 3:30:00</t>
  </si>
  <si>
    <t>2011. 1. 19 오후 4:00:00</t>
  </si>
  <si>
    <t>2011. 1. 19 오후 3:30:00</t>
  </si>
  <si>
    <t>2011. 1. 20 오후 4:00:00</t>
  </si>
  <si>
    <t>2011. 1. 20 오후 3:30:00</t>
  </si>
  <si>
    <t>2011. 1. 21 오후 4:00:00</t>
  </si>
  <si>
    <t>2011. 1. 21 오후 3:30:00</t>
  </si>
  <si>
    <t>2011. 1. 22 오후 4:00:00</t>
  </si>
  <si>
    <t>2011. 1. 22 오후 3:30:00</t>
  </si>
  <si>
    <t>2011. 1. 23 오후 4:00:00</t>
  </si>
  <si>
    <t>2011. 1. 23 오후 3:30:00</t>
  </si>
  <si>
    <t>2011. 1. 24 오후 4:00:00</t>
  </si>
  <si>
    <t>2011. 1. 24 오후 3:30:00</t>
  </si>
  <si>
    <t>2011. 1. 25 오후 4:00:00</t>
  </si>
  <si>
    <t>2011. 1. 25 오후 3:30:00</t>
  </si>
  <si>
    <t>2011. 1. 26 오후 4:00:00</t>
  </si>
  <si>
    <t>2011. 1. 26 오후 3:30:00</t>
  </si>
  <si>
    <t>2011. 1. 27 오후 4:00:00</t>
  </si>
  <si>
    <t>2011. 1. 27 오후 3:30:00</t>
  </si>
  <si>
    <t>2011. 1. 28 오후 4:00:00</t>
  </si>
  <si>
    <t>2011. 1. 28 오후 3:30:00</t>
  </si>
  <si>
    <t>2011. 1. 29 오후 4:00:00</t>
  </si>
  <si>
    <t>2011. 1. 29 오후 3:30:00</t>
  </si>
  <si>
    <t>2011. 1. 30 오후 4:00:00</t>
  </si>
  <si>
    <t>2011. 1. 30 오후 3:30:00</t>
  </si>
  <si>
    <t>2011. 1. 31 오후 4:00:00</t>
  </si>
  <si>
    <t>2011. 1. 31 오후 3:30:00</t>
  </si>
  <si>
    <t>2011. 2. 1 오후 4:00:00</t>
  </si>
  <si>
    <t>2011. 2. 1 오후 3:30:00</t>
  </si>
  <si>
    <t>2011. 2. 2 오후 4:00:00</t>
  </si>
  <si>
    <t>2011. 2. 2 오후 3:30:00</t>
  </si>
  <si>
    <t>2011. 2. 3 오후 4:00:00</t>
  </si>
  <si>
    <t>2011. 2. 3 오후 3:30:00</t>
  </si>
  <si>
    <t>2011. 2. 4 오후 4:00:00</t>
  </si>
  <si>
    <t>2011. 2. 4 오후 3:30:00</t>
  </si>
  <si>
    <t>2011. 2. 5 오후 4:00:00</t>
  </si>
  <si>
    <t>2011. 2. 5 오후 3:30:00</t>
  </si>
  <si>
    <t>2011. 2. 6 오후 4:00:00</t>
  </si>
  <si>
    <t>2011. 2. 6 오후 3:30:00</t>
  </si>
  <si>
    <t>2011. 2. 7 오후 4:00:00</t>
  </si>
  <si>
    <t>2011. 2. 7 오후 3:30:00</t>
  </si>
  <si>
    <t>2011. 2. 8 오후 4:00:00</t>
  </si>
  <si>
    <t>2011. 2. 8 오후 3:30:00</t>
  </si>
  <si>
    <t>2011. 2. 9 오후 4:00:00</t>
  </si>
  <si>
    <t>2011. 2. 9 오후 3:30:00</t>
  </si>
  <si>
    <t>2011. 2. 10 오후 4:00:00</t>
  </si>
  <si>
    <t>2011. 2. 10 오후 3:30:00</t>
  </si>
  <si>
    <t>2011. 2. 11 오후 4:00:00</t>
  </si>
  <si>
    <t>2011. 2. 11 오후 3:30:00</t>
  </si>
  <si>
    <t>2011. 2. 12 오후 4:00:00</t>
  </si>
  <si>
    <t>2011. 2. 12 오후 3:30:00</t>
  </si>
  <si>
    <t>2011. 2. 13 오후 4:00:00</t>
  </si>
  <si>
    <t>2011. 2. 13 오후 3:30:00</t>
  </si>
  <si>
    <t>2011. 2. 14 오후 4:00:00</t>
  </si>
  <si>
    <t>2011. 2. 14 오후 3:30:00</t>
  </si>
  <si>
    <t>2011. 2. 15 오후 4:00:00</t>
  </si>
  <si>
    <t>2011. 2. 15 오후 3:30:00</t>
  </si>
  <si>
    <t>2011. 2. 16 오후 4:00:00</t>
  </si>
  <si>
    <t>2011. 2. 16 오후 3:30:00</t>
  </si>
  <si>
    <t>2011. 2. 17 오후 4:00:00</t>
  </si>
  <si>
    <t>2011. 2. 17 오후 3:30:00</t>
  </si>
  <si>
    <t>2011. 2. 18 오후 4:00:00</t>
  </si>
  <si>
    <t>2011. 2. 18 오후 3:30:00</t>
  </si>
  <si>
    <t>2011. 2. 19 오후 4:00:00</t>
  </si>
  <si>
    <t>2011. 2. 19 오후 3:30:00</t>
  </si>
  <si>
    <t>2011. 2. 20 오후 4:00:00</t>
  </si>
  <si>
    <t>2011. 2. 20 오후 3:30:00</t>
  </si>
  <si>
    <t>2011. 2. 21 오후 4:00:00</t>
  </si>
  <si>
    <t>2011. 2. 21 오후 3:30:00</t>
  </si>
  <si>
    <t>2011. 2. 22 오후 4:00:00</t>
  </si>
  <si>
    <t>2011. 2. 22 오후 3:30:00</t>
  </si>
  <si>
    <t>2011. 2. 23 오후 4:00:00</t>
  </si>
  <si>
    <t>2011. 2. 23 오후 3:30:00</t>
  </si>
  <si>
    <t>2011. 2. 24 오후 4:00:00</t>
  </si>
  <si>
    <t>2011. 2. 24 오후 3:30:00</t>
  </si>
  <si>
    <t>2011. 2. 25 오후 4:00:00</t>
  </si>
  <si>
    <t>2011. 2. 25 오후 3:30:00</t>
  </si>
  <si>
    <t>2011. 2. 26 오후 4:00:00</t>
  </si>
  <si>
    <t>2011. 2. 26 오후 3:30:00</t>
  </si>
  <si>
    <t>2011. 2. 27 오후 4:00:00</t>
  </si>
  <si>
    <t>2011. 2. 27 오후 3:30:00</t>
  </si>
  <si>
    <t>2011. 2. 28 오후 4:00:00</t>
  </si>
  <si>
    <t>2011. 2. 28 오후 3:30:00</t>
  </si>
  <si>
    <t>2011. 3. 1 오후 4:00:00</t>
  </si>
  <si>
    <t>2011. 3. 1 오후 3:30:00</t>
  </si>
  <si>
    <t>2011. 3. 2 오후 4:00:00</t>
  </si>
  <si>
    <t>2011. 3. 2 오후 3:30:00</t>
  </si>
  <si>
    <t>2011. 3. 3 오후 4:00:00</t>
  </si>
  <si>
    <t>2011. 3. 3 오후 3:30:00</t>
  </si>
  <si>
    <t>2011. 3. 4 오후 4:00:00</t>
  </si>
  <si>
    <t>2011. 3. 4 오후 3:30:00</t>
  </si>
  <si>
    <t>2011. 3. 5 오후 4:00:00</t>
  </si>
  <si>
    <t>2011. 3. 5 오후 3:30:00</t>
  </si>
  <si>
    <t>2011. 3. 6 오후 4:00:00</t>
  </si>
  <si>
    <t>2011. 3. 6 오후 3:30:00</t>
  </si>
  <si>
    <t>2011. 3. 7 오후 4:00:00</t>
  </si>
  <si>
    <t>2011. 3. 7 오후 3:30:00</t>
  </si>
  <si>
    <t>2011. 3. 8 오후 4:00:00</t>
  </si>
  <si>
    <t>2011. 3. 8 오후 3:30:00</t>
  </si>
  <si>
    <t>2011. 3. 9 오후 4:00:00</t>
  </si>
  <si>
    <t>2011. 3. 9 오후 3:30:00</t>
  </si>
  <si>
    <t>2011. 3. 10 오후 4:00:00</t>
  </si>
  <si>
    <t>2011. 3. 10 오후 3:30:00</t>
  </si>
  <si>
    <t>2011. 3. 11 오후 4:00:00</t>
  </si>
  <si>
    <t>2011. 3. 11 오후 3:30:00</t>
  </si>
  <si>
    <t>2011. 3. 12 오후 4:00:00</t>
  </si>
  <si>
    <t>2011. 3. 12 오후 3:30:00</t>
  </si>
  <si>
    <t>2011. 3. 13 오후 4:00:00</t>
  </si>
  <si>
    <t>2011. 3. 13 오후 3:30:00</t>
  </si>
  <si>
    <t>2011. 3. 14 오후 4:00:00</t>
  </si>
  <si>
    <t>2011. 3. 14 오후 3:30:00</t>
  </si>
  <si>
    <t>2011. 3. 15 오후 4:00:00</t>
  </si>
  <si>
    <t>2011. 3. 15 오후 3:30:00</t>
  </si>
  <si>
    <t>2011. 3. 16 오후 4:00:00</t>
  </si>
  <si>
    <t>2011. 3. 16 오후 3:30:00</t>
  </si>
  <si>
    <t>2011. 3. 17 오후 4:00:00</t>
  </si>
  <si>
    <t>2011. 3. 17 오후 3:30:00</t>
  </si>
  <si>
    <t>2011. 3. 18 오후 4:00:00</t>
  </si>
  <si>
    <t>2011. 3. 18 오후 3:30:00</t>
  </si>
  <si>
    <t>2011. 3. 19 오후 4:00:00</t>
  </si>
  <si>
    <t>2011. 3. 19 오후 3:30:00</t>
  </si>
  <si>
    <t>2011. 3. 20 오후 4:00:00</t>
  </si>
  <si>
    <t>2011. 3. 20 오후 3:30:00</t>
  </si>
  <si>
    <t>2011. 3. 21 오후 4:00:00</t>
  </si>
  <si>
    <t>2011. 3. 21 오후 3:30:00</t>
  </si>
  <si>
    <t>2011. 3. 22 오후 4:00:00</t>
  </si>
  <si>
    <t>2011. 3. 22 오후 3:30:00</t>
  </si>
  <si>
    <t>2011. 3. 23 오후 4:00:00</t>
  </si>
  <si>
    <t>2011. 3. 23 오후 3:30:00</t>
  </si>
  <si>
    <t>2011. 3. 24 오후 4:00:00</t>
  </si>
  <si>
    <t>2011. 3. 24 오후 3:30:00</t>
  </si>
  <si>
    <t>2011. 3. 25 오후 4:00:00</t>
  </si>
  <si>
    <t>2011. 3. 25 오후 3:30:00</t>
  </si>
  <si>
    <t>2011. 3. 26 오후 4:00:00</t>
  </si>
  <si>
    <t>2011. 3. 26 오후 3:30:00</t>
  </si>
  <si>
    <t>2011. 3. 27 오후 4:00:00</t>
  </si>
  <si>
    <t>2011. 3. 27 오후 3:30:00</t>
  </si>
  <si>
    <t>2011. 3. 28 오후 4:00:00</t>
  </si>
  <si>
    <t>2011. 3. 28 오후 3:30:00</t>
  </si>
  <si>
    <t>2011. 3. 29 오후 4:00:00</t>
  </si>
  <si>
    <t>2011. 3. 29 오후 3:30:00</t>
  </si>
  <si>
    <t>2011. 3. 30 오후 4:00:00</t>
  </si>
  <si>
    <t>2011. 3. 30 오후 3:30:00</t>
  </si>
  <si>
    <t>2011. 3. 31 오후 4:00:00</t>
  </si>
  <si>
    <t>2011. 3. 31 오후 3:30:00</t>
  </si>
  <si>
    <t>2011. 4. 1 오후 4:00:00</t>
  </si>
  <si>
    <t>2011. 4. 1 오후 3:30:00</t>
  </si>
  <si>
    <t>2011. 4. 2 오후 4:00:00</t>
  </si>
  <si>
    <t>2011. 4. 2 오후 3:30:00</t>
  </si>
  <si>
    <t>2011. 4. 3 오후 4:00:00</t>
  </si>
  <si>
    <t>2011. 4. 3 오후 3:30:00</t>
  </si>
  <si>
    <t>2011. 4. 4 오후 4:00:00</t>
  </si>
  <si>
    <t>2011. 4. 4 오후 3:30:00</t>
  </si>
  <si>
    <t>2011. 4. 5 오후 4:00:00</t>
  </si>
  <si>
    <t>2011. 4. 5 오후 3:30:00</t>
  </si>
  <si>
    <t>2011. 4. 6 오후 4:00:00</t>
  </si>
  <si>
    <t>2011. 4. 6 오후 3:30:00</t>
  </si>
  <si>
    <t>2011. 4. 7 오후 4:00:00</t>
  </si>
  <si>
    <t>2011. 4. 7 오후 3:30:00</t>
  </si>
  <si>
    <t>2011. 4. 8 오후 4:00:00</t>
  </si>
  <si>
    <t>2011. 4. 8 오후 3:30:00</t>
  </si>
  <si>
    <t>2011. 4. 9 오후 4:00:00</t>
  </si>
  <si>
    <t>2011. 4. 9 오후 3:30:00</t>
  </si>
  <si>
    <t>2011. 4. 10 오후 4:00:00</t>
  </si>
  <si>
    <t>2011. 4. 10 오후 3:30:00</t>
  </si>
  <si>
    <t>2011. 4. 11 오후 4:00:00</t>
  </si>
  <si>
    <t>2011. 4. 11 오후 3:30:00</t>
  </si>
  <si>
    <t>2011. 4. 12 오후 4:00:00</t>
  </si>
  <si>
    <t>2011. 4. 12 오후 3:30:00</t>
  </si>
  <si>
    <t>2011. 4. 13 오후 4:00:00</t>
  </si>
  <si>
    <t>2011. 4. 13 오후 3:30:00</t>
  </si>
  <si>
    <t>2011. 4. 14 오후 4:00:00</t>
  </si>
  <si>
    <t>2011. 4. 14 오후 3:30:00</t>
  </si>
  <si>
    <t>2011. 4. 15 오후 4:00:00</t>
  </si>
  <si>
    <t>2011. 4. 15 오후 3:30:00</t>
  </si>
  <si>
    <t>2011. 4. 16 오후 4:00:00</t>
  </si>
  <si>
    <t>2011. 4. 16 오후 3:30:00</t>
  </si>
  <si>
    <t>2011. 4. 17 오후 4:00:00</t>
  </si>
  <si>
    <t>2011. 4. 17 오후 3:30:00</t>
  </si>
  <si>
    <t>2011. 4. 18 오후 4:00:00</t>
  </si>
  <si>
    <t>2011. 4. 18 오후 3:30:00</t>
  </si>
  <si>
    <t>2011. 4. 19 오후 4:00:00</t>
  </si>
  <si>
    <t>2011. 4. 19 오후 3:30:00</t>
  </si>
  <si>
    <t>2011. 4. 20 오후 4:00:00</t>
  </si>
  <si>
    <t>2011. 4. 20 오후 3:30:00</t>
  </si>
  <si>
    <t>2011. 4. 21 오후 4:00:00</t>
  </si>
  <si>
    <t>2011. 4. 21 오후 3:30:00</t>
  </si>
  <si>
    <t>2011. 4. 22 오후 4:00:00</t>
  </si>
  <si>
    <t>2011. 4. 22 오후 3:30:00</t>
  </si>
  <si>
    <t>2011. 4. 23 오후 4:00:00</t>
  </si>
  <si>
    <t>2011. 4. 23 오후 3:30:00</t>
  </si>
  <si>
    <t>2011. 4. 24 오후 4:00:00</t>
  </si>
  <si>
    <t>2011. 4. 24 오후 3:30:00</t>
  </si>
  <si>
    <t>2011. 4. 25 오후 4:00:00</t>
  </si>
  <si>
    <t>2011. 4. 25 오후 3:30:00</t>
  </si>
  <si>
    <t>2011. 4. 26 오후 4:00:00</t>
  </si>
  <si>
    <t>2011. 4. 26 오후 3:30:00</t>
  </si>
  <si>
    <t>2011. 4. 27 오후 4:00:00</t>
  </si>
  <si>
    <t>2011. 4. 27 오후 3:30:00</t>
  </si>
  <si>
    <t>2011. 4. 28 오후 4:00:00</t>
  </si>
  <si>
    <t>2011. 4. 28 오후 3:30:00</t>
  </si>
  <si>
    <t>2011. 4. 29 오후 4:00:00</t>
  </si>
  <si>
    <t>2011. 4. 29 오후 3:30:00</t>
  </si>
  <si>
    <t>2011. 4. 30 오후 4:00:00</t>
  </si>
  <si>
    <t>2011. 4. 30 오후 3:30:00</t>
  </si>
  <si>
    <t>2011. 5. 1 오후 4:00:00</t>
  </si>
  <si>
    <t>2011. 5. 1 오후 3:30:00</t>
  </si>
  <si>
    <t>2011. 5. 2 오후 4:00:00</t>
  </si>
  <si>
    <t>2011. 5. 2 오후 3:30:00</t>
  </si>
  <si>
    <t>2011. 5. 3 오후 4:00:00</t>
  </si>
  <si>
    <t>2011. 5. 3 오후 3:30:00</t>
  </si>
  <si>
    <t>2011. 5. 4 오후 4:00:00</t>
  </si>
  <si>
    <t>2011. 5. 4 오후 3:30:00</t>
  </si>
  <si>
    <t>2011. 5. 5 오후 4:00:00</t>
  </si>
  <si>
    <t>2011. 5. 5 오후 3:30:00</t>
  </si>
  <si>
    <t>2011. 5. 6 오후 4:00:00</t>
  </si>
  <si>
    <t>2011. 5. 6 오후 3:30:00</t>
  </si>
  <si>
    <t>2011. 5. 7 오후 4:00:00</t>
  </si>
  <si>
    <t>2011. 5. 7 오후 3:30:00</t>
  </si>
  <si>
    <t>2011. 5. 8 오후 4:00:00</t>
  </si>
  <si>
    <t>2011. 5. 8 오후 3:30:00</t>
  </si>
  <si>
    <t>2011. 5. 9 오후 4:00:00</t>
  </si>
  <si>
    <t>2011. 5. 9 오후 3:30:00</t>
  </si>
  <si>
    <t>2011. 5. 10 오후 4:00:00</t>
  </si>
  <si>
    <t>2011. 5. 10 오후 3:30:00</t>
  </si>
  <si>
    <t>2011. 5. 11 오후 4:00:00</t>
  </si>
  <si>
    <t>2011. 5. 11 오후 3:30:00</t>
  </si>
  <si>
    <t>2011. 5. 12 오후 4:00:00</t>
  </si>
  <si>
    <t>2011. 5. 12 오후 3:30:00</t>
  </si>
  <si>
    <t>2011. 5. 13 오후 4:00:00</t>
  </si>
  <si>
    <t>2011. 5. 13 오후 3:30:00</t>
  </si>
  <si>
    <t>2011. 5. 14 오후 4:00:00</t>
  </si>
  <si>
    <t>2011. 5. 14 오후 3:30:00</t>
  </si>
  <si>
    <t>2011. 5. 15 오후 4:00:00</t>
  </si>
  <si>
    <t>2011. 5. 15 오후 3:30:00</t>
  </si>
  <si>
    <t>2011. 5. 16 오후 4:00:00</t>
  </si>
  <si>
    <t>2011. 5. 16 오후 3:30:00</t>
  </si>
  <si>
    <t>2011. 5. 17 오후 4:00:00</t>
  </si>
  <si>
    <t>2011. 5. 17 오후 3:30:00</t>
  </si>
  <si>
    <t>2011. 5. 18 오후 4:00:00</t>
  </si>
  <si>
    <t>2011. 5. 18 오후 3:30:00</t>
  </si>
  <si>
    <t>2011. 5. 19 오후 4:00:00</t>
  </si>
  <si>
    <t>2011. 5. 19 오후 3:30:00</t>
  </si>
  <si>
    <t>2011. 5. 20 오후 4:00:00</t>
  </si>
  <si>
    <t>2011. 5. 20 오후 3:30:00</t>
  </si>
  <si>
    <t>2011. 5. 21 오후 4:00:00</t>
  </si>
  <si>
    <t>2011. 5. 21 오후 3:30:00</t>
  </si>
  <si>
    <t>2011. 5. 22 오후 4:00:00</t>
  </si>
  <si>
    <t>2011. 5. 22 오후 3:30:00</t>
  </si>
  <si>
    <t>2011. 5. 23 오후 4:00:00</t>
  </si>
  <si>
    <t>2011. 5. 23 오후 3:30:00</t>
  </si>
  <si>
    <t>2011. 5. 24 오후 4:00:00</t>
  </si>
  <si>
    <t>2011. 5. 24 오후 3:30:00</t>
  </si>
  <si>
    <t>2011. 5. 25 오후 4:00:00</t>
  </si>
  <si>
    <t>2011. 5. 25 오후 3:30:00</t>
  </si>
  <si>
    <t>2011. 5. 26 오후 4:00:00</t>
  </si>
  <si>
    <t>2011. 5. 26 오후 3:30:00</t>
  </si>
  <si>
    <t>2011. 5. 27 오후 4:00:00</t>
  </si>
  <si>
    <t>2011. 5. 27 오후 3:30:00</t>
  </si>
  <si>
    <t>2011. 5. 28 오후 4:00:00</t>
  </si>
  <si>
    <t>2011. 5. 28 오후 3:30:00</t>
  </si>
  <si>
    <t>2011. 5. 29 오후 4:00:00</t>
  </si>
  <si>
    <t>2011. 5. 29 오후 3:30:00</t>
  </si>
  <si>
    <t>2011. 5. 30 오후 4:00:00</t>
  </si>
  <si>
    <t>2011. 5. 30 오후 3:30:00</t>
  </si>
  <si>
    <t>2011. 5. 31 오후 4:00:00</t>
  </si>
  <si>
    <t>2011. 5. 31 오후 3:30:00</t>
  </si>
  <si>
    <t>2011. 6. 1 오후 4:00:00</t>
  </si>
  <si>
    <t>2011. 6. 1 오후 3:30:00</t>
  </si>
  <si>
    <t>2011. 6. 2 오후 4:00:00</t>
  </si>
  <si>
    <t>2011. 6. 2 오후 3:30:00</t>
  </si>
  <si>
    <t>2011. 6. 3 오후 4:00:00</t>
  </si>
  <si>
    <t>2011. 6. 3 오후 3:30:00</t>
  </si>
  <si>
    <t>2011. 6. 4 오후 4:00:00</t>
  </si>
  <si>
    <t>2011. 6. 4 오후 3:30:00</t>
  </si>
  <si>
    <t>2011. 6. 5 오후 4:00:00</t>
  </si>
  <si>
    <t>2011. 6. 5 오후 3:30:00</t>
  </si>
  <si>
    <t>2011. 6. 6 오후 4:00:00</t>
  </si>
  <si>
    <t>2011. 6. 6 오후 3:30:00</t>
  </si>
  <si>
    <t>2011. 6. 7 오후 4:00:00</t>
  </si>
  <si>
    <t>2011. 6. 7 오후 3:30:00</t>
  </si>
  <si>
    <t>2011. 6. 8 오후 4:00:00</t>
  </si>
  <si>
    <t>2011. 6. 8 오후 3:30:00</t>
  </si>
  <si>
    <t>2011. 6. 9 오후 4:00:00</t>
  </si>
  <si>
    <t>2011. 6. 9 오후 3:30:00</t>
  </si>
  <si>
    <t>2011. 6. 10 오후 4:00:00</t>
  </si>
  <si>
    <t>2011. 6. 10 오후 3:30:00</t>
  </si>
  <si>
    <t>2011. 6. 11 오후 4:00:00</t>
  </si>
  <si>
    <t>2011. 6. 11 오후 3:30:00</t>
  </si>
  <si>
    <t>2011. 6. 12 오후 4:00:00</t>
  </si>
  <si>
    <t>2011. 6. 12 오후 3:30:00</t>
  </si>
  <si>
    <t>2011. 6. 13 오후 4:00:00</t>
  </si>
  <si>
    <t>2011. 6. 13 오후 3:30:00</t>
  </si>
  <si>
    <t>2011. 6. 14 오후 4:00:00</t>
  </si>
  <si>
    <t>2011. 6. 14 오후 3:30:00</t>
  </si>
  <si>
    <t>2011. 6. 15 오후 4:00:00</t>
  </si>
  <si>
    <t>2011. 6. 15 오후 3:30:00</t>
  </si>
  <si>
    <t>2011. 6. 16 오후 4:00:00</t>
  </si>
  <si>
    <t>2011. 6. 16 오후 3:30:00</t>
  </si>
  <si>
    <t>2011. 6. 17 오후 4:00:00</t>
  </si>
  <si>
    <t>2011. 6. 17 오후 3:30:00</t>
  </si>
  <si>
    <t>2011. 6. 18 오후 4:00:00</t>
  </si>
  <si>
    <t>2011. 6. 18 오후 3:30:00</t>
  </si>
  <si>
    <t>2011. 6. 19 오후 4:00:00</t>
  </si>
  <si>
    <t>2011. 6. 19 오후 3:30:00</t>
  </si>
  <si>
    <t>2011. 6. 20 오후 4:00:00</t>
  </si>
  <si>
    <t>2011. 6. 20 오후 3:30:00</t>
  </si>
  <si>
    <t>2011. 6. 21 오후 4:00:00</t>
  </si>
  <si>
    <t>2011. 6. 21 오후 3:30:00</t>
  </si>
  <si>
    <t>2011. 6. 22 오후 4:00:00</t>
  </si>
  <si>
    <t>2011. 6. 22 오후 3:30:00</t>
  </si>
  <si>
    <t>2011. 6. 23 오후 4:00:00</t>
  </si>
  <si>
    <t>2011. 6. 23 오후 3:30:00</t>
  </si>
  <si>
    <t>2011. 6. 24 오후 4:00:00</t>
  </si>
  <si>
    <t>2011. 6. 24 오후 3:30:00</t>
  </si>
  <si>
    <t>2011. 6. 25 오후 4:00:00</t>
  </si>
  <si>
    <t>2011. 6. 25 오후 3:30:00</t>
  </si>
  <si>
    <t>2011. 6. 26 오후 4:00:00</t>
  </si>
  <si>
    <t>2011. 6. 26 오후 3:30:00</t>
  </si>
  <si>
    <t>2011. 6. 27 오후 4:00:00</t>
  </si>
  <si>
    <t>2011. 6. 27 오후 3:30:00</t>
  </si>
  <si>
    <t>2011. 6. 28 오후 4:00:00</t>
  </si>
  <si>
    <t>2011. 6. 28 오후 3:30:00</t>
  </si>
  <si>
    <t>2011. 6. 29 오후 4:00:00</t>
  </si>
  <si>
    <t>2011. 6. 29 오후 3:30:00</t>
  </si>
  <si>
    <t>2011. 6. 30 오후 4:00:00</t>
  </si>
  <si>
    <t>2011. 6. 30 오후 3:30:00</t>
  </si>
  <si>
    <t>2011. 7. 1 오후 4:00:00</t>
  </si>
  <si>
    <t>2011. 7. 1 오후 3:30:00</t>
  </si>
  <si>
    <t>2011. 7. 2 오후 4:00:00</t>
  </si>
  <si>
    <t>2011. 7. 2 오후 3:30:00</t>
  </si>
  <si>
    <t>2011. 7. 3 오후 4:00:00</t>
  </si>
  <si>
    <t>2011. 7. 3 오후 3:30:00</t>
  </si>
  <si>
    <t>2011. 7. 4 오후 4:00:00</t>
  </si>
  <si>
    <t>2011. 7. 4 오후 3:30:00</t>
  </si>
  <si>
    <t>2011. 7. 5 오후 4:00:00</t>
  </si>
  <si>
    <t>2011. 7. 5 오후 3:30:00</t>
  </si>
  <si>
    <t>2011. 7. 6 오후 4:00:00</t>
  </si>
  <si>
    <t>2011. 7. 6 오후 3:30:00</t>
  </si>
  <si>
    <t>2011. 7. 7 오후 4:00:00</t>
  </si>
  <si>
    <t>2011. 7. 7 오후 3:30:00</t>
  </si>
  <si>
    <t>2011. 7. 8 오후 4:00:00</t>
  </si>
  <si>
    <t>2011. 7. 8 오후 3:30:00</t>
  </si>
  <si>
    <t>2011. 7. 9 오후 4:00:00</t>
  </si>
  <si>
    <t>2011. 7. 9 오후 3:30:00</t>
  </si>
  <si>
    <t>2011. 7. 10 오후 4:00:00</t>
  </si>
  <si>
    <t>2011. 7. 10 오후 3:30:00</t>
  </si>
  <si>
    <t>2011. 7. 11 오후 4:00:00</t>
  </si>
  <si>
    <t>2011. 7. 11 오후 3:30:00</t>
  </si>
  <si>
    <t>2011. 7. 12 오후 4:00:00</t>
  </si>
  <si>
    <t>2011. 7. 12 오후 3:30:00</t>
  </si>
  <si>
    <t>2011. 7. 13 오후 4:00:00</t>
  </si>
  <si>
    <t>2011. 7. 13 오후 3:30:00</t>
  </si>
  <si>
    <t>2011. 7. 14 오후 4:00:00</t>
  </si>
  <si>
    <t>2011. 7. 14 오후 3:30:00</t>
  </si>
  <si>
    <t>2011. 7. 15 오후 4:00:00</t>
  </si>
  <si>
    <t>2011. 7. 15 오후 3:30:00</t>
  </si>
  <si>
    <t>2011. 7. 16 오후 4:00:00</t>
  </si>
  <si>
    <t>2011. 7. 16 오후 3:30:00</t>
  </si>
  <si>
    <t>2011. 7. 17 오후 4:00:00</t>
  </si>
  <si>
    <t>2011. 7. 17 오후 3:30:00</t>
  </si>
  <si>
    <t>2011. 7. 18 오후 4:00:00</t>
  </si>
  <si>
    <t>2011. 7. 18 오후 3:30:00</t>
  </si>
  <si>
    <t>2011. 7. 19 오후 4:00:00</t>
  </si>
  <si>
    <t>2011. 7. 19 오후 3:30:00</t>
  </si>
  <si>
    <t>2011. 7. 20 오후 4:00:00</t>
  </si>
  <si>
    <t>2011. 7. 20 오후 3:30:00</t>
  </si>
  <si>
    <t>2011. 7. 21 오후 4:00:00</t>
  </si>
  <si>
    <t>2011. 7. 21 오후 3:30:00</t>
  </si>
  <si>
    <t>2011. 7. 22 오후 4:00:00</t>
  </si>
  <si>
    <t>2011. 7. 22 오후 3:30:00</t>
  </si>
  <si>
    <t>2011. 7. 23 오후 4:00:00</t>
  </si>
  <si>
    <t>2011. 7. 23 오후 3:30:00</t>
  </si>
  <si>
    <t>2011. 7. 24 오후 4:00:00</t>
  </si>
  <si>
    <t>2011. 7. 24 오후 3:30:00</t>
  </si>
  <si>
    <t>2011. 7. 25 오후 4:00:00</t>
  </si>
  <si>
    <t>2011. 7. 25 오후 3:30:00</t>
  </si>
  <si>
    <t>2011. 7. 26 오후 4:00:00</t>
  </si>
  <si>
    <t>2011. 7. 26 오후 3:30:00</t>
  </si>
  <si>
    <t>2011. 7. 27 오후 4:00:00</t>
  </si>
  <si>
    <t>2011. 7. 27 오후 3:30:00</t>
  </si>
  <si>
    <t>2011. 7. 28 오후 4:00:00</t>
  </si>
  <si>
    <t>2011. 7. 28 오후 3:30:00</t>
  </si>
  <si>
    <t>2011. 7. 29 오후 4:00:00</t>
  </si>
  <si>
    <t>2011. 7. 29 오후 3:30:00</t>
  </si>
  <si>
    <t>2011. 7. 30 오후 4:00:00</t>
  </si>
  <si>
    <t>2011. 7. 30 오후 3:30:00</t>
  </si>
  <si>
    <t>2011. 7. 31 오후 4:00:00</t>
  </si>
  <si>
    <t>2011. 7. 31 오후 3:30:00</t>
  </si>
  <si>
    <t>2011. 8. 1 오후 4:00:00</t>
  </si>
  <si>
    <t>2011. 8. 1 오후 3:30:00</t>
  </si>
  <si>
    <t>2011. 8. 2 오후 4:00:00</t>
  </si>
  <si>
    <t>2011. 8. 2 오후 3:30:00</t>
  </si>
  <si>
    <t>2011. 8. 3 오후 4:00:00</t>
  </si>
  <si>
    <t>2011. 8. 3 오후 3:30:00</t>
  </si>
  <si>
    <t>2011. 8. 4 오후 4:00:00</t>
  </si>
  <si>
    <t>2011. 8. 4 오후 3:30:00</t>
  </si>
  <si>
    <t>2011. 8. 5 오후 4:00:00</t>
  </si>
  <si>
    <t>2011. 8. 5 오후 3:30:00</t>
  </si>
  <si>
    <t>2011. 8. 6 오후 4:00:00</t>
  </si>
  <si>
    <t>2011. 8. 6 오후 3:30:00</t>
  </si>
  <si>
    <t>2011. 8. 7 오후 4:00:00</t>
  </si>
  <si>
    <t>2011. 8. 7 오후 3:30:00</t>
  </si>
  <si>
    <t>2011. 8. 8 오후 4:00:00</t>
  </si>
  <si>
    <t>2011. 8. 8 오후 3:30:00</t>
  </si>
  <si>
    <t>2011. 8. 9 오후 4:00:00</t>
  </si>
  <si>
    <t>2011. 8. 9 오후 3:30:00</t>
  </si>
  <si>
    <t>2011. 8. 10 오후 4:00:00</t>
  </si>
  <si>
    <t>2011. 8. 10 오후 3:30:00</t>
  </si>
  <si>
    <t>2011. 8. 11 오후 4:00:00</t>
  </si>
  <si>
    <t>2011. 8. 11 오후 3:30:00</t>
  </si>
  <si>
    <t>2011. 8. 12 오후 4:00:00</t>
  </si>
  <si>
    <t>2011. 8. 12 오후 3:30:00</t>
  </si>
  <si>
    <t>2011. 8. 13 오후 4:00:00</t>
  </si>
  <si>
    <t>2011. 8. 13 오후 3:30:00</t>
  </si>
  <si>
    <t>2011. 8. 14 오후 4:00:00</t>
  </si>
  <si>
    <t>2011. 8. 14 오후 3:30:00</t>
  </si>
  <si>
    <t>2011. 8. 15 오후 4:00:00</t>
  </si>
  <si>
    <t>2011. 8. 15 오후 3:30:00</t>
  </si>
  <si>
    <t>2011. 8. 16 오후 4:00:00</t>
  </si>
  <si>
    <t>2011. 8. 16 오후 3:30:00</t>
  </si>
  <si>
    <t>2011. 8. 17 오후 4:00:00</t>
  </si>
  <si>
    <t>2011. 8. 17 오후 3:30:00</t>
  </si>
  <si>
    <t>2011. 8. 18 오후 4:00:00</t>
  </si>
  <si>
    <t>2011. 8. 18 오후 3:30:00</t>
  </si>
  <si>
    <t>2011. 8. 19 오후 4:00:00</t>
  </si>
  <si>
    <t>2011. 8. 19 오후 3:30:00</t>
  </si>
  <si>
    <t>2011. 8. 20 오후 4:00:00</t>
  </si>
  <si>
    <t>2011. 8. 20 오후 3:30:00</t>
  </si>
  <si>
    <t>2011. 8. 21 오후 4:00:00</t>
  </si>
  <si>
    <t>2011. 8. 21 오후 3:30:00</t>
  </si>
  <si>
    <t>2011. 8. 22 오후 4:00:00</t>
  </si>
  <si>
    <t>2011. 8. 22 오후 3:30:00</t>
  </si>
  <si>
    <t>2011. 8. 23 오후 4:00:00</t>
  </si>
  <si>
    <t>2011. 8. 23 오후 3:30:00</t>
  </si>
  <si>
    <t>2011. 8. 24 오후 4:00:00</t>
  </si>
  <si>
    <t>2011. 8. 24 오후 3:30:00</t>
  </si>
  <si>
    <t>2011. 8. 25 오후 4:00:00</t>
  </si>
  <si>
    <t>2011. 8. 25 오후 3:30:00</t>
  </si>
  <si>
    <t>2011. 8. 26 오후 4:00:00</t>
  </si>
  <si>
    <t>2011. 8. 26 오후 3:30:00</t>
  </si>
  <si>
    <t>2011. 8. 27 오후 4:00:00</t>
  </si>
  <si>
    <t>2011. 8. 27 오후 3:30:00</t>
  </si>
  <si>
    <t>2011. 8. 28 오후 4:00:00</t>
  </si>
  <si>
    <t>2011. 8. 28 오후 3:30:00</t>
  </si>
  <si>
    <t>2011. 8. 29 오후 4:00:00</t>
  </si>
  <si>
    <t>2011. 8. 29 오후 3:30:00</t>
  </si>
  <si>
    <t>2011. 8. 30 오후 4:00:00</t>
  </si>
  <si>
    <t>2011. 8. 30 오후 3:30:00</t>
  </si>
  <si>
    <t>2011. 8. 31 오후 4:00:00</t>
  </si>
  <si>
    <t>2011. 8. 31 오후 3:30:00</t>
  </si>
  <si>
    <t>2011. 9. 1 오후 4:00:00</t>
  </si>
  <si>
    <t>2011. 9. 1 오후 3:30:00</t>
  </si>
  <si>
    <t>2011. 9. 2 오후 4:00:00</t>
  </si>
  <si>
    <t>2011. 9. 2 오후 3:30:00</t>
  </si>
  <si>
    <t>2011. 9. 3 오후 4:00:00</t>
  </si>
  <si>
    <t>2011. 9. 3 오후 3:30:00</t>
  </si>
  <si>
    <t>2011. 9. 4 오후 4:00:00</t>
  </si>
  <si>
    <t>2011. 9. 4 오후 3:30:00</t>
  </si>
  <si>
    <t>2011. 9. 5 오후 4:00:00</t>
  </si>
  <si>
    <t>2011. 9. 5 오후 3:30:00</t>
  </si>
  <si>
    <t>2011. 9. 6 오후 4:00:00</t>
  </si>
  <si>
    <t>2011. 9. 6 오후 3:30:00</t>
  </si>
  <si>
    <t>2011. 9. 7 오후 4:00:00</t>
  </si>
  <si>
    <t>2011. 9. 7 오후 3:30:00</t>
  </si>
  <si>
    <t>2011. 9. 8 오후 4:00:00</t>
  </si>
  <si>
    <t>2011. 9. 8 오후 3:30:00</t>
  </si>
  <si>
    <t>2011. 9. 9 오후 4:00:00</t>
  </si>
  <si>
    <t>2011. 9. 9 오후 3:30:00</t>
  </si>
  <si>
    <t>2011. 9. 10 오후 4:00:00</t>
  </si>
  <si>
    <t>2011. 9. 10 오후 3:30:00</t>
  </si>
  <si>
    <t>2011. 9. 11 오후 4:00:00</t>
  </si>
  <si>
    <t>2011. 9. 11 오후 3:30:00</t>
  </si>
  <si>
    <t>2011. 9. 12 오후 4:00:00</t>
  </si>
  <si>
    <t>2011. 9. 12 오후 3:30:00</t>
  </si>
  <si>
    <t>2011. 9. 13 오후 4:00:00</t>
  </si>
  <si>
    <t>2011. 9. 13 오후 3:30:00</t>
  </si>
  <si>
    <t>2011. 9. 14 오후 4:00:00</t>
  </si>
  <si>
    <t>2011. 9. 14 오후 3:30:00</t>
  </si>
  <si>
    <t>2011. 9. 15 오후 4:00:00</t>
  </si>
  <si>
    <t>2011. 9. 15 오후 3:30:00</t>
  </si>
  <si>
    <t>2011. 9. 16 오후 4:00:00</t>
  </si>
  <si>
    <t>2011. 9. 16 오후 3:30:00</t>
  </si>
  <si>
    <t>2011. 9. 17 오후 4:00:00</t>
  </si>
  <si>
    <t>2011. 9. 17 오후 3:30:00</t>
  </si>
  <si>
    <t>2011. 9. 18 오후 4:00:00</t>
  </si>
  <si>
    <t>2011. 9. 18 오후 3:30:00</t>
  </si>
  <si>
    <t>2011. 9. 19 오후 4:00:00</t>
  </si>
  <si>
    <t>2011. 9. 19 오후 3:30:00</t>
  </si>
  <si>
    <t>2011. 9. 20 오후 4:00:00</t>
  </si>
  <si>
    <t>2011. 9. 20 오후 3:30:00</t>
  </si>
  <si>
    <t>2011. 9. 21 오후 4:00:00</t>
  </si>
  <si>
    <t>2011. 9. 21 오후 3:30:00</t>
  </si>
  <si>
    <t>2011. 9. 22 오후 4:00:00</t>
  </si>
  <si>
    <t>2011. 9. 22 오후 3:30:00</t>
  </si>
  <si>
    <t>2011. 9. 23 오후 4:00:00</t>
  </si>
  <si>
    <t>2011. 9. 23 오후 3:30:00</t>
  </si>
  <si>
    <t>2011. 9. 24 오후 4:00:00</t>
  </si>
  <si>
    <t>2011. 9. 24 오후 3:30:00</t>
  </si>
  <si>
    <t>2011. 9. 25 오후 4:00:00</t>
  </si>
  <si>
    <t>2011. 9. 25 오후 3:30:00</t>
  </si>
  <si>
    <t>2011. 9. 26 오후 4:00:00</t>
  </si>
  <si>
    <t>2011. 9. 26 오후 3:30:00</t>
  </si>
  <si>
    <t>2011. 9. 27 오후 4:00:00</t>
  </si>
  <si>
    <t>2011. 9. 27 오후 3:30:00</t>
  </si>
  <si>
    <t>2011. 9. 28 오후 4:00:00</t>
  </si>
  <si>
    <t>2011. 9. 28 오후 3:30:00</t>
  </si>
  <si>
    <t>2011. 9. 29 오후 4:00:00</t>
  </si>
  <si>
    <t>2011. 9. 29 오후 3:30:00</t>
  </si>
  <si>
    <t>2011. 9. 30 오후 4:00:00</t>
  </si>
  <si>
    <t>2011. 9. 30 오후 3:30:00</t>
  </si>
  <si>
    <t>2011. 10. 1 오후 4:00:00</t>
  </si>
  <si>
    <t>2011. 10. 1 오후 3:30:00</t>
  </si>
  <si>
    <t>2011. 10. 2 오후 4:00:00</t>
  </si>
  <si>
    <t>2011. 10. 2 오후 3:30:00</t>
  </si>
  <si>
    <t>2011. 10. 3 오후 4:00:00</t>
  </si>
  <si>
    <t>2011. 10. 3 오후 3:30:00</t>
  </si>
  <si>
    <t>2011. 10. 4 오후 4:00:00</t>
  </si>
  <si>
    <t>2011. 10. 4 오후 3:30:00</t>
  </si>
  <si>
    <t>2011. 10. 5 오후 4:00:00</t>
  </si>
  <si>
    <t>2011. 10. 5 오후 3:30:00</t>
  </si>
  <si>
    <t>2011. 10. 6 오후 4:00:00</t>
  </si>
  <si>
    <t>2011. 10. 6 오후 3:30:00</t>
  </si>
  <si>
    <t>2011. 10. 7 오후 4:00:00</t>
  </si>
  <si>
    <t>2011. 10. 7 오후 3:30:00</t>
  </si>
  <si>
    <t>2011. 10. 8 오후 4:00:00</t>
  </si>
  <si>
    <t>2011. 10. 8 오후 3:30:00</t>
  </si>
  <si>
    <t>2011. 10. 9 오후 4:00:00</t>
  </si>
  <si>
    <t>2011. 10. 9 오후 3:30:00</t>
  </si>
  <si>
    <t>2011. 10. 10 오후 4:00:00</t>
  </si>
  <si>
    <t>2011. 10. 10 오후 3:30:00</t>
  </si>
  <si>
    <t>2011. 10. 11 오후 4:00:00</t>
  </si>
  <si>
    <t>2011. 10. 11 오후 3:30:00</t>
  </si>
  <si>
    <t>2011. 10. 12 오후 4:00:00</t>
  </si>
  <si>
    <t>2011. 10. 12 오후 3:30:00</t>
  </si>
  <si>
    <t>2011. 10. 13 오후 4:00:00</t>
  </si>
  <si>
    <t>2011. 10. 13 오후 3:30:00</t>
  </si>
  <si>
    <t>2011. 10. 14 오후 4:00:00</t>
  </si>
  <si>
    <t>2011. 10. 14 오후 3:30:00</t>
  </si>
  <si>
    <t>2011. 10. 15 오후 4:00:00</t>
  </si>
  <si>
    <t>2011. 10. 15 오후 3:30:00</t>
  </si>
  <si>
    <t>2011. 10. 16 오후 4:00:00</t>
  </si>
  <si>
    <t>2011. 10. 16 오후 3:30:00</t>
  </si>
  <si>
    <t>2011. 10. 17 오후 4:00:00</t>
  </si>
  <si>
    <t>2011. 10. 17 오후 3:30:00</t>
  </si>
  <si>
    <t>2011. 10. 18 오후 4:00:00</t>
  </si>
  <si>
    <t>2011. 10. 18 오후 3:30:00</t>
  </si>
  <si>
    <t>2011. 10. 19 오후 4:00:00</t>
  </si>
  <si>
    <t>2011. 10. 19 오후 3:30:00</t>
  </si>
  <si>
    <t>2011. 10. 20 오후 4:00:00</t>
  </si>
  <si>
    <t>2011. 10. 20 오후 3:30:00</t>
  </si>
  <si>
    <t>2011. 10. 21 오후 4:00:00</t>
  </si>
  <si>
    <t>2011. 10. 21 오후 3:30:00</t>
  </si>
  <si>
    <t>2011. 10. 22 오후 4:00:00</t>
  </si>
  <si>
    <t>2011. 10. 22 오후 3:30:00</t>
  </si>
  <si>
    <t>2011. 10. 23 오후 4:00:00</t>
  </si>
  <si>
    <t>2011. 10. 23 오후 3:30:00</t>
  </si>
  <si>
    <t>2011. 10. 24 오후 4:00:00</t>
  </si>
  <si>
    <t>2011. 10. 24 오후 3:30:00</t>
  </si>
  <si>
    <t>2011. 10. 25 오후 4:00:00</t>
  </si>
  <si>
    <t>2011. 10. 25 오후 3:30:00</t>
  </si>
  <si>
    <t>2011. 10. 26 오후 4:00:00</t>
  </si>
  <si>
    <t>2011. 10. 26 오후 3:30:00</t>
  </si>
  <si>
    <t>2011. 10. 27 오후 4:00:00</t>
  </si>
  <si>
    <t>2011. 10. 27 오후 3:30:00</t>
  </si>
  <si>
    <t>2011. 10. 28 오후 4:00:00</t>
  </si>
  <si>
    <t>2011. 10. 28 오후 3:30:00</t>
  </si>
  <si>
    <t>2011. 10. 29 오후 4:00:00</t>
  </si>
  <si>
    <t>2011. 10. 29 오후 3:30:00</t>
  </si>
  <si>
    <t>2011. 10. 30 오후 4:00:00</t>
  </si>
  <si>
    <t>2011. 10. 30 오후 3:30:00</t>
  </si>
  <si>
    <t>2011. 10. 31 오후 4:00:00</t>
  </si>
  <si>
    <t>2011. 10. 31 오후 3:30:00</t>
  </si>
  <si>
    <t>2011. 11. 1 오후 4:00:00</t>
  </si>
  <si>
    <t>2011. 11. 1 오후 3:30:00</t>
  </si>
  <si>
    <t>2011. 11. 2 오후 4:00:00</t>
  </si>
  <si>
    <t>2011. 11. 2 오후 3:30:00</t>
  </si>
  <si>
    <t>2011. 11. 3 오후 4:00:00</t>
  </si>
  <si>
    <t>2011. 11. 3 오후 3:30:00</t>
  </si>
  <si>
    <t>2011. 11. 4 오후 4:00:00</t>
  </si>
  <si>
    <t>2011. 11. 4 오후 3:30:00</t>
  </si>
  <si>
    <t>2011. 11. 5 오후 4:00:00</t>
  </si>
  <si>
    <t>2011. 11. 5 오후 3:30:00</t>
  </si>
  <si>
    <t>2011. 11. 6 오후 4:00:00</t>
  </si>
  <si>
    <t>2011. 11. 6 오후 3:30:00</t>
  </si>
  <si>
    <t>2011. 11. 7 오후 4:00:00</t>
  </si>
  <si>
    <t>2011. 11. 7 오후 3:30:00</t>
  </si>
  <si>
    <t>2011. 11. 8 오후 4:00:00</t>
  </si>
  <si>
    <t>2011. 11. 8 오후 3:30:00</t>
  </si>
  <si>
    <t>2011. 11. 9 오후 4:00:00</t>
  </si>
  <si>
    <t>2011. 11. 9 오후 3:30:00</t>
  </si>
  <si>
    <t>2011. 11. 10 오후 4:00:00</t>
  </si>
  <si>
    <t>2011. 11. 10 오후 3:30:00</t>
  </si>
  <si>
    <t>2011. 11. 11 오후 4:00:00</t>
  </si>
  <si>
    <t>2011. 11. 11 오후 3:30:00</t>
  </si>
  <si>
    <t>2011. 11. 12 오후 4:00:00</t>
  </si>
  <si>
    <t>2011. 11. 12 오후 3:30:00</t>
  </si>
  <si>
    <t>2011. 11. 13 오후 4:00:00</t>
  </si>
  <si>
    <t>2011. 11. 13 오후 3:30:00</t>
  </si>
  <si>
    <t>2011. 11. 14 오후 4:00:00</t>
  </si>
  <si>
    <t>2011. 11. 14 오후 3:30:00</t>
  </si>
  <si>
    <t>2011. 11. 15 오후 4:00:00</t>
  </si>
  <si>
    <t>2011. 11. 15 오후 3:30:00</t>
  </si>
  <si>
    <t>2011. 11. 16 오후 4:00:00</t>
  </si>
  <si>
    <t>2011. 11. 16 오후 3:30:00</t>
  </si>
  <si>
    <t>2011. 11. 17 오후 4:00:00</t>
  </si>
  <si>
    <t>2011. 11. 17 오후 3:30:00</t>
  </si>
  <si>
    <t>2011. 11. 18 오후 4:00:00</t>
  </si>
  <si>
    <t>2011. 11. 18 오후 3:30:00</t>
  </si>
  <si>
    <t>2011. 11. 19 오후 4:00:00</t>
  </si>
  <si>
    <t>2011. 11. 19 오후 3:30:00</t>
  </si>
  <si>
    <t>2011. 11. 20 오후 4:00:00</t>
  </si>
  <si>
    <t>2011. 11. 20 오후 3:30:00</t>
  </si>
  <si>
    <t>2011. 11. 21 오후 4:00:00</t>
  </si>
  <si>
    <t>2011. 11. 21 오후 3:30:00</t>
  </si>
  <si>
    <t>2011. 11. 22 오후 4:00:00</t>
  </si>
  <si>
    <t>2011. 11. 22 오후 3:30:00</t>
  </si>
  <si>
    <t>2011. 11. 23 오후 4:00:00</t>
  </si>
  <si>
    <t>2011. 11. 23 오후 3:30:00</t>
  </si>
  <si>
    <t>2011. 11. 24 오후 4:00:00</t>
  </si>
  <si>
    <t>2011. 11. 24 오후 3:30:00</t>
  </si>
  <si>
    <t>2011. 11. 25 오후 4:00:00</t>
  </si>
  <si>
    <t>2011. 11. 25 오후 3:30:00</t>
  </si>
  <si>
    <t>2011. 11. 26 오후 4:00:00</t>
  </si>
  <si>
    <t>2011. 11. 26 오후 3:30:00</t>
  </si>
  <si>
    <t>2011. 11. 27 오후 4:00:00</t>
  </si>
  <si>
    <t>2011. 11. 27 오후 3:30:00</t>
  </si>
  <si>
    <t>2011. 11. 28 오후 4:00:00</t>
  </si>
  <si>
    <t>2011. 11. 28 오후 3:30:00</t>
  </si>
  <si>
    <t>2011. 11. 29 오후 4:00:00</t>
  </si>
  <si>
    <t>2011. 11. 29 오후 3:30:00</t>
  </si>
  <si>
    <t>2011. 11. 30 오후 4:00:00</t>
  </si>
  <si>
    <t>2011. 11. 30 오후 3:30:00</t>
  </si>
  <si>
    <t>2011. 12. 1 오후 4:00:00</t>
  </si>
  <si>
    <t>2011. 12. 1 오후 3:30:00</t>
  </si>
  <si>
    <t>2011. 12. 2 오후 4:00:00</t>
  </si>
  <si>
    <t>2011. 12. 2 오후 3:30:00</t>
  </si>
  <si>
    <t>2011. 12. 3 오후 4:00:00</t>
  </si>
  <si>
    <t>2011. 12. 3 오후 3:30:00</t>
  </si>
  <si>
    <t>2011. 12. 4 오후 4:00:00</t>
  </si>
  <si>
    <t>2011. 12. 4 오후 3:30:00</t>
  </si>
  <si>
    <t>2011. 12. 5 오후 4:00:00</t>
  </si>
  <si>
    <t>2011. 12. 5 오후 3:30:00</t>
  </si>
  <si>
    <t>2011. 12. 6 오후 4:00:00</t>
  </si>
  <si>
    <t>2011. 12. 6 오후 3:30:00</t>
  </si>
  <si>
    <t>2011. 12. 7 오후 4:00:00</t>
  </si>
  <si>
    <t>2011. 12. 7 오후 3:30:00</t>
  </si>
  <si>
    <t>2011. 12. 8 오후 4:00:00</t>
  </si>
  <si>
    <t>2011. 12. 8 오후 3:30:00</t>
  </si>
  <si>
    <t>2011. 12. 9 오후 4:00:00</t>
  </si>
  <si>
    <t>2011. 12. 9 오후 3:30:00</t>
  </si>
  <si>
    <t>2011. 12. 10 오후 4:00:00</t>
  </si>
  <si>
    <t>2011. 12. 10 오후 3:30:00</t>
  </si>
  <si>
    <t>2011. 12. 11 오후 4:00:00</t>
  </si>
  <si>
    <t>2011. 12. 11 오후 3:30:00</t>
  </si>
  <si>
    <t>2011. 12. 12 오후 4:00:00</t>
  </si>
  <si>
    <t>2011. 12. 12 오후 3:30:00</t>
  </si>
  <si>
    <t>2011. 12. 13 오후 4:00:00</t>
  </si>
  <si>
    <t>2011. 12. 13 오후 3:30:00</t>
  </si>
  <si>
    <t>2011. 12. 14 오후 4:00:00</t>
  </si>
  <si>
    <t>2011. 12. 14 오후 3:30:00</t>
  </si>
  <si>
    <t>2011. 12. 15 오후 4:00:00</t>
  </si>
  <si>
    <t>2011. 12. 15 오후 3:30:00</t>
  </si>
  <si>
    <t>2011. 12. 16 오후 4:00:00</t>
  </si>
  <si>
    <t>2011. 12. 16 오후 3:30:00</t>
  </si>
  <si>
    <t>2011. 12. 17 오후 4:00:00</t>
  </si>
  <si>
    <t>2011. 12. 17 오후 3:30:00</t>
  </si>
  <si>
    <t>2011. 12. 18 오후 4:00:00</t>
  </si>
  <si>
    <t>2011. 12. 18 오후 3:30:00</t>
  </si>
  <si>
    <t>2011. 12. 19 오후 4:00:00</t>
  </si>
  <si>
    <t>2011. 12. 19 오후 3:30:00</t>
  </si>
  <si>
    <t>2011. 12. 20 오후 4:00:00</t>
  </si>
  <si>
    <t>2011. 12. 20 오후 3:30:00</t>
  </si>
  <si>
    <t>2011. 12. 21 오후 4:00:00</t>
  </si>
  <si>
    <t>2011. 12. 21 오후 3:30:00</t>
  </si>
  <si>
    <t>2011. 12. 22 오후 4:00:00</t>
  </si>
  <si>
    <t>2011. 12. 22 오후 3:30:00</t>
  </si>
  <si>
    <t>2011. 12. 23 오후 4:00:00</t>
  </si>
  <si>
    <t>2011. 12. 23 오후 3:30:00</t>
  </si>
  <si>
    <t>2011. 12. 24 오후 4:00:00</t>
  </si>
  <si>
    <t>2011. 12. 24 오후 3:30:00</t>
  </si>
  <si>
    <t>2011. 12. 25 오후 4:00:00</t>
  </si>
  <si>
    <t>2011. 12. 25 오후 3:30:00</t>
  </si>
  <si>
    <t>2011. 12. 26 오후 4:00:00</t>
  </si>
  <si>
    <t>2011. 12. 26 오후 3:30:00</t>
  </si>
  <si>
    <t>2011. 12. 27 오후 4:00:00</t>
  </si>
  <si>
    <t>2011. 12. 27 오후 3:30:00</t>
  </si>
  <si>
    <t>2011. 12. 28 오후 4:00:00</t>
  </si>
  <si>
    <t>2011. 12. 28 오후 3:30:00</t>
  </si>
  <si>
    <t>2011. 12. 29 오후 4:00:00</t>
  </si>
  <si>
    <t>2011. 12. 29 오후 3:30:00</t>
  </si>
  <si>
    <t>2011. 12. 30 오후 4:00:00</t>
  </si>
  <si>
    <t>2011. 12. 30 오후 3:30:00</t>
  </si>
  <si>
    <t>2011. 12. 31 오후 4:00:00</t>
  </si>
  <si>
    <t>2011. 12. 31 오후 3:30:00</t>
  </si>
  <si>
    <t>2012. 1. 1 오후 4:00:00</t>
  </si>
  <si>
    <t>2012. 1. 1 오후 3:30:00</t>
  </si>
  <si>
    <t>2012. 1. 2 오후 4:00:00</t>
  </si>
  <si>
    <t>2012. 1. 2 오후 3:30:00</t>
  </si>
  <si>
    <t>2012. 1. 3 오후 4:00:00</t>
  </si>
  <si>
    <t>2012. 1. 3 오후 3:30:00</t>
  </si>
  <si>
    <t>2012. 1. 4 오후 4:00:00</t>
  </si>
  <si>
    <t>2012. 1. 4 오후 3:30:00</t>
  </si>
  <si>
    <t>2012. 1. 5 오후 4:00:00</t>
  </si>
  <si>
    <t>2012. 1. 5 오후 3:30:00</t>
  </si>
  <si>
    <t>2012. 1. 6 오후 4:00:00</t>
  </si>
  <si>
    <t>2012. 1. 6 오후 3:30:00</t>
  </si>
  <si>
    <t>2012. 1. 7 오후 4:00:00</t>
  </si>
  <si>
    <t>2012. 1. 7 오후 3:30:00</t>
  </si>
  <si>
    <t>2012. 1. 8 오후 4:00:00</t>
  </si>
  <si>
    <t>2012. 1. 8 오후 3:30:00</t>
  </si>
  <si>
    <t>2012. 1. 9 오후 4:00:00</t>
  </si>
  <si>
    <t>2012. 1. 9 오후 3:30:00</t>
  </si>
  <si>
    <t>2012. 1. 10 오후 4:00:00</t>
  </si>
  <si>
    <t>2012. 1. 10 오후 3:30:00</t>
  </si>
  <si>
    <t>2012. 1. 11 오후 4:00:00</t>
  </si>
  <si>
    <t>2012. 1. 11 오후 3:30:00</t>
  </si>
  <si>
    <t>2012. 1. 12 오후 4:00:00</t>
  </si>
  <si>
    <t>2012. 1. 12 오후 3:30:00</t>
  </si>
  <si>
    <t>2012. 1. 13 오후 4:00:00</t>
  </si>
  <si>
    <t>2012. 1. 13 오후 3:30:00</t>
  </si>
  <si>
    <t>2012. 1. 14 오후 4:00:00</t>
  </si>
  <si>
    <t>2012. 1. 14 오후 3:30:00</t>
  </si>
  <si>
    <t>2012. 1. 15 오후 4:00:00</t>
  </si>
  <si>
    <t>2012. 1. 15 오후 3:30:00</t>
  </si>
  <si>
    <t>2012. 1. 16 오후 4:00:00</t>
  </si>
  <si>
    <t>2012. 1. 16 오후 3:30:00</t>
  </si>
  <si>
    <t>2012. 1. 17 오후 4:00:00</t>
  </si>
  <si>
    <t>2012. 1. 17 오후 3:30:00</t>
  </si>
  <si>
    <t>2012. 1. 18 오후 4:00:00</t>
  </si>
  <si>
    <t>2012. 1. 18 오후 3:30:00</t>
  </si>
  <si>
    <t>2012. 1. 19 오후 4:00:00</t>
  </si>
  <si>
    <t>2012. 1. 19 오후 3:30:00</t>
  </si>
  <si>
    <t>2012. 1. 20 오후 4:00:00</t>
  </si>
  <si>
    <t>2012. 1. 20 오후 3:30:00</t>
  </si>
  <si>
    <t>2012. 1. 21 오후 4:00:00</t>
  </si>
  <si>
    <t>2012. 1. 21 오후 3:30:00</t>
  </si>
  <si>
    <t>2012. 1. 22 오후 4:00:00</t>
  </si>
  <si>
    <t>2012. 1. 22 오후 3:30:00</t>
  </si>
  <si>
    <t>2012. 1. 23 오후 4:00:00</t>
  </si>
  <si>
    <t>2012. 1. 23 오후 3:30:00</t>
  </si>
  <si>
    <t>2012. 1. 24 오후 4:00:00</t>
  </si>
  <si>
    <t>2012. 1. 24 오후 3:30:00</t>
  </si>
  <si>
    <t>2012. 1. 25 오후 4:00:00</t>
  </si>
  <si>
    <t>2012. 1. 25 오후 3:30:00</t>
  </si>
  <si>
    <t>2012. 1. 26 오후 4:00:00</t>
  </si>
  <si>
    <t>2012. 1. 26 오후 3:30:00</t>
  </si>
  <si>
    <t>2012. 1. 27 오후 4:00:00</t>
  </si>
  <si>
    <t>2012. 1. 27 오후 3:30:00</t>
  </si>
  <si>
    <t>2012. 1. 28 오후 4:00:00</t>
  </si>
  <si>
    <t>2012. 1. 28 오후 3:30:00</t>
  </si>
  <si>
    <t>2012. 1. 29 오후 4:00:00</t>
  </si>
  <si>
    <t>2012. 1. 29 오후 3:30:00</t>
  </si>
  <si>
    <t>2012. 1. 30 오후 4:00:00</t>
  </si>
  <si>
    <t>2012. 1. 30 오후 3:30:00</t>
  </si>
  <si>
    <t>2012. 1. 31 오후 4:00:00</t>
  </si>
  <si>
    <t>2012. 1. 31 오후 3:30:00</t>
  </si>
  <si>
    <t>2012. 2. 1 오후 4:00:00</t>
  </si>
  <si>
    <t>2012. 2. 1 오후 3:30:00</t>
  </si>
  <si>
    <t>2012. 2. 2 오후 4:00:00</t>
  </si>
  <si>
    <t>2012. 2. 2 오후 3:30:00</t>
  </si>
  <si>
    <t>2012. 2. 3 오후 4:00:00</t>
  </si>
  <si>
    <t>2012. 2. 3 오후 3:30:00</t>
  </si>
  <si>
    <t>2012. 2. 4 오후 4:00:00</t>
  </si>
  <si>
    <t>2012. 2. 4 오후 3:30:00</t>
  </si>
  <si>
    <t>2012. 2. 5 오후 4:00:00</t>
  </si>
  <si>
    <t>2012. 2. 5 오후 3:30:00</t>
  </si>
  <si>
    <t>2012. 2. 6 오후 4:00:00</t>
  </si>
  <si>
    <t>2012. 2. 6 오후 3:30:00</t>
  </si>
  <si>
    <t>2012. 2. 7 오후 4:00:00</t>
  </si>
  <si>
    <t>2012. 2. 7 오후 3:30:00</t>
  </si>
  <si>
    <t>2012. 2. 8 오후 4:00:00</t>
  </si>
  <si>
    <t>2012. 2. 8 오후 3:30:00</t>
  </si>
  <si>
    <t>2012. 2. 9 오후 4:00:00</t>
  </si>
  <si>
    <t>2012. 2. 9 오후 3:30:00</t>
  </si>
  <si>
    <t>2012. 2. 10 오후 4:00:00</t>
  </si>
  <si>
    <t>2012. 2. 10 오후 3:30:00</t>
  </si>
  <si>
    <t>2012. 2. 11 오후 4:00:00</t>
  </si>
  <si>
    <t>2012. 2. 11 오후 3:30:00</t>
  </si>
  <si>
    <t>2012. 2. 12 오후 4:00:00</t>
  </si>
  <si>
    <t>2012. 2. 12 오후 3:30:00</t>
  </si>
  <si>
    <t>2012. 2. 13 오후 4:00:00</t>
  </si>
  <si>
    <t>2012. 2. 13 오후 3:30:00</t>
  </si>
  <si>
    <t>2012. 2. 14 오후 4:00:00</t>
  </si>
  <si>
    <t>2012. 2. 14 오후 3:30:00</t>
  </si>
  <si>
    <t>2012. 2. 15 오후 4:00:00</t>
  </si>
  <si>
    <t>2012. 2. 15 오후 3:30:00</t>
  </si>
  <si>
    <t>2012. 2. 16 오후 4:00:00</t>
  </si>
  <si>
    <t>2012. 2. 16 오후 3:30:00</t>
  </si>
  <si>
    <t>2012. 2. 17 오후 4:00:00</t>
  </si>
  <si>
    <t>2012. 2. 17 오후 3:30:00</t>
  </si>
  <si>
    <t>2012. 2. 18 오후 4:00:00</t>
  </si>
  <si>
    <t>2012. 2. 18 오후 3:30:00</t>
  </si>
  <si>
    <t>2012. 2. 19 오후 4:00:00</t>
  </si>
  <si>
    <t>2012. 2. 19 오후 3:30:00</t>
  </si>
  <si>
    <t>2012. 2. 20 오후 4:00:00</t>
  </si>
  <si>
    <t>2012. 2. 20 오후 3:30:00</t>
  </si>
  <si>
    <t>2012. 2. 21 오후 4:00:00</t>
  </si>
  <si>
    <t>2012. 2. 21 오후 3:30:00</t>
  </si>
  <si>
    <t>2012. 2. 22 오후 4:00:00</t>
  </si>
  <si>
    <t>2012. 2. 22 오후 3:30:00</t>
  </si>
  <si>
    <t>2012. 2. 23 오후 4:00:00</t>
  </si>
  <si>
    <t>2012. 2. 23 오후 3:30:00</t>
  </si>
  <si>
    <t>2012. 2. 24 오후 4:00:00</t>
  </si>
  <si>
    <t>2012. 2. 24 오후 3:30:00</t>
  </si>
  <si>
    <t>2012. 2. 25 오후 4:00:00</t>
  </si>
  <si>
    <t>2012. 2. 25 오후 3:30:00</t>
  </si>
  <si>
    <t>2012. 2. 26 오후 4:00:00</t>
  </si>
  <si>
    <t>2012. 2. 26 오후 3:30:00</t>
  </si>
  <si>
    <t>2012. 2. 27 오후 4:00:00</t>
  </si>
  <si>
    <t>2012. 2. 27 오후 3:30:00</t>
  </si>
  <si>
    <t>2012. 2. 28 오후 4:00:00</t>
  </si>
  <si>
    <t>2012. 2. 28 오후 3:30:00</t>
  </si>
  <si>
    <t>2012. 2. 29 오후 4:00:00</t>
  </si>
  <si>
    <t>2012. 2. 29 오후 3:30:00</t>
  </si>
  <si>
    <t>2012. 3. 1 오후 4:00:00</t>
  </si>
  <si>
    <t>2012. 3. 1 오후 3:30:00</t>
  </si>
  <si>
    <t>2012. 3. 2 오후 4:00:00</t>
  </si>
  <si>
    <t>2012. 3. 2 오후 3:30:00</t>
  </si>
  <si>
    <t>2012. 3. 3 오후 4:00:00</t>
  </si>
  <si>
    <t>2012. 3. 3 오후 3:30:00</t>
  </si>
  <si>
    <t>2012. 3. 4 오후 4:00:00</t>
  </si>
  <si>
    <t>2012. 3. 4 오후 3:30:00</t>
  </si>
  <si>
    <t>2012. 3. 5 오후 4:00:00</t>
  </si>
  <si>
    <t>2012. 3. 5 오후 3:30:00</t>
  </si>
  <si>
    <t>2012. 3. 6 오후 4:00:00</t>
  </si>
  <si>
    <t>2012. 3. 6 오후 3:30:00</t>
  </si>
  <si>
    <t>2012. 3. 7 오후 4:00:00</t>
  </si>
  <si>
    <t>2012. 3. 7 오후 3:30:00</t>
  </si>
  <si>
    <t>2012. 3. 8 오후 4:00:00</t>
  </si>
  <si>
    <t>2012. 3. 8 오후 3:30:00</t>
  </si>
  <si>
    <t>2012. 3. 9 오후 4:00:00</t>
  </si>
  <si>
    <t>2012. 3. 9 오후 3:30:00</t>
  </si>
  <si>
    <t>2012. 3. 10 오후 4:00:00</t>
  </si>
  <si>
    <t>2012. 3. 10 오후 3:30:00</t>
  </si>
  <si>
    <t>2012. 3. 11 오후 4:00:00</t>
  </si>
  <si>
    <t>2012. 3. 11 오후 3:30:00</t>
  </si>
  <si>
    <t>2012. 3. 12 오후 4:00:00</t>
  </si>
  <si>
    <t>2012. 3. 12 오후 3:30:00</t>
  </si>
  <si>
    <t>2012. 3. 13 오후 4:00:00</t>
  </si>
  <si>
    <t>2012. 3. 13 오후 3:30:00</t>
  </si>
  <si>
    <t>2012. 3. 14 오후 4:00:00</t>
  </si>
  <si>
    <t>2012. 3. 14 오후 3:30:00</t>
  </si>
  <si>
    <t>2012. 3. 15 오후 4:00:00</t>
  </si>
  <si>
    <t>2012. 3. 15 오후 3:30:00</t>
  </si>
  <si>
    <t>2012. 3. 16 오후 4:00:00</t>
  </si>
  <si>
    <t>2012. 3. 16 오후 3:30:00</t>
  </si>
  <si>
    <t>2012. 3. 17 오후 4:00:00</t>
  </si>
  <si>
    <t>2012. 3. 17 오후 3:30:00</t>
  </si>
  <si>
    <t>2012. 3. 18 오후 4:00:00</t>
  </si>
  <si>
    <t>2012. 3. 18 오후 3:30:00</t>
  </si>
  <si>
    <t>2012. 3. 19 오후 4:00:00</t>
  </si>
  <si>
    <t>2012. 3. 19 오후 3:30:00</t>
  </si>
  <si>
    <t>2012. 3. 20 오후 4:00:00</t>
  </si>
  <si>
    <t>2012. 3. 20 오후 3:30:00</t>
  </si>
  <si>
    <t>2012. 3. 21 오후 4:00:00</t>
  </si>
  <si>
    <t>2012. 3. 21 오후 3:30:00</t>
  </si>
  <si>
    <t>2012. 3. 22 오후 4:00:00</t>
  </si>
  <si>
    <t>2012. 3. 22 오후 3:30:00</t>
  </si>
  <si>
    <t>2012. 3. 23 오후 4:00:00</t>
  </si>
  <si>
    <t>2012. 3. 23 오후 3:30:00</t>
  </si>
  <si>
    <t>2012. 3. 24 오후 4:00:00</t>
  </si>
  <si>
    <t>2012. 3. 24 오후 3:30:00</t>
  </si>
  <si>
    <t>2012. 3. 25 오후 4:00:00</t>
  </si>
  <si>
    <t>2012. 3. 25 오후 3:30:00</t>
  </si>
  <si>
    <t>2012. 3. 26 오후 4:00:00</t>
  </si>
  <si>
    <t>2012. 3. 26 오후 3:30:00</t>
  </si>
  <si>
    <t>2012. 3. 27 오후 4:00:00</t>
  </si>
  <si>
    <t>2012. 3. 27 오후 3:30:00</t>
  </si>
  <si>
    <t>2012. 3. 28 오후 4:00:00</t>
  </si>
  <si>
    <t>2012. 3. 28 오후 3:30:00</t>
  </si>
  <si>
    <t>2012. 3. 29 오후 4:00:00</t>
  </si>
  <si>
    <t>2012. 3. 29 오후 3:30:00</t>
  </si>
  <si>
    <t>2012. 3. 30 오후 4:00:00</t>
  </si>
  <si>
    <t>2012. 3. 30 오후 3:30:00</t>
  </si>
  <si>
    <t>2012. 3. 31 오후 4:00:00</t>
  </si>
  <si>
    <t>2012. 3. 31 오후 3:30:00</t>
  </si>
  <si>
    <t>2012. 4. 1 오후 4:00:00</t>
  </si>
  <si>
    <t>2012. 4. 1 오후 3:30:00</t>
  </si>
  <si>
    <t>2012. 4. 2 오후 4:00:00</t>
  </si>
  <si>
    <t>2012. 4. 2 오후 3:30:00</t>
  </si>
  <si>
    <t>2012. 4. 3 오후 4:00:00</t>
  </si>
  <si>
    <t>2012. 4. 3 오후 3:30:00</t>
  </si>
  <si>
    <t>2012. 4. 4 오후 4:00:00</t>
  </si>
  <si>
    <t>2012. 4. 4 오후 3:30:00</t>
  </si>
  <si>
    <t>2012. 4. 5 오후 4:00:00</t>
  </si>
  <si>
    <t>2012. 4. 5 오후 3:30:00</t>
  </si>
  <si>
    <t>2012. 4. 6 오후 4:00:00</t>
  </si>
  <si>
    <t>2012. 4. 6 오후 3:30:00</t>
  </si>
  <si>
    <t>2012. 4. 7 오후 4:00:00</t>
  </si>
  <si>
    <t>2012. 4. 7 오후 3:30:00</t>
  </si>
  <si>
    <t>2012. 4. 8 오후 4:00:00</t>
  </si>
  <si>
    <t>2012. 4. 8 오후 3:30:00</t>
  </si>
  <si>
    <t>2012. 4. 9 오후 4:00:00</t>
  </si>
  <si>
    <t>2012. 4. 9 오후 3:30:00</t>
  </si>
  <si>
    <t>2012. 4. 10 오후 4:00:00</t>
  </si>
  <si>
    <t>2012. 4. 10 오후 3:30:00</t>
  </si>
  <si>
    <t>2012. 4. 11 오후 4:00:00</t>
  </si>
  <si>
    <t>2012. 4. 11 오후 3:30:00</t>
  </si>
  <si>
    <t>2012. 4. 12 오후 4:00:00</t>
  </si>
  <si>
    <t>2012. 4. 12 오후 3:30:00</t>
  </si>
  <si>
    <t>2012. 4. 13 오후 4:00:00</t>
  </si>
  <si>
    <t>2012. 4. 13 오후 3:30:00</t>
  </si>
  <si>
    <t>2012. 4. 14 오후 4:00:00</t>
  </si>
  <si>
    <t>2012. 4. 14 오후 3:30:00</t>
  </si>
  <si>
    <t>2012. 4. 15 오후 4:00:00</t>
  </si>
  <si>
    <t>2012. 4. 15 오후 3:30:00</t>
  </si>
  <si>
    <t>2012. 4. 16 오후 4:00:00</t>
  </si>
  <si>
    <t>2012. 4. 16 오후 3:30:00</t>
  </si>
  <si>
    <t>2012. 4. 17 오후 4:00:00</t>
  </si>
  <si>
    <t>2012. 4. 17 오후 3:30:00</t>
  </si>
  <si>
    <t>2012. 4. 18 오후 4:00:00</t>
  </si>
  <si>
    <t>2012. 4. 18 오후 3:30:00</t>
  </si>
  <si>
    <t>2012. 4. 19 오후 4:00:00</t>
  </si>
  <si>
    <t>2012. 4. 19 오후 3:30:00</t>
  </si>
  <si>
    <t>2012. 4. 20 오후 4:00:00</t>
  </si>
  <si>
    <t>2012. 4. 20 오후 3:30:00</t>
  </si>
  <si>
    <t>2012. 4. 21 오후 4:00:00</t>
  </si>
  <si>
    <t>2012. 4. 21 오후 3:30:00</t>
  </si>
  <si>
    <t>2012. 4. 22 오후 4:00:00</t>
  </si>
  <si>
    <t>2012. 4. 22 오후 3:30:00</t>
  </si>
  <si>
    <t>2012. 4. 23 오후 4:00:00</t>
  </si>
  <si>
    <t>2012. 4. 23 오후 3:30:00</t>
  </si>
  <si>
    <t>2012. 4. 24 오후 4:00:00</t>
  </si>
  <si>
    <t>2012. 4. 24 오후 3:30:00</t>
  </si>
  <si>
    <t>2012. 4. 25 오후 4:00:00</t>
  </si>
  <si>
    <t>2012. 4. 25 오후 3:30:00</t>
  </si>
  <si>
    <t>2012. 4. 26 오후 4:00:00</t>
  </si>
  <si>
    <t>2012. 4. 26 오후 3:30:00</t>
  </si>
  <si>
    <t>2012. 4. 27 오후 4:00:00</t>
  </si>
  <si>
    <t>2012. 4. 27 오후 3:30:00</t>
  </si>
  <si>
    <t>2012. 4. 28 오후 4:00:00</t>
  </si>
  <si>
    <t>2012. 4. 28 오후 3:30:00</t>
  </si>
  <si>
    <t>2012. 4. 29 오후 4:00:00</t>
  </si>
  <si>
    <t>2012. 4. 29 오후 3:30:00</t>
  </si>
  <si>
    <t>2012. 4. 30 오후 4:00:00</t>
  </si>
  <si>
    <t>2012. 4. 30 오후 3:30:00</t>
  </si>
  <si>
    <t>2012. 5. 1 오후 4:00:00</t>
  </si>
  <si>
    <t>2012. 5. 1 오후 3:30:00</t>
  </si>
  <si>
    <t>2012. 5. 2 오후 4:00:00</t>
  </si>
  <si>
    <t>2012. 5. 2 오후 3:30:00</t>
  </si>
  <si>
    <t>2012. 5. 3 오후 4:00:00</t>
  </si>
  <si>
    <t>2012. 5. 3 오후 3:30:00</t>
  </si>
  <si>
    <t>2012. 5. 4 오후 4:00:00</t>
  </si>
  <si>
    <t>2012. 5. 4 오후 3:30:00</t>
  </si>
  <si>
    <t>2012. 5. 5 오후 4:00:00</t>
  </si>
  <si>
    <t>2012. 5. 5 오후 3:30:00</t>
  </si>
  <si>
    <t>2012. 5. 6 오후 4:00:00</t>
  </si>
  <si>
    <t>2012. 5. 6 오후 3:30:00</t>
  </si>
  <si>
    <t>2012. 5. 7 오후 4:00:00</t>
  </si>
  <si>
    <t>2012. 5. 7 오후 3:30:00</t>
  </si>
  <si>
    <t>2012. 5. 8 오후 4:00:00</t>
  </si>
  <si>
    <t>2012. 5. 8 오후 3:30:00</t>
  </si>
  <si>
    <t>2012. 5. 9 오후 4:00:00</t>
  </si>
  <si>
    <t>2012. 5. 9 오후 3:30:00</t>
  </si>
  <si>
    <t>2012. 5. 10 오후 4:00:00</t>
  </si>
  <si>
    <t>2012. 5. 10 오후 3:30:00</t>
  </si>
  <si>
    <t>2012. 5. 11 오후 4:00:00</t>
  </si>
  <si>
    <t>2012. 5. 11 오후 3:30:00</t>
  </si>
  <si>
    <t>2012. 5. 12 오후 4:00:00</t>
  </si>
  <si>
    <t>2012. 5. 12 오후 3:30:00</t>
  </si>
  <si>
    <t>2012. 5. 13 오후 4:00:00</t>
  </si>
  <si>
    <t>2012. 5. 13 오후 3:30:00</t>
  </si>
  <si>
    <t>2012. 5. 14 오후 4:00:00</t>
  </si>
  <si>
    <t>2012. 5. 14 오후 3:30:00</t>
  </si>
  <si>
    <t>2012. 5. 15 오후 4:00:00</t>
  </si>
  <si>
    <t>2012. 5. 15 오후 3:30:00</t>
  </si>
  <si>
    <t>2012. 5. 16 오후 4:00:00</t>
  </si>
  <si>
    <t>2012. 5. 16 오후 3:30:00</t>
  </si>
  <si>
    <t>2012. 5. 17 오후 4:00:00</t>
  </si>
  <si>
    <t>2012. 5. 17 오후 3:30:00</t>
  </si>
  <si>
    <t>2012. 5. 18 오후 4:00:00</t>
  </si>
  <si>
    <t>2012. 5. 18 오후 3:30:00</t>
  </si>
  <si>
    <t>2012. 5. 19 오후 4:00:00</t>
  </si>
  <si>
    <t>2012. 5. 19 오후 3:30:00</t>
  </si>
  <si>
    <t>2012. 5. 20 오후 4:00:00</t>
  </si>
  <si>
    <t>2012. 5. 20 오후 3:30:00</t>
  </si>
  <si>
    <t>2012. 5. 21 오후 4:00:00</t>
  </si>
  <si>
    <t>2012. 5. 21 오후 3:30:00</t>
  </si>
  <si>
    <t>2012. 5. 22 오후 4:00:00</t>
  </si>
  <si>
    <t>2012. 5. 22 오후 3:30:00</t>
  </si>
  <si>
    <t>2012. 5. 23 오후 4:00:00</t>
  </si>
  <si>
    <t>2012. 5. 23 오후 3:30:00</t>
  </si>
  <si>
    <t>2012. 5. 24 오후 4:00:00</t>
  </si>
  <si>
    <t>2012. 5. 24 오후 3:30:00</t>
  </si>
  <si>
    <t>2012. 5. 25 오후 4:00:00</t>
  </si>
  <si>
    <t>2012. 5. 25 오후 3:30:00</t>
  </si>
  <si>
    <t>2012. 5. 26 오후 4:00:00</t>
  </si>
  <si>
    <t>2012. 5. 26 오후 3:30:00</t>
  </si>
  <si>
    <t>2012. 5. 27 오후 4:00:00</t>
  </si>
  <si>
    <t>2012. 5. 27 오후 3:30:00</t>
  </si>
  <si>
    <t>2012. 5. 28 오후 4:00:00</t>
  </si>
  <si>
    <t>2012. 5. 28 오후 3:30:00</t>
  </si>
  <si>
    <t>2012. 5. 29 오후 4:00:00</t>
  </si>
  <si>
    <t>2012. 5. 29 오후 3:30:00</t>
  </si>
  <si>
    <t>2012. 5. 30 오후 4:00:00</t>
  </si>
  <si>
    <t>2012. 5. 30 오후 3:30:00</t>
  </si>
  <si>
    <t>2012. 5. 31 오후 4:00:00</t>
  </si>
  <si>
    <t>2012. 5. 31 오후 3:30:00</t>
  </si>
  <si>
    <t>2012. 6. 1 오후 4:00:00</t>
  </si>
  <si>
    <t>2012. 6. 1 오후 3:30:00</t>
  </si>
  <si>
    <t>2012. 6. 2 오후 4:00:00</t>
  </si>
  <si>
    <t>2012. 6. 2 오후 3:30:00</t>
  </si>
  <si>
    <t>2012. 6. 3 오후 4:00:00</t>
  </si>
  <si>
    <t>2012. 6. 3 오후 3:30:00</t>
  </si>
  <si>
    <t>2012. 6. 4 오후 4:00:00</t>
  </si>
  <si>
    <t>2012. 6. 4 오후 3:30:00</t>
  </si>
  <si>
    <t>2012. 6. 5 오후 4:00:00</t>
  </si>
  <si>
    <t>2012. 6. 5 오후 3:30:00</t>
  </si>
  <si>
    <t>2012. 6. 6 오후 4:00:00</t>
  </si>
  <si>
    <t>2012. 6. 6 오후 3:30:00</t>
  </si>
  <si>
    <t>2012. 6. 7 오후 4:00:00</t>
  </si>
  <si>
    <t>2012. 6. 7 오후 3:30:00</t>
  </si>
  <si>
    <t>2012. 6. 8 오후 4:00:00</t>
  </si>
  <si>
    <t>2012. 6. 8 오후 3:30:00</t>
  </si>
  <si>
    <t>2012. 6. 9 오후 4:00:00</t>
  </si>
  <si>
    <t>2012. 6. 9 오후 3:30:00</t>
  </si>
  <si>
    <t>2012. 6. 10 오후 4:00:00</t>
  </si>
  <si>
    <t>2012. 6. 10 오후 3:30:00</t>
  </si>
  <si>
    <t>2012. 6. 11 오후 4:00:00</t>
  </si>
  <si>
    <t>2012. 6. 11 오후 3:30:00</t>
  </si>
  <si>
    <t>2012. 6. 12 오후 4:00:00</t>
  </si>
  <si>
    <t>2012. 6. 12 오후 3:30:00</t>
  </si>
  <si>
    <t>2012. 6. 13 오후 4:00:00</t>
  </si>
  <si>
    <t>2012. 6. 13 오후 3:30:00</t>
  </si>
  <si>
    <t>2012. 6. 14 오후 4:00:00</t>
  </si>
  <si>
    <t>2012. 6. 14 오후 3:30:00</t>
  </si>
  <si>
    <t>2012. 6. 15 오후 4:00:00</t>
  </si>
  <si>
    <t>2012. 6. 15 오후 3:30:00</t>
  </si>
  <si>
    <t>2012. 6. 16 오후 4:00:00</t>
  </si>
  <si>
    <t>2012. 6. 16 오후 3:30:00</t>
  </si>
  <si>
    <t>2012. 6. 17 오후 4:00:00</t>
  </si>
  <si>
    <t>2012. 6. 17 오후 3:30:00</t>
  </si>
  <si>
    <t>2012. 6. 18 오후 4:00:00</t>
  </si>
  <si>
    <t>2012. 6. 18 오후 3:30:00</t>
  </si>
  <si>
    <t>2012. 6. 19 오후 4:00:00</t>
  </si>
  <si>
    <t>2012. 6. 19 오후 3:30:00</t>
  </si>
  <si>
    <t>2012. 6. 20 오후 4:00:00</t>
  </si>
  <si>
    <t>2012. 6. 20 오후 3:30:00</t>
  </si>
  <si>
    <t>2012. 6. 21 오후 4:00:00</t>
  </si>
  <si>
    <t>2012. 6. 21 오후 3:30:00</t>
  </si>
  <si>
    <t>2012. 6. 22 오후 4:00:00</t>
  </si>
  <si>
    <t>2012. 6. 22 오후 3:30:00</t>
  </si>
  <si>
    <t>2012. 6. 23 오후 4:00:00</t>
  </si>
  <si>
    <t>2012. 6. 23 오후 3:30:00</t>
  </si>
  <si>
    <t>2012. 6. 24 오후 4:00:00</t>
  </si>
  <si>
    <t>2012. 6. 24 오후 3:30:00</t>
  </si>
  <si>
    <t>2012. 6. 25 오후 4:00:00</t>
  </si>
  <si>
    <t>2012. 6. 25 오후 3:30:00</t>
  </si>
  <si>
    <t>2012. 6. 26 오후 4:00:00</t>
  </si>
  <si>
    <t>2012. 6. 26 오후 3:30:00</t>
  </si>
  <si>
    <t>2012. 6. 27 오후 4:00:00</t>
  </si>
  <si>
    <t>2012. 6. 27 오후 3:30:00</t>
  </si>
  <si>
    <t>2012. 6. 28 오후 4:00:00</t>
  </si>
  <si>
    <t>2012. 6. 28 오후 3:30:00</t>
  </si>
  <si>
    <t>2012. 6. 29 오후 4:00:00</t>
  </si>
  <si>
    <t>2012. 6. 29 오후 3:30:00</t>
  </si>
  <si>
    <t>2012. 6. 30 오후 4:00:00</t>
  </si>
  <si>
    <t>2012. 6. 30 오후 3:30:00</t>
  </si>
  <si>
    <t>2012. 7. 1 오후 4:00:00</t>
  </si>
  <si>
    <t>2012. 7. 1 오후 3:30:00</t>
  </si>
  <si>
    <t>2012. 7. 2 오후 4:00:00</t>
  </si>
  <si>
    <t>2012. 7. 2 오후 3:30:00</t>
  </si>
  <si>
    <t>2012. 7. 3 오후 4:00:00</t>
  </si>
  <si>
    <t>2012. 7. 3 오후 3:30:00</t>
  </si>
  <si>
    <t>2012. 7. 4 오후 4:00:00</t>
  </si>
  <si>
    <t>2012. 7. 4 오후 3:30:00</t>
  </si>
  <si>
    <t>2012. 7. 5 오후 4:00:00</t>
  </si>
  <si>
    <t>2012. 7. 5 오후 3:30:00</t>
  </si>
  <si>
    <t>2012. 7. 6 오후 4:00:00</t>
  </si>
  <si>
    <t>2012. 7. 6 오후 3:30:00</t>
  </si>
  <si>
    <t>2012. 7. 7 오후 4:00:00</t>
  </si>
  <si>
    <t>2012. 7. 7 오후 3:30:00</t>
  </si>
  <si>
    <t>2012. 7. 8 오후 4:00:00</t>
  </si>
  <si>
    <t>2012. 7. 8 오후 3:30:00</t>
  </si>
  <si>
    <t>2012. 7. 9 오후 4:00:00</t>
  </si>
  <si>
    <t>2012. 7. 9 오후 3:30:00</t>
  </si>
  <si>
    <t>2012. 7. 10 오후 4:00:00</t>
  </si>
  <si>
    <t>2012. 7. 10 오후 3:30:00</t>
  </si>
  <si>
    <t>2012. 7. 11 오후 4:00:00</t>
  </si>
  <si>
    <t>2012. 7. 11 오후 3:30:00</t>
  </si>
  <si>
    <t>2012. 7. 12 오후 4:00:00</t>
  </si>
  <si>
    <t>2012. 7. 12 오후 3:30:00</t>
  </si>
  <si>
    <t>2012. 7. 13 오후 4:00:00</t>
  </si>
  <si>
    <t>2012. 7. 13 오후 3:30:00</t>
  </si>
  <si>
    <t>2012. 7. 14 오후 4:00:00</t>
  </si>
  <si>
    <t>2012. 7. 14 오후 3:30:00</t>
  </si>
  <si>
    <t>2012. 7. 15 오후 4:00:00</t>
  </si>
  <si>
    <t>2012. 7. 15 오후 3:30:00</t>
  </si>
  <si>
    <t>2012. 7. 16 오후 4:00:00</t>
  </si>
  <si>
    <t>2012. 7. 16 오후 3:30:00</t>
  </si>
  <si>
    <t>2012. 7. 17 오후 4:00:00</t>
  </si>
  <si>
    <t>2012. 7. 17 오후 3:30:00</t>
  </si>
  <si>
    <t>2012. 7. 18 오후 4:00:00</t>
  </si>
  <si>
    <t>2012. 7. 18 오후 3:30:00</t>
  </si>
  <si>
    <t>2012. 7. 19 오후 4:00:00</t>
  </si>
  <si>
    <t>2012. 7. 19 오후 3:30:00</t>
  </si>
  <si>
    <t>2012. 7. 20 오후 4:00:00</t>
  </si>
  <si>
    <t>2012. 7. 20 오후 3:30:00</t>
  </si>
  <si>
    <t>2012. 7. 21 오후 4:00:00</t>
  </si>
  <si>
    <t>2012. 7. 21 오후 3:30:00</t>
  </si>
  <si>
    <t>2012. 7. 22 오후 4:00:00</t>
  </si>
  <si>
    <t>2012. 7. 22 오후 3:30:00</t>
  </si>
  <si>
    <t>2012. 7. 23 오후 4:00:00</t>
  </si>
  <si>
    <t>2012. 7. 23 오후 3:30:00</t>
  </si>
  <si>
    <t>2012. 7. 24 오후 4:00:00</t>
  </si>
  <si>
    <t>2012. 7. 24 오후 3:30:00</t>
  </si>
  <si>
    <t>2012. 7. 25 오후 4:00:00</t>
  </si>
  <si>
    <t>2012. 7. 25 오후 3:30:00</t>
  </si>
  <si>
    <t>2012. 7. 26 오후 4:00:00</t>
  </si>
  <si>
    <t>2012. 7. 26 오후 3:30:00</t>
  </si>
  <si>
    <t>2012. 7. 27 오후 4:00:00</t>
  </si>
  <si>
    <t>2012. 7. 27 오후 3:30:00</t>
  </si>
  <si>
    <t>2012. 7. 28 오후 4:00:00</t>
  </si>
  <si>
    <t>2012. 7. 28 오후 3:30:00</t>
  </si>
  <si>
    <t>2012. 7. 29 오후 4:00:00</t>
  </si>
  <si>
    <t>2012. 7. 29 오후 3:30:00</t>
  </si>
  <si>
    <t>2012. 7. 30 오후 4:00:00</t>
  </si>
  <si>
    <t>2012. 7. 30 오후 3:30:00</t>
  </si>
  <si>
    <t>2012. 7. 31 오후 4:00:00</t>
  </si>
  <si>
    <t>2012. 7. 31 오후 3:30:00</t>
  </si>
  <si>
    <t>2012. 8. 1 오후 4:00:00</t>
  </si>
  <si>
    <t>2012. 8. 1 오후 3:30:00</t>
  </si>
  <si>
    <t>2012. 8. 2 오후 4:00:00</t>
  </si>
  <si>
    <t>2012. 8. 2 오후 3:30:00</t>
  </si>
  <si>
    <t>2012. 8. 3 오후 4:00:00</t>
  </si>
  <si>
    <t>2012. 8. 3 오후 3:30:00</t>
  </si>
  <si>
    <t>2012. 8. 4 오후 4:00:00</t>
  </si>
  <si>
    <t>2012. 8. 4 오후 3:30:00</t>
  </si>
  <si>
    <t>2012. 8. 5 오후 4:00:00</t>
  </si>
  <si>
    <t>2012. 8. 5 오후 3:30:00</t>
  </si>
  <si>
    <t>2012. 8. 6 오후 4:00:00</t>
  </si>
  <si>
    <t>2012. 8. 6 오후 3:30:00</t>
  </si>
  <si>
    <t>2012. 8. 7 오후 4:00:00</t>
  </si>
  <si>
    <t>2012. 8. 7 오후 3:30:00</t>
  </si>
  <si>
    <t>2012. 8. 8 오후 4:00:00</t>
  </si>
  <si>
    <t>2012. 8. 8 오후 3:30:00</t>
  </si>
  <si>
    <t>2012. 8. 9 오후 4:00:00</t>
  </si>
  <si>
    <t>2012. 8. 9 오후 3:30:00</t>
  </si>
  <si>
    <t>2012. 8. 10 오후 4:00:00</t>
  </si>
  <si>
    <t>2012. 8. 10 오후 3:30:00</t>
  </si>
  <si>
    <t>2012. 8. 11 오후 4:00:00</t>
  </si>
  <si>
    <t>2012. 8. 11 오후 3:30:00</t>
  </si>
  <si>
    <t>2012. 8. 12 오후 4:00:00</t>
  </si>
  <si>
    <t>2012. 8. 12 오후 3:30:00</t>
  </si>
  <si>
    <t>2012. 8. 13 오후 4:00:00</t>
  </si>
  <si>
    <t>2012. 8. 13 오후 3:30:00</t>
  </si>
  <si>
    <t>2012. 8. 14 오후 4:00:00</t>
  </si>
  <si>
    <t>2012. 8. 14 오후 3:30:00</t>
  </si>
  <si>
    <t>2012. 8. 15 오후 4:00:00</t>
  </si>
  <si>
    <t>2012. 8. 15 오후 3:30:00</t>
  </si>
  <si>
    <t>2012. 8. 16 오후 4:00:00</t>
  </si>
  <si>
    <t>2012. 8. 16 오후 3:30:00</t>
  </si>
  <si>
    <t>2012. 8. 17 오후 4:00:00</t>
  </si>
  <si>
    <t>2012. 8. 17 오후 3:30:00</t>
  </si>
  <si>
    <t>2012. 8. 18 오후 4:00:00</t>
  </si>
  <si>
    <t>2012. 8. 18 오후 3:30:00</t>
  </si>
  <si>
    <t>2012. 8. 19 오후 4:00:00</t>
  </si>
  <si>
    <t>2012. 8. 19 오후 3:30:00</t>
  </si>
  <si>
    <t>2012. 8. 20 오후 4:00:00</t>
  </si>
  <si>
    <t>2012. 8. 20 오후 3:30:00</t>
  </si>
  <si>
    <t>2012. 8. 21 오후 4:00:00</t>
  </si>
  <si>
    <t>2012. 8. 21 오후 3:30:00</t>
  </si>
  <si>
    <t>2012. 8. 22 오후 4:00:00</t>
  </si>
  <si>
    <t>2012. 8. 22 오후 3:30:00</t>
  </si>
  <si>
    <t>2012. 8. 23 오후 4:00:00</t>
  </si>
  <si>
    <t>2012. 8. 23 오후 3:30:00</t>
  </si>
  <si>
    <t>2012. 8. 24 오후 4:00:00</t>
  </si>
  <si>
    <t>2012. 8. 24 오후 3:30:00</t>
  </si>
  <si>
    <t>2012. 8. 25 오후 4:00:00</t>
  </si>
  <si>
    <t>2012. 8. 25 오후 3:30:00</t>
  </si>
  <si>
    <t>2012. 8. 26 오후 4:00:00</t>
  </si>
  <si>
    <t>2012. 8. 26 오후 3:30:00</t>
  </si>
  <si>
    <t>2012. 8. 27 오후 4:00:00</t>
  </si>
  <si>
    <t>2012. 8. 27 오후 3:30:00</t>
  </si>
  <si>
    <t>2012. 8. 28 오후 4:00:00</t>
  </si>
  <si>
    <t>2012. 8. 28 오후 3:30:00</t>
  </si>
  <si>
    <t>2012. 8. 29 오후 4:00:00</t>
  </si>
  <si>
    <t>2012. 8. 29 오후 3:30:00</t>
  </si>
  <si>
    <t>2012. 8. 30 오후 4:00:00</t>
  </si>
  <si>
    <t>2012. 8. 30 오후 3:30:00</t>
  </si>
  <si>
    <t>2012. 8. 31 오후 4:00:00</t>
  </si>
  <si>
    <t>2012. 8. 31 오후 3:30:00</t>
  </si>
  <si>
    <t>2012. 9. 1 오후 4:00:00</t>
  </si>
  <si>
    <t>2012. 9. 1 오후 3:30:00</t>
  </si>
  <si>
    <t>2012. 9. 2 오후 4:00:00</t>
  </si>
  <si>
    <t>2012. 9. 2 오후 3:30:00</t>
  </si>
  <si>
    <t>2012. 9. 3 오후 4:00:00</t>
  </si>
  <si>
    <t>2012. 9. 3 오후 3:30:00</t>
  </si>
  <si>
    <t>2012. 9. 4 오후 4:00:00</t>
  </si>
  <si>
    <t>2012. 9. 4 오후 3:30:00</t>
  </si>
  <si>
    <t>2012. 9. 5 오후 4:00:00</t>
  </si>
  <si>
    <t>2012. 9. 5 오후 3:30:00</t>
  </si>
  <si>
    <t>2012. 9. 6 오후 4:00:00</t>
  </si>
  <si>
    <t>2012. 9. 6 오후 3:30:00</t>
  </si>
  <si>
    <t>2012. 9. 7 오후 4:00:00</t>
  </si>
  <si>
    <t>2012. 9. 7 오후 3:30:00</t>
  </si>
  <si>
    <t>2012. 9. 8 오후 4:00:00</t>
  </si>
  <si>
    <t>2012. 9. 8 오후 3:30:00</t>
  </si>
  <si>
    <t>2012. 9. 9 오후 4:00:00</t>
  </si>
  <si>
    <t>2012. 9. 9 오후 3:30:00</t>
  </si>
  <si>
    <t>2012. 9. 10 오후 4:00:00</t>
  </si>
  <si>
    <t>2012. 9. 10 오후 3:30:00</t>
  </si>
  <si>
    <t>2012. 9. 11 오후 4:00:00</t>
  </si>
  <si>
    <t>2012. 9. 11 오후 3:30:00</t>
  </si>
  <si>
    <t>2012. 9. 12 오후 4:00:00</t>
  </si>
  <si>
    <t>2012. 9. 12 오후 3:30:00</t>
  </si>
  <si>
    <t>2012. 9. 13 오후 4:00:00</t>
  </si>
  <si>
    <t>2012. 9. 13 오후 3:30:00</t>
  </si>
  <si>
    <t>2012. 9. 14 오후 4:00:00</t>
  </si>
  <si>
    <t>2012. 9. 14 오후 3:30:00</t>
  </si>
  <si>
    <t>2012. 9. 15 오후 4:00:00</t>
  </si>
  <si>
    <t>2012. 9. 15 오후 3:30:00</t>
  </si>
  <si>
    <t>2012. 9. 16 오후 4:00:00</t>
  </si>
  <si>
    <t>2012. 9. 16 오후 3:30:00</t>
  </si>
  <si>
    <t>2012. 9. 17 오후 4:00:00</t>
  </si>
  <si>
    <t>2012. 9. 17 오후 3:30:00</t>
  </si>
  <si>
    <t>2012. 9. 18 오후 4:00:00</t>
  </si>
  <si>
    <t>2012. 9. 18 오후 3:30:00</t>
  </si>
  <si>
    <t>2012. 9. 19 오후 4:00:00</t>
  </si>
  <si>
    <t>2012. 9. 19 오후 3:30:00</t>
  </si>
  <si>
    <t>2012. 9. 20 오후 4:00:00</t>
  </si>
  <si>
    <t>2012. 9. 20 오후 3:30:00</t>
  </si>
  <si>
    <t>2012. 9. 21 오후 4:00:00</t>
  </si>
  <si>
    <t>2012. 9. 21 오후 3:30:00</t>
  </si>
  <si>
    <t>2012. 9. 22 오후 4:00:00</t>
  </si>
  <si>
    <t>2012. 9. 22 오후 3:30:00</t>
  </si>
  <si>
    <t>2012. 9. 23 오후 4:00:00</t>
  </si>
  <si>
    <t>2012. 9. 23 오후 3:30:00</t>
  </si>
  <si>
    <t>2012. 9. 24 오후 4:00:00</t>
  </si>
  <si>
    <t>2012. 9. 24 오후 3:30:00</t>
  </si>
  <si>
    <t>2012. 9. 25 오후 4:00:00</t>
  </si>
  <si>
    <t>2012. 9. 25 오후 3:30:00</t>
  </si>
  <si>
    <t>2012. 9. 26 오후 4:00:00</t>
  </si>
  <si>
    <t>2012. 9. 26 오후 3:30:00</t>
  </si>
  <si>
    <t>2012. 9. 27 오후 4:00:00</t>
  </si>
  <si>
    <t>2012. 9. 27 오후 3:30:00</t>
  </si>
  <si>
    <t>2012. 9. 28 오후 4:00:00</t>
  </si>
  <si>
    <t>2012. 9. 28 오후 3:30:00</t>
  </si>
  <si>
    <t>2012. 9. 29 오후 4:00:00</t>
  </si>
  <si>
    <t>2012. 9. 29 오후 3:30:00</t>
  </si>
  <si>
    <t>2012. 9. 30 오후 4:00:00</t>
  </si>
  <si>
    <t>2012. 9. 30 오후 3:30:00</t>
  </si>
  <si>
    <t>2012. 10. 1 오후 4:00:00</t>
  </si>
  <si>
    <t>2012. 10. 1 오후 3:30:00</t>
  </si>
  <si>
    <t>2012. 10. 2 오후 4:00:00</t>
  </si>
  <si>
    <t>2012. 10. 2 오후 3:30:00</t>
  </si>
  <si>
    <t>2012. 10. 3 오후 4:00:00</t>
  </si>
  <si>
    <t>2012. 10. 3 오후 3:30:00</t>
  </si>
  <si>
    <t>2012. 10. 4 오후 4:00:00</t>
  </si>
  <si>
    <t>2012. 10. 4 오후 3:30:00</t>
  </si>
  <si>
    <t>2012. 10. 5 오후 4:00:00</t>
  </si>
  <si>
    <t>2012. 10. 5 오후 3:30:00</t>
  </si>
  <si>
    <t>2012. 10. 6 오후 4:00:00</t>
  </si>
  <si>
    <t>2012. 10. 6 오후 3:30:00</t>
  </si>
  <si>
    <t>2012. 10. 7 오후 4:00:00</t>
  </si>
  <si>
    <t>2012. 10. 7 오후 3:30:00</t>
  </si>
  <si>
    <t>2012. 10. 8 오후 4:00:00</t>
  </si>
  <si>
    <t>2012. 10. 8 오후 3:30:00</t>
  </si>
  <si>
    <t>2012. 10. 9 오후 4:00:00</t>
  </si>
  <si>
    <t>2012. 10. 9 오후 3:30:00</t>
  </si>
  <si>
    <t>2012. 10. 10 오후 4:00:00</t>
  </si>
  <si>
    <t>2012. 10. 10 오후 3:30:00</t>
  </si>
  <si>
    <t>2012. 10. 11 오후 4:00:00</t>
  </si>
  <si>
    <t>2012. 10. 11 오후 3:30:00</t>
  </si>
  <si>
    <t>2012. 10. 12 오후 4:00:00</t>
  </si>
  <si>
    <t>2012. 10. 12 오후 3:30:00</t>
  </si>
  <si>
    <t>2012. 10. 13 오후 4:00:00</t>
  </si>
  <si>
    <t>2012. 10. 13 오후 3:30:00</t>
  </si>
  <si>
    <t>2012. 10. 14 오후 4:00:00</t>
  </si>
  <si>
    <t>2012. 10. 14 오후 3:30:00</t>
  </si>
  <si>
    <t>2012. 10. 15 오후 4:00:00</t>
  </si>
  <si>
    <t>2012. 10. 15 오후 3:30:00</t>
  </si>
  <si>
    <t>2012. 10. 16 오후 4:00:00</t>
  </si>
  <si>
    <t>2012. 10. 16 오후 3:30:00</t>
  </si>
  <si>
    <t>2012. 10. 17 오후 4:00:00</t>
  </si>
  <si>
    <t>2012. 10. 17 오후 3:30:00</t>
  </si>
  <si>
    <t>2012. 10. 18 오후 4:00:00</t>
  </si>
  <si>
    <t>2012. 10. 18 오후 3:30:00</t>
  </si>
  <si>
    <t>2012. 10. 19 오후 4:00:00</t>
  </si>
  <si>
    <t>2012. 10. 19 오후 3:30:00</t>
  </si>
  <si>
    <t>2012. 10. 20 오후 4:00:00</t>
  </si>
  <si>
    <t>2012. 10. 20 오후 3:30:00</t>
  </si>
  <si>
    <t>2012. 10. 21 오후 4:00:00</t>
  </si>
  <si>
    <t>2012. 10. 21 오후 3:30:00</t>
  </si>
  <si>
    <t>2012. 10. 22 오후 4:00:00</t>
  </si>
  <si>
    <t>2012. 10. 22 오후 3:30:00</t>
  </si>
  <si>
    <t>2012. 10. 23 오후 4:00:00</t>
  </si>
  <si>
    <t>2012. 10. 23 오후 3:30:00</t>
  </si>
  <si>
    <t>2012. 10. 24 오후 4:00:00</t>
  </si>
  <si>
    <t>2012. 10. 24 오후 3:30:00</t>
  </si>
  <si>
    <t>2012. 10. 25 오후 4:00:00</t>
  </si>
  <si>
    <t>2012. 10. 25 오후 3:30:00</t>
  </si>
  <si>
    <t>2012. 10. 26 오후 4:00:00</t>
  </si>
  <si>
    <t>2012. 10. 26 오후 3:30:00</t>
  </si>
  <si>
    <t>2012. 10. 27 오후 4:00:00</t>
  </si>
  <si>
    <t>2012. 10. 27 오후 3:30:00</t>
  </si>
  <si>
    <t>2012. 10. 28 오후 4:00:00</t>
  </si>
  <si>
    <t>2012. 10. 28 오후 3:30:00</t>
  </si>
  <si>
    <t>2012. 10. 29 오후 4:00:00</t>
  </si>
  <si>
    <t>2012. 10. 29 오후 3:30:00</t>
  </si>
  <si>
    <t>2012. 10. 30 오후 4:00:00</t>
  </si>
  <si>
    <t>2012. 10. 30 오후 3:30:00</t>
  </si>
  <si>
    <t>2012. 10. 31 오후 4:00:00</t>
  </si>
  <si>
    <t>2012. 10. 31 오후 3:30:00</t>
  </si>
  <si>
    <t>2012. 11. 1 오후 4:00:00</t>
  </si>
  <si>
    <t>2012. 11. 1 오후 3:30:00</t>
  </si>
  <si>
    <t>2012. 11. 2 오후 4:00:00</t>
  </si>
  <si>
    <t>2012. 11. 2 오후 3:30:00</t>
  </si>
  <si>
    <t>2012. 11. 3 오후 4:00:00</t>
  </si>
  <si>
    <t>2012. 11. 3 오후 3:30:00</t>
  </si>
  <si>
    <t>2012. 11. 4 오후 4:00:00</t>
  </si>
  <si>
    <t>2012. 11. 4 오후 3:30:00</t>
  </si>
  <si>
    <t>2012. 11. 5 오후 4:00:00</t>
  </si>
  <si>
    <t>2012. 11. 5 오후 3:30:00</t>
  </si>
  <si>
    <t>2012. 11. 6 오후 4:00:00</t>
  </si>
  <si>
    <t>2012. 11. 6 오후 3:30:00</t>
  </si>
  <si>
    <t>2012. 11. 7 오후 4:00:00</t>
  </si>
  <si>
    <t>2012. 11. 7 오후 3:30:00</t>
  </si>
  <si>
    <t>2012. 11. 8 오후 4:00:00</t>
  </si>
  <si>
    <t>2012. 11. 8 오후 3:30:00</t>
  </si>
  <si>
    <t>2012. 11. 9 오후 4:00:00</t>
  </si>
  <si>
    <t>2012. 11. 9 오후 3:30:00</t>
  </si>
  <si>
    <t>2012. 11. 10 오후 4:00:00</t>
  </si>
  <si>
    <t>2012. 11. 10 오후 3:30:00</t>
  </si>
  <si>
    <t>2012. 11. 11 오후 4:00:00</t>
  </si>
  <si>
    <t>2012. 11. 11 오후 3:30:00</t>
  </si>
  <si>
    <t>2012. 11. 12 오후 4:00:00</t>
  </si>
  <si>
    <t>2012. 11. 12 오후 3:30:00</t>
  </si>
  <si>
    <t>2012. 11. 13 오후 4:00:00</t>
  </si>
  <si>
    <t>2012. 11. 13 오후 3:30:00</t>
  </si>
  <si>
    <t>2012. 11. 14 오후 4:00:00</t>
  </si>
  <si>
    <t>2012. 11. 14 오후 3:30:00</t>
  </si>
  <si>
    <t>2012. 11. 15 오후 4:00:00</t>
  </si>
  <si>
    <t>2012. 11. 15 오후 3:30:00</t>
  </si>
  <si>
    <t>2012. 11. 16 오후 4:00:00</t>
  </si>
  <si>
    <t>2012. 11. 16 오후 3:30:00</t>
  </si>
  <si>
    <t>2012. 11. 17 오후 4:00:00</t>
  </si>
  <si>
    <t>2012. 11. 17 오후 3:30:00</t>
  </si>
  <si>
    <t>2012. 11. 18 오후 4:00:00</t>
  </si>
  <si>
    <t>2012. 11. 18 오후 3:30:00</t>
  </si>
  <si>
    <t>2012. 11. 19 오후 4:00:00</t>
  </si>
  <si>
    <t>2012. 11. 19 오후 3:30:00</t>
  </si>
  <si>
    <t>2012. 11. 20 오후 4:00:00</t>
  </si>
  <si>
    <t>2012. 11. 20 오후 3:30:00</t>
  </si>
  <si>
    <t>2012. 11. 21 오후 4:00:00</t>
  </si>
  <si>
    <t>2012. 11. 21 오후 3:30:00</t>
  </si>
  <si>
    <t>2012. 11. 22 오후 4:00:00</t>
  </si>
  <si>
    <t>2012. 11. 22 오후 3:30:00</t>
  </si>
  <si>
    <t>2012. 11. 23 오후 4:00:00</t>
  </si>
  <si>
    <t>2012. 11. 23 오후 3:30:00</t>
  </si>
  <si>
    <t>2012. 11. 24 오후 4:00:00</t>
  </si>
  <si>
    <t>2012. 11. 24 오후 3:30:00</t>
  </si>
  <si>
    <t>2012. 11. 25 오후 4:00:00</t>
  </si>
  <si>
    <t>2012. 11. 25 오후 3:30:00</t>
  </si>
  <si>
    <t>2012. 11. 26 오후 4:00:00</t>
  </si>
  <si>
    <t>2012. 11. 26 오후 3:30:00</t>
  </si>
  <si>
    <t>2012. 11. 27 오후 4:00:00</t>
  </si>
  <si>
    <t>2012. 11. 27 오후 3:30:00</t>
  </si>
  <si>
    <t>2012. 11. 28 오후 4:00:00</t>
  </si>
  <si>
    <t>2012. 11. 28 오후 3:30:00</t>
  </si>
  <si>
    <t>2012. 11. 29 오후 4:00:00</t>
  </si>
  <si>
    <t>2012. 11. 29 오후 3:30:00</t>
  </si>
  <si>
    <t>2012. 11. 30 오후 4:00:00</t>
  </si>
  <si>
    <t>2012. 11. 30 오후 3:30:00</t>
  </si>
  <si>
    <t>2012. 12. 1 오후 4:00:00</t>
  </si>
  <si>
    <t>2012. 12. 1 오후 3:30:00</t>
  </si>
  <si>
    <t>2012. 12. 2 오후 4:00:00</t>
  </si>
  <si>
    <t>2012. 12. 2 오후 3:30:00</t>
  </si>
  <si>
    <t>2012. 12. 3 오후 4:00:00</t>
  </si>
  <si>
    <t>2012. 12. 3 오후 3:30:00</t>
  </si>
  <si>
    <t>2012. 12. 4 오후 4:00:00</t>
  </si>
  <si>
    <t>2012. 12. 4 오후 3:30:00</t>
  </si>
  <si>
    <t>2012. 12. 5 오후 4:00:00</t>
  </si>
  <si>
    <t>2012. 12. 5 오후 3:30:00</t>
  </si>
  <si>
    <t>2012. 12. 6 오후 4:00:00</t>
  </si>
  <si>
    <t>2012. 12. 6 오후 3:30:00</t>
  </si>
  <si>
    <t>2012. 12. 7 오후 4:00:00</t>
  </si>
  <si>
    <t>2012. 12. 7 오후 3:30:00</t>
  </si>
  <si>
    <t>2012. 12. 8 오후 4:00:00</t>
  </si>
  <si>
    <t>2012. 12. 8 오후 3:30:00</t>
  </si>
  <si>
    <t>2012. 12. 9 오후 4:00:00</t>
  </si>
  <si>
    <t>2012. 12. 9 오후 3:30:00</t>
  </si>
  <si>
    <t>2012. 12. 10 오후 4:00:00</t>
  </si>
  <si>
    <t>2012. 12. 10 오후 3:30:00</t>
  </si>
  <si>
    <t>2012. 12. 11 오후 4:00:00</t>
  </si>
  <si>
    <t>2012. 12. 11 오후 3:30:00</t>
  </si>
  <si>
    <t>2012. 12. 12 오후 4:00:00</t>
  </si>
  <si>
    <t>2012. 12. 12 오후 3:30:00</t>
  </si>
  <si>
    <t>2012. 12. 13 오후 4:00:00</t>
  </si>
  <si>
    <t>2012. 12. 13 오후 3:30:00</t>
  </si>
  <si>
    <t>2012. 12. 14 오후 4:00:00</t>
  </si>
  <si>
    <t>2012. 12. 14 오후 3:30:00</t>
  </si>
  <si>
    <t>2012. 12. 15 오후 4:00:00</t>
  </si>
  <si>
    <t>2012. 12. 15 오후 3:30:00</t>
  </si>
  <si>
    <t>2012. 12. 16 오후 4:00:00</t>
  </si>
  <si>
    <t>2012. 12. 16 오후 3:30:00</t>
  </si>
  <si>
    <t>2012. 12. 17 오후 4:00:00</t>
  </si>
  <si>
    <t>2012. 12. 17 오후 3:30:00</t>
  </si>
  <si>
    <t>2012. 12. 18 오후 4:00:00</t>
  </si>
  <si>
    <t>2012. 12. 18 오후 3:30:00</t>
  </si>
  <si>
    <t>2012. 12. 19 오후 4:00:00</t>
  </si>
  <si>
    <t>2012. 12. 19 오후 3:30:00</t>
  </si>
  <si>
    <t>2012. 12. 20 오후 4:00:00</t>
  </si>
  <si>
    <t>2012. 12. 20 오후 3:30:00</t>
  </si>
  <si>
    <t>2012. 12. 21 오후 4:00:00</t>
  </si>
  <si>
    <t>2012. 12. 21 오후 3:30:00</t>
  </si>
  <si>
    <t>2012. 12. 22 오후 4:00:00</t>
  </si>
  <si>
    <t>2012. 12. 22 오후 3:30:00</t>
  </si>
  <si>
    <t>2012. 12. 23 오후 4:00:00</t>
  </si>
  <si>
    <t>2012. 12. 23 오후 3:30:00</t>
  </si>
  <si>
    <t>2012. 12. 24 오후 4:00:00</t>
  </si>
  <si>
    <t>2012. 12. 24 오후 3:30:00</t>
  </si>
  <si>
    <t>2012. 12. 25 오후 4:00:00</t>
  </si>
  <si>
    <t>2012. 12. 25 오후 3:30:00</t>
  </si>
  <si>
    <t>2012. 12. 26 오후 4:00:00</t>
  </si>
  <si>
    <t>2012. 12. 26 오후 3:30:00</t>
  </si>
  <si>
    <t>2012. 12. 27 오후 4:00:00</t>
  </si>
  <si>
    <t>2012. 12. 27 오후 3:30:00</t>
  </si>
  <si>
    <t>2012. 12. 28 오후 4:00:00</t>
  </si>
  <si>
    <t>2012. 12. 28 오후 3:30:00</t>
  </si>
  <si>
    <t>2012. 12. 29 오후 4:00:00</t>
  </si>
  <si>
    <t>2012. 12. 29 오후 3:30:00</t>
  </si>
  <si>
    <t>2012. 12. 30 오후 4:00:00</t>
  </si>
  <si>
    <t>2012. 12. 30 오후 3:30:00</t>
  </si>
  <si>
    <t>2012. 12. 31 오후 4:00:00</t>
  </si>
  <si>
    <t>2012. 12. 31 오후 3:30:00</t>
  </si>
  <si>
    <t>2013. 1. 1 오후 4:00:00</t>
  </si>
  <si>
    <t>2013. 1. 1 오후 3:30:00</t>
  </si>
  <si>
    <t>2013. 1. 2 오후 4:00:00</t>
  </si>
  <si>
    <t>2013. 1. 2 오후 3:30:00</t>
  </si>
  <si>
    <t>2013. 1. 3 오후 4:00:00</t>
  </si>
  <si>
    <t>2013. 1. 3 오후 3:30:00</t>
  </si>
  <si>
    <t>2013. 1. 4 오후 4:00:00</t>
  </si>
  <si>
    <t>2013. 1. 4 오후 3:30:00</t>
  </si>
  <si>
    <t>2013. 1. 5 오후 4:00:00</t>
  </si>
  <si>
    <t>2013. 1. 5 오후 3:30:00</t>
  </si>
  <si>
    <t>2013. 1. 6 오후 4:00:00</t>
  </si>
  <si>
    <t>2013. 1. 6 오후 3:30:00</t>
  </si>
  <si>
    <t>2013. 1. 7 오후 4:00:00</t>
  </si>
  <si>
    <t>2013. 1. 7 오후 3:30:00</t>
  </si>
  <si>
    <t>2013. 1. 8 오후 4:00:00</t>
  </si>
  <si>
    <t>2013. 1. 8 오후 3:30:00</t>
  </si>
  <si>
    <t>2013. 1. 9 오후 4:00:00</t>
  </si>
  <si>
    <t>2013. 1. 9 오후 3:30:00</t>
  </si>
  <si>
    <t>2013. 1. 10 오후 4:00:00</t>
  </si>
  <si>
    <t>2013. 1. 10 오후 3:30:00</t>
  </si>
  <si>
    <t>2013. 1. 11 오후 4:00:00</t>
  </si>
  <si>
    <t>2013. 1. 11 오후 3:30:00</t>
  </si>
  <si>
    <t>2013. 1. 12 오후 4:00:00</t>
  </si>
  <si>
    <t>2013. 1. 12 오후 3:30:00</t>
  </si>
  <si>
    <t>2013. 1. 13 오후 4:00:00</t>
  </si>
  <si>
    <t>2013. 1. 13 오후 3:30:00</t>
  </si>
  <si>
    <t>2013. 1. 14 오후 4:00:00</t>
  </si>
  <si>
    <t>2013. 1. 14 오후 3:30:00</t>
  </si>
  <si>
    <t>2013. 1. 15 오후 4:00:00</t>
  </si>
  <si>
    <t>2013. 1. 15 오후 3:30:00</t>
  </si>
  <si>
    <t>2013. 1. 16 오후 4:00:00</t>
  </si>
  <si>
    <t>2013. 1. 16 오후 3:30:00</t>
  </si>
  <si>
    <t>2013. 1. 17 오후 4:00:00</t>
  </si>
  <si>
    <t>2013. 1. 17 오후 3:30:00</t>
  </si>
  <si>
    <t>2013. 1. 18 오후 4:00:00</t>
  </si>
  <si>
    <t>2013. 1. 18 오후 3:30:00</t>
  </si>
  <si>
    <t>2013. 1. 19 오후 4:00:00</t>
  </si>
  <si>
    <t>2013. 1. 19 오후 3:30:00</t>
  </si>
  <si>
    <t>2013. 1. 20 오후 4:00:00</t>
  </si>
  <si>
    <t>2013. 1. 20 오후 3:30:00</t>
  </si>
  <si>
    <t>2013. 1. 21 오후 4:00:00</t>
  </si>
  <si>
    <t>2013. 1. 21 오후 3:30:00</t>
  </si>
  <si>
    <t>2013. 1. 22 오후 4:00:00</t>
  </si>
  <si>
    <t>2013. 1. 22 오후 3:30:00</t>
  </si>
  <si>
    <t>2013. 1. 23 오후 4:00:00</t>
  </si>
  <si>
    <t>2013. 1. 23 오후 3:30:00</t>
  </si>
  <si>
    <t>2013. 1. 24 오후 4:00:00</t>
  </si>
  <si>
    <t>2013. 1. 24 오후 3:30:00</t>
  </si>
  <si>
    <t>2013. 1. 25 오후 4:00:00</t>
  </si>
  <si>
    <t>2013. 1. 25 오후 3:30:00</t>
  </si>
  <si>
    <t>2013. 1. 26 오후 4:00:00</t>
  </si>
  <si>
    <t>2013. 1. 26 오후 3:30:00</t>
  </si>
  <si>
    <t>2013. 1. 27 오후 4:00:00</t>
  </si>
  <si>
    <t>2013. 1. 27 오후 3:30:00</t>
  </si>
  <si>
    <t>2013. 1. 28 오후 4:00:00</t>
  </si>
  <si>
    <t>2013. 1. 28 오후 3:30:00</t>
  </si>
  <si>
    <t>2013. 1. 29 오후 4:00:00</t>
  </si>
  <si>
    <t>2013. 1. 29 오후 3:30:00</t>
  </si>
  <si>
    <t>2013. 1. 30 오후 4:00:00</t>
  </si>
  <si>
    <t>2013. 1. 30 오후 3:30:00</t>
  </si>
  <si>
    <t>2013. 1. 31 오후 4:00:00</t>
  </si>
  <si>
    <t>2013. 1. 31 오후 3:30:00</t>
  </si>
  <si>
    <t>2013. 2. 1 오후 4:00:00</t>
  </si>
  <si>
    <t>2013. 2. 1 오후 3:30:00</t>
  </si>
  <si>
    <t>2013. 2. 2 오후 4:00:00</t>
  </si>
  <si>
    <t>2013. 2. 2 오후 3:30:00</t>
  </si>
  <si>
    <t>2013. 2. 3 오후 4:00:00</t>
  </si>
  <si>
    <t>2013. 2. 3 오후 3:30:00</t>
  </si>
  <si>
    <t>2013. 2. 4 오후 4:00:00</t>
  </si>
  <si>
    <t>2013. 2. 4 오후 3:30:00</t>
  </si>
  <si>
    <t>2013. 2. 5 오후 4:00:00</t>
  </si>
  <si>
    <t>2013. 2. 5 오후 3:30:00</t>
  </si>
  <si>
    <t>2013. 2. 6 오후 4:00:00</t>
  </si>
  <si>
    <t>2013. 2. 6 오후 3:30:00</t>
  </si>
  <si>
    <t>2013. 2. 7 오후 4:00:00</t>
  </si>
  <si>
    <t>2013. 2. 7 오후 3:30:00</t>
  </si>
  <si>
    <t>2013. 2. 8 오후 4:00:00</t>
  </si>
  <si>
    <t>2013. 2. 8 오후 3:30:00</t>
  </si>
  <si>
    <t>2013. 2. 9 오후 4:00:00</t>
  </si>
  <si>
    <t>2013. 2. 9 오후 3:30:00</t>
  </si>
  <si>
    <t>2013. 2. 10 오후 4:00:00</t>
  </si>
  <si>
    <t>2013. 2. 10 오후 3:30:00</t>
  </si>
  <si>
    <t>2013. 2. 11 오후 4:00:00</t>
  </si>
  <si>
    <t>2013. 2. 11 오후 3:30:00</t>
  </si>
  <si>
    <t>2013. 2. 12 오후 4:00:00</t>
  </si>
  <si>
    <t>2013. 2. 12 오후 3:30:00</t>
  </si>
  <si>
    <t>2013. 2. 13 오후 4:00:00</t>
  </si>
  <si>
    <t>2013. 2. 13 오후 3:30:00</t>
  </si>
  <si>
    <t>2013. 2. 14 오후 4:00:00</t>
  </si>
  <si>
    <t>2013. 2. 14 오후 3:30:00</t>
  </si>
  <si>
    <t>2013. 2. 15 오후 4:00:00</t>
  </si>
  <si>
    <t>2013. 2. 15 오후 3:30:00</t>
  </si>
  <si>
    <t>2013. 2. 16 오후 4:00:00</t>
  </si>
  <si>
    <t>2013. 2. 16 오후 3:30:00</t>
  </si>
  <si>
    <t>2013. 2. 17 오후 4:00:00</t>
  </si>
  <si>
    <t>2013. 2. 17 오후 3:30:00</t>
  </si>
  <si>
    <t>2013. 2. 18 오후 4:00:00</t>
  </si>
  <si>
    <t>2013. 2. 18 오후 3:30:00</t>
  </si>
  <si>
    <t>2013. 2. 19 오후 4:00:00</t>
  </si>
  <si>
    <t>2013. 2. 19 오후 3:30:00</t>
  </si>
  <si>
    <t>2013. 2. 20 오후 4:00:00</t>
  </si>
  <si>
    <t>2013. 2. 20 오후 3:30:00</t>
  </si>
  <si>
    <t>2013. 2. 21 오후 4:00:00</t>
  </si>
  <si>
    <t>2013. 2. 21 오후 3:30:00</t>
  </si>
  <si>
    <t>2013. 2. 22 오후 4:00:00</t>
  </si>
  <si>
    <t>2013. 2. 22 오후 3:30:00</t>
  </si>
  <si>
    <t>2013. 2. 23 오후 4:00:00</t>
  </si>
  <si>
    <t>2013. 2. 23 오후 3:30:00</t>
  </si>
  <si>
    <t>2013. 2. 24 오후 4:00:00</t>
  </si>
  <si>
    <t>2013. 2. 24 오후 3:30:00</t>
  </si>
  <si>
    <t>2013. 2. 25 오후 4:00:00</t>
  </si>
  <si>
    <t>2013. 2. 25 오후 3:30:00</t>
  </si>
  <si>
    <t>2013. 2. 26 오후 4:00:00</t>
  </si>
  <si>
    <t>2013. 2. 26 오후 3:30:00</t>
  </si>
  <si>
    <t>2013. 2. 27 오후 4:00:00</t>
  </si>
  <si>
    <t>2013. 2. 27 오후 3:30:00</t>
  </si>
  <si>
    <t>2013. 2. 28 오후 4:00:00</t>
  </si>
  <si>
    <t>2013. 2. 28 오후 3:30:00</t>
  </si>
  <si>
    <t>2013. 3. 1 오후 4:00:00</t>
  </si>
  <si>
    <t>2013. 3. 1 오후 3:30:00</t>
  </si>
  <si>
    <t>2013. 3. 2 오후 4:00:00</t>
  </si>
  <si>
    <t>2013. 3. 2 오후 3:30:00</t>
  </si>
  <si>
    <t>2013. 3. 3 오후 4:00:00</t>
  </si>
  <si>
    <t>2013. 3. 3 오후 3:30:00</t>
  </si>
  <si>
    <t>2013. 3. 4 오후 4:00:00</t>
  </si>
  <si>
    <t>2013. 3. 4 오후 3:30:00</t>
  </si>
  <si>
    <t>2013. 3. 5 오후 4:00:00</t>
  </si>
  <si>
    <t>2013. 3. 5 오후 3:30:00</t>
  </si>
  <si>
    <t>2013. 3. 6 오후 4:00:00</t>
  </si>
  <si>
    <t>2013. 3. 6 오후 3:30:00</t>
  </si>
  <si>
    <t>2013. 3. 7 오후 4:00:00</t>
  </si>
  <si>
    <t>2013. 3. 7 오후 3:30:00</t>
  </si>
  <si>
    <t>2013. 3. 8 오후 4:00:00</t>
  </si>
  <si>
    <t>2013. 3. 8 오후 3:30:00</t>
  </si>
  <si>
    <t>2013. 3. 9 오후 4:00:00</t>
  </si>
  <si>
    <t>2013. 3. 9 오후 3:30:00</t>
  </si>
  <si>
    <t>2013. 3. 10 오후 4:00:00</t>
  </si>
  <si>
    <t>2013. 3. 10 오후 3:30:00</t>
  </si>
  <si>
    <t>2013. 3. 11 오후 4:00:00</t>
  </si>
  <si>
    <t>2013. 3. 11 오후 3:30:00</t>
  </si>
  <si>
    <t>2013. 3. 12 오후 4:00:00</t>
  </si>
  <si>
    <t>2013. 3. 12 오후 3:30:00</t>
  </si>
  <si>
    <t>2013. 3. 13 오후 4:00:00</t>
  </si>
  <si>
    <t>2013. 3. 13 오후 3:30:00</t>
  </si>
  <si>
    <t>2013. 3. 14 오후 4:00:00</t>
  </si>
  <si>
    <t>2013. 3. 14 오후 3:30:00</t>
  </si>
  <si>
    <t>2013. 3. 15 오후 4:00:00</t>
  </si>
  <si>
    <t>2013. 3. 15 오후 3:30:00</t>
  </si>
  <si>
    <t>2013. 3. 16 오후 4:00:00</t>
  </si>
  <si>
    <t>2013. 3. 16 오후 3:30:00</t>
  </si>
  <si>
    <t>2013. 3. 17 오후 4:00:00</t>
  </si>
  <si>
    <t>2013. 3. 17 오후 3:30:00</t>
  </si>
  <si>
    <t>2013. 3. 18 오후 4:00:00</t>
  </si>
  <si>
    <t>2013. 3. 18 오후 3:30:00</t>
  </si>
  <si>
    <t>2013. 3. 19 오후 4:00:00</t>
  </si>
  <si>
    <t>2013. 3. 19 오후 3:30:00</t>
  </si>
  <si>
    <t>2013. 3. 20 오후 4:00:00</t>
  </si>
  <si>
    <t>2013. 3. 20 오후 3:30:00</t>
  </si>
  <si>
    <t>2013. 3. 21 오후 4:00:00</t>
  </si>
  <si>
    <t>2013. 3. 21 오후 3:30:00</t>
  </si>
  <si>
    <t>2013. 3. 22 오후 4:00:00</t>
  </si>
  <si>
    <t>2013. 3. 22 오후 3:30:00</t>
  </si>
  <si>
    <t>2013. 3. 23 오후 4:00:00</t>
  </si>
  <si>
    <t>2013. 3. 23 오후 3:30:00</t>
  </si>
  <si>
    <t>2013. 3. 24 오후 4:00:00</t>
  </si>
  <si>
    <t>2013. 3. 24 오후 3:30:00</t>
  </si>
  <si>
    <t>2013. 3. 25 오후 4:00:00</t>
  </si>
  <si>
    <t>2013. 3. 25 오후 3:30:00</t>
  </si>
  <si>
    <t>2013. 3. 26 오후 4:00:00</t>
  </si>
  <si>
    <t>2013. 3. 26 오후 3:30:00</t>
  </si>
  <si>
    <t>2013. 3. 27 오후 4:00:00</t>
  </si>
  <si>
    <t>2013. 3. 27 오후 3:30:00</t>
  </si>
  <si>
    <t>2013. 3. 28 오후 4:00:00</t>
  </si>
  <si>
    <t>2013. 3. 28 오후 3:30:00</t>
  </si>
  <si>
    <t>2013. 3. 29 오후 4:00:00</t>
  </si>
  <si>
    <t>2013. 3. 29 오후 3:30:00</t>
  </si>
  <si>
    <t>2013. 3. 30 오후 4:00:00</t>
  </si>
  <si>
    <t>2013. 3. 30 오후 3:30:00</t>
  </si>
  <si>
    <t>2013. 3. 31 오후 4:00:00</t>
  </si>
  <si>
    <t>2013. 3. 31 오후 3:30:00</t>
  </si>
  <si>
    <t>2013. 4. 1 오후 4:00:00</t>
  </si>
  <si>
    <t>2013. 4. 1 오후 3:30:00</t>
  </si>
  <si>
    <t>2013. 4. 2 오후 4:00:00</t>
  </si>
  <si>
    <t>2013. 4. 2 오후 3:30:00</t>
  </si>
  <si>
    <t>2013. 4. 3 오후 4:00:00</t>
  </si>
  <si>
    <t>2013. 4. 3 오후 3:30:00</t>
  </si>
  <si>
    <t>2013. 4. 4 오후 4:00:00</t>
  </si>
  <si>
    <t>2013. 4. 4 오후 3:30:00</t>
  </si>
  <si>
    <t>2013. 4. 5 오후 4:00:00</t>
  </si>
  <si>
    <t>2013. 4. 5 오후 3:30:00</t>
  </si>
  <si>
    <t>2013. 4. 6 오후 4:00:00</t>
  </si>
  <si>
    <t>2013. 4. 6 오후 3:30:00</t>
  </si>
  <si>
    <t>2013. 4. 7 오후 4:00:00</t>
  </si>
  <si>
    <t>2013. 4. 7 오후 3:30:00</t>
  </si>
  <si>
    <t>2013. 4. 8 오후 4:00:00</t>
  </si>
  <si>
    <t>2013. 4. 8 오후 3:30:00</t>
  </si>
  <si>
    <t>2013. 4. 9 오후 4:00:00</t>
  </si>
  <si>
    <t>2013. 4. 9 오후 3:30:00</t>
  </si>
  <si>
    <t>2013. 4. 10 오후 4:00:00</t>
  </si>
  <si>
    <t>2013. 4. 10 오후 3:30:00</t>
  </si>
  <si>
    <t>2013. 4. 11 오후 4:00:00</t>
  </si>
  <si>
    <t>2013. 4. 11 오후 3:30:00</t>
  </si>
  <si>
    <t>2013. 4. 12 오후 4:00:00</t>
  </si>
  <si>
    <t>2013. 4. 12 오후 3:30:00</t>
  </si>
  <si>
    <t>2013. 4. 13 오후 4:00:00</t>
  </si>
  <si>
    <t>2013. 4. 13 오후 3:30:00</t>
  </si>
  <si>
    <t>2013. 4. 14 오후 4:00:00</t>
  </si>
  <si>
    <t>2013. 4. 14 오후 3:30:00</t>
  </si>
  <si>
    <t>2013. 4. 15 오후 4:00:00</t>
  </si>
  <si>
    <t>2013. 4. 15 오후 3:30:00</t>
  </si>
  <si>
    <t>2013. 4. 16 오후 4:00:00</t>
  </si>
  <si>
    <t>2013. 4. 16 오후 3:30:00</t>
  </si>
  <si>
    <t>2013. 4. 17 오후 4:00:00</t>
  </si>
  <si>
    <t>2013. 4. 17 오후 3:30:00</t>
  </si>
  <si>
    <t>2013. 4. 18 오후 4:00:00</t>
  </si>
  <si>
    <t>2013. 4. 18 오후 3:30:00</t>
  </si>
  <si>
    <t>2013. 4. 19 오후 4:00:00</t>
  </si>
  <si>
    <t>2013. 4. 19 오후 3:30:00</t>
  </si>
  <si>
    <t>2013. 4. 20 오후 4:00:00</t>
  </si>
  <si>
    <t>2013. 4. 20 오후 3:30:00</t>
  </si>
  <si>
    <t>2013. 4. 21 오후 4:00:00</t>
  </si>
  <si>
    <t>2013. 4. 21 오후 3:30:00</t>
  </si>
  <si>
    <t>2013. 4. 22 오후 4:00:00</t>
  </si>
  <si>
    <t>2013. 4. 22 오후 3:30:00</t>
  </si>
  <si>
    <t>2013. 4. 23 오후 4:00:00</t>
  </si>
  <si>
    <t>2013. 4. 23 오후 3:30:00</t>
  </si>
  <si>
    <t>2013. 4. 24 오후 4:00:00</t>
  </si>
  <si>
    <t>2013. 4. 24 오후 3:30:00</t>
  </si>
  <si>
    <t>2013. 4. 25 오후 4:00:00</t>
  </si>
  <si>
    <t>2013. 4. 25 오후 3:30:00</t>
  </si>
  <si>
    <t>2013. 4. 26 오후 4:00:00</t>
  </si>
  <si>
    <t>2013. 4. 26 오후 3:30:00</t>
  </si>
  <si>
    <t>2013. 4. 27 오후 4:00:00</t>
  </si>
  <si>
    <t>2013. 4. 27 오후 3:30:00</t>
  </si>
  <si>
    <t>2013. 4. 28 오후 4:00:00</t>
  </si>
  <si>
    <t>2013. 4. 28 오후 3:30:00</t>
  </si>
  <si>
    <t>2013. 4. 29 오후 4:00:00</t>
  </si>
  <si>
    <t>2013. 4. 29 오후 3:30:00</t>
  </si>
  <si>
    <t>2013. 4. 30 오후 4:00:00</t>
  </si>
  <si>
    <t>2013. 4. 30 오후 3:30:00</t>
  </si>
  <si>
    <t>2013. 5. 1 오후 4:00:00</t>
  </si>
  <si>
    <t>2013. 5. 1 오후 3:30:00</t>
  </si>
  <si>
    <t>2013. 5. 2 오후 4:00:00</t>
  </si>
  <si>
    <t>2013. 5. 2 오후 3:30:00</t>
  </si>
  <si>
    <t>2013. 5. 3 오후 4:00:00</t>
  </si>
  <si>
    <t>2013. 5. 3 오후 3:30:00</t>
  </si>
  <si>
    <t>2013. 5. 4 오후 4:00:00</t>
  </si>
  <si>
    <t>2013. 5. 4 오후 3:30:00</t>
  </si>
  <si>
    <t>2013. 5. 5 오후 4:00:00</t>
  </si>
  <si>
    <t>2013. 5. 5 오후 3:30:00</t>
  </si>
  <si>
    <t>2013. 5. 6 오후 4:00:00</t>
  </si>
  <si>
    <t>2013. 5. 6 오후 3:30:00</t>
  </si>
  <si>
    <t>2013. 5. 7 오후 4:00:00</t>
  </si>
  <si>
    <t>2013. 5. 7 오후 3:30:00</t>
  </si>
  <si>
    <t>2013. 5. 8 오후 4:00:00</t>
  </si>
  <si>
    <t>2013. 5. 8 오후 3:30:00</t>
  </si>
  <si>
    <t>2013. 5. 9 오후 4:00:00</t>
  </si>
  <si>
    <t>2013. 5. 9 오후 3:30:00</t>
  </si>
  <si>
    <t>2013. 5. 10 오후 4:00:00</t>
  </si>
  <si>
    <t>2013. 5. 10 오후 3:30:00</t>
  </si>
  <si>
    <t>2013. 5. 11 오후 4:00:00</t>
  </si>
  <si>
    <t>2013. 5. 11 오후 3:30:00</t>
  </si>
  <si>
    <t>2013. 5. 12 오후 4:00:00</t>
  </si>
  <si>
    <t>2013. 5. 12 오후 3:30:00</t>
  </si>
  <si>
    <t>2013. 5. 13 오후 4:00:00</t>
  </si>
  <si>
    <t>2013. 5. 13 오후 3:30:00</t>
  </si>
  <si>
    <t>2013. 5. 14 오후 4:00:00</t>
  </si>
  <si>
    <t>2013. 5. 14 오후 3:30:00</t>
  </si>
  <si>
    <t>2013. 5. 15 오후 4:00:00</t>
  </si>
  <si>
    <t>2013. 5. 15 오후 3:30:00</t>
  </si>
  <si>
    <t>2013. 5. 16 오후 4:00:00</t>
  </si>
  <si>
    <t>2013. 5. 16 오후 3:30:00</t>
  </si>
  <si>
    <t>2013. 5. 17 오후 4:00:00</t>
  </si>
  <si>
    <t>2013. 5. 17 오후 3:30:00</t>
  </si>
  <si>
    <t>2013. 5. 18 오후 4:00:00</t>
  </si>
  <si>
    <t>2013. 5. 18 오후 3:30:00</t>
  </si>
  <si>
    <t>2013. 5. 19 오후 4:00:00</t>
  </si>
  <si>
    <t>2013. 5. 19 오후 3:30:00</t>
  </si>
  <si>
    <t>2013. 5. 20 오후 4:00:00</t>
  </si>
  <si>
    <t>2013. 5. 20 오후 3:30:00</t>
  </si>
  <si>
    <t>2013. 5. 21 오후 4:00:00</t>
  </si>
  <si>
    <t>2013. 5. 21 오후 3:30:00</t>
  </si>
  <si>
    <t>2013. 5. 22 오후 4:00:00</t>
  </si>
  <si>
    <t>2013. 5. 22 오후 3:30:00</t>
  </si>
  <si>
    <t>2013. 5. 23 오후 4:00:00</t>
  </si>
  <si>
    <t>2013. 5. 23 오후 3:30:00</t>
  </si>
  <si>
    <t>2013. 5. 24 오후 4:00:00</t>
  </si>
  <si>
    <t>2013. 5. 24 오후 3:30:00</t>
  </si>
  <si>
    <t>2013. 5. 25 오후 4:00:00</t>
  </si>
  <si>
    <t>2013. 5. 25 오후 3:30:00</t>
  </si>
  <si>
    <t>2013. 5. 26 오후 4:00:00</t>
  </si>
  <si>
    <t>2013. 5. 26 오후 3:30:00</t>
  </si>
  <si>
    <t>2013. 5. 27 오후 4:00:00</t>
  </si>
  <si>
    <t>2013. 5. 27 오후 3:30:00</t>
  </si>
  <si>
    <t>2013. 5. 28 오후 4:00:00</t>
  </si>
  <si>
    <t>2013. 5. 28 오후 3:30:00</t>
  </si>
  <si>
    <t>2013. 5. 29 오후 4:00:00</t>
  </si>
  <si>
    <t>2013. 5. 29 오후 3:30:00</t>
  </si>
  <si>
    <t>2013. 5. 30 오후 4:00:00</t>
  </si>
  <si>
    <t>2013. 5. 30 오후 3:30:00</t>
  </si>
  <si>
    <t>2013. 5. 31 오후 4:00:00</t>
  </si>
  <si>
    <t>2013. 5. 31 오후 3:30:00</t>
  </si>
  <si>
    <t>2013. 6. 1 오후 4:00:00</t>
  </si>
  <si>
    <t>2013. 6. 1 오후 3:30:00</t>
  </si>
  <si>
    <t>2013. 6. 2 오후 4:00:00</t>
  </si>
  <si>
    <t>2013. 6. 2 오후 3:30:00</t>
  </si>
  <si>
    <t>2013. 6. 3 오후 4:00:00</t>
  </si>
  <si>
    <t>2013. 6. 3 오후 3:30:00</t>
  </si>
  <si>
    <t>2013. 6. 4 오후 4:00:00</t>
  </si>
  <si>
    <t>2013. 6. 4 오후 3:30:00</t>
  </si>
  <si>
    <t>2013. 6. 5 오후 4:00:00</t>
  </si>
  <si>
    <t>2013. 6. 5 오후 3:30:00</t>
  </si>
  <si>
    <t>2013. 6. 6 오후 4:00:00</t>
  </si>
  <si>
    <t>2013. 6. 6 오후 3:30:00</t>
  </si>
  <si>
    <t>2013. 6. 7 오후 4:00:00</t>
  </si>
  <si>
    <t>2013. 6. 7 오후 3:30:00</t>
  </si>
  <si>
    <t>2013. 6. 8 오후 4:00:00</t>
  </si>
  <si>
    <t>2013. 6. 8 오후 3:30:00</t>
  </si>
  <si>
    <t>2013. 6. 9 오후 4:00:00</t>
  </si>
  <si>
    <t>2013. 6. 9 오후 3:30:00</t>
  </si>
  <si>
    <t>2013. 6. 10 오후 4:00:00</t>
  </si>
  <si>
    <t>2013. 6. 10 오후 3:30:00</t>
  </si>
  <si>
    <t>2013. 6. 11 오후 4:00:00</t>
  </si>
  <si>
    <t>2013. 6. 11 오후 3:30:00</t>
  </si>
  <si>
    <t>2013. 6. 12 오후 4:00:00</t>
  </si>
  <si>
    <t>2013. 6. 12 오후 3:30:00</t>
  </si>
  <si>
    <t>2013. 6. 13 오후 4:00:00</t>
  </si>
  <si>
    <t>2013. 6. 13 오후 3:30:00</t>
  </si>
  <si>
    <t>2013. 6. 14 오후 4:00:00</t>
  </si>
  <si>
    <t>2013. 6. 14 오후 3:30:00</t>
  </si>
  <si>
    <t>2013. 6. 15 오후 4:00:00</t>
  </si>
  <si>
    <t>2013. 6. 15 오후 3:30:00</t>
  </si>
  <si>
    <t>2013. 6. 16 오후 4:00:00</t>
  </si>
  <si>
    <t>2013. 6. 16 오후 3:30:00</t>
  </si>
  <si>
    <t>2013. 6. 17 오후 4:00:00</t>
  </si>
  <si>
    <t>2013. 6. 17 오후 3:30:00</t>
  </si>
  <si>
    <t>2013. 6. 18 오후 4:00:00</t>
  </si>
  <si>
    <t>2013. 6. 18 오후 3:30:00</t>
  </si>
  <si>
    <t>2013. 6. 19 오후 4:00:00</t>
  </si>
  <si>
    <t>2013. 6. 19 오후 3:30:00</t>
  </si>
  <si>
    <t>2013. 6. 20 오후 4:00:00</t>
  </si>
  <si>
    <t>2013. 6. 20 오후 3:30:00</t>
  </si>
  <si>
    <t>2013. 6. 21 오후 4:00:00</t>
  </si>
  <si>
    <t>2013. 6. 21 오후 3:30:00</t>
  </si>
  <si>
    <t>2013. 6. 22 오후 4:00:00</t>
  </si>
  <si>
    <t>2013. 6. 22 오후 3:30:00</t>
  </si>
  <si>
    <t>2013. 6. 23 오후 4:00:00</t>
  </si>
  <si>
    <t>2013. 6. 23 오후 3:30:00</t>
  </si>
  <si>
    <t>2013. 6. 24 오후 4:00:00</t>
  </si>
  <si>
    <t>2013. 6. 24 오후 3:30:00</t>
  </si>
  <si>
    <t>2013. 6. 25 오후 4:00:00</t>
  </si>
  <si>
    <t>2013. 6. 25 오후 3:30:00</t>
  </si>
  <si>
    <t>2013. 6. 26 오후 4:00:00</t>
  </si>
  <si>
    <t>2013. 6. 26 오후 3:30:00</t>
  </si>
  <si>
    <t>2013. 6. 27 오후 4:00:00</t>
  </si>
  <si>
    <t>2013. 6. 27 오후 3:30:00</t>
  </si>
  <si>
    <t>2013. 6. 28 오후 4:00:00</t>
  </si>
  <si>
    <t>2013. 6. 28 오후 3:30:00</t>
  </si>
  <si>
    <t>2013. 6. 29 오후 4:00:00</t>
  </si>
  <si>
    <t>2013. 6. 29 오후 3:30:00</t>
  </si>
  <si>
    <t>2013. 6. 30 오후 4:00:00</t>
  </si>
  <si>
    <t>2013. 6. 30 오후 3:30:00</t>
  </si>
  <si>
    <t>2013. 7. 1 오후 4:00:00</t>
  </si>
  <si>
    <t>2013. 7. 1 오후 3:30:00</t>
  </si>
  <si>
    <t>2013. 7. 2 오후 4:00:00</t>
  </si>
  <si>
    <t>2013. 7. 2 오후 3:30:00</t>
  </si>
  <si>
    <t>2013. 7. 3 오후 4:00:00</t>
  </si>
  <si>
    <t>2013. 7. 3 오후 3:30:00</t>
  </si>
  <si>
    <t>2013. 7. 4 오후 4:00:00</t>
  </si>
  <si>
    <t>2013. 7. 4 오후 3:30:00</t>
  </si>
  <si>
    <t>2013. 7. 5 오후 4:00:00</t>
  </si>
  <si>
    <t>2013. 7. 5 오후 3:30:00</t>
  </si>
  <si>
    <t>2013. 7. 6 오후 4:00:00</t>
  </si>
  <si>
    <t>2013. 7. 6 오후 3:30:00</t>
  </si>
  <si>
    <t>2013. 7. 7 오후 4:00:00</t>
  </si>
  <si>
    <t>2013. 7. 7 오후 3:30:00</t>
  </si>
  <si>
    <t>2013. 7. 8 오후 4:00:00</t>
  </si>
  <si>
    <t>2013. 7. 8 오후 3:30:00</t>
  </si>
  <si>
    <t>2013. 7. 9 오후 4:00:00</t>
  </si>
  <si>
    <t>2013. 7. 9 오후 3:30:00</t>
  </si>
  <si>
    <t>2013. 7. 10 오후 4:00:00</t>
  </si>
  <si>
    <t>2013. 7. 10 오후 3:30:00</t>
  </si>
  <si>
    <t>2013. 7. 11 오후 4:00:00</t>
  </si>
  <si>
    <t>2013. 7. 11 오후 3:30:00</t>
  </si>
  <si>
    <t>2013. 7. 12 오후 4:00:00</t>
  </si>
  <si>
    <t>2013. 7. 12 오후 3:30:00</t>
  </si>
  <si>
    <t>2013. 7. 13 오후 4:00:00</t>
  </si>
  <si>
    <t>2013. 7. 13 오후 3:30:00</t>
  </si>
  <si>
    <t>2013. 7. 14 오후 4:00:00</t>
  </si>
  <si>
    <t>2013. 7. 14 오후 3:30:00</t>
  </si>
  <si>
    <t>2013. 7. 15 오후 4:00:00</t>
  </si>
  <si>
    <t>2013. 7. 15 오후 3:30:00</t>
  </si>
  <si>
    <t>2013. 7. 16 오후 4:00:00</t>
  </si>
  <si>
    <t>2013. 7. 16 오후 3:30:00</t>
  </si>
  <si>
    <t>2013. 7. 17 오후 4:00:00</t>
  </si>
  <si>
    <t>2013. 7. 17 오후 3:30:00</t>
  </si>
  <si>
    <t>2013. 7. 18 오후 4:00:00</t>
  </si>
  <si>
    <t>2013. 7. 18 오후 3:30:00</t>
  </si>
  <si>
    <t>2013. 7. 19 오후 4:00:00</t>
  </si>
  <si>
    <t>2013. 7. 19 오후 3:30:00</t>
  </si>
  <si>
    <t>2013. 7. 20 오후 4:00:00</t>
  </si>
  <si>
    <t>2013. 7. 20 오후 3:30:00</t>
  </si>
  <si>
    <t>2013. 7. 21 오후 4:00:00</t>
  </si>
  <si>
    <t>2013. 7. 21 오후 3:30:00</t>
  </si>
  <si>
    <t>2013. 7. 22 오후 4:00:00</t>
  </si>
  <si>
    <t>2013. 7. 22 오후 3:30:00</t>
  </si>
  <si>
    <t>2013. 7. 23 오후 4:00:00</t>
  </si>
  <si>
    <t>2013. 7. 23 오후 3:30:00</t>
  </si>
  <si>
    <t>2013. 7. 24 오후 4:00:00</t>
  </si>
  <si>
    <t>2013. 7. 24 오후 3:30:00</t>
  </si>
  <si>
    <t>2013. 7. 25 오후 4:00:00</t>
  </si>
  <si>
    <t>2013. 7. 25 오후 3:30:00</t>
  </si>
  <si>
    <t>2013. 7. 26 오후 4:00:00</t>
  </si>
  <si>
    <t>2013. 7. 26 오후 3:30:00</t>
  </si>
  <si>
    <t>2013. 7. 27 오후 4:00:00</t>
  </si>
  <si>
    <t>2013. 7. 27 오후 3:30:00</t>
  </si>
  <si>
    <t>2013. 7. 28 오후 4:00:00</t>
  </si>
  <si>
    <t>2013. 7. 28 오후 3:30:00</t>
  </si>
  <si>
    <t>2013. 7. 29 오후 4:00:00</t>
  </si>
  <si>
    <t>2013. 7. 29 오후 3:30:00</t>
  </si>
  <si>
    <t>2013. 7. 30 오후 4:00:00</t>
  </si>
  <si>
    <t>2013. 7. 30 오후 3:30:00</t>
  </si>
  <si>
    <t>2013. 7. 31 오후 4:00:00</t>
  </si>
  <si>
    <t>2013. 7. 31 오후 3:30:00</t>
  </si>
  <si>
    <t>2013. 8. 1 오후 4:00:00</t>
  </si>
  <si>
    <t>2013. 8. 1 오후 3:30:00</t>
  </si>
  <si>
    <t>2013. 8. 2 오후 4:00:00</t>
  </si>
  <si>
    <t>2013. 8. 2 오후 3:30:00</t>
  </si>
  <si>
    <t>2013. 8. 3 오후 4:00:00</t>
  </si>
  <si>
    <t>2013. 8. 3 오후 3:30:00</t>
  </si>
  <si>
    <t>2013. 8. 4 오후 4:00:00</t>
  </si>
  <si>
    <t>2013. 8. 4 오후 3:30:00</t>
  </si>
  <si>
    <t>2013. 8. 5 오후 4:00:00</t>
  </si>
  <si>
    <t>2013. 8. 5 오후 3:30:00</t>
  </si>
  <si>
    <t>2013. 8. 6 오후 4:00:00</t>
  </si>
  <si>
    <t>2013. 8. 6 오후 3:30:00</t>
  </si>
  <si>
    <t>2013. 8. 7 오후 4:00:00</t>
  </si>
  <si>
    <t>2013. 8. 7 오후 3:30:00</t>
  </si>
  <si>
    <t>2013. 8. 8 오후 4:00:00</t>
  </si>
  <si>
    <t>2013. 8. 8 오후 3:30:00</t>
  </si>
  <si>
    <t>2013. 8. 9 오후 4:00:00</t>
  </si>
  <si>
    <t>2013. 8. 9 오후 3:30:00</t>
  </si>
  <si>
    <t>2013. 8. 10 오후 4:00:00</t>
  </si>
  <si>
    <t>2013. 8. 10 오후 3:30:00</t>
  </si>
  <si>
    <t>2013. 8. 11 오후 4:00:00</t>
  </si>
  <si>
    <t>2013. 8. 11 오후 3:30:00</t>
  </si>
  <si>
    <t>2013. 8. 12 오후 4:00:00</t>
  </si>
  <si>
    <t>2013. 8. 12 오후 3:30:00</t>
  </si>
  <si>
    <t>2013. 8. 13 오후 4:00:00</t>
  </si>
  <si>
    <t>2013. 8. 13 오후 3:30:00</t>
  </si>
  <si>
    <t>2013. 8. 14 오후 4:00:00</t>
  </si>
  <si>
    <t>2013. 8. 14 오후 3:30:00</t>
  </si>
  <si>
    <t>2013. 8. 15 오후 4:00:00</t>
  </si>
  <si>
    <t>2013. 8. 15 오후 3:30:00</t>
  </si>
  <si>
    <t>2013. 8. 16 오후 4:00:00</t>
  </si>
  <si>
    <t>2013. 8. 16 오후 3:30:00</t>
  </si>
  <si>
    <t>2013. 8. 17 오후 4:00:00</t>
  </si>
  <si>
    <t>2013. 8. 17 오후 3:30:00</t>
  </si>
  <si>
    <t>2013. 8. 18 오후 4:00:00</t>
  </si>
  <si>
    <t>2013. 8. 18 오후 3:30:00</t>
  </si>
  <si>
    <t>2013. 8. 19 오후 4:00:00</t>
  </si>
  <si>
    <t>2013. 8. 19 오후 3:30:00</t>
  </si>
  <si>
    <t>2013. 8. 20 오후 4:00:00</t>
  </si>
  <si>
    <t>2013. 8. 20 오후 3:30:00</t>
  </si>
  <si>
    <t>2013. 8. 21 오후 4:00:00</t>
  </si>
  <si>
    <t>2013. 8. 21 오후 3:30:00</t>
  </si>
  <si>
    <t>2013. 8. 22 오후 4:00:00</t>
  </si>
  <si>
    <t>2013. 8. 22 오후 3:30:00</t>
  </si>
  <si>
    <t>2013. 8. 23 오후 4:00:00</t>
  </si>
  <si>
    <t>2013. 8. 23 오후 3:30:00</t>
  </si>
  <si>
    <t>2013. 8. 24 오후 4:00:00</t>
  </si>
  <si>
    <t>2013. 8. 24 오후 3:30:00</t>
  </si>
  <si>
    <t>2013. 8. 25 오후 4:00:00</t>
  </si>
  <si>
    <t>2013. 8. 25 오후 3:30:00</t>
  </si>
  <si>
    <t>2013. 8. 26 오후 4:00:00</t>
  </si>
  <si>
    <t>2013. 8. 26 오후 3:30:00</t>
  </si>
  <si>
    <t>2013. 8. 27 오후 4:00:00</t>
  </si>
  <si>
    <t>2013. 8. 27 오후 3:30:00</t>
  </si>
  <si>
    <t>2013. 8. 28 오후 4:00:00</t>
  </si>
  <si>
    <t>2013. 8. 28 오후 3:30:00</t>
  </si>
  <si>
    <t>2013. 8. 29 오후 4:00:00</t>
  </si>
  <si>
    <t>2013. 8. 29 오후 3:30:00</t>
  </si>
  <si>
    <t>2013. 8. 30 오후 4:00:00</t>
  </si>
  <si>
    <t>2013. 8. 30 오후 3:30:00</t>
  </si>
  <si>
    <t>2013. 8. 31 오후 4:00:00</t>
  </si>
  <si>
    <t>2013. 8. 31 오후 3:30:00</t>
  </si>
  <si>
    <t>2013. 9. 1 오후 4:00:00</t>
  </si>
  <si>
    <t>2013. 9. 1 오후 3:30:00</t>
  </si>
  <si>
    <t>2013. 9. 2 오후 4:00:00</t>
  </si>
  <si>
    <t>2013. 9. 2 오후 3:30:00</t>
  </si>
  <si>
    <t>2013. 9. 3 오후 4:00:00</t>
  </si>
  <si>
    <t>2013. 9. 3 오후 3:30:00</t>
  </si>
  <si>
    <t>2013. 9. 4 오후 4:00:00</t>
  </si>
  <si>
    <t>2013. 9. 4 오후 3:30:00</t>
  </si>
  <si>
    <t>2013. 9. 5 오후 4:00:00</t>
  </si>
  <si>
    <t>2013. 9. 5 오후 3:30:00</t>
  </si>
  <si>
    <t>2013. 9. 6 오후 4:00:00</t>
  </si>
  <si>
    <t>2013. 9. 6 오후 3:30:00</t>
  </si>
  <si>
    <t>2013. 9. 7 오후 4:00:00</t>
  </si>
  <si>
    <t>2013. 9. 7 오후 3:30:00</t>
  </si>
  <si>
    <t>2013. 9. 8 오후 4:00:00</t>
  </si>
  <si>
    <t>2013. 9. 8 오후 3:30:00</t>
  </si>
  <si>
    <t>2013. 9. 9 오후 4:00:00</t>
  </si>
  <si>
    <t>2013. 9. 9 오후 3:30:00</t>
  </si>
  <si>
    <t>2013. 9. 10 오후 4:00:00</t>
  </si>
  <si>
    <t>2013. 9. 10 오후 3:30:00</t>
  </si>
  <si>
    <t>2013. 9. 11 오후 4:00:00</t>
  </si>
  <si>
    <t>2013. 9. 11 오후 3:30:00</t>
  </si>
  <si>
    <t>2013. 9. 12 오후 4:00:00</t>
  </si>
  <si>
    <t>2013. 9. 12 오후 3:30:00</t>
  </si>
  <si>
    <t>2013. 9. 13 오후 4:00:00</t>
  </si>
  <si>
    <t>2013. 9. 13 오후 3:30:00</t>
  </si>
  <si>
    <t>2013. 9. 14 오후 4:00:00</t>
  </si>
  <si>
    <t>2013. 9. 14 오후 3:30:00</t>
  </si>
  <si>
    <t>2013. 9. 15 오후 4:00:00</t>
  </si>
  <si>
    <t>2013. 9. 15 오후 3:30:00</t>
  </si>
  <si>
    <t>2013. 9. 16 오후 4:00:00</t>
  </si>
  <si>
    <t>2013. 9. 16 오후 3:30:00</t>
  </si>
  <si>
    <t>2013. 9. 17 오후 4:00:00</t>
  </si>
  <si>
    <t>2013. 9. 17 오후 3:30:00</t>
  </si>
  <si>
    <t>2013. 9. 18 오후 4:00:00</t>
  </si>
  <si>
    <t>2013. 9. 18 오후 3:30:00</t>
  </si>
  <si>
    <t>2013. 9. 19 오후 4:00:00</t>
  </si>
  <si>
    <t>2013. 9. 19 오후 3:30:00</t>
  </si>
  <si>
    <t>2013. 9. 20 오후 4:00:00</t>
  </si>
  <si>
    <t>2013. 9. 20 오후 3:30:00</t>
  </si>
  <si>
    <t>2013. 9. 21 오후 4:00:00</t>
  </si>
  <si>
    <t>2013. 9. 21 오후 3:30:00</t>
  </si>
  <si>
    <t>2013. 9. 22 오후 4:00:00</t>
  </si>
  <si>
    <t>2013. 9. 22 오후 3:30:00</t>
  </si>
  <si>
    <t>2013. 9. 23 오후 4:00:00</t>
  </si>
  <si>
    <t>2013. 9. 23 오후 3:30:00</t>
  </si>
  <si>
    <t>2013. 9. 24 오후 4:00:00</t>
  </si>
  <si>
    <t>2013. 9. 24 오후 3:30:00</t>
  </si>
  <si>
    <t>2013. 9. 25 오후 4:00:00</t>
  </si>
  <si>
    <t>2013. 9. 25 오후 3:30:00</t>
  </si>
  <si>
    <t>2013. 9. 26 오후 4:00:00</t>
  </si>
  <si>
    <t>2013. 9. 26 오후 3:30:00</t>
  </si>
  <si>
    <t>2013. 9. 27 오후 4:00:00</t>
  </si>
  <si>
    <t>2013. 9. 27 오후 3:30:00</t>
  </si>
  <si>
    <t>2013. 9. 28 오후 4:00:00</t>
  </si>
  <si>
    <t>2013. 9. 28 오후 3:30:00</t>
  </si>
  <si>
    <t>2013. 9. 29 오후 4:00:00</t>
  </si>
  <si>
    <t>2013. 9. 29 오후 3:30:00</t>
  </si>
  <si>
    <t>2013. 9. 30 오후 4:00:00</t>
  </si>
  <si>
    <t>2013. 9. 30 오후 3:30:00</t>
  </si>
  <si>
    <t>2013. 10. 1 오후 4:00:00</t>
  </si>
  <si>
    <t>2013. 10. 1 오후 3:30:00</t>
  </si>
  <si>
    <t>2013. 10. 2 오후 4:00:00</t>
  </si>
  <si>
    <t>2013. 10. 2 오후 3:30:00</t>
  </si>
  <si>
    <t>2013. 10. 3 오후 4:00:00</t>
  </si>
  <si>
    <t>2013. 10. 3 오후 3:30:00</t>
  </si>
  <si>
    <t>2013. 10. 4 오후 4:00:00</t>
  </si>
  <si>
    <t>2013. 10. 4 오후 3:30:00</t>
  </si>
  <si>
    <t>2013. 10. 5 오후 4:00:00</t>
  </si>
  <si>
    <t>2013. 10. 5 오후 3:30:00</t>
  </si>
  <si>
    <t>2013. 10. 6 오후 4:00:00</t>
  </si>
  <si>
    <t>2013. 10. 6 오후 3:30:00</t>
  </si>
  <si>
    <t>2013. 10. 7 오후 4:00:00</t>
  </si>
  <si>
    <t>2013. 10. 7 오후 3:30:00</t>
  </si>
  <si>
    <t>2013. 10. 8 오후 4:00:00</t>
  </si>
  <si>
    <t>2013. 10. 8 오후 3:30:00</t>
  </si>
  <si>
    <t>2013. 10. 9 오후 4:00:00</t>
  </si>
  <si>
    <t>2013. 10. 9 오후 3:30:00</t>
  </si>
  <si>
    <t>2013. 10. 10 오후 4:00:00</t>
  </si>
  <si>
    <t>2013. 10. 10 오후 3:30:00</t>
  </si>
  <si>
    <t>2013. 10. 11 오후 4:00:00</t>
  </si>
  <si>
    <t>2013. 10. 11 오후 3:30:00</t>
  </si>
  <si>
    <t>2013. 10. 12 오후 4:00:00</t>
  </si>
  <si>
    <t>2013. 10. 12 오후 3:30:00</t>
  </si>
  <si>
    <t>2013. 10. 13 오후 4:00:00</t>
  </si>
  <si>
    <t>2013. 10. 13 오후 3:30:00</t>
  </si>
  <si>
    <t>2013. 10. 14 오후 4:00:00</t>
  </si>
  <si>
    <t>2013. 10. 14 오후 3:30:00</t>
  </si>
  <si>
    <t>2013. 10. 15 오후 4:00:00</t>
  </si>
  <si>
    <t>2013. 10. 15 오후 3:30:00</t>
  </si>
  <si>
    <t>2013. 10. 16 오후 4:00:00</t>
  </si>
  <si>
    <t>2013. 10. 16 오후 3:30:00</t>
  </si>
  <si>
    <t>2013. 10. 17 오후 4:00:00</t>
  </si>
  <si>
    <t>2013. 10. 17 오후 3:30:00</t>
  </si>
  <si>
    <t>2013. 10. 18 오후 4:00:00</t>
  </si>
  <si>
    <t>2013. 10. 18 오후 3:30:00</t>
  </si>
  <si>
    <t>2013. 10. 19 오후 4:00:00</t>
  </si>
  <si>
    <t>2013. 10. 19 오후 3:30:00</t>
  </si>
  <si>
    <t>2013. 10. 20 오후 4:00:00</t>
  </si>
  <si>
    <t>2013. 10. 20 오후 3:30:00</t>
  </si>
  <si>
    <t>2013. 10. 21 오후 4:00:00</t>
  </si>
  <si>
    <t>2013. 10. 21 오후 3:30:00</t>
  </si>
  <si>
    <t>2013. 10. 22 오후 4:00:00</t>
  </si>
  <si>
    <t>2013. 10. 22 오후 3:30:00</t>
  </si>
  <si>
    <t>2013. 10. 23 오후 4:00:00</t>
  </si>
  <si>
    <t>2013. 10. 23 오후 3:30:00</t>
  </si>
  <si>
    <t>2013. 10. 24 오후 4:00:00</t>
  </si>
  <si>
    <t>2013. 10. 24 오후 3:30:00</t>
  </si>
  <si>
    <t>2013. 10. 25 오후 4:00:00</t>
  </si>
  <si>
    <t>2013. 10. 25 오후 3:30:00</t>
  </si>
  <si>
    <t>2013. 10. 26 오후 4:00:00</t>
  </si>
  <si>
    <t>2013. 10. 26 오후 3:30:00</t>
  </si>
  <si>
    <t>2013. 10. 27 오후 4:00:00</t>
  </si>
  <si>
    <t>2013. 10. 27 오후 3:30:00</t>
  </si>
  <si>
    <t>2013. 10. 28 오후 4:00:00</t>
  </si>
  <si>
    <t>2013. 10. 28 오후 3:30:00</t>
  </si>
  <si>
    <t>2013. 10. 29 오후 4:00:00</t>
  </si>
  <si>
    <t>2013. 10. 29 오후 3:30:00</t>
  </si>
  <si>
    <t>2013. 10. 30 오후 4:00:00</t>
  </si>
  <si>
    <t>2013. 10. 30 오후 3:30:00</t>
  </si>
  <si>
    <t>2013. 10. 31 오후 4:00:00</t>
  </si>
  <si>
    <t>2013. 10. 31 오후 3:30:00</t>
  </si>
  <si>
    <t>2013. 11. 1 오후 4:00:00</t>
  </si>
  <si>
    <t>2013. 11. 1 오후 3:30:00</t>
  </si>
  <si>
    <t>2013. 11. 2 오후 4:00:00</t>
  </si>
  <si>
    <t>2013. 11. 2 오후 3:30:00</t>
  </si>
  <si>
    <t>2013. 11. 3 오후 4:00:00</t>
  </si>
  <si>
    <t>2013. 11. 3 오후 3:30:00</t>
  </si>
  <si>
    <t>2013. 11. 4 오후 4:00:00</t>
  </si>
  <si>
    <t>2013. 11. 4 오후 3:30:00</t>
  </si>
  <si>
    <t>2013. 11. 5 오후 4:00:00</t>
  </si>
  <si>
    <t>2013. 11. 5 오후 3:30:00</t>
  </si>
  <si>
    <t>2013. 11. 6 오후 4:00:00</t>
  </si>
  <si>
    <t>2013. 11. 6 오후 3:30:00</t>
  </si>
  <si>
    <t>2013. 11. 7 오후 4:00:00</t>
  </si>
  <si>
    <t>2013. 11. 7 오후 3:30:00</t>
  </si>
  <si>
    <t>2013. 11. 8 오후 4:00:00</t>
  </si>
  <si>
    <t>2013. 11. 8 오후 3:30:00</t>
  </si>
  <si>
    <t>2013. 11. 9 오후 4:00:00</t>
  </si>
  <si>
    <t>2013. 11. 9 오후 3:30:00</t>
  </si>
  <si>
    <t>2013. 11. 10 오후 4:00:00</t>
  </si>
  <si>
    <t>2013. 11. 10 오후 3:30:00</t>
  </si>
  <si>
    <t>2013. 11. 11 오후 4:00:00</t>
  </si>
  <si>
    <t>2013. 11. 11 오후 3:30:00</t>
  </si>
  <si>
    <t>2013. 11. 12 오후 4:00:00</t>
  </si>
  <si>
    <t>2013. 11. 12 오후 3:30:00</t>
  </si>
  <si>
    <t>2013. 11. 13 오후 4:00:00</t>
  </si>
  <si>
    <t>2013. 11. 13 오후 3:30:00</t>
  </si>
  <si>
    <t>2013. 11. 14 오후 4:00:00</t>
  </si>
  <si>
    <t>2013. 11. 14 오후 3:30:00</t>
  </si>
  <si>
    <t>2013. 11. 15 오후 4:00:00</t>
  </si>
  <si>
    <t>2013. 11. 15 오후 3:30:00</t>
  </si>
  <si>
    <t>2013. 11. 16 오후 4:00:00</t>
  </si>
  <si>
    <t>2013. 11. 16 오후 3:30:00</t>
  </si>
  <si>
    <t>2013. 11. 17 오후 4:00:00</t>
  </si>
  <si>
    <t>2013. 11. 17 오후 3:30:00</t>
  </si>
  <si>
    <t>2013. 11. 18 오후 4:00:00</t>
  </si>
  <si>
    <t>2013. 11. 18 오후 3:30:00</t>
  </si>
  <si>
    <t>2013. 11. 19 오후 4:00:00</t>
  </si>
  <si>
    <t>2013. 11. 19 오후 3:30:00</t>
  </si>
  <si>
    <t>2013. 11. 20 오후 4:00:00</t>
  </si>
  <si>
    <t>2013. 11. 20 오후 3:30:00</t>
  </si>
  <si>
    <t>2013. 11. 21 오후 4:00:00</t>
  </si>
  <si>
    <t>2013. 11. 21 오후 3:30:00</t>
  </si>
  <si>
    <t>2013. 11. 22 오후 4:00:00</t>
  </si>
  <si>
    <t>2013. 11. 22 오후 3:30:00</t>
  </si>
  <si>
    <t>2013. 11. 23 오후 4:00:00</t>
  </si>
  <si>
    <t>2013. 11. 23 오후 3:30:00</t>
  </si>
  <si>
    <t>2013. 11. 24 오후 4:00:00</t>
  </si>
  <si>
    <t>2013. 11. 24 오후 3:30:00</t>
  </si>
  <si>
    <t>2013. 11. 25 오후 4:00:00</t>
  </si>
  <si>
    <t>2013. 11. 25 오후 3:30:00</t>
  </si>
  <si>
    <t>2013. 11. 26 오후 4:00:00</t>
  </si>
  <si>
    <t>2013. 11. 26 오후 3:30:00</t>
  </si>
  <si>
    <t>2013. 11. 27 오후 4:00:00</t>
  </si>
  <si>
    <t>2013. 11. 27 오후 3:30:00</t>
  </si>
  <si>
    <t>2013. 11. 28 오후 4:00:00</t>
  </si>
  <si>
    <t>2013. 11. 28 오후 3:30:00</t>
  </si>
  <si>
    <t>2013. 11. 29 오후 4:00:00</t>
  </si>
  <si>
    <t>2013. 11. 29 오후 3:30:00</t>
  </si>
  <si>
    <t>2013. 11. 30 오후 4:00:00</t>
  </si>
  <si>
    <t>2013. 11. 30 오후 3:30:00</t>
  </si>
  <si>
    <t>2013. 12. 1 오후 4:00:00</t>
  </si>
  <si>
    <t>2013. 12. 1 오후 3:30:00</t>
  </si>
  <si>
    <t>2013. 12. 2 오후 4:00:00</t>
  </si>
  <si>
    <t>2013. 12. 2 오후 3:30:00</t>
  </si>
  <si>
    <t>2013. 12. 3 오후 4:00:00</t>
  </si>
  <si>
    <t>2013. 12. 3 오후 3:30:00</t>
  </si>
  <si>
    <t>2013. 12. 4 오후 4:00:00</t>
  </si>
  <si>
    <t>2013. 12. 4 오후 3:30:00</t>
  </si>
  <si>
    <t>2013. 12. 5 오후 4:00:00</t>
  </si>
  <si>
    <t>2013. 12. 5 오후 3:30:00</t>
  </si>
  <si>
    <t>2013. 12. 6 오후 4:00:00</t>
  </si>
  <si>
    <t>2013. 12. 6 오후 3:30:00</t>
  </si>
  <si>
    <t>2013. 12. 7 오후 4:00:00</t>
  </si>
  <si>
    <t>2013. 12. 7 오후 3:30:00</t>
  </si>
  <si>
    <t>2013. 12. 8 오후 4:00:00</t>
  </si>
  <si>
    <t>2013. 12. 8 오후 3:30:00</t>
  </si>
  <si>
    <t>2013. 12. 9 오후 4:00:00</t>
  </si>
  <si>
    <t>2013. 12. 9 오후 3:30:00</t>
  </si>
  <si>
    <t>2013. 12. 10 오후 4:00:00</t>
  </si>
  <si>
    <t>2013. 12. 10 오후 3:30:00</t>
  </si>
  <si>
    <t>2013. 12. 11 오후 4:00:00</t>
  </si>
  <si>
    <t>2013. 12. 11 오후 3:30:00</t>
  </si>
  <si>
    <t>2013. 12. 12 오후 4:00:00</t>
  </si>
  <si>
    <t>2013. 12. 12 오후 3:30:00</t>
  </si>
  <si>
    <t>2013. 12. 13 오후 4:00:00</t>
  </si>
  <si>
    <t>2013. 12. 13 오후 3:30:00</t>
  </si>
  <si>
    <t>2013. 12. 14 오후 4:00:00</t>
  </si>
  <si>
    <t>2013. 12. 14 오후 3:30:00</t>
  </si>
  <si>
    <t>2013. 12. 15 오후 4:00:00</t>
  </si>
  <si>
    <t>2013. 12. 15 오후 3:30:00</t>
  </si>
  <si>
    <t>2013. 12. 16 오후 4:00:00</t>
  </si>
  <si>
    <t>2013. 12. 16 오후 3:30:00</t>
  </si>
  <si>
    <t>2013. 12. 17 오후 4:00:00</t>
  </si>
  <si>
    <t>2013. 12. 17 오후 3:30:00</t>
  </si>
  <si>
    <t>2013. 12. 18 오후 4:00:00</t>
  </si>
  <si>
    <t>2013. 12. 18 오후 3:30:00</t>
  </si>
  <si>
    <t>2013. 12. 19 오후 4:00:00</t>
  </si>
  <si>
    <t>2013. 12. 19 오후 3:30:00</t>
  </si>
  <si>
    <t>2013. 12. 20 오후 4:00:00</t>
  </si>
  <si>
    <t>2013. 12. 20 오후 3:30:00</t>
  </si>
  <si>
    <t>2013. 12. 21 오후 4:00:00</t>
  </si>
  <si>
    <t>2013. 12. 21 오후 3:30:00</t>
  </si>
  <si>
    <t>2013. 12. 22 오후 4:00:00</t>
  </si>
  <si>
    <t>2013. 12. 22 오후 3:30:00</t>
  </si>
  <si>
    <t>2013. 12. 23 오후 4:00:00</t>
  </si>
  <si>
    <t>2013. 12. 23 오후 3:30:00</t>
  </si>
  <si>
    <t>2013. 12. 24 오후 4:00:00</t>
  </si>
  <si>
    <t>2013. 12. 24 오후 3:30:00</t>
  </si>
  <si>
    <t>2013. 12. 25 오후 4:00:00</t>
  </si>
  <si>
    <t>2013. 12. 25 오후 3:30:00</t>
  </si>
  <si>
    <t>2013. 12. 26 오후 4:00:00</t>
  </si>
  <si>
    <t>2013. 12. 26 오후 3:30:00</t>
  </si>
  <si>
    <t>2013. 12. 27 오후 4:00:00</t>
  </si>
  <si>
    <t>2013. 12. 27 오후 3:30:00</t>
  </si>
  <si>
    <t>2013. 12. 28 오후 4:00:00</t>
  </si>
  <si>
    <t>2013. 12. 28 오후 3:30:00</t>
  </si>
  <si>
    <t>2013. 12. 29 오후 4:00:00</t>
  </si>
  <si>
    <t>2013. 12. 29 오후 3:30:00</t>
  </si>
  <si>
    <t>2013. 12. 30 오후 4:00:00</t>
  </si>
  <si>
    <t>2013. 12. 30 오후 3:30:00</t>
  </si>
  <si>
    <t>2013. 12. 31 오후 4:00:00</t>
  </si>
  <si>
    <t>2013. 12. 31 오후 3:30:00</t>
  </si>
  <si>
    <t>2014. 1. 1 오후 4:00:00</t>
  </si>
  <si>
    <t>2014. 1. 1 오후 3:30:00</t>
  </si>
  <si>
    <t>2014. 1. 2 오후 4:00:00</t>
  </si>
  <si>
    <t>2014. 1. 2 오후 3:30:00</t>
  </si>
  <si>
    <t>2014. 1. 3 오후 4:00:00</t>
  </si>
  <si>
    <t>2014. 1. 3 오후 3:30:00</t>
  </si>
  <si>
    <t>2014. 1. 4 오후 4:00:00</t>
  </si>
  <si>
    <t>2014. 1. 4 오후 3:30:00</t>
  </si>
  <si>
    <t>2014. 1. 5 오후 4:00:00</t>
  </si>
  <si>
    <t>2014. 1. 5 오후 3:30:00</t>
  </si>
  <si>
    <t>2014. 1. 6 오후 4:00:00</t>
  </si>
  <si>
    <t>2014. 1. 6 오후 3:30:00</t>
  </si>
  <si>
    <t>2014. 1. 7 오후 4:00:00</t>
  </si>
  <si>
    <t>2014. 1. 7 오후 3:30:00</t>
  </si>
  <si>
    <t>2014. 1. 8 오후 4:00:00</t>
  </si>
  <si>
    <t>2014. 1. 8 오후 3:30:00</t>
  </si>
  <si>
    <t>2014. 1. 9 오후 4:00:00</t>
  </si>
  <si>
    <t>2014. 1. 9 오후 3:30:00</t>
  </si>
  <si>
    <t>2014. 1. 10 오후 4:00:00</t>
  </si>
  <si>
    <t>2014. 1. 10 오후 3:30:00</t>
  </si>
  <si>
    <t>2014. 1. 11 오후 4:00:00</t>
  </si>
  <si>
    <t>2014. 1. 11 오후 3:30:00</t>
  </si>
  <si>
    <t>2014. 1. 12 오후 4:00:00</t>
  </si>
  <si>
    <t>2014. 1. 12 오후 3:30:00</t>
  </si>
  <si>
    <t>2014. 1. 13 오후 4:00:00</t>
  </si>
  <si>
    <t>2014. 1. 13 오후 3:30:00</t>
  </si>
  <si>
    <t>2014. 1. 14 오후 4:00:00</t>
  </si>
  <si>
    <t>2014. 1. 14 오후 3:30:00</t>
  </si>
  <si>
    <t>2014. 1. 15 오후 4:00:00</t>
  </si>
  <si>
    <t>2014. 1. 15 오후 3:30:00</t>
  </si>
  <si>
    <t>2014. 1. 16 오후 4:00:00</t>
  </si>
  <si>
    <t>2014. 1. 16 오후 3:30:00</t>
  </si>
  <si>
    <t>2014. 1. 17 오후 4:00:00</t>
  </si>
  <si>
    <t>2014. 1. 17 오후 3:30:00</t>
  </si>
  <si>
    <t>2014. 1. 18 오후 4:00:00</t>
  </si>
  <si>
    <t>2014. 1. 18 오후 3:30:00</t>
  </si>
  <si>
    <t>2014. 1. 19 오후 4:00:00</t>
  </si>
  <si>
    <t>2014. 1. 19 오후 3:30:00</t>
  </si>
  <si>
    <t>2014. 1. 20 오후 4:00:00</t>
  </si>
  <si>
    <t>2014. 1. 20 오후 3:30:00</t>
  </si>
  <si>
    <t>2014. 1. 21 오후 4:00:00</t>
  </si>
  <si>
    <t>2014. 1. 21 오후 3:30:00</t>
  </si>
  <si>
    <t>2014. 1. 22 오후 4:00:00</t>
  </si>
  <si>
    <t>2014. 1. 22 오후 3:30:00</t>
  </si>
  <si>
    <t>2014. 1. 23 오후 4:00:00</t>
  </si>
  <si>
    <t>2014. 1. 23 오후 3:30:00</t>
  </si>
  <si>
    <t>2014. 1. 24 오후 4:00:00</t>
  </si>
  <si>
    <t>2014. 1. 24 오후 3:30:00</t>
  </si>
  <si>
    <t>2014. 1. 25 오후 4:00:00</t>
  </si>
  <si>
    <t>2014. 1. 25 오후 3:30:00</t>
  </si>
  <si>
    <t>2014. 1. 26 오후 4:00:00</t>
  </si>
  <si>
    <t>2014. 1. 26 오후 3:30:00</t>
  </si>
  <si>
    <t>2014. 1. 27 오후 4:00:00</t>
  </si>
  <si>
    <t>2014. 1. 27 오후 3:30:00</t>
  </si>
  <si>
    <t>2014. 1. 28 오후 4:00:00</t>
  </si>
  <si>
    <t>2014. 1. 28 오후 3:30:00</t>
  </si>
  <si>
    <t>2014. 1. 29 오후 4:00:00</t>
  </si>
  <si>
    <t>2014. 1. 29 오후 3:30:00</t>
  </si>
  <si>
    <t>2014. 1. 30 오후 4:00:00</t>
  </si>
  <si>
    <t>2014. 1. 30 오후 3:30:00</t>
  </si>
  <si>
    <t>2014. 1. 31 오후 4:00:00</t>
  </si>
  <si>
    <t>2014. 1. 31 오후 3:30:00</t>
  </si>
  <si>
    <t>2014. 2. 1 오후 4:00:00</t>
  </si>
  <si>
    <t>2014. 2. 1 오후 3:30:00</t>
  </si>
  <si>
    <t>2014. 2. 2 오후 4:00:00</t>
  </si>
  <si>
    <t>2014. 2. 2 오후 3:30:00</t>
  </si>
  <si>
    <t>2014. 2. 3 오후 4:00:00</t>
  </si>
  <si>
    <t>2014. 2. 3 오후 3:30:00</t>
  </si>
  <si>
    <t>2014. 2. 4 오후 4:00:00</t>
  </si>
  <si>
    <t>2014. 2. 4 오후 3:30:00</t>
  </si>
  <si>
    <t>2014. 2. 5 오후 4:00:00</t>
  </si>
  <si>
    <t>2014. 2. 5 오후 3:30:00</t>
  </si>
  <si>
    <t>2014. 2. 6 오후 4:00:00</t>
  </si>
  <si>
    <t>2014. 2. 6 오후 3:30:00</t>
  </si>
  <si>
    <t>2014. 2. 7 오후 4:00:00</t>
  </si>
  <si>
    <t>2014. 2. 7 오후 3:30:00</t>
  </si>
  <si>
    <t>2014. 2. 8 오후 4:00:00</t>
  </si>
  <si>
    <t>2014. 2. 8 오후 3:30:00</t>
  </si>
  <si>
    <t>2014. 2. 9 오후 4:00:00</t>
  </si>
  <si>
    <t>2014. 2. 9 오후 3:30:00</t>
  </si>
  <si>
    <t>2014. 2. 10 오후 4:00:00</t>
  </si>
  <si>
    <t>2014. 2. 10 오후 3:30:00</t>
  </si>
  <si>
    <t>2014. 2. 11 오후 4:00:00</t>
  </si>
  <si>
    <t>2014. 2. 11 오후 3:30:00</t>
  </si>
  <si>
    <t>2014. 2. 12 오후 4:00:00</t>
  </si>
  <si>
    <t>2014. 2. 12 오후 3:30:00</t>
  </si>
  <si>
    <t>2014. 2. 13 오후 4:00:00</t>
  </si>
  <si>
    <t>2014. 2. 13 오후 3:30:00</t>
  </si>
  <si>
    <t>2014. 2. 14 오후 4:00:00</t>
  </si>
  <si>
    <t>2014. 2. 14 오후 3:30:00</t>
  </si>
  <si>
    <t>2014. 2. 15 오후 4:00:00</t>
  </si>
  <si>
    <t>2014. 2. 15 오후 3:30:00</t>
  </si>
  <si>
    <t>2014. 2. 16 오후 4:00:00</t>
  </si>
  <si>
    <t>2014. 2. 16 오후 3:30:00</t>
  </si>
  <si>
    <t>2014. 2. 17 오후 4:00:00</t>
  </si>
  <si>
    <t>2014. 2. 17 오후 3:30:00</t>
  </si>
  <si>
    <t>2014. 2. 18 오후 4:00:00</t>
  </si>
  <si>
    <t>2014. 2. 18 오후 3:30:00</t>
  </si>
  <si>
    <t>2014. 2. 19 오후 4:00:00</t>
  </si>
  <si>
    <t>2014. 2. 19 오후 3:30:00</t>
  </si>
  <si>
    <t>2014. 2. 20 오후 4:00:00</t>
  </si>
  <si>
    <t>2014. 2. 20 오후 3:30:00</t>
  </si>
  <si>
    <t>2014. 2. 21 오후 4:00:00</t>
  </si>
  <si>
    <t>2014. 2. 21 오후 3:30:00</t>
  </si>
  <si>
    <t>2014. 2. 22 오후 4:00:00</t>
  </si>
  <si>
    <t>2014. 2. 22 오후 3:30:00</t>
  </si>
  <si>
    <t>2014. 2. 23 오후 4:00:00</t>
  </si>
  <si>
    <t>2014. 2. 23 오후 3:30:00</t>
  </si>
  <si>
    <t>2014. 2. 24 오후 4:00:00</t>
  </si>
  <si>
    <t>2014. 2. 24 오후 3:30:00</t>
  </si>
  <si>
    <t>2014. 2. 25 오후 4:00:00</t>
  </si>
  <si>
    <t>2014. 2. 25 오후 3:30:00</t>
  </si>
  <si>
    <t>2014. 2. 26 오후 4:00:00</t>
  </si>
  <si>
    <t>2014. 2. 26 오후 3:30:00</t>
  </si>
  <si>
    <t>2014. 2. 27 오후 4:00:00</t>
  </si>
  <si>
    <t>2014. 2. 27 오후 3:30:00</t>
  </si>
  <si>
    <t>2014. 2. 28 오후 4:00:00</t>
  </si>
  <si>
    <t>2014. 2. 28 오후 3:30:00</t>
  </si>
  <si>
    <t>2014. 3. 1 오후 4:00:00</t>
  </si>
  <si>
    <t>2014. 3. 1 오후 3:30:00</t>
  </si>
  <si>
    <t>2014. 3. 2 오후 4:00:00</t>
  </si>
  <si>
    <t>2014. 3. 2 오후 3:30:00</t>
  </si>
  <si>
    <t>2014. 3. 3 오후 4:00:00</t>
  </si>
  <si>
    <t>2014. 3. 3 오후 3:30:00</t>
  </si>
  <si>
    <t>2014. 3. 4 오후 4:00:00</t>
  </si>
  <si>
    <t>2014. 3. 4 오후 3:30:00</t>
  </si>
  <si>
    <t>2014. 3. 5 오후 4:00:00</t>
  </si>
  <si>
    <t>2014. 3. 5 오후 3:30:00</t>
  </si>
  <si>
    <t>2014. 3. 6 오후 4:00:00</t>
  </si>
  <si>
    <t>2014. 3. 6 오후 3:30:00</t>
  </si>
  <si>
    <t>2014. 3. 7 오후 4:00:00</t>
  </si>
  <si>
    <t>2014. 3. 7 오후 3:30:00</t>
  </si>
  <si>
    <t>2014. 3. 8 오후 4:00:00</t>
  </si>
  <si>
    <t>2014. 3. 8 오후 3:30:00</t>
  </si>
  <si>
    <t>2014. 3. 9 오후 4:00:00</t>
  </si>
  <si>
    <t>2014. 3. 9 오후 3:30:00</t>
  </si>
  <si>
    <t>2014. 3. 10 오후 4:00:00</t>
  </si>
  <si>
    <t>2014. 3. 10 오후 3:30:00</t>
  </si>
  <si>
    <t>2014. 3. 11 오후 4:00:00</t>
  </si>
  <si>
    <t>2014. 3. 11 오후 3:30:00</t>
  </si>
  <si>
    <t>2014. 3. 12 오후 4:00:00</t>
  </si>
  <si>
    <t>2014. 3. 12 오후 3:30:00</t>
  </si>
  <si>
    <t>2014. 3. 13 오후 4:00:00</t>
  </si>
  <si>
    <t>2014. 3. 13 오후 3:30:00</t>
  </si>
  <si>
    <t>2014. 3. 14 오후 4:00:00</t>
  </si>
  <si>
    <t>2014. 3. 14 오후 3:30:00</t>
  </si>
  <si>
    <t>2014. 3. 15 오후 4:00:00</t>
  </si>
  <si>
    <t>2014. 3. 15 오후 3:30:00</t>
  </si>
  <si>
    <t>2014. 3. 16 오후 4:00:00</t>
  </si>
  <si>
    <t>2014. 3. 16 오후 3:30:00</t>
  </si>
  <si>
    <t>2014. 3. 17 오후 4:00:00</t>
  </si>
  <si>
    <t>2014. 3. 17 오후 3:30:00</t>
  </si>
  <si>
    <t>2014. 3. 18 오후 4:00:00</t>
  </si>
  <si>
    <t>2014. 3. 18 오후 3:30:00</t>
  </si>
  <si>
    <t>2014. 3. 19 오후 4:00:00</t>
  </si>
  <si>
    <t>2014. 3. 19 오후 3:30:00</t>
  </si>
  <si>
    <t>2014. 3. 20 오후 4:00:00</t>
  </si>
  <si>
    <t>2014. 3. 20 오후 3:30:00</t>
  </si>
  <si>
    <t>2014. 3. 21 오후 4:00:00</t>
  </si>
  <si>
    <t>2014. 3. 21 오후 3:30:00</t>
  </si>
  <si>
    <t>2014. 3. 22 오후 4:00:00</t>
  </si>
  <si>
    <t>2014. 3. 22 오후 3:30:00</t>
  </si>
  <si>
    <t>2014. 3. 23 오후 4:00:00</t>
  </si>
  <si>
    <t>2014. 3. 23 오후 3:30:00</t>
  </si>
  <si>
    <t>2014. 3. 24 오후 4:00:00</t>
  </si>
  <si>
    <t>2014. 3. 24 오후 3:30:00</t>
  </si>
  <si>
    <t>2014. 3. 25 오후 4:00:00</t>
  </si>
  <si>
    <t>2014. 3. 25 오후 3:30:00</t>
  </si>
  <si>
    <t>2014. 3. 26 오후 4:00:00</t>
  </si>
  <si>
    <t>2014. 3. 26 오후 3:30:00</t>
  </si>
  <si>
    <t>2014. 3. 27 오후 4:00:00</t>
  </si>
  <si>
    <t>2014. 3. 27 오후 3:30:00</t>
  </si>
  <si>
    <t>2014. 3. 28 오후 4:00:00</t>
  </si>
  <si>
    <t>2014. 3. 28 오후 3:30:00</t>
  </si>
  <si>
    <t>2014. 3. 29 오후 4:00:00</t>
  </si>
  <si>
    <t>2014. 3. 29 오후 3:30:00</t>
  </si>
  <si>
    <t>2014. 3. 30 오후 4:00:00</t>
  </si>
  <si>
    <t>2014. 3. 30 오후 3:30:00</t>
  </si>
  <si>
    <t>2014. 3. 31 오후 4:00:00</t>
  </si>
  <si>
    <t>2014. 3. 31 오후 3:30:00</t>
  </si>
  <si>
    <t>2014. 4. 1 오후 4:00:00</t>
  </si>
  <si>
    <t>2014. 4. 1 오후 3:30:00</t>
  </si>
  <si>
    <t>2014. 4. 2 오후 4:00:00</t>
  </si>
  <si>
    <t>2014. 4. 2 오후 3:30:00</t>
  </si>
  <si>
    <t>2014. 4. 3 오후 4:00:00</t>
  </si>
  <si>
    <t>2014. 4. 3 오후 3:30:00</t>
  </si>
  <si>
    <t>2014. 4. 4 오후 4:00:00</t>
  </si>
  <si>
    <t>2014. 4. 4 오후 3:30:00</t>
  </si>
  <si>
    <t>2014. 4. 5 오후 4:00:00</t>
  </si>
  <si>
    <t>2014. 4. 5 오후 3:30:00</t>
  </si>
  <si>
    <t>2014. 4. 6 오후 4:00:00</t>
  </si>
  <si>
    <t>2014. 4. 6 오후 3:30:00</t>
  </si>
  <si>
    <t>2014. 4. 7 오후 4:00:00</t>
  </si>
  <si>
    <t>2014. 4. 7 오후 3:30:00</t>
  </si>
  <si>
    <t>2014. 4. 8 오후 4:00:00</t>
  </si>
  <si>
    <t>2014. 4. 8 오후 3:30:00</t>
  </si>
  <si>
    <t>2014. 4. 9 오후 4:00:00</t>
  </si>
  <si>
    <t>2014. 4. 9 오후 3:30:00</t>
  </si>
  <si>
    <t>2014. 4. 10 오후 4:00:00</t>
  </si>
  <si>
    <t>2014. 4. 10 오후 3:30:00</t>
  </si>
  <si>
    <t>2014. 4. 11 오후 4:00:00</t>
  </si>
  <si>
    <t>2014. 4. 11 오후 3:30:00</t>
  </si>
  <si>
    <t>2014. 4. 12 오후 4:00:00</t>
  </si>
  <si>
    <t>2014. 4. 12 오후 3:30:00</t>
  </si>
  <si>
    <t>2014. 4. 13 오후 4:00:00</t>
  </si>
  <si>
    <t>2014. 4. 13 오후 3:30:00</t>
  </si>
  <si>
    <t>2014. 4. 14 오후 4:00:00</t>
  </si>
  <si>
    <t>2014. 4. 14 오후 3:30:00</t>
  </si>
  <si>
    <t>2014. 4. 15 오후 4:00:00</t>
  </si>
  <si>
    <t>2014. 4. 15 오후 3:30:00</t>
  </si>
  <si>
    <t>2014. 4. 16 오후 4:00:00</t>
  </si>
  <si>
    <t>2014. 4. 16 오후 3:30:00</t>
  </si>
  <si>
    <t>2014. 4. 17 오후 4:00:00</t>
  </si>
  <si>
    <t>2014. 4. 17 오후 3:30:00</t>
  </si>
  <si>
    <t>2014. 4. 18 오후 4:00:00</t>
  </si>
  <si>
    <t>2014. 4. 18 오후 3:30:00</t>
  </si>
  <si>
    <t>2014. 4. 19 오후 4:00:00</t>
  </si>
  <si>
    <t>2014. 4. 19 오후 3:30:00</t>
  </si>
  <si>
    <t>2014. 4. 20 오후 4:00:00</t>
  </si>
  <si>
    <t>2014. 4. 20 오후 3:30:00</t>
  </si>
  <si>
    <t>2014. 4. 21 오후 4:00:00</t>
  </si>
  <si>
    <t>2014. 4. 21 오후 3:30:00</t>
  </si>
  <si>
    <t>2014. 4. 22 오후 4:00:00</t>
  </si>
  <si>
    <t>2014. 4. 22 오후 3:30:00</t>
  </si>
  <si>
    <t>2014. 4. 23 오후 4:00:00</t>
  </si>
  <si>
    <t>2014. 4. 23 오후 3:30:00</t>
  </si>
  <si>
    <t>2014. 4. 24 오후 4:00:00</t>
  </si>
  <si>
    <t>2014. 4. 24 오후 3:30:00</t>
  </si>
  <si>
    <t>2014. 4. 25 오후 4:00:00</t>
  </si>
  <si>
    <t>2014. 4. 25 오후 3:30:00</t>
  </si>
  <si>
    <t>2014. 4. 26 오후 4:00:00</t>
  </si>
  <si>
    <t>2014. 4. 26 오후 3:30:00</t>
  </si>
  <si>
    <t>2014. 4. 27 오후 4:00:00</t>
  </si>
  <si>
    <t>2014. 4. 27 오후 3:30:00</t>
  </si>
  <si>
    <t>2014. 4. 28 오후 4:00:00</t>
  </si>
  <si>
    <t>2014. 4. 28 오후 3:30:00</t>
  </si>
  <si>
    <t>2014. 4. 29 오후 4:00:00</t>
  </si>
  <si>
    <t>2014. 4. 29 오후 3:30:00</t>
  </si>
  <si>
    <t>2014. 4. 30 오후 4:00:00</t>
  </si>
  <si>
    <t>2014. 4. 30 오후 3:30:00</t>
  </si>
  <si>
    <t>2014. 5. 1 오후 4:00:00</t>
  </si>
  <si>
    <t>2014. 5. 1 오후 3:30:00</t>
  </si>
  <si>
    <t>2014. 5. 2 오후 4:00:00</t>
  </si>
  <si>
    <t>2014. 5. 2 오후 3:30:00</t>
  </si>
  <si>
    <t>2014. 5. 3 오후 4:00:00</t>
  </si>
  <si>
    <t>2014. 5. 3 오후 3:30:00</t>
  </si>
  <si>
    <t>2014. 5. 4 오후 4:00:00</t>
  </si>
  <si>
    <t>2014. 5. 4 오후 3:30:00</t>
  </si>
  <si>
    <t>2014. 5. 5 오후 4:00:00</t>
  </si>
  <si>
    <t>2014. 5. 5 오후 3:30:00</t>
  </si>
  <si>
    <t>2014. 5. 6 오후 4:00:00</t>
  </si>
  <si>
    <t>2014. 5. 6 오후 3:30:00</t>
  </si>
  <si>
    <t>2014. 5. 7 오후 4:00:00</t>
  </si>
  <si>
    <t>2014. 5. 7 오후 3:30:00</t>
  </si>
  <si>
    <t>2014. 5. 8 오후 4:00:00</t>
  </si>
  <si>
    <t>2014. 5. 8 오후 3:30:00</t>
  </si>
  <si>
    <t>2014. 5. 9 오후 4:00:00</t>
  </si>
  <si>
    <t>2014. 5. 9 오후 3:30:00</t>
  </si>
  <si>
    <t>2014. 5. 10 오후 4:00:00</t>
  </si>
  <si>
    <t>2014. 5. 10 오후 3:30:00</t>
  </si>
  <si>
    <t>2014. 5. 11 오후 4:00:00</t>
  </si>
  <si>
    <t>2014. 5. 11 오후 3:30:00</t>
  </si>
  <si>
    <t>2014. 5. 12 오후 4:00:00</t>
  </si>
  <si>
    <t>2014. 5. 12 오후 3:30:00</t>
  </si>
  <si>
    <t>2014. 5. 13 오후 4:00:00</t>
  </si>
  <si>
    <t>2014. 5. 13 오후 3:30:00</t>
  </si>
  <si>
    <t>2014. 5. 14 오후 4:00:00</t>
  </si>
  <si>
    <t>2014. 5. 14 오후 3:30:00</t>
  </si>
  <si>
    <t>2014. 5. 15 오후 4:00:00</t>
  </si>
  <si>
    <t>2014. 5. 15 오후 3:30:00</t>
  </si>
  <si>
    <t>2014. 5. 16 오후 4:00:00</t>
  </si>
  <si>
    <t>2014. 5. 16 오후 3:30:00</t>
  </si>
  <si>
    <t>2014. 5. 17 오후 4:00:00</t>
  </si>
  <si>
    <t>2014. 5. 17 오후 3:30:00</t>
  </si>
  <si>
    <t>2014. 5. 18 오후 4:00:00</t>
  </si>
  <si>
    <t>2014. 5. 18 오후 3:30:00</t>
  </si>
  <si>
    <t>2014. 5. 19 오후 4:00:00</t>
  </si>
  <si>
    <t>2014. 5. 19 오후 3:30:00</t>
  </si>
  <si>
    <t>2014. 5. 20 오후 4:00:00</t>
  </si>
  <si>
    <t>2014. 5. 20 오후 3:30:00</t>
  </si>
  <si>
    <t>2014. 5. 21 오후 4:00:00</t>
  </si>
  <si>
    <t>2014. 5. 21 오후 3:30:00</t>
  </si>
  <si>
    <t>2014. 5. 22 오후 4:00:00</t>
  </si>
  <si>
    <t>2014. 5. 22 오후 3:30:00</t>
  </si>
  <si>
    <t>2014. 5. 23 오후 4:00:00</t>
  </si>
  <si>
    <t>2014. 5. 23 오후 3:30:00</t>
  </si>
  <si>
    <t>2014. 5. 24 오후 4:00:00</t>
  </si>
  <si>
    <t>2014. 5. 24 오후 3:30:00</t>
  </si>
  <si>
    <t>2014. 5. 25 오후 4:00:00</t>
  </si>
  <si>
    <t>2014. 5. 25 오후 3:30:00</t>
  </si>
  <si>
    <t>2014. 5. 26 오후 4:00:00</t>
  </si>
  <si>
    <t>2014. 5. 26 오후 3:30:00</t>
  </si>
  <si>
    <t>2014. 5. 27 오후 4:00:00</t>
  </si>
  <si>
    <t>2014. 5. 27 오후 3:30:00</t>
  </si>
  <si>
    <t>2014. 5. 28 오후 4:00:00</t>
  </si>
  <si>
    <t>2014. 5. 28 오후 3:30:00</t>
  </si>
  <si>
    <t>2014. 5. 29 오후 4:00:00</t>
  </si>
  <si>
    <t>2014. 5. 29 오후 3:30:00</t>
  </si>
  <si>
    <t>2014. 5. 30 오후 4:00:00</t>
  </si>
  <si>
    <t>2014. 5. 30 오후 3:30:00</t>
  </si>
  <si>
    <t>2014. 5. 31 오후 4:00:00</t>
  </si>
  <si>
    <t>2014. 5. 31 오후 3:30:00</t>
  </si>
  <si>
    <t>2014. 6. 1 오후 4:00:00</t>
  </si>
  <si>
    <t>2014. 6. 1 오후 3:30:00</t>
  </si>
  <si>
    <t>2014. 6. 2 오후 4:00:00</t>
  </si>
  <si>
    <t>2014. 6. 2 오후 3:30:00</t>
  </si>
  <si>
    <t>2014. 6. 3 오후 4:00:00</t>
  </si>
  <si>
    <t>2014. 6. 3 오후 3:30:00</t>
  </si>
  <si>
    <t>2014. 6. 4 오후 4:00:00</t>
  </si>
  <si>
    <t>2014. 6. 4 오후 3:30:00</t>
  </si>
  <si>
    <t>2014. 6. 5 오후 4:00:00</t>
  </si>
  <si>
    <t>2014. 6. 5 오후 3:30:00</t>
  </si>
  <si>
    <t>2014. 6. 6 오후 4:00:00</t>
  </si>
  <si>
    <t>2014. 6. 6 오후 3:30:00</t>
  </si>
  <si>
    <t>2014. 6. 7 오후 4:00:00</t>
  </si>
  <si>
    <t>2014. 6. 7 오후 3:30:00</t>
  </si>
  <si>
    <t>2014. 6. 8 오후 4:00:00</t>
  </si>
  <si>
    <t>2014. 6. 8 오후 3:30:00</t>
  </si>
  <si>
    <t>2014. 6. 9 오후 4:00:00</t>
  </si>
  <si>
    <t>2014. 6. 9 오후 3:30:00</t>
  </si>
  <si>
    <t>2014. 6. 10 오후 4:00:00</t>
  </si>
  <si>
    <t>2014. 6. 10 오후 3:30:00</t>
  </si>
  <si>
    <t>2014. 6. 11 오후 4:00:00</t>
  </si>
  <si>
    <t>2014. 6. 11 오후 3:30:00</t>
  </si>
  <si>
    <t>2014. 6. 12 오후 4:00:00</t>
  </si>
  <si>
    <t>2014. 6. 12 오후 3:30:00</t>
  </si>
  <si>
    <t>2014. 6. 13 오후 4:00:00</t>
  </si>
  <si>
    <t>2014. 6. 13 오후 3:30:00</t>
  </si>
  <si>
    <t>2014. 6. 14 오후 4:00:00</t>
  </si>
  <si>
    <t>2014. 6. 14 오후 3:30:00</t>
  </si>
  <si>
    <t>2014. 6. 15 오후 4:00:00</t>
  </si>
  <si>
    <t>2014. 6. 15 오후 3:30:00</t>
  </si>
  <si>
    <t>2014. 6. 16 오후 4:00:00</t>
  </si>
  <si>
    <t>2014. 6. 16 오후 3:30:00</t>
  </si>
  <si>
    <t>2014. 6. 17 오후 4:00:00</t>
  </si>
  <si>
    <t>2014. 6. 17 오후 3:30:00</t>
  </si>
  <si>
    <t>2014. 6. 18 오후 4:00:00</t>
  </si>
  <si>
    <t>2014. 6. 18 오후 3:30:00</t>
  </si>
  <si>
    <t>2014. 6. 19 오후 4:00:00</t>
  </si>
  <si>
    <t>2014. 6. 19 오후 3:30:00</t>
  </si>
  <si>
    <t>2014. 6. 20 오후 4:00:00</t>
  </si>
  <si>
    <t>2014. 6. 20 오후 3:30:00</t>
  </si>
  <si>
    <t>2014. 6. 21 오후 4:00:00</t>
  </si>
  <si>
    <t>2014. 6. 21 오후 3:30:00</t>
  </si>
  <si>
    <t>2014. 6. 22 오후 4:00:00</t>
  </si>
  <si>
    <t>2014. 6. 22 오후 3:30:00</t>
  </si>
  <si>
    <t>2014. 6. 23 오후 4:00:00</t>
  </si>
  <si>
    <t>2014. 6. 23 오후 3:30:00</t>
  </si>
  <si>
    <t>2014. 6. 24 오후 4:00:00</t>
  </si>
  <si>
    <t>2014. 6. 24 오후 3:30:00</t>
  </si>
  <si>
    <t>2014. 6. 25 오후 4:00:00</t>
  </si>
  <si>
    <t>2014. 6. 25 오후 3:30:00</t>
  </si>
  <si>
    <t>2014. 6. 26 오후 4:00:00</t>
  </si>
  <si>
    <t>2014. 6. 26 오후 3:30:00</t>
  </si>
  <si>
    <t>2014. 6. 27 오후 4:00:00</t>
  </si>
  <si>
    <t>2014. 6. 27 오후 3:30:00</t>
  </si>
  <si>
    <t>2014. 6. 28 오후 4:00:00</t>
  </si>
  <si>
    <t>2014. 6. 28 오후 3:30:00</t>
  </si>
  <si>
    <t>2014. 6. 29 오후 4:00:00</t>
  </si>
  <si>
    <t>2014. 6. 29 오후 3:30:00</t>
  </si>
  <si>
    <t>2014. 6. 30 오후 4:00:00</t>
  </si>
  <si>
    <t>2014. 6. 30 오후 3:30:00</t>
  </si>
  <si>
    <t>2014. 7. 1 오후 4:00:00</t>
  </si>
  <si>
    <t>2014. 7. 1 오후 3:30:00</t>
  </si>
  <si>
    <t>2014. 7. 2 오후 4:00:00</t>
  </si>
  <si>
    <t>2014. 7. 2 오후 3:30:00</t>
  </si>
  <si>
    <t>2014. 7. 3 오후 4:00:00</t>
  </si>
  <si>
    <t>2014. 7. 3 오후 3:30:00</t>
  </si>
  <si>
    <t>2014. 7. 4 오후 4:00:00</t>
  </si>
  <si>
    <t>2014. 7. 4 오후 3:30:00</t>
  </si>
  <si>
    <t>2014. 7. 5 오후 4:00:00</t>
  </si>
  <si>
    <t>2014. 7. 5 오후 3:30:00</t>
  </si>
  <si>
    <t>2014. 7. 6 오후 4:00:00</t>
  </si>
  <si>
    <t>2014. 7. 6 오후 3:30:00</t>
  </si>
  <si>
    <t>2014. 7. 7 오후 4:00:00</t>
  </si>
  <si>
    <t>2014. 7. 7 오후 3:30:00</t>
  </si>
  <si>
    <t>2014. 7. 8 오후 4:00:00</t>
  </si>
  <si>
    <t>2014. 7. 8 오후 3:30:00</t>
  </si>
  <si>
    <t>2014. 7. 9 오후 4:00:00</t>
  </si>
  <si>
    <t>2014. 7. 9 오후 3:30:00</t>
  </si>
  <si>
    <t>2014. 7. 10 오후 4:00:00</t>
  </si>
  <si>
    <t>2014. 7. 10 오후 3:30:00</t>
  </si>
  <si>
    <t>2014. 7. 11 오후 4:00:00</t>
  </si>
  <si>
    <t>2014. 7. 11 오후 3:30:00</t>
  </si>
  <si>
    <t>2014. 7. 12 오후 4:00:00</t>
  </si>
  <si>
    <t>2014. 7. 12 오후 3:30:00</t>
  </si>
  <si>
    <t>2014. 7. 13 오후 4:00:00</t>
  </si>
  <si>
    <t>2014. 7. 13 오후 3:30:00</t>
  </si>
  <si>
    <t>2014. 7. 14 오후 4:00:00</t>
  </si>
  <si>
    <t>2014. 7. 14 오후 3:30:00</t>
  </si>
  <si>
    <t>2014. 7. 15 오후 4:00:00</t>
  </si>
  <si>
    <t>2014. 7. 15 오후 3:30:00</t>
  </si>
  <si>
    <t>2014. 7. 16 오후 4:00:00</t>
  </si>
  <si>
    <t>2014. 7. 16 오후 3:30:00</t>
  </si>
  <si>
    <t>2014. 7. 17 오후 4:00:00</t>
  </si>
  <si>
    <t>2014. 7. 17 오후 3:30:00</t>
  </si>
  <si>
    <t>2014. 7. 18 오후 4:00:00</t>
  </si>
  <si>
    <t>2014. 7. 18 오후 3:30:00</t>
  </si>
  <si>
    <t>2014. 7. 19 오후 4:00:00</t>
  </si>
  <si>
    <t>2014. 7. 19 오후 3:30:00</t>
  </si>
  <si>
    <t>2014. 7. 20 오후 4:00:00</t>
  </si>
  <si>
    <t>2014. 7. 20 오후 3:30:00</t>
  </si>
  <si>
    <t>2014. 7. 21 오후 4:00:00</t>
  </si>
  <si>
    <t>2014. 7. 21 오후 3:30:00</t>
  </si>
  <si>
    <t>2014. 7. 22 오후 4:00:00</t>
  </si>
  <si>
    <t>2014. 7. 22 오후 3:30:00</t>
  </si>
  <si>
    <t>2014. 7. 23 오후 4:00:00</t>
  </si>
  <si>
    <t>2014. 7. 23 오후 3:30:00</t>
  </si>
  <si>
    <t>2014. 7. 24 오후 4:00:00</t>
  </si>
  <si>
    <t>2014. 7. 24 오후 3:30:00</t>
  </si>
  <si>
    <t>2014. 7. 25 오후 4:00:00</t>
  </si>
  <si>
    <t>2014. 7. 25 오후 3:30:00</t>
  </si>
  <si>
    <t>2014. 7. 26 오후 4:00:00</t>
  </si>
  <si>
    <t>2014. 7. 26 오후 3:30:00</t>
  </si>
  <si>
    <t>2014. 7. 27 오후 4:00:00</t>
  </si>
  <si>
    <t>2014. 7. 27 오후 3:30:00</t>
  </si>
  <si>
    <t>2014. 7. 28 오후 4:00:00</t>
  </si>
  <si>
    <t>2014. 7. 28 오후 3:30:00</t>
  </si>
  <si>
    <t>2014. 7. 29 오후 4:00:00</t>
  </si>
  <si>
    <t>2014. 7. 29 오후 3:30:00</t>
  </si>
  <si>
    <t>2014. 7. 30 오후 4:00:00</t>
  </si>
  <si>
    <t>2014. 7. 30 오후 3:30:00</t>
  </si>
  <si>
    <t>2014. 7. 31 오후 4:00:00</t>
  </si>
  <si>
    <t>2014. 7. 31 오후 3:30:00</t>
  </si>
  <si>
    <t>2014. 8. 1 오후 4:00:00</t>
  </si>
  <si>
    <t>2014. 8. 1 오후 3:30:00</t>
  </si>
  <si>
    <t>2014. 8. 2 오후 4:00:00</t>
  </si>
  <si>
    <t>2014. 8. 2 오후 3:30:00</t>
  </si>
  <si>
    <t>2014. 8. 3 오후 4:00:00</t>
  </si>
  <si>
    <t>2014. 8. 3 오후 3:30:00</t>
  </si>
  <si>
    <t>2014. 8. 4 오후 4:00:00</t>
  </si>
  <si>
    <t>2014. 8. 4 오후 3:30:00</t>
  </si>
  <si>
    <t>2014. 8. 5 오후 4:00:00</t>
  </si>
  <si>
    <t>2014. 8. 5 오후 3:30:00</t>
  </si>
  <si>
    <t>2014. 8. 6 오후 4:00:00</t>
  </si>
  <si>
    <t>2014. 8. 6 오후 3:30:00</t>
  </si>
  <si>
    <t>2014. 8. 7 오후 4:00:00</t>
  </si>
  <si>
    <t>2014. 8. 7 오후 3:30:00</t>
  </si>
  <si>
    <t>2014. 8. 8 오후 4:00:00</t>
  </si>
  <si>
    <t>2014. 8. 8 오후 3:30:00</t>
  </si>
  <si>
    <t>2014. 8. 9 오후 4:00:00</t>
  </si>
  <si>
    <t>2014. 8. 9 오후 3:30:00</t>
  </si>
  <si>
    <t>2014. 8. 10 오후 4:00:00</t>
  </si>
  <si>
    <t>2014. 8. 10 오후 3:30:00</t>
  </si>
  <si>
    <t>2014. 8. 11 오후 4:00:00</t>
  </si>
  <si>
    <t>2014. 8. 11 오후 3:30:00</t>
  </si>
  <si>
    <t>2014. 8. 12 오후 4:00:00</t>
  </si>
  <si>
    <t>2014. 8. 12 오후 3:30:00</t>
  </si>
  <si>
    <t>2014. 8. 13 오후 4:00:00</t>
  </si>
  <si>
    <t>2014. 8. 13 오후 3:30:00</t>
  </si>
  <si>
    <t>2014. 8. 14 오후 4:00:00</t>
  </si>
  <si>
    <t>2014. 8. 14 오후 3:30:00</t>
  </si>
  <si>
    <t>2014. 8. 15 오후 4:00:00</t>
  </si>
  <si>
    <t>2014. 8. 15 오후 3:30:00</t>
  </si>
  <si>
    <t>2014. 8. 16 오후 4:00:00</t>
  </si>
  <si>
    <t>2014. 8. 16 오후 3:30:00</t>
  </si>
  <si>
    <t>2014. 8. 17 오후 4:00:00</t>
  </si>
  <si>
    <t>2014. 8. 17 오후 3:30:00</t>
  </si>
  <si>
    <t>2014. 8. 18 오후 4:00:00</t>
  </si>
  <si>
    <t>2014. 8. 18 오후 3:30:00</t>
  </si>
  <si>
    <t>2014. 8. 19 오후 4:00:00</t>
  </si>
  <si>
    <t>2014. 8. 19 오후 3:30:00</t>
  </si>
  <si>
    <t>2014. 8. 20 오후 4:00:00</t>
  </si>
  <si>
    <t>2014. 8. 20 오후 3:30:00</t>
  </si>
  <si>
    <t>2014. 8. 21 오후 4:00:00</t>
  </si>
  <si>
    <t>2014. 8. 21 오후 3:30:00</t>
  </si>
  <si>
    <t>2014. 8. 22 오후 4:00:00</t>
  </si>
  <si>
    <t>2014. 8. 22 오후 3:30:00</t>
  </si>
  <si>
    <t>2014. 8. 23 오후 4:00:00</t>
  </si>
  <si>
    <t>2014. 8. 23 오후 3:30:00</t>
  </si>
  <si>
    <t>2014. 8. 24 오후 4:00:00</t>
  </si>
  <si>
    <t>2014. 8. 24 오후 3:30:00</t>
  </si>
  <si>
    <t>2014. 8. 25 오후 4:00:00</t>
  </si>
  <si>
    <t>2014. 8. 25 오후 3:30:00</t>
  </si>
  <si>
    <t>2014. 8. 26 오후 4:00:00</t>
  </si>
  <si>
    <t>2014. 8. 26 오후 3:30:00</t>
  </si>
  <si>
    <t>2014. 8. 27 오후 4:00:00</t>
  </si>
  <si>
    <t>2014. 8. 27 오후 3:30:00</t>
  </si>
  <si>
    <t>2014. 8. 28 오후 4:00:00</t>
  </si>
  <si>
    <t>2014. 8. 28 오후 3:30:00</t>
  </si>
  <si>
    <t>2014. 8. 29 오후 4:00:00</t>
  </si>
  <si>
    <t>2014. 8. 29 오후 3:30:00</t>
  </si>
  <si>
    <t>2014. 8. 30 오후 4:00:00</t>
  </si>
  <si>
    <t>2014. 8. 30 오후 3:30:00</t>
  </si>
  <si>
    <t>2014. 8. 31 오후 4:00:00</t>
  </si>
  <si>
    <t>2014. 8. 31 오후 3:30:00</t>
  </si>
  <si>
    <t>2014. 9. 1 오후 4:00:00</t>
  </si>
  <si>
    <t>2014. 9. 1 오후 3:30:00</t>
  </si>
  <si>
    <t>2014. 9. 2 오후 4:00:00</t>
  </si>
  <si>
    <t>2014. 9. 2 오후 3:30:00</t>
  </si>
  <si>
    <t>2014. 9. 3 오후 4:00:00</t>
  </si>
  <si>
    <t>2014. 9. 3 오후 3:30:00</t>
  </si>
  <si>
    <t>2014. 9. 4 오후 4:00:00</t>
  </si>
  <si>
    <t>2014. 9. 4 오후 3:30:00</t>
  </si>
  <si>
    <t>2014. 9. 5 오후 4:00:00</t>
  </si>
  <si>
    <t>2014. 9. 5 오후 3:30:00</t>
  </si>
  <si>
    <t>2014. 9. 6 오후 4:00:00</t>
  </si>
  <si>
    <t>2014. 9. 6 오후 3:30:00</t>
  </si>
  <si>
    <t>2014. 9. 7 오후 4:00:00</t>
  </si>
  <si>
    <t>2014. 9. 7 오후 3:30:00</t>
  </si>
  <si>
    <t>2014. 9. 8 오후 4:00:00</t>
  </si>
  <si>
    <t>2014. 9. 8 오후 3:30:00</t>
  </si>
  <si>
    <t>2014. 9. 9 오후 4:00:00</t>
  </si>
  <si>
    <t>2014. 9. 9 오후 3:30:00</t>
  </si>
  <si>
    <t>2014. 9. 10 오후 4:00:00</t>
  </si>
  <si>
    <t>2014. 9. 10 오후 3:30:00</t>
  </si>
  <si>
    <t>2014. 9. 11 오후 4:00:00</t>
  </si>
  <si>
    <t>2014. 9. 11 오후 3:30:00</t>
  </si>
  <si>
    <t>2014. 9. 12 오후 4:00:00</t>
  </si>
  <si>
    <t>2014. 9. 12 오후 3:30:00</t>
  </si>
  <si>
    <t>2014. 9. 13 오후 4:00:00</t>
  </si>
  <si>
    <t>2014. 9. 13 오후 3:30:00</t>
  </si>
  <si>
    <t>2014. 9. 14 오후 4:00:00</t>
  </si>
  <si>
    <t>2014. 9. 14 오후 3:30:00</t>
  </si>
  <si>
    <t>2014. 9. 15 오후 4:00:00</t>
  </si>
  <si>
    <t>2014. 9. 15 오후 3:30:00</t>
  </si>
  <si>
    <t>2014. 9. 16 오후 4:00:00</t>
  </si>
  <si>
    <t>2014. 9. 16 오후 3:30:00</t>
  </si>
  <si>
    <t>2014. 9. 17 오후 4:00:00</t>
  </si>
  <si>
    <t>2014. 9. 17 오후 3:30:00</t>
  </si>
  <si>
    <t>2014. 9. 18 오후 4:00:00</t>
  </si>
  <si>
    <t>2014. 9. 18 오후 3:30:00</t>
  </si>
  <si>
    <t>2014. 9. 19 오후 4:00:00</t>
  </si>
  <si>
    <t>2014. 9. 19 오후 3:30:00</t>
  </si>
  <si>
    <t>2014. 9. 20 오후 4:00:00</t>
  </si>
  <si>
    <t>2014. 9. 20 오후 3:30:00</t>
  </si>
  <si>
    <t>2014. 9. 21 오후 4:00:00</t>
  </si>
  <si>
    <t>2014. 9. 21 오후 3:30:00</t>
  </si>
  <si>
    <t>2014. 9. 22 오후 4:00:00</t>
  </si>
  <si>
    <t>2014. 9. 22 오후 3:30:00</t>
  </si>
  <si>
    <t>2014. 9. 23 오후 4:00:00</t>
  </si>
  <si>
    <t>2014. 9. 23 오후 3:30:00</t>
  </si>
  <si>
    <t>2014. 9. 24 오후 4:00:00</t>
  </si>
  <si>
    <t>2014. 9. 24 오후 3:30:00</t>
  </si>
  <si>
    <t>2014. 9. 25 오후 4:00:00</t>
  </si>
  <si>
    <t>2014. 9. 25 오후 3:30:00</t>
  </si>
  <si>
    <t>2014. 9. 26 오후 4:00:00</t>
  </si>
  <si>
    <t>2014. 9. 26 오후 3:30:00</t>
  </si>
  <si>
    <t>2014. 9. 27 오후 4:00:00</t>
  </si>
  <si>
    <t>2014. 9. 27 오후 3:30:00</t>
  </si>
  <si>
    <t>2014. 9. 28 오후 4:00:00</t>
  </si>
  <si>
    <t>2014. 9. 28 오후 3:30:00</t>
  </si>
  <si>
    <t>2014. 9. 29 오후 4:00:00</t>
  </si>
  <si>
    <t>2014. 9. 29 오후 3:30:00</t>
  </si>
  <si>
    <t>2014. 9. 30 오후 4:00:00</t>
  </si>
  <si>
    <t>2014. 9. 30 오후 3:30:00</t>
  </si>
  <si>
    <t>2014. 10. 1 오후 4:00:00</t>
  </si>
  <si>
    <t>2014. 10. 1 오후 3:30:00</t>
  </si>
  <si>
    <t>2014. 10. 2 오후 4:00:00</t>
  </si>
  <si>
    <t>2014. 10. 2 오후 3:30:00</t>
  </si>
  <si>
    <t>2014. 10. 3 오후 4:00:00</t>
  </si>
  <si>
    <t>2014. 10. 3 오후 3:30:00</t>
  </si>
  <si>
    <t>2014. 10. 4 오후 4:00:00</t>
  </si>
  <si>
    <t>2014. 10. 4 오후 3:30:00</t>
  </si>
  <si>
    <t>2014. 10. 5 오후 4:00:00</t>
  </si>
  <si>
    <t>2014. 10. 5 오후 3:30:00</t>
  </si>
  <si>
    <t>2014. 10. 6 오후 4:00:00</t>
  </si>
  <si>
    <t>2014. 10. 6 오후 3:30:00</t>
  </si>
  <si>
    <t>2014. 10. 7 오후 4:00:00</t>
  </si>
  <si>
    <t>2014. 10. 7 오후 3:30:00</t>
  </si>
  <si>
    <t>2014. 10. 8 오후 4:00:00</t>
  </si>
  <si>
    <t>2014. 10. 8 오후 3:30:00</t>
  </si>
  <si>
    <t>2014. 10. 9 오후 4:00:00</t>
  </si>
  <si>
    <t>2014. 10. 9 오후 3:30:00</t>
  </si>
  <si>
    <t>2014. 10. 10 오후 4:00:00</t>
  </si>
  <si>
    <t>2014. 10. 10 오후 3:30:00</t>
  </si>
  <si>
    <t>2014. 10. 11 오후 4:00:00</t>
  </si>
  <si>
    <t>2014. 10. 11 오후 3:30:00</t>
  </si>
  <si>
    <t>2014. 10. 12 오후 4:00:00</t>
  </si>
  <si>
    <t>2014. 10. 12 오후 3:30:00</t>
  </si>
  <si>
    <t>2014. 10. 13 오후 4:00:00</t>
  </si>
  <si>
    <t>2014. 10. 13 오후 3:30:00</t>
  </si>
  <si>
    <t>2014. 10. 14 오후 4:00:00</t>
  </si>
  <si>
    <t>2014. 10. 14 오후 3:30:00</t>
  </si>
  <si>
    <t>2014. 10. 15 오후 4:00:00</t>
  </si>
  <si>
    <t>2014. 10. 15 오후 3:30:00</t>
  </si>
  <si>
    <t>2014. 10. 16 오후 4:00:00</t>
  </si>
  <si>
    <t>2014. 10. 16 오후 3:30:00</t>
  </si>
  <si>
    <t>2014. 10. 17 오후 4:00:00</t>
  </si>
  <si>
    <t>2014. 10. 17 오후 3:30:00</t>
  </si>
  <si>
    <t>2014. 10. 18 오후 4:00:00</t>
  </si>
  <si>
    <t>2014. 10. 18 오후 3:30:00</t>
  </si>
  <si>
    <t>2014. 10. 19 오후 4:00:00</t>
  </si>
  <si>
    <t>2014. 10. 19 오후 3:30:00</t>
  </si>
  <si>
    <t>2014. 10. 20 오후 4:00:00</t>
  </si>
  <si>
    <t>2014. 10. 20 오후 3:30:00</t>
  </si>
  <si>
    <t>2014. 10. 21 오후 4:00:00</t>
  </si>
  <si>
    <t>2014. 10. 21 오후 3:30:00</t>
  </si>
  <si>
    <t>2014. 10. 22 오후 4:00:00</t>
  </si>
  <si>
    <t>2014. 10. 22 오후 3:30:00</t>
  </si>
  <si>
    <t>2014. 10. 23 오후 4:00:00</t>
  </si>
  <si>
    <t>2014. 10. 23 오후 3:30:00</t>
  </si>
  <si>
    <t>2014. 10. 24 오후 4:00:00</t>
  </si>
  <si>
    <t>2014. 10. 24 오후 3:30:00</t>
  </si>
  <si>
    <t>2014. 10. 25 오후 4:00:00</t>
  </si>
  <si>
    <t>2014. 10. 25 오후 3:30:00</t>
  </si>
  <si>
    <t>2014. 10. 26 오후 4:00:00</t>
  </si>
  <si>
    <t>2014. 10. 26 오후 3:30:00</t>
  </si>
  <si>
    <t>2014. 10. 27 오후 4:00:00</t>
  </si>
  <si>
    <t>2014. 10. 27 오후 3:30:00</t>
  </si>
  <si>
    <t>2014. 10. 28 오후 4:00:00</t>
  </si>
  <si>
    <t>2014. 10. 28 오후 3:30:00</t>
  </si>
  <si>
    <t>2014. 10. 29 오후 4:00:00</t>
  </si>
  <si>
    <t>2014. 10. 29 오후 3:30:00</t>
  </si>
  <si>
    <t>2014. 10. 30 오후 4:00:00</t>
  </si>
  <si>
    <t>2014. 10. 30 오후 3:30:00</t>
  </si>
  <si>
    <t>2014. 10. 31 오후 4:00:00</t>
  </si>
  <si>
    <t>2014. 10. 31 오후 3:30:00</t>
  </si>
  <si>
    <t>2014. 11. 1 오후 4:00:00</t>
  </si>
  <si>
    <t>2014. 11. 1 오후 3:30:00</t>
  </si>
  <si>
    <t>2014. 11. 2 오후 4:00:00</t>
  </si>
  <si>
    <t>2014. 11. 2 오후 3:30:00</t>
  </si>
  <si>
    <t>2014. 11. 3 오후 4:00:00</t>
  </si>
  <si>
    <t>2014. 11. 3 오후 3:30:00</t>
  </si>
  <si>
    <t>2014. 11. 4 오후 4:00:00</t>
  </si>
  <si>
    <t>2014. 11. 4 오후 3:30:00</t>
  </si>
  <si>
    <t>2014. 11. 5 오후 4:00:00</t>
  </si>
  <si>
    <t>2014. 11. 5 오후 3:30:00</t>
  </si>
  <si>
    <t>2014. 11. 6 오후 4:00:00</t>
  </si>
  <si>
    <t>2014. 11. 6 오후 3:30:00</t>
  </si>
  <si>
    <t>2014. 11. 7 오후 4:00:00</t>
  </si>
  <si>
    <t>2014. 11. 7 오후 3:30:00</t>
  </si>
  <si>
    <t>2014. 11. 8 오후 4:00:00</t>
  </si>
  <si>
    <t>2014. 11. 8 오후 3:30:00</t>
  </si>
  <si>
    <t>2014. 11. 9 오후 4:00:00</t>
  </si>
  <si>
    <t>2014. 11. 9 오후 3:30:00</t>
  </si>
  <si>
    <t>2014. 11. 10 오후 4:00:00</t>
  </si>
  <si>
    <t>2014. 11. 10 오후 3:30:00</t>
  </si>
  <si>
    <t>2014. 11. 11 오후 4:00:00</t>
  </si>
  <si>
    <t>2014. 11. 11 오후 3:30:00</t>
  </si>
  <si>
    <t>2014. 11. 12 오후 4:00:00</t>
  </si>
  <si>
    <t>2014. 11. 12 오후 3:30:00</t>
  </si>
  <si>
    <t>2014. 11. 13 오후 4:00:00</t>
  </si>
  <si>
    <t>2014. 11. 13 오후 3:30:00</t>
  </si>
  <si>
    <t>2014. 11. 14 오후 4:00:00</t>
  </si>
  <si>
    <t>2014. 11. 14 오후 3:30:00</t>
  </si>
  <si>
    <t>2014. 11. 15 오후 4:00:00</t>
  </si>
  <si>
    <t>2014. 11. 15 오후 3:30:00</t>
  </si>
  <si>
    <t>2014. 11. 16 오후 4:00:00</t>
  </si>
  <si>
    <t>2014. 11. 16 오후 3:30:00</t>
  </si>
  <si>
    <t>2014. 11. 17 오후 4:00:00</t>
  </si>
  <si>
    <t>2014. 11. 17 오후 3:30:00</t>
  </si>
  <si>
    <t>2014. 11. 18 오후 4:00:00</t>
  </si>
  <si>
    <t>2014. 11. 18 오후 3:30:00</t>
  </si>
  <si>
    <t>2014. 11. 19 오후 4:00:00</t>
  </si>
  <si>
    <t>2014. 11. 19 오후 3:30:00</t>
  </si>
  <si>
    <t>2014. 11. 20 오후 4:00:00</t>
  </si>
  <si>
    <t>2014. 11. 20 오후 3:30:00</t>
  </si>
  <si>
    <t>2014. 11. 21 오후 4:00:00</t>
  </si>
  <si>
    <t>2014. 11. 21 오후 3:30:00</t>
  </si>
  <si>
    <t>2014. 11. 22 오후 4:00:00</t>
  </si>
  <si>
    <t>2014. 11. 22 오후 3:30:00</t>
  </si>
  <si>
    <t>2014. 11. 23 오후 4:00:00</t>
  </si>
  <si>
    <t>2014. 11. 23 오후 3:30:00</t>
  </si>
  <si>
    <t>2014. 11. 24 오후 4:00:00</t>
  </si>
  <si>
    <t>2014. 11. 24 오후 3:30:00</t>
  </si>
  <si>
    <t>2014. 11. 25 오후 4:00:00</t>
  </si>
  <si>
    <t>2014. 11. 25 오후 3:30:00</t>
  </si>
  <si>
    <t>2014. 11. 26 오후 4:00:00</t>
  </si>
  <si>
    <t>2014. 11. 26 오후 3:30:00</t>
  </si>
  <si>
    <t>2014. 11. 27 오후 4:00:00</t>
  </si>
  <si>
    <t>2014. 11. 27 오후 3:30:00</t>
  </si>
  <si>
    <t>2014. 11. 28 오후 4:00:00</t>
  </si>
  <si>
    <t>2014. 11. 28 오후 3:30:00</t>
  </si>
  <si>
    <t>2014. 11. 29 오후 4:00:00</t>
  </si>
  <si>
    <t>2014. 11. 29 오후 3:30:00</t>
  </si>
  <si>
    <t>2014. 11. 30 오후 4:00:00</t>
  </si>
  <si>
    <t>2014. 11. 30 오후 3:30:00</t>
  </si>
  <si>
    <t>2014. 12. 1 오후 4:00:00</t>
  </si>
  <si>
    <t>2014. 12. 1 오후 3:30:00</t>
  </si>
  <si>
    <t>2014. 12. 2 오후 4:00:00</t>
  </si>
  <si>
    <t>2014. 12. 2 오후 3:30:00</t>
  </si>
  <si>
    <t>2014. 12. 3 오후 4:00:00</t>
  </si>
  <si>
    <t>2014. 12. 3 오후 3:30:00</t>
  </si>
  <si>
    <t>2014. 12. 4 오후 4:00:00</t>
  </si>
  <si>
    <t>2014. 12. 4 오후 3:30:00</t>
  </si>
  <si>
    <t>2014. 12. 5 오후 4:00:00</t>
  </si>
  <si>
    <t>2014. 12. 5 오후 3:30:00</t>
  </si>
  <si>
    <t>2014. 12. 6 오후 4:00:00</t>
  </si>
  <si>
    <t>2014. 12. 6 오후 3:30:00</t>
  </si>
  <si>
    <t>2014. 12. 7 오후 4:00:00</t>
  </si>
  <si>
    <t>2014. 12. 7 오후 3:30:00</t>
  </si>
  <si>
    <t>2014. 12. 8 오후 4:00:00</t>
  </si>
  <si>
    <t>2014. 12. 8 오후 3:30:00</t>
  </si>
  <si>
    <t>2014. 12. 9 오후 4:00:00</t>
  </si>
  <si>
    <t>2014. 12. 9 오후 3:30:00</t>
  </si>
  <si>
    <t>2014. 12. 10 오후 4:00:00</t>
  </si>
  <si>
    <t>2014. 12. 10 오후 3:30:00</t>
  </si>
  <si>
    <t>2014. 12. 11 오후 4:00:00</t>
  </si>
  <si>
    <t>2014. 12. 11 오후 3:30:00</t>
  </si>
  <si>
    <t>2014. 12. 12 오후 4:00:00</t>
  </si>
  <si>
    <t>2014. 12. 12 오후 3:30:00</t>
  </si>
  <si>
    <t>2014. 12. 13 오후 4:00:00</t>
  </si>
  <si>
    <t>2014. 12. 13 오후 3:30:00</t>
  </si>
  <si>
    <t>2014. 12. 14 오후 4:00:00</t>
  </si>
  <si>
    <t>2014. 12. 14 오후 3:30:00</t>
  </si>
  <si>
    <t>2014. 12. 15 오후 4:00:00</t>
  </si>
  <si>
    <t>2014. 12. 15 오후 3:30:00</t>
  </si>
  <si>
    <t>2014. 12. 16 오후 4:00:00</t>
  </si>
  <si>
    <t>2014. 12. 16 오후 3:30:00</t>
  </si>
  <si>
    <t>2014. 12. 17 오후 4:00:00</t>
  </si>
  <si>
    <t>2014. 12. 17 오후 3:30:00</t>
  </si>
  <si>
    <t>2014. 12. 18 오후 4:00:00</t>
  </si>
  <si>
    <t>2014. 12. 18 오후 3:30:00</t>
  </si>
  <si>
    <t>2014. 12. 19 오후 4:00:00</t>
  </si>
  <si>
    <t>2014. 12. 19 오후 3:30:00</t>
  </si>
  <si>
    <t>2014. 12. 20 오후 4:00:00</t>
  </si>
  <si>
    <t>2014. 12. 20 오후 3:30:00</t>
  </si>
  <si>
    <t>2014. 12. 21 오후 4:00:00</t>
  </si>
  <si>
    <t>2014. 12. 21 오후 3:30:00</t>
  </si>
  <si>
    <t>2014. 12. 22 오후 4:00:00</t>
  </si>
  <si>
    <t>2014. 12. 22 오후 3:30:00</t>
  </si>
  <si>
    <t>2014. 12. 23 오후 4:00:00</t>
  </si>
  <si>
    <t>2014. 12. 23 오후 3:30:00</t>
  </si>
  <si>
    <t>2014. 12. 24 오후 4:00:00</t>
  </si>
  <si>
    <t>2014. 12. 24 오후 3:30:00</t>
  </si>
  <si>
    <t>2014. 12. 25 오후 4:00:00</t>
  </si>
  <si>
    <t>2014. 12. 25 오후 3:30:00</t>
  </si>
  <si>
    <t>2014. 12. 26 오후 4:00:00</t>
  </si>
  <si>
    <t>2014. 12. 26 오후 3:30:00</t>
  </si>
  <si>
    <t>2014. 12. 27 오후 4:00:00</t>
  </si>
  <si>
    <t>2014. 12. 27 오후 3:30:00</t>
  </si>
  <si>
    <t>2014. 12. 28 오후 4:00:00</t>
  </si>
  <si>
    <t>2014. 12. 28 오후 3:30:00</t>
  </si>
  <si>
    <t>2014. 12. 29 오후 4:00:00</t>
  </si>
  <si>
    <t>2014. 12. 29 오후 3:30:00</t>
  </si>
  <si>
    <t>2014. 12. 30 오후 4:00:00</t>
  </si>
  <si>
    <t>2014. 12. 30 오후 3:30:00</t>
  </si>
  <si>
    <t>2014. 12. 31 오후 4:00:00</t>
  </si>
  <si>
    <t>2014. 12. 31 오후 3:30:00</t>
  </si>
  <si>
    <t>2015. 1. 1 오후 4:00:00</t>
  </si>
  <si>
    <t>2015. 1. 1 오후 3:30:00</t>
  </si>
  <si>
    <t>2015. 1. 2 오후 4:00:00</t>
  </si>
  <si>
    <t>2015. 1. 2 오후 3:30:00</t>
  </si>
  <si>
    <t>2015. 1. 3 오후 4:00:00</t>
  </si>
  <si>
    <t>2015. 1. 3 오후 3:30:00</t>
  </si>
  <si>
    <t>2015. 1. 4 오후 4:00:00</t>
  </si>
  <si>
    <t>2015. 1. 4 오후 3:30:00</t>
  </si>
  <si>
    <t>2015. 1. 5 오후 4:00:00</t>
  </si>
  <si>
    <t>2015. 1. 5 오후 3:30:00</t>
  </si>
  <si>
    <t>2015. 1. 6 오후 4:00:00</t>
  </si>
  <si>
    <t>2015. 1. 6 오후 3:30:00</t>
  </si>
  <si>
    <t>2015. 1. 7 오후 4:00:00</t>
  </si>
  <si>
    <t>2015. 1. 7 오후 3:30:00</t>
  </si>
  <si>
    <t>2015. 1. 8 오후 4:00:00</t>
  </si>
  <si>
    <t>2015. 1. 8 오후 3:30:00</t>
  </si>
  <si>
    <t>2015. 1. 9 오후 4:00:00</t>
  </si>
  <si>
    <t>2015. 1. 9 오후 3:30:00</t>
  </si>
  <si>
    <t>2015. 1. 10 오후 4:00:00</t>
  </si>
  <si>
    <t>2015. 1. 10 오후 3:30:00</t>
  </si>
  <si>
    <t>2015. 1. 11 오후 4:00:00</t>
  </si>
  <si>
    <t>2015. 1. 11 오후 3:30:00</t>
  </si>
  <si>
    <t>2015. 1. 12 오후 4:00:00</t>
  </si>
  <si>
    <t>2015. 1. 12 오후 3:30:00</t>
  </si>
  <si>
    <t>2015. 1. 13 오후 4:00:00</t>
  </si>
  <si>
    <t>2015. 1. 13 오후 3:30:00</t>
  </si>
  <si>
    <t>2015. 1. 14 오후 4:00:00</t>
  </si>
  <si>
    <t>2015. 1. 14 오후 3:30:00</t>
  </si>
  <si>
    <t>2015. 1. 15 오후 4:00:00</t>
  </si>
  <si>
    <t>2015. 1. 15 오후 3:30:00</t>
  </si>
  <si>
    <t>2015. 1. 16 오후 4:00:00</t>
  </si>
  <si>
    <t>2015. 1. 16 오후 3:30:00</t>
  </si>
  <si>
    <t>2015. 1. 17 오후 4:00:00</t>
  </si>
  <si>
    <t>2015. 1. 17 오후 3:30:00</t>
  </si>
  <si>
    <t>2015. 1. 18 오후 4:00:00</t>
  </si>
  <si>
    <t>2015. 1. 18 오후 3:30:00</t>
  </si>
  <si>
    <t>2015. 1. 19 오후 4:00:00</t>
  </si>
  <si>
    <t>2015. 1. 19 오후 3:30:00</t>
  </si>
  <si>
    <t>2015. 1. 20 오후 4:00:00</t>
  </si>
  <si>
    <t>2015. 1. 20 오후 3:30:00</t>
  </si>
  <si>
    <t>2015. 1. 21 오후 4:00:00</t>
  </si>
  <si>
    <t>2015. 1. 21 오후 3:30:00</t>
  </si>
  <si>
    <t>2015. 1. 22 오후 4:00:00</t>
  </si>
  <si>
    <t>2015. 1. 22 오후 3:30:00</t>
  </si>
  <si>
    <t>2015. 1. 23 오후 4:00:00</t>
  </si>
  <si>
    <t>2015. 1. 23 오후 3:30:00</t>
  </si>
  <si>
    <t>2015. 1. 24 오후 4:00:00</t>
  </si>
  <si>
    <t>2015. 1. 24 오후 3:30:00</t>
  </si>
  <si>
    <t>2015. 1. 25 오후 4:00:00</t>
  </si>
  <si>
    <t>2015. 1. 25 오후 3:30:00</t>
  </si>
  <si>
    <t>2015. 1. 26 오후 4:00:00</t>
  </si>
  <si>
    <t>2015. 1. 26 오후 3:30:00</t>
  </si>
  <si>
    <t>2015. 1. 27 오후 4:00:00</t>
  </si>
  <si>
    <t>2015. 1. 27 오후 3:30:00</t>
  </si>
  <si>
    <t>2015. 1. 28 오후 4:00:00</t>
  </si>
  <si>
    <t>2015. 1. 28 오후 3:30:00</t>
  </si>
  <si>
    <t>2015. 1. 29 오후 4:00:00</t>
  </si>
  <si>
    <t>2015. 1. 29 오후 3:30:00</t>
  </si>
  <si>
    <t>2015. 1. 30 오후 4:00:00</t>
  </si>
  <si>
    <t>2015. 1. 30 오후 3:30:00</t>
  </si>
  <si>
    <t>2015. 1. 31 오후 4:00:00</t>
  </si>
  <si>
    <t>2015. 1. 31 오후 3:30:00</t>
  </si>
  <si>
    <t>2015. 2. 1 오후 4:00:00</t>
  </si>
  <si>
    <t>2015. 2. 1 오후 3:30:00</t>
  </si>
  <si>
    <t>2015. 2. 2 오후 4:00:00</t>
  </si>
  <si>
    <t>2015. 2. 2 오후 3:30:00</t>
  </si>
  <si>
    <t>2015. 2. 3 오후 4:00:00</t>
  </si>
  <si>
    <t>2015. 2. 3 오후 3:30:00</t>
  </si>
  <si>
    <t>2015. 2. 4 오후 4:00:00</t>
  </si>
  <si>
    <t>2015. 2. 4 오후 3:30:00</t>
  </si>
  <si>
    <t>2015. 2. 5 오후 4:00:00</t>
  </si>
  <si>
    <t>2015. 2. 5 오후 3:30:00</t>
  </si>
  <si>
    <t>2015. 2. 6 오후 4:00:00</t>
  </si>
  <si>
    <t>2015. 2. 6 오후 3:30:00</t>
  </si>
  <si>
    <t>2015. 2. 7 오후 4:00:00</t>
  </si>
  <si>
    <t>2015. 2. 7 오후 3:30:00</t>
  </si>
  <si>
    <t>2015. 2. 8 오후 4:00:00</t>
  </si>
  <si>
    <t>2015. 2. 8 오후 3:30:00</t>
  </si>
  <si>
    <t>2015. 2. 9 오후 4:00:00</t>
  </si>
  <si>
    <t>2015. 2. 9 오후 3:30:00</t>
  </si>
  <si>
    <t>2015. 2. 10 오후 4:00:00</t>
  </si>
  <si>
    <t>2015. 2. 10 오후 3:30:00</t>
  </si>
  <si>
    <t>2015. 2. 11 오후 4:00:00</t>
  </si>
  <si>
    <t>2015. 2. 11 오후 3:30:00</t>
  </si>
  <si>
    <t>2015. 2. 12 오후 4:00:00</t>
  </si>
  <si>
    <t>2015. 2. 12 오후 3:30:00</t>
  </si>
  <si>
    <t>2015. 2. 13 오후 4:00:00</t>
  </si>
  <si>
    <t>2015. 2. 13 오후 3:30:00</t>
  </si>
  <si>
    <t>2015. 2. 14 오후 4:00:00</t>
  </si>
  <si>
    <t>2015. 2. 14 오후 3:30:00</t>
  </si>
  <si>
    <t>2015. 2. 15 오후 4:00:00</t>
  </si>
  <si>
    <t>2015. 2. 15 오후 3:30:00</t>
  </si>
  <si>
    <t>2015. 2. 16 오후 4:00:00</t>
  </si>
  <si>
    <t>2015. 2. 16 오후 3:30:00</t>
  </si>
  <si>
    <t>2015. 2. 17 오후 4:00:00</t>
  </si>
  <si>
    <t>2015. 2. 17 오후 3:30:00</t>
  </si>
  <si>
    <t>2015. 2. 18 오후 4:00:00</t>
  </si>
  <si>
    <t>2015. 2. 18 오후 3:30:00</t>
  </si>
  <si>
    <t>2015. 2. 19 오후 4:00:00</t>
  </si>
  <si>
    <t>2015. 2. 19 오후 3:30:00</t>
  </si>
  <si>
    <t>2015. 2. 20 오후 4:00:00</t>
  </si>
  <si>
    <t>2015. 2. 20 오후 3:30:00</t>
  </si>
  <si>
    <t>2015. 2. 21 오후 4:00:00</t>
  </si>
  <si>
    <t>2015. 2. 21 오후 3:30:00</t>
  </si>
  <si>
    <t>2015. 2. 22 오후 4:00:00</t>
  </si>
  <si>
    <t>2015. 2. 22 오후 3:30:00</t>
  </si>
  <si>
    <t>2015. 2. 23 오후 4:00:00</t>
  </si>
  <si>
    <t>2015. 2. 23 오후 3:30:00</t>
  </si>
  <si>
    <t>2015. 2. 24 오후 4:00:00</t>
  </si>
  <si>
    <t>2015. 2. 24 오후 3:30:00</t>
  </si>
  <si>
    <t>2015. 2. 25 오후 4:00:00</t>
  </si>
  <si>
    <t>2015. 2. 25 오후 3:30:00</t>
  </si>
  <si>
    <t>2015. 2. 26 오후 4:00:00</t>
  </si>
  <si>
    <t>2015. 2. 26 오후 3:30:00</t>
  </si>
  <si>
    <t>2015. 2. 27 오후 4:00:00</t>
  </si>
  <si>
    <t>2015. 2. 27 오후 3:30:00</t>
  </si>
  <si>
    <t>2015. 2. 28 오후 4:00:00</t>
  </si>
  <si>
    <t>2015. 2. 28 오후 3:30:00</t>
  </si>
  <si>
    <t>2015. 3. 1 오후 4:00:00</t>
  </si>
  <si>
    <t>2015. 3. 1 오후 3:30:00</t>
  </si>
  <si>
    <t>2015. 3. 2 오후 4:00:00</t>
  </si>
  <si>
    <t>2015. 3. 2 오후 3:30:00</t>
  </si>
  <si>
    <t>2015. 3. 3 오후 4:00:00</t>
  </si>
  <si>
    <t>2015. 3. 3 오후 3:30:00</t>
  </si>
  <si>
    <t>2015. 3. 4 오후 4:00:00</t>
  </si>
  <si>
    <t>2015. 3. 4 오후 3:30:00</t>
  </si>
  <si>
    <t>2015. 3. 5 오후 4:00:00</t>
  </si>
  <si>
    <t>2015. 3. 5 오후 3:30:00</t>
  </si>
  <si>
    <t>2015. 3. 6 오후 4:00:00</t>
  </si>
  <si>
    <t>2015. 3. 6 오후 3:30:00</t>
  </si>
  <si>
    <t>2015. 3. 7 오후 4:00:00</t>
  </si>
  <si>
    <t>2015. 3. 7 오후 3:30:00</t>
  </si>
  <si>
    <t>2015. 3. 8 오후 4:00:00</t>
  </si>
  <si>
    <t>2015. 3. 8 오후 3:30:00</t>
  </si>
  <si>
    <t>2015. 3. 9 오후 4:00:00</t>
  </si>
  <si>
    <t>2015. 3. 9 오후 3:30:00</t>
  </si>
  <si>
    <t>2015. 3. 10 오후 4:00:00</t>
  </si>
  <si>
    <t>2015. 3. 10 오후 3:30:00</t>
  </si>
  <si>
    <t>2015. 3. 11 오후 4:00:00</t>
  </si>
  <si>
    <t>2015. 3. 11 오후 3:30:00</t>
  </si>
  <si>
    <t>2015. 3. 12 오후 4:00:00</t>
  </si>
  <si>
    <t>2015. 3. 12 오후 3:30:00</t>
  </si>
  <si>
    <t>2015. 3. 13 오후 4:00:00</t>
  </si>
  <si>
    <t>2015. 3. 13 오후 3:30:00</t>
  </si>
  <si>
    <t>2015. 3. 14 오후 4:00:00</t>
  </si>
  <si>
    <t>2015. 3. 14 오후 3:30:00</t>
  </si>
  <si>
    <t>2015. 3. 15 오후 4:00:00</t>
  </si>
  <si>
    <t>2015. 3. 15 오후 3:30:00</t>
  </si>
  <si>
    <t>2015. 3. 16 오후 4:00:00</t>
  </si>
  <si>
    <t>2015. 3. 16 오후 3:30:00</t>
  </si>
  <si>
    <t>2015. 3. 17 오후 4:00:00</t>
  </si>
  <si>
    <t>2015. 3. 17 오후 3:30:00</t>
  </si>
  <si>
    <t>2015. 3. 18 오후 4:00:00</t>
  </si>
  <si>
    <t>2015. 3. 18 오후 3:30:00</t>
  </si>
  <si>
    <t>2015. 3. 19 오후 4:00:00</t>
  </si>
  <si>
    <t>2015. 3. 19 오후 3:30:00</t>
  </si>
  <si>
    <t>2015. 3. 20 오후 4:00:00</t>
  </si>
  <si>
    <t>2015. 3. 20 오후 3:30:00</t>
  </si>
  <si>
    <t>2015. 3. 21 오후 4:00:00</t>
  </si>
  <si>
    <t>2015. 3. 21 오후 3:30:00</t>
  </si>
  <si>
    <t>2015. 3. 22 오후 4:00:00</t>
  </si>
  <si>
    <t>2015. 3. 22 오후 3:30:00</t>
  </si>
  <si>
    <t>2015. 3. 23 오후 4:00:00</t>
  </si>
  <si>
    <t>2015. 3. 23 오후 3:30:00</t>
  </si>
  <si>
    <t>2015. 3. 24 오후 4:00:00</t>
  </si>
  <si>
    <t>2015. 3. 24 오후 3:30:00</t>
  </si>
  <si>
    <t>2015. 3. 25 오후 4:00:00</t>
  </si>
  <si>
    <t>2015. 3. 25 오후 3:30:00</t>
  </si>
  <si>
    <t>2015. 3. 26 오후 4:00:00</t>
  </si>
  <si>
    <t>2015. 3. 26 오후 3:30:00</t>
  </si>
  <si>
    <t>2015. 3. 27 오후 4:00:00</t>
  </si>
  <si>
    <t>2015. 3. 27 오후 3:30:00</t>
  </si>
  <si>
    <t>2015. 3. 28 오후 4:00:00</t>
  </si>
  <si>
    <t>2015. 3. 28 오후 3:30:00</t>
  </si>
  <si>
    <t>2015. 3. 29 오후 4:00:00</t>
  </si>
  <si>
    <t>2015. 3. 29 오후 3:30:00</t>
  </si>
  <si>
    <t>2015. 3. 30 오후 4:00:00</t>
  </si>
  <si>
    <t>2015. 3. 30 오후 3:30:00</t>
  </si>
  <si>
    <t>2015. 3. 31 오후 4:00:00</t>
  </si>
  <si>
    <t>2015. 3. 31 오후 3:30:00</t>
  </si>
  <si>
    <t>2015. 4. 1 오후 4:00:00</t>
  </si>
  <si>
    <t>2015. 4. 1 오후 3:30:00</t>
  </si>
  <si>
    <t>2015. 4. 2 오후 4:00:00</t>
  </si>
  <si>
    <t>2015. 4. 2 오후 3:30:00</t>
  </si>
  <si>
    <t>2015. 4. 3 오후 4:00:00</t>
  </si>
  <si>
    <t>2015. 4. 3 오후 3:30:00</t>
  </si>
  <si>
    <t>2015. 4. 4 오후 4:00:00</t>
  </si>
  <si>
    <t>2015. 4. 4 오후 3:30:00</t>
  </si>
  <si>
    <t>2015. 4. 5 오후 4:00:00</t>
  </si>
  <si>
    <t>2015. 4. 5 오후 3:30:00</t>
  </si>
  <si>
    <t>2015. 4. 6 오후 4:00:00</t>
  </si>
  <si>
    <t>2015. 4. 6 오후 3:30:00</t>
  </si>
  <si>
    <t>2015. 4. 7 오후 4:00:00</t>
  </si>
  <si>
    <t>2015. 4. 7 오후 3:30:00</t>
  </si>
  <si>
    <t>2015. 4. 8 오후 4:00:00</t>
  </si>
  <si>
    <t>2015. 4. 8 오후 3:30:00</t>
  </si>
  <si>
    <t>2015. 4. 9 오후 4:00:00</t>
  </si>
  <si>
    <t>2015. 4. 9 오후 3:30:00</t>
  </si>
  <si>
    <t>2015. 4. 10 오후 4:00:00</t>
  </si>
  <si>
    <t>2015. 4. 10 오후 3:30:00</t>
  </si>
  <si>
    <t>2015. 4. 11 오후 4:00:00</t>
  </si>
  <si>
    <t>2015. 4. 11 오후 3:30:00</t>
  </si>
  <si>
    <t>2015. 4. 12 오후 4:00:00</t>
  </si>
  <si>
    <t>2015. 4. 12 오후 3:30:00</t>
  </si>
  <si>
    <t>2015. 4. 13 오후 4:00:00</t>
  </si>
  <si>
    <t>2015. 4. 13 오후 3:30:00</t>
  </si>
  <si>
    <t>2015. 4. 14 오후 4:00:00</t>
  </si>
  <si>
    <t>2015. 4. 14 오후 3:30:00</t>
  </si>
  <si>
    <t>2015. 4. 15 오후 4:00:00</t>
  </si>
  <si>
    <t>2015. 4. 15 오후 3:30:00</t>
  </si>
  <si>
    <t>2015. 4. 16 오후 4:00:00</t>
  </si>
  <si>
    <t>2015. 4. 16 오후 3:30:00</t>
  </si>
  <si>
    <t>2015. 4. 17 오후 4:00:00</t>
  </si>
  <si>
    <t>2015. 4. 17 오후 3:30:00</t>
  </si>
  <si>
    <t>2015. 4. 18 오후 4:00:00</t>
  </si>
  <si>
    <t>2015. 4. 18 오후 3:30:00</t>
  </si>
  <si>
    <t>2015. 4. 19 오후 4:00:00</t>
  </si>
  <si>
    <t>2015. 4. 19 오후 3:30:00</t>
  </si>
  <si>
    <t>2015. 4. 20 오후 4:00:00</t>
  </si>
  <si>
    <t>2015. 4. 20 오후 3:30:00</t>
  </si>
  <si>
    <t>2015. 4. 21 오후 4:00:00</t>
  </si>
  <si>
    <t>2015. 4. 21 오후 3:30:00</t>
  </si>
  <si>
    <t>2015. 4. 22 오후 4:00:00</t>
  </si>
  <si>
    <t>2015. 4. 22 오후 3:30:00</t>
  </si>
  <si>
    <t>2015. 4. 23 오후 4:00:00</t>
  </si>
  <si>
    <t>2015. 4. 23 오후 3:30:00</t>
  </si>
  <si>
    <t>2015. 4. 24 오후 4:00:00</t>
  </si>
  <si>
    <t>2015. 4. 24 오후 3:30:00</t>
  </si>
  <si>
    <t>2015. 4. 25 오후 4:00:00</t>
  </si>
  <si>
    <t>2015. 4. 25 오후 3:30:00</t>
  </si>
  <si>
    <t>2015. 4. 26 오후 4:00:00</t>
  </si>
  <si>
    <t>2015. 4. 26 오후 3:30:00</t>
  </si>
  <si>
    <t>2015. 4. 27 오후 4:00:00</t>
  </si>
  <si>
    <t>2015. 4. 27 오후 3:30:00</t>
  </si>
  <si>
    <t>2015. 4. 28 오후 4:00:00</t>
  </si>
  <si>
    <t>2015. 4. 28 오후 3:30:00</t>
  </si>
  <si>
    <t>2015. 4. 29 오후 4:00:00</t>
  </si>
  <si>
    <t>2015. 4. 29 오후 3:30:00</t>
  </si>
  <si>
    <t>2015. 4. 30 오후 4:00:00</t>
  </si>
  <si>
    <t>2015. 4. 30 오후 3:30:00</t>
  </si>
  <si>
    <t>2015. 5. 1 오후 4:00:00</t>
  </si>
  <si>
    <t>2015. 5. 1 오후 3:30:00</t>
  </si>
  <si>
    <t>2015. 5. 2 오후 4:00:00</t>
  </si>
  <si>
    <t>2015. 5. 2 오후 3:30:00</t>
  </si>
  <si>
    <t>2015. 5. 3 오후 4:00:00</t>
  </si>
  <si>
    <t>2015. 5. 3 오후 3:30:00</t>
  </si>
  <si>
    <t>2015. 5. 4 오후 4:00:00</t>
  </si>
  <si>
    <t>2015. 5. 4 오후 3:30:00</t>
  </si>
  <si>
    <t>2015. 5. 5 오후 4:00:00</t>
  </si>
  <si>
    <t>2015. 5. 5 오후 3:30:00</t>
  </si>
  <si>
    <t>2015. 5. 6 오후 4:00:00</t>
  </si>
  <si>
    <t>2015. 5. 6 오후 3:30:00</t>
  </si>
  <si>
    <t>2015. 5. 7 오후 4:00:00</t>
  </si>
  <si>
    <t>2015. 5. 7 오후 3:30:00</t>
  </si>
  <si>
    <t>2015. 5. 8 오후 4:00:00</t>
  </si>
  <si>
    <t>2015. 5. 8 오후 3:30:00</t>
  </si>
  <si>
    <t>2015. 5. 9 오후 4:00:00</t>
  </si>
  <si>
    <t>2015. 5. 9 오후 3:30:00</t>
  </si>
  <si>
    <t>2015. 5. 10 오후 4:00:00</t>
  </si>
  <si>
    <t>2015. 5. 10 오후 3:30:00</t>
  </si>
  <si>
    <t>2015. 5. 11 오후 4:00:00</t>
  </si>
  <si>
    <t>2015. 5. 11 오후 3:30:00</t>
  </si>
  <si>
    <t>2015. 5. 12 오후 4:00:00</t>
  </si>
  <si>
    <t>2015. 5. 12 오후 3:30:00</t>
  </si>
  <si>
    <t>2015. 5. 13 오후 4:00:00</t>
  </si>
  <si>
    <t>2015. 5. 13 오후 3:30:00</t>
  </si>
  <si>
    <t>2015. 5. 14 오후 4:00:00</t>
  </si>
  <si>
    <t>2015. 5. 14 오후 3:30:00</t>
  </si>
  <si>
    <t>2015. 5. 15 오후 4:00:00</t>
  </si>
  <si>
    <t>2015. 5. 15 오후 3:30:00</t>
  </si>
  <si>
    <t>2015. 5. 16 오후 4:00:00</t>
  </si>
  <si>
    <t>2015. 5. 16 오후 3:30:00</t>
  </si>
  <si>
    <t>2015. 5. 17 오후 4:00:00</t>
  </si>
  <si>
    <t>2015. 5. 17 오후 3:30:00</t>
  </si>
  <si>
    <t>2015. 5. 18 오후 4:00:00</t>
  </si>
  <si>
    <t>2015. 5. 18 오후 3:30:00</t>
  </si>
  <si>
    <t>2015. 5. 19 오후 4:00:00</t>
  </si>
  <si>
    <t>2015. 5. 19 오후 3:30:00</t>
  </si>
  <si>
    <t>2015. 5. 20 오후 4:00:00</t>
  </si>
  <si>
    <t>2015. 5. 20 오후 3:30:00</t>
  </si>
  <si>
    <t>2015. 5. 21 오후 4:00:00</t>
  </si>
  <si>
    <t>2015. 5. 21 오후 3:30:00</t>
  </si>
  <si>
    <t>2015. 5. 22 오후 4:00:00</t>
  </si>
  <si>
    <t>2015. 5. 22 오후 3:30:00</t>
  </si>
  <si>
    <t>2015. 5. 23 오후 4:00:00</t>
  </si>
  <si>
    <t>2015. 5. 23 오후 3:30:00</t>
  </si>
  <si>
    <t>2015. 5. 24 오후 4:00:00</t>
  </si>
  <si>
    <t>2015. 5. 24 오후 3:30:00</t>
  </si>
  <si>
    <t>2015. 5. 25 오후 4:00:00</t>
  </si>
  <si>
    <t>2015. 5. 25 오후 3:30:00</t>
  </si>
  <si>
    <t>2015. 5. 26 오후 4:00:00</t>
  </si>
  <si>
    <t>2015. 5. 26 오후 3:30:00</t>
  </si>
  <si>
    <t>2015. 5. 27 오후 4:00:00</t>
  </si>
  <si>
    <t>2015. 5. 27 오후 3:30:00</t>
  </si>
  <si>
    <t>2015. 5. 28 오후 4:00:00</t>
  </si>
  <si>
    <t>2015. 5. 28 오후 3:30:00</t>
  </si>
  <si>
    <t>2015. 5. 29 오후 4:00:00</t>
  </si>
  <si>
    <t>2015. 5. 29 오후 3:30:00</t>
  </si>
  <si>
    <t>2015. 5. 30 오후 4:00:00</t>
  </si>
  <si>
    <t>2015. 5. 30 오후 3:30:00</t>
  </si>
  <si>
    <t>2015. 5. 31 오후 4:00:00</t>
  </si>
  <si>
    <t>2015. 5. 31 오후 3:30:00</t>
  </si>
  <si>
    <t>2015. 6. 1 오후 4:00:00</t>
  </si>
  <si>
    <t>2015. 6. 1 오후 3:30:00</t>
  </si>
  <si>
    <t>2015. 6. 2 오후 4:00:00</t>
  </si>
  <si>
    <t>2015. 6. 2 오후 3:30:00</t>
  </si>
  <si>
    <t>2015. 6. 3 오후 4:00:00</t>
  </si>
  <si>
    <t>2015. 6. 3 오후 3:30:00</t>
  </si>
  <si>
    <t>2015. 6. 4 오후 4:00:00</t>
  </si>
  <si>
    <t>2015. 6. 4 오후 3:30:00</t>
  </si>
  <si>
    <t>2015. 6. 5 오후 4:00:00</t>
  </si>
  <si>
    <t>2015. 6. 5 오후 3:30:00</t>
  </si>
  <si>
    <t>2015. 6. 6 오후 4:00:00</t>
  </si>
  <si>
    <t>2015. 6. 6 오후 3:30:00</t>
  </si>
  <si>
    <t>2015. 6. 7 오후 4:00:00</t>
  </si>
  <si>
    <t>2015. 6. 7 오후 3:30:00</t>
  </si>
  <si>
    <t>2015. 6. 8 오후 4:00:00</t>
  </si>
  <si>
    <t>2015. 6. 8 오후 3:30:00</t>
  </si>
  <si>
    <t>2015. 6. 9 오후 4:00:00</t>
  </si>
  <si>
    <t>2015. 6. 9 오후 3:30:00</t>
  </si>
  <si>
    <t>2015. 6. 10 오후 4:00:00</t>
  </si>
  <si>
    <t>2015. 6. 10 오후 3:30:00</t>
  </si>
  <si>
    <t>2015. 6. 11 오후 4:00:00</t>
  </si>
  <si>
    <t>2015. 6. 11 오후 3:30:00</t>
  </si>
  <si>
    <t>2015. 6. 12 오후 4:00:00</t>
  </si>
  <si>
    <t>2015. 6. 12 오후 3:30:00</t>
  </si>
  <si>
    <t>2015. 6. 13 오후 4:00:00</t>
  </si>
  <si>
    <t>2015. 6. 13 오후 3:30:00</t>
  </si>
  <si>
    <t>2015. 6. 14 오후 4:00:00</t>
  </si>
  <si>
    <t>2015. 6. 14 오후 3:30:00</t>
  </si>
  <si>
    <t>2015. 6. 15 오후 4:00:00</t>
  </si>
  <si>
    <t>2015. 6. 15 오후 3:30:00</t>
  </si>
  <si>
    <t>2015. 6. 16 오후 4:00:00</t>
  </si>
  <si>
    <t>2015. 6. 16 오후 3:30:00</t>
  </si>
  <si>
    <t>2015. 6. 17 오후 4:00:00</t>
  </si>
  <si>
    <t>2015. 6. 17 오후 3:30:00</t>
  </si>
  <si>
    <t>2015. 6. 18 오후 4:00:00</t>
  </si>
  <si>
    <t>2015. 6. 18 오후 3:30:00</t>
  </si>
  <si>
    <t>2015. 6. 19 오후 4:00:00</t>
  </si>
  <si>
    <t>2015. 6. 19 오후 3:30:00</t>
  </si>
  <si>
    <t>2015. 6. 20 오후 4:00:00</t>
  </si>
  <si>
    <t>2015. 6. 20 오후 3:30:00</t>
  </si>
  <si>
    <t>2015. 6. 21 오후 4:00:00</t>
  </si>
  <si>
    <t>2015. 6. 21 오후 3:30:00</t>
  </si>
  <si>
    <t>2015. 6. 22 오후 4:00:00</t>
  </si>
  <si>
    <t>2015. 6. 22 오후 3:30:00</t>
  </si>
  <si>
    <t>2015. 6. 23 오후 4:00:00</t>
  </si>
  <si>
    <t>2015. 6. 23 오후 3:30:00</t>
  </si>
  <si>
    <t>2015. 6. 24 오후 4:00:00</t>
  </si>
  <si>
    <t>2015. 6. 24 오후 3:30:00</t>
  </si>
  <si>
    <t>2015. 6. 25 오후 4:00:00</t>
  </si>
  <si>
    <t>2015. 6. 25 오후 3:30:00</t>
  </si>
  <si>
    <t>2015. 6. 26 오후 4:00:00</t>
  </si>
  <si>
    <t>2015. 6. 26 오후 3:30:00</t>
  </si>
  <si>
    <t>2015. 6. 27 오후 4:00:00</t>
  </si>
  <si>
    <t>2015. 6. 27 오후 3:30:00</t>
  </si>
  <si>
    <t>2015. 6. 28 오후 4:00:00</t>
  </si>
  <si>
    <t>2015. 6. 28 오후 3:30:00</t>
  </si>
  <si>
    <t>2015. 6. 29 오후 4:00:00</t>
  </si>
  <si>
    <t>2015. 6. 29 오후 3:30:00</t>
  </si>
  <si>
    <t>2015. 6. 30 오후 4:00:00</t>
  </si>
  <si>
    <t>2015. 6. 30 오후 3:30:00</t>
  </si>
  <si>
    <t>2015. 7. 1 오후 4:00:00</t>
  </si>
  <si>
    <t>2015. 7. 1 오후 3:30:00</t>
  </si>
  <si>
    <t>2015. 7. 2 오후 4:00:00</t>
  </si>
  <si>
    <t>2015. 7. 2 오후 3:30:00</t>
  </si>
  <si>
    <t>2015. 7. 3 오후 4:00:00</t>
  </si>
  <si>
    <t>2015. 7. 3 오후 3:30:00</t>
  </si>
  <si>
    <t>2015. 7. 4 오후 4:00:00</t>
  </si>
  <si>
    <t>2015. 7. 4 오후 3:30:00</t>
  </si>
  <si>
    <t>2015. 7. 5 오후 4:00:00</t>
  </si>
  <si>
    <t>2015. 7. 5 오후 3:30:00</t>
  </si>
  <si>
    <t>2015. 7. 6 오후 4:00:00</t>
  </si>
  <si>
    <t>2015. 7. 6 오후 3:30:00</t>
  </si>
  <si>
    <t>2015. 7. 7 오후 4:00:00</t>
  </si>
  <si>
    <t>2015. 7. 7 오후 3:30:00</t>
  </si>
  <si>
    <t>2015. 7. 8 오후 4:00:00</t>
  </si>
  <si>
    <t>2015. 7. 8 오후 3:30:00</t>
  </si>
  <si>
    <t>2015. 7. 9 오후 4:00:00</t>
  </si>
  <si>
    <t>2015. 7. 9 오후 3:30:00</t>
  </si>
  <si>
    <t>2015. 7. 10 오후 4:00:00</t>
  </si>
  <si>
    <t>2015. 7. 10 오후 3:30:00</t>
  </si>
  <si>
    <t>2015. 7. 11 오후 4:00:00</t>
  </si>
  <si>
    <t>2015. 7. 11 오후 3:30:00</t>
  </si>
  <si>
    <t>2015. 7. 12 오후 4:00:00</t>
  </si>
  <si>
    <t>2015. 7. 12 오후 3:30:00</t>
  </si>
  <si>
    <t>2015. 7. 13 오후 4:00:00</t>
  </si>
  <si>
    <t>2015. 7. 13 오후 3:30:00</t>
  </si>
  <si>
    <t>2015. 7. 14 오후 4:00:00</t>
  </si>
  <si>
    <t>2015. 7. 14 오후 3:30:00</t>
  </si>
  <si>
    <t>2015. 7. 15 오후 4:00:00</t>
  </si>
  <si>
    <t>2015. 7. 15 오후 3:30:00</t>
  </si>
  <si>
    <t>2015. 7. 16 오후 4:00:00</t>
  </si>
  <si>
    <t>2015. 7. 16 오후 3:30:00</t>
  </si>
  <si>
    <t>2015. 7. 17 오후 4:00:00</t>
  </si>
  <si>
    <t>2015. 7. 17 오후 3:30:00</t>
  </si>
  <si>
    <t>2015. 7. 18 오후 4:00:00</t>
  </si>
  <si>
    <t>2015. 7. 18 오후 3:30:00</t>
  </si>
  <si>
    <t>2015. 7. 19 오후 4:00:00</t>
  </si>
  <si>
    <t>2015. 7. 19 오후 3:30:00</t>
  </si>
  <si>
    <t>2015. 7. 20 오후 4:00:00</t>
  </si>
  <si>
    <t>2015. 7. 20 오후 3:30:00</t>
  </si>
  <si>
    <t>2015. 7. 21 오후 4:00:00</t>
  </si>
  <si>
    <t>2015. 7. 21 오후 3:30:00</t>
  </si>
  <si>
    <t>2015. 7. 22 오후 4:00:00</t>
  </si>
  <si>
    <t>2015. 7. 22 오후 3:30:00</t>
  </si>
  <si>
    <t>2015. 7. 23 오후 4:00:00</t>
  </si>
  <si>
    <t>2015. 7. 23 오후 3:30:00</t>
  </si>
  <si>
    <t>2015. 7. 24 오후 4:00:00</t>
  </si>
  <si>
    <t>2015. 7. 24 오후 3:30:00</t>
  </si>
  <si>
    <t>2015. 7. 25 오후 4:00:00</t>
  </si>
  <si>
    <t>2015. 7. 25 오후 3:30:00</t>
  </si>
  <si>
    <t>2015. 7. 26 오후 4:00:00</t>
  </si>
  <si>
    <t>2015. 7. 26 오후 3:30:00</t>
  </si>
  <si>
    <t>2015. 7. 27 오후 4:00:00</t>
  </si>
  <si>
    <t>2015. 7. 27 오후 3:30:00</t>
  </si>
  <si>
    <t>2015. 7. 28 오후 4:00:00</t>
  </si>
  <si>
    <t>2015. 7. 28 오후 3:30:00</t>
  </si>
  <si>
    <t>2015. 7. 29 오후 4:00:00</t>
  </si>
  <si>
    <t>2015. 7. 29 오후 3:30:00</t>
  </si>
  <si>
    <t>2015. 7. 30 오후 4:00:00</t>
  </si>
  <si>
    <t>2015. 7. 30 오후 3:30:00</t>
  </si>
  <si>
    <t>2015. 7. 31 오후 4:00:00</t>
  </si>
  <si>
    <t>2015. 7. 31 오후 3:30:00</t>
  </si>
  <si>
    <t>2015. 8. 1 오후 4:00:00</t>
  </si>
  <si>
    <t>2015. 8. 1 오후 3:30:00</t>
  </si>
  <si>
    <t>2015. 8. 2 오후 4:00:00</t>
  </si>
  <si>
    <t>2015. 8. 2 오후 3:30:00</t>
  </si>
  <si>
    <t>2015. 8. 3 오후 4:00:00</t>
  </si>
  <si>
    <t>2015. 8. 3 오후 3:30:00</t>
  </si>
  <si>
    <t>2015. 8. 4 오후 4:00:00</t>
  </si>
  <si>
    <t>2015. 8. 4 오후 3:30:00</t>
  </si>
  <si>
    <t>2015. 8. 5 오후 4:00:00</t>
  </si>
  <si>
    <t>2015. 8. 5 오후 3:30:00</t>
  </si>
  <si>
    <t>2015. 8. 6 오후 4:00:00</t>
  </si>
  <si>
    <t>2015. 8. 6 오후 3:30:00</t>
  </si>
  <si>
    <t>2015. 8. 7 오후 4:00:00</t>
  </si>
  <si>
    <t>2015. 8. 7 오후 3:30:00</t>
  </si>
  <si>
    <t>2015. 8. 8 오후 4:00:00</t>
  </si>
  <si>
    <t>2015. 8. 8 오후 3:30:00</t>
  </si>
  <si>
    <t>2015. 8. 9 오후 4:00:00</t>
  </si>
  <si>
    <t>2015. 8. 9 오후 3:30:00</t>
  </si>
  <si>
    <t>2015. 8. 10 오후 4:00:00</t>
  </si>
  <si>
    <t>2015. 8. 10 오후 3:30:00</t>
  </si>
  <si>
    <t>2015. 8. 11 오후 4:00:00</t>
  </si>
  <si>
    <t>2015. 8. 11 오후 3:30:00</t>
  </si>
  <si>
    <t>2015. 8. 12 오후 4:00:00</t>
  </si>
  <si>
    <t>2015. 8. 12 오후 3:30:00</t>
  </si>
  <si>
    <t>2015. 8. 13 오후 4:00:00</t>
  </si>
  <si>
    <t>2015. 8. 13 오후 3:30:00</t>
  </si>
  <si>
    <t>2015. 8. 14 오후 4:00:00</t>
  </si>
  <si>
    <t>2015. 8. 14 오후 3:30:00</t>
  </si>
  <si>
    <t>2015. 8. 15 오후 4:00:00</t>
  </si>
  <si>
    <t>2015. 8. 15 오후 3:30:00</t>
  </si>
  <si>
    <t>2015. 8. 16 오후 4:00:00</t>
  </si>
  <si>
    <t>2015. 8. 16 오후 3:30:00</t>
  </si>
  <si>
    <t>2015. 8. 17 오후 4:00:00</t>
  </si>
  <si>
    <t>2015. 8. 17 오후 3:30:00</t>
  </si>
  <si>
    <t>2015. 8. 18 오후 4:00:00</t>
  </si>
  <si>
    <t>2015. 8. 18 오후 3:30:00</t>
  </si>
  <si>
    <t>2015. 8. 19 오후 4:00:00</t>
  </si>
  <si>
    <t>2015. 8. 19 오후 3:30:00</t>
  </si>
  <si>
    <t>2015. 8. 20 오후 4:00:00</t>
  </si>
  <si>
    <t>2015. 8. 20 오후 3:30:00</t>
  </si>
  <si>
    <t>2015. 8. 21 오후 4:00:00</t>
  </si>
  <si>
    <t>2015. 8. 21 오후 3:30:00</t>
  </si>
  <si>
    <t>2015. 8. 22 오후 4:00:00</t>
  </si>
  <si>
    <t>2015. 8. 22 오후 3:30:00</t>
  </si>
  <si>
    <t>2015. 8. 23 오후 4:00:00</t>
  </si>
  <si>
    <t>2015. 8. 23 오후 3:30:00</t>
  </si>
  <si>
    <t>2015. 8. 24 오후 4:00:00</t>
  </si>
  <si>
    <t>2015. 8. 24 오후 3:30:00</t>
  </si>
  <si>
    <t>2015. 8. 25 오후 4:00:00</t>
  </si>
  <si>
    <t>2015. 8. 25 오후 3:30:00</t>
  </si>
  <si>
    <t>2015. 8. 26 오후 4:00:00</t>
  </si>
  <si>
    <t>2015. 8. 26 오후 3:30:00</t>
  </si>
  <si>
    <t>2015. 8. 27 오후 4:00:00</t>
  </si>
  <si>
    <t>2015. 8. 27 오후 3:30:00</t>
  </si>
  <si>
    <t>2015. 8. 28 오후 4:00:00</t>
  </si>
  <si>
    <t>2015. 8. 28 오후 3:30:00</t>
  </si>
  <si>
    <t>2015. 8. 29 오후 4:00:00</t>
  </si>
  <si>
    <t>2015. 8. 29 오후 3:30:00</t>
  </si>
  <si>
    <t>2015. 8. 30 오후 4:00:00</t>
  </si>
  <si>
    <t>2015. 8. 30 오후 3:30:00</t>
  </si>
  <si>
    <t>2015. 8. 31 오후 4:00:00</t>
  </si>
  <si>
    <t>2015. 8. 31 오후 3:30:00</t>
  </si>
  <si>
    <t>2015. 9. 1 오후 4:00:00</t>
  </si>
  <si>
    <t>2015. 9. 1 오후 3:30:00</t>
  </si>
  <si>
    <t>2015. 9. 2 오후 4:00:00</t>
  </si>
  <si>
    <t>2015. 9. 2 오후 3:30:00</t>
  </si>
  <si>
    <t>2015. 9. 3 오후 4:00:00</t>
  </si>
  <si>
    <t>2015. 9. 3 오후 3:30:00</t>
  </si>
  <si>
    <t>2015. 9. 4 오후 4:00:00</t>
  </si>
  <si>
    <t>2015. 9. 4 오후 3:30:00</t>
  </si>
  <si>
    <t>2015. 9. 5 오후 4:00:00</t>
  </si>
  <si>
    <t>2015. 9. 5 오후 3:30:00</t>
  </si>
  <si>
    <t>2015. 9. 6 오후 4:00:00</t>
  </si>
  <si>
    <t>2015. 9. 6 오후 3:30:00</t>
  </si>
  <si>
    <t>2015. 9. 7 오후 4:00:00</t>
  </si>
  <si>
    <t>2015. 9. 7 오후 3:30:00</t>
  </si>
  <si>
    <t>2015. 9. 8 오후 4:00:00</t>
  </si>
  <si>
    <t>2015. 9. 8 오후 3:30:00</t>
  </si>
  <si>
    <t>2015. 9. 9 오후 4:00:00</t>
  </si>
  <si>
    <t>2015. 9. 9 오후 3:30:00</t>
  </si>
  <si>
    <t>2015. 9. 10 오후 4:00:00</t>
  </si>
  <si>
    <t>2015. 9. 10 오후 3:30:00</t>
  </si>
  <si>
    <t>2015. 9. 11 오후 4:00:00</t>
  </si>
  <si>
    <t>2015. 9. 11 오후 3:30:00</t>
  </si>
  <si>
    <t>2015. 9. 12 오후 4:00:00</t>
  </si>
  <si>
    <t>2015. 9. 12 오후 3:30:00</t>
  </si>
  <si>
    <t>2015. 9. 13 오후 4:00:00</t>
  </si>
  <si>
    <t>2015. 9. 13 오후 3:30:00</t>
  </si>
  <si>
    <t>2015. 9. 14 오후 4:00:00</t>
  </si>
  <si>
    <t>2015. 9. 14 오후 3:30:00</t>
  </si>
  <si>
    <t>2015. 9. 15 오후 4:00:00</t>
  </si>
  <si>
    <t>2015. 9. 15 오후 3:30:00</t>
  </si>
  <si>
    <t>2015. 9. 16 오후 4:00:00</t>
  </si>
  <si>
    <t>2015. 9. 16 오후 3:30:00</t>
  </si>
  <si>
    <t>2015. 9. 17 오후 4:00:00</t>
  </si>
  <si>
    <t>2015. 9. 17 오후 3:30:00</t>
  </si>
  <si>
    <t>2015. 9. 18 오후 4:00:00</t>
  </si>
  <si>
    <t>2015. 9. 18 오후 3:30:00</t>
  </si>
  <si>
    <t>2015. 9. 19 오후 4:00:00</t>
  </si>
  <si>
    <t>2015. 9. 19 오후 3:30:00</t>
  </si>
  <si>
    <t>2015. 9. 20 오후 4:00:00</t>
  </si>
  <si>
    <t>2015. 9. 20 오후 3:30:00</t>
  </si>
  <si>
    <t>2015. 9. 21 오후 4:00:00</t>
  </si>
  <si>
    <t>2015. 9. 21 오후 3:30:00</t>
  </si>
  <si>
    <t>2015. 9. 22 오후 4:00:00</t>
  </si>
  <si>
    <t>2015. 9. 22 오후 3:30:00</t>
  </si>
  <si>
    <t>2015. 9. 23 오후 4:00:00</t>
  </si>
  <si>
    <t>2015. 9. 23 오후 3:30:00</t>
  </si>
  <si>
    <t>2015. 9. 24 오후 4:00:00</t>
  </si>
  <si>
    <t>2015. 9. 24 오후 3:30:00</t>
  </si>
  <si>
    <t>2015. 9. 25 오후 4:00:00</t>
  </si>
  <si>
    <t>2015. 9. 25 오후 3:30:00</t>
  </si>
  <si>
    <t>2015. 9. 26 오후 4:00:00</t>
  </si>
  <si>
    <t>2015. 9. 26 오후 3:30:00</t>
  </si>
  <si>
    <t>2015. 9. 27 오후 4:00:00</t>
  </si>
  <si>
    <t>2015. 9. 27 오후 3:30:00</t>
  </si>
  <si>
    <t>2015. 9. 28 오후 4:00:00</t>
  </si>
  <si>
    <t>2015. 9. 28 오후 3:30:00</t>
  </si>
  <si>
    <t>2015. 9. 29 오후 4:00:00</t>
  </si>
  <si>
    <t>2015. 9. 29 오후 3:30:00</t>
  </si>
  <si>
    <t>2015. 9. 30 오후 4:00:00</t>
  </si>
  <si>
    <t>2015. 9. 30 오후 3:30:00</t>
  </si>
  <si>
    <t>2015. 10. 1 오후 4:00:00</t>
  </si>
  <si>
    <t>2015. 10. 1 오후 3:30:00</t>
  </si>
  <si>
    <t>2015. 10. 2 오후 4:00:00</t>
  </si>
  <si>
    <t>2015. 10. 2 오후 3:30:00</t>
  </si>
  <si>
    <t>2015. 10. 3 오후 4:00:00</t>
  </si>
  <si>
    <t>2015. 10. 3 오후 3:30:00</t>
  </si>
  <si>
    <t>2015. 10. 4 오후 4:00:00</t>
  </si>
  <si>
    <t>2015. 10. 4 오후 3:30:00</t>
  </si>
  <si>
    <t>2015. 10. 5 오후 4:00:00</t>
  </si>
  <si>
    <t>2015. 10. 5 오후 3:30:00</t>
  </si>
  <si>
    <t>2015. 10. 6 오후 4:00:00</t>
  </si>
  <si>
    <t>2015. 10. 6 오후 3:30:00</t>
  </si>
  <si>
    <t>2015. 10. 7 오후 4:00:00</t>
  </si>
  <si>
    <t>2015. 10. 7 오후 3:30:00</t>
  </si>
  <si>
    <t>2015. 10. 8 오후 4:00:00</t>
  </si>
  <si>
    <t>2015. 10. 8 오후 3:30:00</t>
  </si>
  <si>
    <t>2015. 10. 9 오후 4:00:00</t>
  </si>
  <si>
    <t>2015. 10. 9 오후 3:30:00</t>
  </si>
  <si>
    <t>2015. 10. 10 오후 4:00:00</t>
  </si>
  <si>
    <t>2015. 10. 10 오후 3:30:00</t>
  </si>
  <si>
    <t>2015. 10. 11 오후 4:00:00</t>
  </si>
  <si>
    <t>2015. 10. 11 오후 3:30:00</t>
  </si>
  <si>
    <t>2015. 10. 12 오후 4:00:00</t>
  </si>
  <si>
    <t>2015. 10. 12 오후 3:30:00</t>
  </si>
  <si>
    <t>2015. 10. 13 오후 4:00:00</t>
  </si>
  <si>
    <t>2015. 10. 13 오후 3:30:00</t>
  </si>
  <si>
    <t>2015. 10. 14 오후 4:00:00</t>
  </si>
  <si>
    <t>2015. 10. 14 오후 3:30:00</t>
  </si>
  <si>
    <t>2015. 10. 15 오후 4:00:00</t>
  </si>
  <si>
    <t>2015. 10. 15 오후 3:30:00</t>
  </si>
  <si>
    <t>2015. 10. 16 오후 4:00:00</t>
  </si>
  <si>
    <t>2015. 10. 16 오후 3:30:00</t>
  </si>
  <si>
    <t>2015. 10. 17 오후 4:00:00</t>
  </si>
  <si>
    <t>2015. 10. 17 오후 3:30:00</t>
  </si>
  <si>
    <t>2015. 10. 18 오후 4:00:00</t>
  </si>
  <si>
    <t>2015. 10. 18 오후 3:30:00</t>
  </si>
  <si>
    <t>2015. 10. 19 오후 4:00:00</t>
  </si>
  <si>
    <t>2015. 10. 19 오후 3:30:00</t>
  </si>
  <si>
    <t>2015. 10. 20 오후 4:00:00</t>
  </si>
  <si>
    <t>2015. 10. 20 오후 3:30:00</t>
  </si>
  <si>
    <t>2015. 10. 21 오후 4:00:00</t>
  </si>
  <si>
    <t>2015. 10. 21 오후 3:30:00</t>
  </si>
  <si>
    <t>2015. 10. 22 오후 4:00:00</t>
  </si>
  <si>
    <t>2015. 10. 22 오후 3:30:00</t>
  </si>
  <si>
    <t>2015. 10. 23 오후 4:00:00</t>
  </si>
  <si>
    <t>2015. 10. 23 오후 3:30:00</t>
  </si>
  <si>
    <t>2015. 10. 24 오후 4:00:00</t>
  </si>
  <si>
    <t>2015. 10. 24 오후 3:30:00</t>
  </si>
  <si>
    <t>2015. 10. 25 오후 4:00:00</t>
  </si>
  <si>
    <t>2015. 10. 25 오후 3:30:00</t>
  </si>
  <si>
    <t>2015. 10. 26 오후 4:00:00</t>
  </si>
  <si>
    <t>2015. 10. 26 오후 3:30:00</t>
  </si>
  <si>
    <t>2015. 10. 27 오후 4:00:00</t>
  </si>
  <si>
    <t>2015. 10. 27 오후 3:30:00</t>
  </si>
  <si>
    <t>2015. 10. 28 오후 4:00:00</t>
  </si>
  <si>
    <t>2015. 10. 28 오후 3:30:00</t>
  </si>
  <si>
    <t>2015. 10. 29 오후 4:00:00</t>
  </si>
  <si>
    <t>2015. 10. 29 오후 3:30:00</t>
  </si>
  <si>
    <t>2015. 10. 30 오후 4:00:00</t>
  </si>
  <si>
    <t>2015. 10. 30 오후 3:30:00</t>
  </si>
  <si>
    <t>2015. 10. 31 오후 4:00:00</t>
  </si>
  <si>
    <t>2015. 10. 31 오후 3:30:00</t>
  </si>
  <si>
    <t>2015. 11. 1 오후 4:00:00</t>
  </si>
  <si>
    <t>2015. 11. 1 오후 3:30:00</t>
  </si>
  <si>
    <t>2015. 11. 2 오후 4:00:00</t>
  </si>
  <si>
    <t>2015. 11. 2 오후 3:30:00</t>
  </si>
  <si>
    <t>2015. 11. 3 오후 4:00:00</t>
  </si>
  <si>
    <t>2015. 11. 3 오후 3:30:00</t>
  </si>
  <si>
    <t>2015. 11. 4 오후 4:00:00</t>
  </si>
  <si>
    <t>2015. 11. 4 오후 3:30:00</t>
  </si>
  <si>
    <t>2015. 11. 5 오후 4:00:00</t>
  </si>
  <si>
    <t>2015. 11. 5 오후 3:30:00</t>
  </si>
  <si>
    <t>2015. 11. 6 오후 4:00:00</t>
  </si>
  <si>
    <t>2015. 11. 6 오후 3:30:00</t>
  </si>
  <si>
    <t>2015. 11. 7 오후 4:00:00</t>
  </si>
  <si>
    <t>2015. 11. 7 오후 3:30:00</t>
  </si>
  <si>
    <t>2015. 11. 8 오후 4:00:00</t>
  </si>
  <si>
    <t>2015. 11. 8 오후 3:30:00</t>
  </si>
  <si>
    <t>2015. 11. 9 오후 4:00:00</t>
  </si>
  <si>
    <t>2015. 11. 9 오후 3:30:00</t>
  </si>
  <si>
    <t>2015. 11. 10 오후 4:00:00</t>
  </si>
  <si>
    <t>2015. 11. 10 오후 3:30:00</t>
  </si>
  <si>
    <t>2015. 11. 11 오후 4:00:00</t>
  </si>
  <si>
    <t>2015. 11. 11 오후 3:30:00</t>
  </si>
  <si>
    <t>2015. 11. 12 오후 4:00:00</t>
  </si>
  <si>
    <t>2015. 11. 12 오후 3:30:00</t>
  </si>
  <si>
    <t>2015. 11. 13 오후 4:00:00</t>
  </si>
  <si>
    <t>2015. 11. 13 오후 3:30:00</t>
  </si>
  <si>
    <t>2015. 11. 14 오후 4:00:00</t>
  </si>
  <si>
    <t>2015. 11. 14 오후 3:30:00</t>
  </si>
  <si>
    <t>2015. 11. 15 오후 4:00:00</t>
  </si>
  <si>
    <t>2015. 11. 15 오후 3:30:00</t>
  </si>
  <si>
    <t>2015. 11. 16 오후 4:00:00</t>
  </si>
  <si>
    <t>2015. 11. 16 오후 3:30:00</t>
  </si>
  <si>
    <t>2015. 11. 17 오후 4:00:00</t>
  </si>
  <si>
    <t>2015. 11. 17 오후 3:30:00</t>
  </si>
  <si>
    <t>2015. 11. 18 오후 4:00:00</t>
  </si>
  <si>
    <t>2015. 11. 18 오후 3:30:00</t>
  </si>
  <si>
    <t>2015. 11. 19 오후 4:00:00</t>
  </si>
  <si>
    <t>2015. 11. 19 오후 3:30:00</t>
  </si>
  <si>
    <t>2015. 11. 20 오후 4:00:00</t>
  </si>
  <si>
    <t>2015. 11. 20 오후 3:30:00</t>
  </si>
  <si>
    <t>2015. 11. 21 오후 4:00:00</t>
  </si>
  <si>
    <t>2015. 11. 21 오후 3:30:00</t>
  </si>
  <si>
    <t>2015. 11. 22 오후 4:00:00</t>
  </si>
  <si>
    <t>2015. 11. 22 오후 3:30:00</t>
  </si>
  <si>
    <t>2015. 11. 23 오후 4:00:00</t>
  </si>
  <si>
    <t>2015. 11. 23 오후 3:30:00</t>
  </si>
  <si>
    <t>2015. 11. 24 오후 4:00:00</t>
  </si>
  <si>
    <t>2015. 11. 24 오후 3:30:00</t>
  </si>
  <si>
    <t>2015. 11. 25 오후 4:00:00</t>
  </si>
  <si>
    <t>2015. 11. 25 오후 3:30:00</t>
  </si>
  <si>
    <t>2015. 11. 26 오후 4:00:00</t>
  </si>
  <si>
    <t>2015. 11. 26 오후 3:30:00</t>
  </si>
  <si>
    <t>2015. 11. 27 오후 4:00:00</t>
  </si>
  <si>
    <t>2015. 11. 27 오후 3:30:00</t>
  </si>
  <si>
    <t>2015. 11. 28 오후 4:00:00</t>
  </si>
  <si>
    <t>2015. 11. 28 오후 3:30:00</t>
  </si>
  <si>
    <t>2015. 11. 29 오후 4:00:00</t>
  </si>
  <si>
    <t>2015. 11. 29 오후 3:30:00</t>
  </si>
  <si>
    <t>2015. 11. 30 오후 4:00:00</t>
  </si>
  <si>
    <t>2015. 11. 30 오후 3:30:00</t>
  </si>
  <si>
    <t>2015. 12. 1 오후 4:00:00</t>
  </si>
  <si>
    <t>2015. 12. 1 오후 3:30:00</t>
  </si>
  <si>
    <t>2015. 12. 2 오후 4:00:00</t>
  </si>
  <si>
    <t>2015. 12. 2 오후 3:30:00</t>
  </si>
  <si>
    <t>2015. 12. 3 오후 4:00:00</t>
  </si>
  <si>
    <t>2015. 12. 3 오후 3:30:00</t>
  </si>
  <si>
    <t>2015. 12. 4 오후 4:00:00</t>
  </si>
  <si>
    <t>2015. 12. 4 오후 3:30:00</t>
  </si>
  <si>
    <t>2015. 12. 5 오후 4:00:00</t>
  </si>
  <si>
    <t>2015. 12. 5 오후 3:30:00</t>
  </si>
  <si>
    <t>2015. 12. 6 오후 4:00:00</t>
  </si>
  <si>
    <t>2015. 12. 6 오후 3:30:00</t>
  </si>
  <si>
    <t>2015. 12. 7 오후 4:00:00</t>
  </si>
  <si>
    <t>2015. 12. 7 오후 3:30:00</t>
  </si>
  <si>
    <t>2015. 12. 8 오후 4:00:00</t>
  </si>
  <si>
    <t>2015. 12. 8 오후 3:30:00</t>
  </si>
  <si>
    <t>2015. 12. 9 오후 4:00:00</t>
  </si>
  <si>
    <t>2015. 12. 9 오후 3:30:00</t>
  </si>
  <si>
    <t>2015. 12. 10 오후 4:00:00</t>
  </si>
  <si>
    <t>2015. 12. 10 오후 3:30:00</t>
  </si>
  <si>
    <t>2015. 12. 11 오후 4:00:00</t>
  </si>
  <si>
    <t>2015. 12. 11 오후 3:30:00</t>
  </si>
  <si>
    <t>2015. 12. 12 오후 4:00:00</t>
  </si>
  <si>
    <t>2015. 12. 12 오후 3:30:00</t>
  </si>
  <si>
    <t>2015. 12. 13 오후 4:00:00</t>
  </si>
  <si>
    <t>2015. 12. 13 오후 3:30:00</t>
  </si>
  <si>
    <t>2015. 12. 14 오후 4:00:00</t>
  </si>
  <si>
    <t>2015. 12. 14 오후 3:30:00</t>
  </si>
  <si>
    <t>2015. 12. 15 오후 4:00:00</t>
  </si>
  <si>
    <t>2015. 12. 15 오후 3:30:00</t>
  </si>
  <si>
    <t>2015. 12. 16 오후 4:00:00</t>
  </si>
  <si>
    <t>2015. 12. 16 오후 3:30:00</t>
  </si>
  <si>
    <t>2015. 12. 17 오후 4:00:00</t>
  </si>
  <si>
    <t>2015. 12. 17 오후 3:30:00</t>
  </si>
  <si>
    <t>2015. 12. 18 오후 4:00:00</t>
  </si>
  <si>
    <t>2015. 12. 18 오후 3:30:00</t>
  </si>
  <si>
    <t>2015. 12. 19 오후 4:00:00</t>
  </si>
  <si>
    <t>2015. 12. 19 오후 3:30:00</t>
  </si>
  <si>
    <t>2015. 12. 20 오후 4:00:00</t>
  </si>
  <si>
    <t>2015. 12. 20 오후 3:30:00</t>
  </si>
  <si>
    <t>2015. 12. 21 오후 4:00:00</t>
  </si>
  <si>
    <t>2015. 12. 21 오후 3:30:00</t>
  </si>
  <si>
    <t>2015. 12. 22 오후 4:00:00</t>
  </si>
  <si>
    <t>2015. 12. 22 오후 3:30:00</t>
  </si>
  <si>
    <t>2015. 12. 23 오후 4:00:00</t>
  </si>
  <si>
    <t>2015. 12. 23 오후 3:30:00</t>
  </si>
  <si>
    <t>2015. 12. 24 오후 4:00:00</t>
  </si>
  <si>
    <t>2015. 12. 24 오후 3:30:00</t>
  </si>
  <si>
    <t>2015. 12. 25 오후 4:00:00</t>
  </si>
  <si>
    <t>2015. 12. 25 오후 3:30:00</t>
  </si>
  <si>
    <t>2015. 12. 26 오후 4:00:00</t>
  </si>
  <si>
    <t>2015. 12. 26 오후 3:30:00</t>
  </si>
  <si>
    <t>2015. 12. 27 오후 4:00:00</t>
  </si>
  <si>
    <t>2015. 12. 27 오후 3:30:00</t>
  </si>
  <si>
    <t>2015. 12. 28 오후 4:00:00</t>
  </si>
  <si>
    <t>2015. 12. 28 오후 3:30:00</t>
  </si>
  <si>
    <t>2015. 12. 29 오후 4:00:00</t>
  </si>
  <si>
    <t>2015. 12. 29 오후 3:30:00</t>
  </si>
  <si>
    <t>2015. 12. 30 오후 4:00:00</t>
  </si>
  <si>
    <t>2015. 12. 30 오후 3:30:00</t>
  </si>
  <si>
    <t>2015. 12. 31 오후 4:00:00</t>
  </si>
  <si>
    <t>2015. 12. 31 오후 3:30:00</t>
  </si>
  <si>
    <t>2016. 1. 1 오후 4:00:00</t>
  </si>
  <si>
    <t>2016. 1. 1 오후 3:30:00</t>
  </si>
  <si>
    <t>2016. 1. 2 오후 4:00:00</t>
  </si>
  <si>
    <t>2016. 1. 2 오후 3:30:00</t>
  </si>
  <si>
    <t>2016. 1. 3 오후 4:00:00</t>
  </si>
  <si>
    <t>2016. 1. 3 오후 3:30:00</t>
  </si>
  <si>
    <t>2016. 1. 4 오후 4:00:00</t>
  </si>
  <si>
    <t>2016. 1. 4 오후 3:30:00</t>
  </si>
  <si>
    <t>2016. 1. 5 오후 4:00:00</t>
  </si>
  <si>
    <t>2016. 1. 5 오후 3:30:00</t>
  </si>
  <si>
    <t>2016. 1. 6 오후 4:00:00</t>
  </si>
  <si>
    <t>2016. 1. 6 오후 3:30:00</t>
  </si>
  <si>
    <t>2016. 1. 7 오후 4:00:00</t>
  </si>
  <si>
    <t>2016. 1. 7 오후 3:30:00</t>
  </si>
  <si>
    <t>2016. 1. 8 오후 4:00:00</t>
  </si>
  <si>
    <t>2016. 1. 8 오후 3:30:00</t>
  </si>
  <si>
    <t>2016. 1. 9 오후 4:00:00</t>
  </si>
  <si>
    <t>2016. 1. 9 오후 3:30:00</t>
  </si>
  <si>
    <t>2016. 1. 10 오후 4:00:00</t>
  </si>
  <si>
    <t>2016. 1. 10 오후 3:30:00</t>
  </si>
  <si>
    <t>2016. 1. 11 오후 4:00:00</t>
  </si>
  <si>
    <t>2016. 1. 11 오후 3:30:00</t>
  </si>
  <si>
    <t>2016. 1. 12 오후 4:00:00</t>
  </si>
  <si>
    <t>2016. 1. 12 오후 3:30:00</t>
  </si>
  <si>
    <t>2016. 1. 13 오후 4:00:00</t>
  </si>
  <si>
    <t>2016. 1. 13 오후 3:30:00</t>
  </si>
  <si>
    <t>2016. 1. 14 오후 4:00:00</t>
  </si>
  <si>
    <t>2016. 1. 14 오후 3:30:00</t>
  </si>
  <si>
    <t>2016. 1. 15 오후 4:00:00</t>
  </si>
  <si>
    <t>2016. 1. 15 오후 3:30:00</t>
  </si>
  <si>
    <t>2016. 1. 16 오후 4:00:00</t>
  </si>
  <si>
    <t>2016. 1. 16 오후 3:30:00</t>
  </si>
  <si>
    <t>2016. 1. 17 오후 4:00:00</t>
  </si>
  <si>
    <t>2016. 1. 17 오후 3:30:00</t>
  </si>
  <si>
    <t>2016. 1. 18 오후 4:00:00</t>
  </si>
  <si>
    <t>2016. 1. 18 오후 3:30:00</t>
  </si>
  <si>
    <t>2016. 1. 19 오후 4:00:00</t>
  </si>
  <si>
    <t>2016. 1. 19 오후 3:30:00</t>
  </si>
  <si>
    <t>2016. 1. 20 오후 4:00:00</t>
  </si>
  <si>
    <t>2016. 1. 20 오후 3:30:00</t>
  </si>
  <si>
    <t>2016. 1. 21 오후 4:00:00</t>
  </si>
  <si>
    <t>2016. 1. 21 오후 3:30:00</t>
  </si>
  <si>
    <t>2016. 1. 22 오후 4:00:00</t>
  </si>
  <si>
    <t>2016. 1. 22 오후 3:30:00</t>
  </si>
  <si>
    <t>2016. 1. 23 오후 4:00:00</t>
  </si>
  <si>
    <t>2016. 1. 23 오후 3:30:00</t>
  </si>
  <si>
    <t>2016. 1. 24 오후 4:00:00</t>
  </si>
  <si>
    <t>2016. 1. 24 오후 3:30:00</t>
  </si>
  <si>
    <t>2016. 1. 25 오후 4:00:00</t>
  </si>
  <si>
    <t>2016. 1. 25 오후 3:30:00</t>
  </si>
  <si>
    <t>2016. 1. 26 오후 4:00:00</t>
  </si>
  <si>
    <t>2016. 1. 26 오후 3:30:00</t>
  </si>
  <si>
    <t>2016. 1. 27 오후 4:00:00</t>
  </si>
  <si>
    <t>2016. 1. 27 오후 3:30:00</t>
  </si>
  <si>
    <t>2016. 1. 28 오후 4:00:00</t>
  </si>
  <si>
    <t>2016. 1. 28 오후 3:30:00</t>
  </si>
  <si>
    <t>2016. 1. 29 오후 4:00:00</t>
  </si>
  <si>
    <t>2016. 1. 29 오후 3:30:00</t>
  </si>
  <si>
    <t>2016. 1. 30 오후 4:00:00</t>
  </si>
  <si>
    <t>2016. 1. 30 오후 3:30:00</t>
  </si>
  <si>
    <t>2016. 1. 31 오후 4:00:00</t>
  </si>
  <si>
    <t>2016. 1. 31 오후 3:30:00</t>
  </si>
  <si>
    <t>2016. 2. 1 오후 4:00:00</t>
  </si>
  <si>
    <t>2016. 2. 1 오후 3:30:00</t>
  </si>
  <si>
    <t>2016. 2. 2 오후 4:00:00</t>
  </si>
  <si>
    <t>2016. 2. 2 오후 3:30:00</t>
  </si>
  <si>
    <t>2016. 2. 3 오후 4:00:00</t>
  </si>
  <si>
    <t>2016. 2. 3 오후 3:30:00</t>
  </si>
  <si>
    <t>2016. 2. 4 오후 4:00:00</t>
  </si>
  <si>
    <t>2016. 2. 4 오후 3:30:00</t>
  </si>
  <si>
    <t>2016. 2. 5 오후 4:00:00</t>
  </si>
  <si>
    <t>2016. 2. 5 오후 3:30:00</t>
  </si>
  <si>
    <t>2016. 2. 6 오후 4:00:00</t>
  </si>
  <si>
    <t>2016. 2. 6 오후 3:30:00</t>
  </si>
  <si>
    <t>2016. 2. 7 오후 4:00:00</t>
  </si>
  <si>
    <t>2016. 2. 7 오후 3:30:00</t>
  </si>
  <si>
    <t>2016. 2. 8 오후 4:00:00</t>
  </si>
  <si>
    <t>2016. 2. 8 오후 3:30:00</t>
  </si>
  <si>
    <t>2016. 2. 9 오후 4:00:00</t>
  </si>
  <si>
    <t>2016. 2. 9 오후 3:30:00</t>
  </si>
  <si>
    <t>2016. 2. 10 오후 4:00:00</t>
  </si>
  <si>
    <t>2016. 2. 10 오후 3:30:00</t>
  </si>
  <si>
    <t>2016. 2. 11 오후 4:00:00</t>
  </si>
  <si>
    <t>2016. 2. 11 오후 3:30:00</t>
  </si>
  <si>
    <t>2016. 2. 12 오후 4:00:00</t>
  </si>
  <si>
    <t>2016. 2. 12 오후 3:30:00</t>
  </si>
  <si>
    <t>2016. 2. 13 오후 4:00:00</t>
  </si>
  <si>
    <t>2016. 2. 13 오후 3:30:00</t>
  </si>
  <si>
    <t>2016. 2. 14 오후 4:00:00</t>
  </si>
  <si>
    <t>2016. 2. 14 오후 3:30:00</t>
  </si>
  <si>
    <t>2016. 2. 15 오후 4:00:00</t>
  </si>
  <si>
    <t>2016. 2. 15 오후 3:30:00</t>
  </si>
  <si>
    <t>2016. 2. 16 오후 4:00:00</t>
  </si>
  <si>
    <t>2016. 2. 16 오후 3:30:00</t>
  </si>
  <si>
    <t>2016. 2. 17 오후 4:00:00</t>
  </si>
  <si>
    <t>2016. 2. 17 오후 3:30:00</t>
  </si>
  <si>
    <t>2016. 2. 18 오후 4:00:00</t>
  </si>
  <si>
    <t>2016. 2. 18 오후 3:30:00</t>
  </si>
  <si>
    <t>2016. 2. 19 오후 4:00:00</t>
  </si>
  <si>
    <t>2016. 2. 19 오후 3:30:00</t>
  </si>
  <si>
    <t>2016. 2. 20 오후 4:00:00</t>
  </si>
  <si>
    <t>2016. 2. 20 오후 3:30:00</t>
  </si>
  <si>
    <t>2016. 2. 21 오후 4:00:00</t>
  </si>
  <si>
    <t>2016. 2. 21 오후 3:30:00</t>
  </si>
  <si>
    <t>2016. 2. 22 오후 4:00:00</t>
  </si>
  <si>
    <t>2016. 2. 22 오후 3:30:00</t>
  </si>
  <si>
    <t>2016. 2. 23 오후 4:00:00</t>
  </si>
  <si>
    <t>2016. 2. 23 오후 3:30:00</t>
  </si>
  <si>
    <t>2016. 2. 24 오후 4:00:00</t>
  </si>
  <si>
    <t>2016. 2. 24 오후 3:30:00</t>
  </si>
  <si>
    <t>2016. 2. 25 오후 4:00:00</t>
  </si>
  <si>
    <t>2016. 2. 25 오후 3:30:00</t>
  </si>
  <si>
    <t>2016. 2. 26 오후 4:00:00</t>
  </si>
  <si>
    <t>2016. 2. 26 오후 3:30:00</t>
  </si>
  <si>
    <t>2016. 2. 27 오후 4:00:00</t>
  </si>
  <si>
    <t>2016. 2. 27 오후 3:30:00</t>
  </si>
  <si>
    <t>2016. 2. 28 오후 4:00:00</t>
  </si>
  <si>
    <t>2016. 2. 28 오후 3:30:00</t>
  </si>
  <si>
    <t>2016. 2. 29 오후 4:00:00</t>
  </si>
  <si>
    <t>2016. 2. 29 오후 3:30:00</t>
  </si>
  <si>
    <t>2016. 3. 1 오후 4:00:00</t>
  </si>
  <si>
    <t>2016. 3. 1 오후 3:30:00</t>
  </si>
  <si>
    <t>2016. 3. 2 오후 4:00:00</t>
  </si>
  <si>
    <t>2016. 3. 2 오후 3:30:00</t>
  </si>
  <si>
    <t>2016. 3. 3 오후 4:00:00</t>
  </si>
  <si>
    <t>2016. 3. 3 오후 3:30:00</t>
  </si>
  <si>
    <t>2016. 3. 4 오후 4:00:00</t>
  </si>
  <si>
    <t>2016. 3. 4 오후 3:30:00</t>
  </si>
  <si>
    <t>2016. 3. 5 오후 4:00:00</t>
  </si>
  <si>
    <t>2016. 3. 5 오후 3:30:00</t>
  </si>
  <si>
    <t>2016. 3. 6 오후 4:00:00</t>
  </si>
  <si>
    <t>2016. 3. 6 오후 3:30:00</t>
  </si>
  <si>
    <t>2016. 3. 7 오후 4:00:00</t>
  </si>
  <si>
    <t>2016. 3. 7 오후 3:30:00</t>
  </si>
  <si>
    <t>2016. 3. 8 오후 4:00:00</t>
  </si>
  <si>
    <t>2016. 3. 8 오후 3:30:00</t>
  </si>
  <si>
    <t>2016. 3. 9 오후 4:00:00</t>
  </si>
  <si>
    <t>2016. 3. 9 오후 3:30:00</t>
  </si>
  <si>
    <t>2016. 3. 10 오후 4:00:00</t>
  </si>
  <si>
    <t>2016. 3. 10 오후 3:30:00</t>
  </si>
  <si>
    <t>2016. 3. 11 오후 4:00:00</t>
  </si>
  <si>
    <t>2016. 3. 11 오후 3:30:00</t>
  </si>
  <si>
    <t>2016. 3. 12 오후 4:00:00</t>
  </si>
  <si>
    <t>2016. 3. 12 오후 3:30:00</t>
  </si>
  <si>
    <t>2016. 3. 13 오후 4:00:00</t>
  </si>
  <si>
    <t>2016. 3. 13 오후 3:30:00</t>
  </si>
  <si>
    <t>2016. 3. 14 오후 4:00:00</t>
  </si>
  <si>
    <t>2016. 3. 14 오후 3:30:00</t>
  </si>
  <si>
    <t>2016. 3. 15 오후 4:00:00</t>
  </si>
  <si>
    <t>2016. 3. 15 오후 3:30:00</t>
  </si>
  <si>
    <t>2016. 3. 16 오후 4:00:00</t>
  </si>
  <si>
    <t>2016. 3. 16 오후 3:30:00</t>
  </si>
  <si>
    <t>2016. 3. 17 오후 4:00:00</t>
  </si>
  <si>
    <t>2016. 3. 17 오후 3:30:00</t>
  </si>
  <si>
    <t>2016. 3. 18 오후 4:00:00</t>
  </si>
  <si>
    <t>2016. 3. 18 오후 3:30:00</t>
  </si>
  <si>
    <t>2016. 3. 19 오후 4:00:00</t>
  </si>
  <si>
    <t>2016. 3. 19 오후 3:30:00</t>
  </si>
  <si>
    <t>2016. 3. 20 오후 4:00:00</t>
  </si>
  <si>
    <t>2016. 3. 20 오후 3:30:00</t>
  </si>
  <si>
    <t>2016. 3. 21 오후 4:00:00</t>
  </si>
  <si>
    <t>2016. 3. 21 오후 3:30:00</t>
  </si>
  <si>
    <t>2016. 3. 22 오후 4:00:00</t>
  </si>
  <si>
    <t>2016. 3. 22 오후 3:30:00</t>
  </si>
  <si>
    <t>2016. 3. 23 오후 4:00:00</t>
  </si>
  <si>
    <t>2016. 3. 23 오후 3:30:00</t>
  </si>
  <si>
    <t>2016. 3. 24 오후 4:00:00</t>
  </si>
  <si>
    <t>2016. 3. 24 오후 3:30:00</t>
  </si>
  <si>
    <t>2016. 3. 25 오후 4:00:00</t>
  </si>
  <si>
    <t>2016. 3. 25 오후 3:30:00</t>
  </si>
  <si>
    <t>2016. 3. 26 오후 4:00:00</t>
  </si>
  <si>
    <t>2016. 3. 26 오후 3:30:00</t>
  </si>
  <si>
    <t>2016. 3. 27 오후 4:00:00</t>
  </si>
  <si>
    <t>2016. 3. 27 오후 3:30:00</t>
  </si>
  <si>
    <t>2016. 3. 28 오후 4:00:00</t>
  </si>
  <si>
    <t>2016. 3. 28 오후 3:30:00</t>
  </si>
  <si>
    <t>2016. 3. 29 오후 4:00:00</t>
  </si>
  <si>
    <t>2016. 3. 29 오후 3:30:00</t>
  </si>
  <si>
    <t>2016. 3. 30 오후 4:00:00</t>
  </si>
  <si>
    <t>2016. 3. 30 오후 3:30:00</t>
  </si>
  <si>
    <t>2016. 3. 31 오후 4:00:00</t>
  </si>
  <si>
    <t>2016. 3. 31 오후 3:30:00</t>
  </si>
  <si>
    <t>2016. 4. 1 오후 4:00:00</t>
  </si>
  <si>
    <t>2016. 4. 1 오후 3:30:00</t>
  </si>
  <si>
    <t>2016. 4. 2 오후 4:00:00</t>
  </si>
  <si>
    <t>2016. 4. 2 오후 3:30:00</t>
  </si>
  <si>
    <t>2016. 4. 3 오후 4:00:00</t>
  </si>
  <si>
    <t>2016. 4. 3 오후 3:30:00</t>
  </si>
  <si>
    <t>2016. 4. 4 오후 4:00:00</t>
  </si>
  <si>
    <t>2016. 4. 4 오후 3:30:00</t>
  </si>
  <si>
    <t>2016. 4. 5 오후 4:00:00</t>
  </si>
  <si>
    <t>2016. 4. 5 오후 3:30:00</t>
  </si>
  <si>
    <t>2016. 4. 6 오후 4:00:00</t>
  </si>
  <si>
    <t>2016. 4. 6 오후 3:30:00</t>
  </si>
  <si>
    <t>2016. 4. 7 오후 4:00:00</t>
  </si>
  <si>
    <t>2016. 4. 7 오후 3:30:00</t>
  </si>
  <si>
    <t>2016. 4. 8 오후 4:00:00</t>
  </si>
  <si>
    <t>2016. 4. 8 오후 3:30:00</t>
  </si>
  <si>
    <t>2016. 4. 9 오후 4:00:00</t>
  </si>
  <si>
    <t>2016. 4. 9 오후 3:30:00</t>
  </si>
  <si>
    <t>2016. 4. 10 오후 4:00:00</t>
  </si>
  <si>
    <t>2016. 4. 10 오후 3:30:00</t>
  </si>
  <si>
    <t>2016. 4. 11 오후 4:00:00</t>
  </si>
  <si>
    <t>2016. 4. 11 오후 3:30:00</t>
  </si>
  <si>
    <t>2016. 4. 12 오후 4:00:00</t>
  </si>
  <si>
    <t>2016. 4. 12 오후 3:30:00</t>
  </si>
  <si>
    <t>2016. 4. 13 오후 4:00:00</t>
  </si>
  <si>
    <t>2016. 4. 13 오후 3:30:00</t>
  </si>
  <si>
    <t>2016. 4. 14 오후 4:00:00</t>
  </si>
  <si>
    <t>2016. 4. 14 오후 3:30:00</t>
  </si>
  <si>
    <t>2016. 4. 15 오후 4:00:00</t>
  </si>
  <si>
    <t>2016. 4. 15 오후 3:30:00</t>
  </si>
  <si>
    <t>2016. 4. 16 오후 4:00:00</t>
  </si>
  <si>
    <t>2016. 4. 16 오후 3:30:00</t>
  </si>
  <si>
    <t>2016. 4. 17 오후 4:00:00</t>
  </si>
  <si>
    <t>2016. 4. 17 오후 3:30:00</t>
  </si>
  <si>
    <t>2016. 4. 18 오후 4:00:00</t>
  </si>
  <si>
    <t>2016. 4. 18 오후 3:30:00</t>
  </si>
  <si>
    <t>2016. 4. 19 오후 4:00:00</t>
  </si>
  <si>
    <t>2016. 4. 19 오후 3:30:00</t>
  </si>
  <si>
    <t>2016. 4. 20 오후 4:00:00</t>
  </si>
  <si>
    <t>2016. 4. 20 오후 3:30:00</t>
  </si>
  <si>
    <t>2016. 4. 21 오후 4:00:00</t>
  </si>
  <si>
    <t>2016. 4. 21 오후 3:30:00</t>
  </si>
  <si>
    <t>2016. 4. 22 오후 4:00:00</t>
  </si>
  <si>
    <t>2016. 4. 22 오후 3:30:00</t>
  </si>
  <si>
    <t>2016. 4. 23 오후 4:00:00</t>
  </si>
  <si>
    <t>2016. 4. 23 오후 3:30:00</t>
  </si>
  <si>
    <t>2016. 4. 24 오후 4:00:00</t>
  </si>
  <si>
    <t>2016. 4. 24 오후 3:30:00</t>
  </si>
  <si>
    <t>2016. 4. 25 오후 4:00:00</t>
  </si>
  <si>
    <t>2016. 4. 25 오후 3:30:00</t>
  </si>
  <si>
    <t>2016. 4. 26 오후 4:00:00</t>
  </si>
  <si>
    <t>2016. 4. 26 오후 3:30:00</t>
  </si>
  <si>
    <t>2016. 4. 27 오후 4:00:00</t>
  </si>
  <si>
    <t>2016. 4. 27 오후 3:30:00</t>
  </si>
  <si>
    <t>2016. 4. 28 오후 4:00:00</t>
  </si>
  <si>
    <t>2016. 4. 28 오후 3:30:00</t>
  </si>
  <si>
    <t>2016. 4. 29 오후 4:00:00</t>
  </si>
  <si>
    <t>2016. 4. 29 오후 3:30:00</t>
  </si>
  <si>
    <t>2016. 4. 30 오후 4:00:00</t>
  </si>
  <si>
    <t>2016. 4. 30 오후 3:30:00</t>
  </si>
  <si>
    <t>2016. 5. 1 오후 4:00:00</t>
  </si>
  <si>
    <t>2016. 5. 1 오후 3:30:00</t>
  </si>
  <si>
    <t>2016. 5. 2 오후 4:00:00</t>
  </si>
  <si>
    <t>2016. 5. 2 오후 3:30:00</t>
  </si>
  <si>
    <t>2016. 5. 3 오후 4:00:00</t>
  </si>
  <si>
    <t>2016. 5. 3 오후 3:30:00</t>
  </si>
  <si>
    <t>2016. 5. 4 오후 4:00:00</t>
  </si>
  <si>
    <t>2016. 5. 4 오후 3:30:00</t>
  </si>
  <si>
    <t>2016. 5. 5 오후 4:00:00</t>
  </si>
  <si>
    <t>2016. 5. 5 오후 3:30:00</t>
  </si>
  <si>
    <t>2016. 5. 6 오후 4:00:00</t>
  </si>
  <si>
    <t>2016. 5. 6 오후 3:30:00</t>
  </si>
  <si>
    <t>2016. 5. 7 오후 4:00:00</t>
  </si>
  <si>
    <t>2016. 5. 7 오후 3:30:00</t>
  </si>
  <si>
    <t>2016. 5. 8 오후 4:00:00</t>
  </si>
  <si>
    <t>2016. 5. 8 오후 3:30:00</t>
  </si>
  <si>
    <t>2016. 5. 9 오후 4:00:00</t>
  </si>
  <si>
    <t>2016. 5. 9 오후 3:30:00</t>
  </si>
  <si>
    <t>2016. 5. 10 오후 4:00:00</t>
  </si>
  <si>
    <t>2016. 5. 10 오후 3:30:00</t>
  </si>
  <si>
    <t>2016. 5. 11 오후 4:00:00</t>
  </si>
  <si>
    <t>2016. 5. 11 오후 3:30:00</t>
  </si>
  <si>
    <t>2016. 5. 12 오후 4:00:00</t>
  </si>
  <si>
    <t>2016. 5. 12 오후 3:30:00</t>
  </si>
  <si>
    <t>2016. 5. 13 오후 4:00:00</t>
  </si>
  <si>
    <t>2016. 5. 13 오후 3:30:00</t>
  </si>
  <si>
    <t>2016. 5. 14 오후 4:00:00</t>
  </si>
  <si>
    <t>2016. 5. 14 오후 3:30:00</t>
  </si>
  <si>
    <t>2016. 5. 15 오후 4:00:00</t>
  </si>
  <si>
    <t>2016. 5. 15 오후 3:30:00</t>
  </si>
  <si>
    <t>2016. 5. 16 오후 4:00:00</t>
  </si>
  <si>
    <t>2016. 5. 16 오후 3:30:00</t>
  </si>
  <si>
    <t>2016. 5. 17 오후 4:00:00</t>
  </si>
  <si>
    <t>2016. 5. 17 오후 3:30:00</t>
  </si>
  <si>
    <t>2016. 5. 18 오후 4:00:00</t>
  </si>
  <si>
    <t>2016. 5. 18 오후 3:30:00</t>
  </si>
  <si>
    <t>2016. 5. 19 오후 4:00:00</t>
  </si>
  <si>
    <t>2016. 5. 19 오후 3:30:00</t>
  </si>
  <si>
    <t>2016. 5. 20 오후 4:00:00</t>
  </si>
  <si>
    <t>2016. 5. 20 오후 3:30:00</t>
  </si>
  <si>
    <t>2016. 5. 21 오후 4:00:00</t>
  </si>
  <si>
    <t>2016. 5. 21 오후 3:30:00</t>
  </si>
  <si>
    <t>2016. 5. 22 오후 4:00:00</t>
  </si>
  <si>
    <t>2016. 5. 22 오후 3:30:00</t>
  </si>
  <si>
    <t>2016. 5. 23 오후 4:00:00</t>
  </si>
  <si>
    <t>2016. 5. 23 오후 3:30:00</t>
  </si>
  <si>
    <t>2016. 5. 24 오후 4:00:00</t>
  </si>
  <si>
    <t>2016. 5. 24 오후 3:30:00</t>
  </si>
  <si>
    <t>2016. 5. 25 오후 4:00:00</t>
  </si>
  <si>
    <t>2016. 5. 25 오후 3:30:00</t>
  </si>
  <si>
    <t>2016. 5. 26 오후 4:00:00</t>
  </si>
  <si>
    <t>2016. 5. 26 오후 3:30:00</t>
  </si>
  <si>
    <t>2016. 5. 27 오후 4:00:00</t>
  </si>
  <si>
    <t>2016. 5. 27 오후 3:30:00</t>
  </si>
  <si>
    <t>2016. 5. 28 오후 4:00:00</t>
  </si>
  <si>
    <t>2016. 5. 28 오후 3:30:00</t>
  </si>
  <si>
    <t>2016. 5. 29 오후 4:00:00</t>
  </si>
  <si>
    <t>2016. 5. 29 오후 3:30:00</t>
  </si>
  <si>
    <t>2016. 5. 30 오후 4:00:00</t>
  </si>
  <si>
    <t>2016. 5. 30 오후 3:30:00</t>
  </si>
  <si>
    <t>2016. 5. 31 오후 4:00:00</t>
  </si>
  <si>
    <t>2016. 5. 31 오후 3:30:00</t>
  </si>
  <si>
    <t>2016. 6. 1 오후 4:00:00</t>
  </si>
  <si>
    <t>2016. 6. 1 오후 3:30:00</t>
  </si>
  <si>
    <t>2016. 6. 2 오후 4:00:00</t>
  </si>
  <si>
    <t>2016. 6. 2 오후 3:30:00</t>
  </si>
  <si>
    <t>2016. 6. 3 오후 4:00:00</t>
  </si>
  <si>
    <t>2016. 6. 3 오후 3:30:00</t>
  </si>
  <si>
    <t>2016. 6. 4 오후 4:00:00</t>
  </si>
  <si>
    <t>2016. 6. 4 오후 3:30:00</t>
  </si>
  <si>
    <t>2016. 6. 5 오후 4:00:00</t>
  </si>
  <si>
    <t>2016. 6. 5 오후 3:30:00</t>
  </si>
  <si>
    <t>2016. 6. 6 오후 4:00:00</t>
  </si>
  <si>
    <t>2016. 6. 6 오후 3:30:00</t>
  </si>
  <si>
    <t>2016. 6. 7 오후 4:00:00</t>
  </si>
  <si>
    <t>2016. 6. 7 오후 3:30:00</t>
  </si>
  <si>
    <t>2016. 6. 8 오후 4:00:00</t>
  </si>
  <si>
    <t>2016. 6. 8 오후 3:30:00</t>
  </si>
  <si>
    <t>2016. 6. 9 오후 4:00:00</t>
  </si>
  <si>
    <t>2016. 6. 9 오후 3:30:00</t>
  </si>
  <si>
    <t>2016. 6. 10 오후 4:00:00</t>
  </si>
  <si>
    <t>2016. 6. 10 오후 3:30:00</t>
  </si>
  <si>
    <t>2016. 6. 11 오후 4:00:00</t>
  </si>
  <si>
    <t>2016. 6. 11 오후 3:30:00</t>
  </si>
  <si>
    <t>2016. 6. 12 오후 4:00:00</t>
  </si>
  <si>
    <t>2016. 6. 12 오후 3:30:00</t>
  </si>
  <si>
    <t>2016. 6. 13 오후 4:00:00</t>
  </si>
  <si>
    <t>2016. 6. 13 오후 3:30:00</t>
  </si>
  <si>
    <t>2016. 6. 14 오후 4:00:00</t>
  </si>
  <si>
    <t>2016. 6. 14 오후 3:30:00</t>
  </si>
  <si>
    <t>2016. 6. 15 오후 4:00:00</t>
  </si>
  <si>
    <t>2016. 6. 15 오후 3:30:00</t>
  </si>
  <si>
    <t>2016. 6. 16 오후 4:00:00</t>
  </si>
  <si>
    <t>2016. 6. 16 오후 3:30:00</t>
  </si>
  <si>
    <t>2016. 6. 17 오후 4:00:00</t>
  </si>
  <si>
    <t>2016. 6. 17 오후 3:30:00</t>
  </si>
  <si>
    <t>2016. 6. 18 오후 4:00:00</t>
  </si>
  <si>
    <t>2016. 6. 18 오후 3:30:00</t>
  </si>
  <si>
    <t>2016. 6. 19 오후 4:00:00</t>
  </si>
  <si>
    <t>2016. 6. 19 오후 3:30:00</t>
  </si>
  <si>
    <t>2016. 6. 20 오후 4:00:00</t>
  </si>
  <si>
    <t>2016. 6. 20 오후 3:30:00</t>
  </si>
  <si>
    <t>2016. 6. 21 오후 4:00:00</t>
  </si>
  <si>
    <t>2016. 6. 21 오후 3:30:00</t>
  </si>
  <si>
    <t>2016. 6. 22 오후 4:00:00</t>
  </si>
  <si>
    <t>2016. 6. 22 오후 3:30:00</t>
  </si>
  <si>
    <t>2016. 6. 23 오후 4:00:00</t>
  </si>
  <si>
    <t>2016. 6. 23 오후 3:30:00</t>
  </si>
  <si>
    <t>2016. 6. 24 오후 4:00:00</t>
  </si>
  <si>
    <t>2016. 6. 24 오후 3:30:00</t>
  </si>
  <si>
    <t>2016. 6. 25 오후 4:00:00</t>
  </si>
  <si>
    <t>2016. 6. 25 오후 3:30:00</t>
  </si>
  <si>
    <t>2016. 6. 26 오후 4:00:00</t>
  </si>
  <si>
    <t>2016. 6. 26 오후 3:30:00</t>
  </si>
  <si>
    <t>2016. 6. 27 오후 4:00:00</t>
  </si>
  <si>
    <t>2016. 6. 27 오후 3:30:00</t>
  </si>
  <si>
    <t>2016. 6. 28 오후 4:00:00</t>
  </si>
  <si>
    <t>2016. 6. 28 오후 3:30:00</t>
  </si>
  <si>
    <t>2016. 6. 29 오후 4:00:00</t>
  </si>
  <si>
    <t>2016. 6. 29 오후 3:30:00</t>
  </si>
  <si>
    <t>2016. 6. 30 오후 4:00:00</t>
  </si>
  <si>
    <t>2016. 6. 30 오후 3:30:00</t>
  </si>
  <si>
    <t>2016. 7. 1 오후 4:00:00</t>
  </si>
  <si>
    <t>2016. 7. 1 오후 3:30:00</t>
  </si>
  <si>
    <t>2016. 7. 2 오후 4:00:00</t>
  </si>
  <si>
    <t>2016. 7. 2 오후 3:30:00</t>
  </si>
  <si>
    <t>2016. 7. 3 오후 4:00:00</t>
  </si>
  <si>
    <t>2016. 7. 3 오후 3:30:00</t>
  </si>
  <si>
    <t>2016. 7. 4 오후 4:00:00</t>
  </si>
  <si>
    <t>2016. 7. 4 오후 3:30:00</t>
  </si>
  <si>
    <t>2016. 7. 5 오후 4:00:00</t>
  </si>
  <si>
    <t>2016. 7. 5 오후 3:30:00</t>
  </si>
  <si>
    <t>2016. 7. 6 오후 4:00:00</t>
  </si>
  <si>
    <t>2016. 7. 6 오후 3:30:00</t>
  </si>
  <si>
    <t>2016. 7. 7 오후 4:00:00</t>
  </si>
  <si>
    <t>2016. 7. 7 오후 3:30:00</t>
  </si>
  <si>
    <t>2016. 7. 8 오후 4:00:00</t>
  </si>
  <si>
    <t>2016. 7. 8 오후 3:30:00</t>
  </si>
  <si>
    <t>2016. 7. 9 오후 4:00:00</t>
  </si>
  <si>
    <t>2016. 7. 9 오후 3:30:00</t>
  </si>
  <si>
    <t>2016. 7. 10 오후 4:00:00</t>
  </si>
  <si>
    <t>2016. 7. 10 오후 3:30:00</t>
  </si>
  <si>
    <t>2016. 7. 11 오후 4:00:00</t>
  </si>
  <si>
    <t>2016. 7. 11 오후 3:30:00</t>
  </si>
  <si>
    <t>2016. 7. 12 오후 4:00:00</t>
  </si>
  <si>
    <t>2016. 7. 12 오후 3:30:00</t>
  </si>
  <si>
    <t>2016. 7. 13 오후 4:00:00</t>
  </si>
  <si>
    <t>2016. 7. 13 오후 3:30:00</t>
  </si>
  <si>
    <t>2016. 7. 14 오후 4:00:00</t>
  </si>
  <si>
    <t>2016. 7. 14 오후 3:30:00</t>
  </si>
  <si>
    <t>2016. 7. 15 오후 4:00:00</t>
  </si>
  <si>
    <t>2016. 7. 15 오후 3:30:00</t>
  </si>
  <si>
    <t>2016. 7. 16 오후 4:00:00</t>
  </si>
  <si>
    <t>2016. 7. 16 오후 3:30:00</t>
  </si>
  <si>
    <t>2016. 7. 17 오후 4:00:00</t>
  </si>
  <si>
    <t>2016. 7. 17 오후 3:30:00</t>
  </si>
  <si>
    <t>2016. 7. 18 오후 4:00:00</t>
  </si>
  <si>
    <t>2016. 7. 18 오후 3:30:00</t>
  </si>
  <si>
    <t>2016. 7. 19 오후 4:00:00</t>
  </si>
  <si>
    <t>2016. 7. 19 오후 3:30:00</t>
  </si>
  <si>
    <t>2016. 7. 20 오후 4:00:00</t>
  </si>
  <si>
    <t>2016. 7. 20 오후 3:30:00</t>
  </si>
  <si>
    <t>2016. 7. 21 오후 4:00:00</t>
  </si>
  <si>
    <t>2016. 7. 21 오후 3:30:00</t>
  </si>
  <si>
    <t>2016. 7. 22 오후 4:00:00</t>
  </si>
  <si>
    <t>2016. 7. 22 오후 3:30:00</t>
  </si>
  <si>
    <t>2016. 7. 23 오후 4:00:00</t>
  </si>
  <si>
    <t>2016. 7. 23 오후 3:30:00</t>
  </si>
  <si>
    <t>2016. 7. 24 오후 4:00:00</t>
  </si>
  <si>
    <t>2016. 7. 24 오후 3:30:00</t>
  </si>
  <si>
    <t>2016. 7. 25 오후 4:00:00</t>
  </si>
  <si>
    <t>2016. 7. 25 오후 3:30:00</t>
  </si>
  <si>
    <t>2016. 7. 26 오후 4:00:00</t>
  </si>
  <si>
    <t>2016. 7. 26 오후 3:30:00</t>
  </si>
  <si>
    <t>2016. 7. 27 오후 4:00:00</t>
  </si>
  <si>
    <t>2016. 7. 27 오후 3:30:00</t>
  </si>
  <si>
    <t>2016. 7. 28 오후 4:00:00</t>
  </si>
  <si>
    <t>2016. 7. 28 오후 3:30:00</t>
  </si>
  <si>
    <t>2016. 7. 29 오후 4:00:00</t>
  </si>
  <si>
    <t>2016. 7. 29 오후 3:30:00</t>
  </si>
  <si>
    <t>2016. 7. 30 오후 4:00:00</t>
  </si>
  <si>
    <t>2016. 7. 30 오후 3:30:00</t>
  </si>
  <si>
    <t>2016. 7. 31 오후 4:00:00</t>
  </si>
  <si>
    <t>2016. 7. 31 오후 3:30:00</t>
  </si>
  <si>
    <t>2016. 8. 1 오후 4:00:00</t>
  </si>
  <si>
    <t>2016. 8. 1 오후 3:30:00</t>
  </si>
  <si>
    <t>2016. 8. 2 오후 4:00:00</t>
  </si>
  <si>
    <t>2016. 8. 2 오후 3:30:00</t>
  </si>
  <si>
    <t>2016. 8. 3 오후 4:00:00</t>
  </si>
  <si>
    <t>2016. 8. 3 오후 3:30:00</t>
  </si>
  <si>
    <t>2016. 8. 4 오후 4:00:00</t>
  </si>
  <si>
    <t>2016. 8. 4 오후 3:30:00</t>
  </si>
  <si>
    <t>2016. 8. 5 오후 4:00:00</t>
  </si>
  <si>
    <t>2016. 8. 5 오후 3:30:00</t>
  </si>
  <si>
    <t>2016. 8. 6 오후 4:00:00</t>
  </si>
  <si>
    <t>2016. 8. 6 오후 3:30:00</t>
  </si>
  <si>
    <t>2016. 8. 7 오후 4:00:00</t>
  </si>
  <si>
    <t>2016. 8. 7 오후 3:30:00</t>
  </si>
  <si>
    <t>2016. 8. 8 오후 4:00:00</t>
  </si>
  <si>
    <t>2016. 8. 8 오후 3:30:00</t>
  </si>
  <si>
    <t>2016. 8. 9 오후 4:00:00</t>
  </si>
  <si>
    <t>2016. 8. 9 오후 3:30:00</t>
  </si>
  <si>
    <t>2016. 8. 10 오후 4:00:00</t>
  </si>
  <si>
    <t>2016. 8. 10 오후 3:30:00</t>
  </si>
  <si>
    <t>2016. 8. 11 오후 4:00:00</t>
  </si>
  <si>
    <t>2016. 8. 11 오후 3:30:00</t>
  </si>
  <si>
    <t>2016. 8. 12 오후 4:00:00</t>
  </si>
  <si>
    <t>2016. 8. 12 오후 3:30:00</t>
  </si>
  <si>
    <t>2016. 8. 13 오후 4:00:00</t>
  </si>
  <si>
    <t>2016. 8. 13 오후 3:30:00</t>
  </si>
  <si>
    <t>2016. 8. 14 오후 4:00:00</t>
  </si>
  <si>
    <t>2016. 8. 14 오후 3:30:00</t>
  </si>
  <si>
    <t>2016. 8. 15 오후 4:00:00</t>
  </si>
  <si>
    <t>2016. 8. 15 오후 3:30:00</t>
  </si>
  <si>
    <t>2016. 8. 16 오후 4:00:00</t>
  </si>
  <si>
    <t>2016. 8. 16 오후 3:30:00</t>
  </si>
  <si>
    <t>2016. 8. 17 오후 4:00:00</t>
  </si>
  <si>
    <t>2016. 8. 17 오후 3:30:00</t>
  </si>
  <si>
    <t>2016. 8. 18 오후 4:00:00</t>
  </si>
  <si>
    <t>2016. 8. 18 오후 3:30:00</t>
  </si>
  <si>
    <t>2016. 8. 19 오후 4:00:00</t>
  </si>
  <si>
    <t>2016. 8. 19 오후 3:30:00</t>
  </si>
  <si>
    <t>2016. 8. 20 오후 4:00:00</t>
  </si>
  <si>
    <t>2016. 8. 20 오후 3:30:00</t>
  </si>
  <si>
    <t>2016. 8. 21 오후 4:00:00</t>
  </si>
  <si>
    <t>2016. 8. 21 오후 3:30:00</t>
  </si>
  <si>
    <t>2016. 8. 22 오후 4:00:00</t>
  </si>
  <si>
    <t>2016. 8. 22 오후 3:30:00</t>
  </si>
  <si>
    <t>2016. 8. 23 오후 4:00:00</t>
  </si>
  <si>
    <t>2016. 8. 23 오후 3:30:00</t>
  </si>
  <si>
    <t>2016. 8. 24 오후 4:00:00</t>
  </si>
  <si>
    <t>2016. 8. 24 오후 3:30:00</t>
  </si>
  <si>
    <t>2016. 8. 25 오후 4:00:00</t>
  </si>
  <si>
    <t>2016. 8. 25 오후 3:30:00</t>
  </si>
  <si>
    <t>2016. 8. 26 오후 4:00:00</t>
  </si>
  <si>
    <t>2016. 8. 26 오후 3:30:00</t>
  </si>
  <si>
    <t>2016. 8. 27 오후 4:00:00</t>
  </si>
  <si>
    <t>2016. 8. 27 오후 3:30:00</t>
  </si>
  <si>
    <t>2016. 8. 28 오후 4:00:00</t>
  </si>
  <si>
    <t>2016. 8. 28 오후 3:30:00</t>
  </si>
  <si>
    <t>2016. 8. 29 오후 4:00:00</t>
  </si>
  <si>
    <t>2016. 8. 29 오후 3:30:00</t>
  </si>
  <si>
    <t>2016. 8. 30 오후 4:00:00</t>
  </si>
  <si>
    <t>2016. 8. 30 오후 3:30:00</t>
  </si>
  <si>
    <t>2016. 8. 31 오후 4:00:00</t>
  </si>
  <si>
    <t>2016. 8. 31 오후 3:30:00</t>
  </si>
  <si>
    <t>2016. 9. 1 오후 4:00:00</t>
  </si>
  <si>
    <t>2016. 9. 1 오후 3:30:00</t>
  </si>
  <si>
    <t>2016. 9. 2 오후 4:00:00</t>
  </si>
  <si>
    <t>2016. 9. 2 오후 3:30:00</t>
  </si>
  <si>
    <t>2016. 9. 3 오후 4:00:00</t>
  </si>
  <si>
    <t>2016. 9. 3 오후 3:30:00</t>
  </si>
  <si>
    <t>2016. 9. 4 오후 4:00:00</t>
  </si>
  <si>
    <t>2016. 9. 4 오후 3:30:00</t>
  </si>
  <si>
    <t>2016. 9. 5 오후 4:00:00</t>
  </si>
  <si>
    <t>2016. 9. 5 오후 3:30:00</t>
  </si>
  <si>
    <t>2016. 9. 6 오후 4:00:00</t>
  </si>
  <si>
    <t>2016. 9. 6 오후 3:30:00</t>
  </si>
  <si>
    <t>2016. 9. 7 오후 4:00:00</t>
  </si>
  <si>
    <t>2016. 9. 7 오후 3:30:00</t>
  </si>
  <si>
    <t>2016. 9. 8 오후 4:00:00</t>
  </si>
  <si>
    <t>2016. 9. 8 오후 3:30:00</t>
  </si>
  <si>
    <t>2016. 9. 9 오후 4:00:00</t>
  </si>
  <si>
    <t>2016. 9. 9 오후 3:30:00</t>
  </si>
  <si>
    <t>2016. 9. 10 오후 4:00:00</t>
  </si>
  <si>
    <t>2016. 9. 10 오후 3:30:00</t>
  </si>
  <si>
    <t>2016. 9. 11 오후 4:00:00</t>
  </si>
  <si>
    <t>2016. 9. 11 오후 3:30:00</t>
  </si>
  <si>
    <t>2016. 9. 12 오후 4:00:00</t>
  </si>
  <si>
    <t>2016. 9. 12 오후 3:30:00</t>
  </si>
  <si>
    <t>2016. 9. 13 오후 4:00:00</t>
  </si>
  <si>
    <t>2016. 9. 13 오후 3:30:00</t>
  </si>
  <si>
    <t>2016. 9. 14 오후 4:00:00</t>
  </si>
  <si>
    <t>2016. 9. 14 오후 3:30:00</t>
  </si>
  <si>
    <t>2016. 9. 15 오후 4:00:00</t>
  </si>
  <si>
    <t>2016. 9. 15 오후 3:30:00</t>
  </si>
  <si>
    <t>2016. 9. 16 오후 4:00:00</t>
  </si>
  <si>
    <t>2016. 9. 16 오후 3:30:00</t>
  </si>
  <si>
    <t>2016. 9. 17 오후 4:00:00</t>
  </si>
  <si>
    <t>2016. 9. 17 오후 3:30:00</t>
  </si>
  <si>
    <t>2016. 9. 18 오후 4:00:00</t>
  </si>
  <si>
    <t>2016. 9. 18 오후 3:30:00</t>
  </si>
  <si>
    <t>2016. 9. 19 오후 4:00:00</t>
  </si>
  <si>
    <t>2016. 9. 19 오후 3:30:00</t>
  </si>
  <si>
    <t>2016. 9. 20 오후 4:00:00</t>
  </si>
  <si>
    <t>2016. 9. 20 오후 3:30:00</t>
  </si>
  <si>
    <t>2016. 9. 21 오후 4:00:00</t>
  </si>
  <si>
    <t>2016. 9. 21 오후 3:30:00</t>
  </si>
  <si>
    <t>2016. 9. 22 오후 4:00:00</t>
  </si>
  <si>
    <t>2016. 9. 22 오후 3:30:00</t>
  </si>
  <si>
    <t>2016. 9. 23 오후 4:00:00</t>
  </si>
  <si>
    <t>2016. 9. 23 오후 3:30:00</t>
  </si>
  <si>
    <t>2016. 9. 24 오후 4:00:00</t>
  </si>
  <si>
    <t>2016. 9. 24 오후 3:30:00</t>
  </si>
  <si>
    <t>2016. 9. 25 오후 4:00:00</t>
  </si>
  <si>
    <t>2016. 9. 25 오후 3:30:00</t>
  </si>
  <si>
    <t>2016. 9. 26 오후 4:00:00</t>
  </si>
  <si>
    <t>2016. 9. 26 오후 3:30:00</t>
  </si>
  <si>
    <t>2016. 9. 27 오후 4:00:00</t>
  </si>
  <si>
    <t>2016. 9. 27 오후 3:30:00</t>
  </si>
  <si>
    <t>2016. 9. 28 오후 4:00:00</t>
  </si>
  <si>
    <t>2016. 9. 28 오후 3:30:00</t>
  </si>
  <si>
    <t>2016. 9. 29 오후 4:00:00</t>
  </si>
  <si>
    <t>2016. 9. 29 오후 3:30:00</t>
  </si>
  <si>
    <t>2016. 9. 30 오후 4:00:00</t>
  </si>
  <si>
    <t>2016. 9. 30 오후 3:30:00</t>
  </si>
  <si>
    <t>2016. 10. 1 오후 4:00:00</t>
  </si>
  <si>
    <t>2016. 10. 1 오후 3:30:00</t>
  </si>
  <si>
    <t>2016. 10. 2 오후 4:00:00</t>
  </si>
  <si>
    <t>2016. 10. 2 오후 3:30:00</t>
  </si>
  <si>
    <t>2016. 10. 3 오후 4:00:00</t>
  </si>
  <si>
    <t>2016. 10. 3 오후 3:30:00</t>
  </si>
  <si>
    <t>2016. 10. 4 오후 4:00:00</t>
  </si>
  <si>
    <t>2016. 10. 4 오후 3:30:00</t>
  </si>
  <si>
    <t>2016. 10. 5 오후 4:00:00</t>
  </si>
  <si>
    <t>2016. 10. 5 오후 3:30:00</t>
  </si>
  <si>
    <t>2016. 10. 6 오후 4:00:00</t>
  </si>
  <si>
    <t>2016. 10. 6 오후 3:30:00</t>
  </si>
  <si>
    <t>2016. 10. 7 오후 4:00:00</t>
  </si>
  <si>
    <t>2016. 10. 7 오후 3:30:00</t>
  </si>
  <si>
    <t>2016. 10. 8 오후 4:00:00</t>
  </si>
  <si>
    <t>2016. 10. 8 오후 3:30:00</t>
  </si>
  <si>
    <t>2016. 10. 9 오후 4:00:00</t>
  </si>
  <si>
    <t>2016. 10. 9 오후 3:30:00</t>
  </si>
  <si>
    <t>2016. 10. 10 오후 4:00:00</t>
  </si>
  <si>
    <t>2016. 10. 10 오후 3:30:00</t>
  </si>
  <si>
    <t>2016. 10. 11 오후 4:00:00</t>
  </si>
  <si>
    <t>2016. 10. 11 오후 3:30:00</t>
  </si>
  <si>
    <t>2016. 10. 12 오후 4:00:00</t>
  </si>
  <si>
    <t>2016. 10. 12 오후 3:30:00</t>
  </si>
  <si>
    <t>2016. 10. 13 오후 4:00:00</t>
  </si>
  <si>
    <t>2016. 10. 13 오후 3:30:00</t>
  </si>
  <si>
    <t>2016. 10. 14 오후 4:00:00</t>
  </si>
  <si>
    <t>2016. 10. 14 오후 3:30:00</t>
  </si>
  <si>
    <t>2016. 10. 15 오후 4:00:00</t>
  </si>
  <si>
    <t>2016. 10. 15 오후 3:30:00</t>
  </si>
  <si>
    <t>2016. 10. 16 오후 4:00:00</t>
  </si>
  <si>
    <t>2016. 10. 16 오후 3:30:00</t>
  </si>
  <si>
    <t>2016. 10. 17 오후 4:00:00</t>
  </si>
  <si>
    <t>2016. 10. 17 오후 3:30:00</t>
  </si>
  <si>
    <t>2016. 10. 18 오후 4:00:00</t>
  </si>
  <si>
    <t>2016. 10. 18 오후 3:30:00</t>
  </si>
  <si>
    <t>2016. 10. 19 오후 4:00:00</t>
  </si>
  <si>
    <t>2016. 10. 19 오후 3:30:00</t>
  </si>
  <si>
    <t>2016. 10. 20 오후 4:00:00</t>
  </si>
  <si>
    <t>2016. 10. 20 오후 3:30:00</t>
  </si>
  <si>
    <t>2016. 10. 21 오후 4:00:00</t>
  </si>
  <si>
    <t>2016. 10. 21 오후 3:30:00</t>
  </si>
  <si>
    <t>2016. 10. 22 오후 4:00:00</t>
  </si>
  <si>
    <t>2016. 10. 22 오후 3:30:00</t>
  </si>
  <si>
    <t>2016. 10. 23 오후 4:00:00</t>
  </si>
  <si>
    <t>2016. 10. 23 오후 3:30:00</t>
  </si>
  <si>
    <t>2016. 10. 24 오후 4:00:00</t>
  </si>
  <si>
    <t>2016. 10. 24 오후 3:30:00</t>
  </si>
  <si>
    <t>2016. 10. 25 오후 4:00:00</t>
  </si>
  <si>
    <t>2016. 10. 25 오후 3:30:00</t>
  </si>
  <si>
    <t>2016. 10. 26 오후 4:00:00</t>
  </si>
  <si>
    <t>2016. 10. 26 오후 3:30:00</t>
  </si>
  <si>
    <t>2016. 10. 27 오후 4:00:00</t>
  </si>
  <si>
    <t>2016. 10. 27 오후 3:30:00</t>
  </si>
  <si>
    <t>2016. 10. 28 오후 4:00:00</t>
  </si>
  <si>
    <t>2016. 10. 28 오후 3:30:00</t>
  </si>
  <si>
    <t>2016. 10. 29 오후 4:00:00</t>
  </si>
  <si>
    <t>2016. 10. 29 오후 3:30:00</t>
  </si>
  <si>
    <t>2016. 10. 30 오후 4:00:00</t>
  </si>
  <si>
    <t>2016. 10. 30 오후 3:30:00</t>
  </si>
  <si>
    <t>2016. 10. 31 오후 4:00:00</t>
  </si>
  <si>
    <t>2016. 10. 31 오후 3:30:00</t>
  </si>
  <si>
    <t>2016. 11. 1 오후 4:00:00</t>
  </si>
  <si>
    <t>2016. 11. 1 오후 3:30:00</t>
  </si>
  <si>
    <t>2016. 11. 2 오후 4:00:00</t>
  </si>
  <si>
    <t>2016. 11. 2 오후 3:30:00</t>
  </si>
  <si>
    <t>2016. 11. 3 오후 4:00:00</t>
  </si>
  <si>
    <t>2016. 11. 3 오후 3:30:00</t>
  </si>
  <si>
    <t>2016. 11. 4 오후 4:00:00</t>
  </si>
  <si>
    <t>2016. 11. 4 오후 3:30:00</t>
  </si>
  <si>
    <t>2016. 11. 5 오후 4:00:00</t>
  </si>
  <si>
    <t>2016. 11. 5 오후 3:30:00</t>
  </si>
  <si>
    <t>2016. 11. 6 오후 4:00:00</t>
  </si>
  <si>
    <t>2016. 11. 6 오후 3:30:00</t>
  </si>
  <si>
    <t>2016. 11. 7 오후 4:00:00</t>
  </si>
  <si>
    <t>2016. 11. 7 오후 3:30:00</t>
  </si>
  <si>
    <t>2016. 11. 8 오후 4:00:00</t>
  </si>
  <si>
    <t>2016. 11. 8 오후 3:30:00</t>
  </si>
  <si>
    <t>2016. 11. 9 오후 4:00:00</t>
  </si>
  <si>
    <t>2016. 11. 9 오후 3:30:00</t>
  </si>
  <si>
    <t>2016. 11. 10 오후 4:00:00</t>
  </si>
  <si>
    <t>2016. 11. 10 오후 3:30:00</t>
  </si>
  <si>
    <t>2016. 11. 11 오후 4:00:00</t>
  </si>
  <si>
    <t>2016. 11. 11 오후 3:30:00</t>
  </si>
  <si>
    <t>2016. 11. 12 오후 4:00:00</t>
  </si>
  <si>
    <t>2016. 11. 12 오후 3:30:00</t>
  </si>
  <si>
    <t>2016. 11. 13 오후 4:00:00</t>
  </si>
  <si>
    <t>2016. 11. 13 오후 3:30:00</t>
  </si>
  <si>
    <t>2016. 11. 14 오후 4:00:00</t>
  </si>
  <si>
    <t>2016. 11. 14 오후 3:30:00</t>
  </si>
  <si>
    <t>2016. 11. 15 오후 4:00:00</t>
  </si>
  <si>
    <t>2016. 11. 15 오후 3:30:00</t>
  </si>
  <si>
    <t>2016. 11. 16 오후 4:00:00</t>
  </si>
  <si>
    <t>2016. 11. 16 오후 3:30:00</t>
  </si>
  <si>
    <t>2016. 11. 17 오후 4:00:00</t>
  </si>
  <si>
    <t>2016. 11. 17 오후 3:30:00</t>
  </si>
  <si>
    <t>2016. 11. 18 오후 4:00:00</t>
  </si>
  <si>
    <t>2016. 11. 18 오후 3:30:00</t>
  </si>
  <si>
    <t>2016. 11. 19 오후 4:00:00</t>
  </si>
  <si>
    <t>2016. 11. 19 오후 3:30:00</t>
  </si>
  <si>
    <t>2016. 11. 20 오후 4:00:00</t>
  </si>
  <si>
    <t>2016. 11. 20 오후 3:30:00</t>
  </si>
  <si>
    <t>2016. 11. 21 오후 4:00:00</t>
  </si>
  <si>
    <t>2016. 11. 21 오후 3:30:00</t>
  </si>
  <si>
    <t>2016. 11. 22 오후 4:00:00</t>
  </si>
  <si>
    <t>2016. 11. 22 오후 3:30:00</t>
  </si>
  <si>
    <t>2016. 11. 23 오후 4:00:00</t>
  </si>
  <si>
    <t>2016. 11. 23 오후 3:30:00</t>
  </si>
  <si>
    <t>2016. 11. 24 오후 4:00:00</t>
  </si>
  <si>
    <t>2016. 11. 24 오후 3:30:00</t>
  </si>
  <si>
    <t>2016. 11. 25 오후 4:00:00</t>
  </si>
  <si>
    <t>2016. 11. 25 오후 3:30:00</t>
  </si>
  <si>
    <t>2016. 11. 26 오후 4:00:00</t>
  </si>
  <si>
    <t>2016. 11. 26 오후 3:30:00</t>
  </si>
  <si>
    <t>2016. 11. 27 오후 4:00:00</t>
  </si>
  <si>
    <t>2016. 11. 27 오후 3:30:00</t>
  </si>
  <si>
    <t>2016. 11. 28 오후 4:00:00</t>
  </si>
  <si>
    <t>2016. 11. 28 오후 3:30:00</t>
  </si>
  <si>
    <t>2016. 11. 29 오후 4:00:00</t>
  </si>
  <si>
    <t>2016. 11. 29 오후 3:30:00</t>
  </si>
  <si>
    <t>2016. 11. 30 오후 4:00:00</t>
  </si>
  <si>
    <t>2016. 11. 30 오후 3:30:00</t>
  </si>
  <si>
    <t>2016. 12. 1 오후 4:00:00</t>
  </si>
  <si>
    <t>2016. 12. 1 오후 3:30:00</t>
  </si>
  <si>
    <t>2016. 12. 2 오후 4:00:00</t>
  </si>
  <si>
    <t>2016. 12. 2 오후 3:30:00</t>
  </si>
  <si>
    <t>2016. 12. 3 오후 4:00:00</t>
  </si>
  <si>
    <t>2016. 12. 3 오후 3:30:00</t>
  </si>
  <si>
    <t>2016. 12. 4 오후 4:00:00</t>
  </si>
  <si>
    <t>2016. 12. 4 오후 3:30:00</t>
  </si>
  <si>
    <t>2016. 12. 5 오후 4:00:00</t>
  </si>
  <si>
    <t>2016. 12. 5 오후 3:30:00</t>
  </si>
  <si>
    <t>2016. 12. 6 오후 4:00:00</t>
  </si>
  <si>
    <t>2016. 12. 6 오후 3:30:00</t>
  </si>
  <si>
    <t>2016. 12. 7 오후 4:00:00</t>
  </si>
  <si>
    <t>2016. 12. 7 오후 3:30:00</t>
  </si>
  <si>
    <t>2016. 12. 8 오후 4:00:00</t>
  </si>
  <si>
    <t>2016. 12. 8 오후 3:30:00</t>
  </si>
  <si>
    <t>2016. 12. 9 오후 4:00:00</t>
  </si>
  <si>
    <t>2016. 12. 9 오후 3:30:00</t>
  </si>
  <si>
    <t>2016. 12. 10 오후 4:00:00</t>
  </si>
  <si>
    <t>2016. 12. 10 오후 3:30:00</t>
  </si>
  <si>
    <t>2016. 12. 11 오후 4:00:00</t>
  </si>
  <si>
    <t>2016. 12. 11 오후 3:30:00</t>
  </si>
  <si>
    <t>2016. 12. 12 오후 4:00:00</t>
  </si>
  <si>
    <t>2016. 12. 12 오후 3:30:00</t>
  </si>
  <si>
    <t>2016. 12. 13 오후 4:00:00</t>
  </si>
  <si>
    <t>2016. 12. 13 오후 3:30:00</t>
  </si>
  <si>
    <t>2016. 12. 14 오후 4:00:00</t>
  </si>
  <si>
    <t>2016. 12. 14 오후 3:30:00</t>
  </si>
  <si>
    <t>2016. 12. 15 오후 4:00:00</t>
  </si>
  <si>
    <t>2016. 12. 15 오후 3:30:00</t>
  </si>
  <si>
    <t>2016. 12. 16 오후 4:00:00</t>
  </si>
  <si>
    <t>2016. 12. 16 오후 3:30:00</t>
  </si>
  <si>
    <t>2016. 12. 17 오후 4:00:00</t>
  </si>
  <si>
    <t>2016. 12. 17 오후 3:30:00</t>
  </si>
  <si>
    <t>2016. 12. 18 오후 4:00:00</t>
  </si>
  <si>
    <t>2016. 12. 18 오후 3:30:00</t>
  </si>
  <si>
    <t>2016. 12. 19 오후 4:00:00</t>
  </si>
  <si>
    <t>2016. 12. 19 오후 3:30:00</t>
  </si>
  <si>
    <t>2016. 12. 20 오후 4:00:00</t>
  </si>
  <si>
    <t>2016. 12. 20 오후 3:30:00</t>
  </si>
  <si>
    <t>2016. 12. 21 오후 4:00:00</t>
  </si>
  <si>
    <t>2016. 12. 21 오후 3:30:00</t>
  </si>
  <si>
    <t>2016. 12. 22 오후 4:00:00</t>
  </si>
  <si>
    <t>2016. 12. 22 오후 3:30:00</t>
  </si>
  <si>
    <t>2016. 12. 23 오후 4:00:00</t>
  </si>
  <si>
    <t>2016. 12. 23 오후 3:30:00</t>
  </si>
  <si>
    <t>2016. 12. 24 오후 4:00:00</t>
  </si>
  <si>
    <t>2016. 12. 24 오후 3:30:00</t>
  </si>
  <si>
    <t>2016. 12. 25 오후 4:00:00</t>
  </si>
  <si>
    <t>2016. 12. 25 오후 3:30:00</t>
  </si>
  <si>
    <t>2016. 12. 26 오후 4:00:00</t>
  </si>
  <si>
    <t>2016. 12. 26 오후 3:30:00</t>
  </si>
  <si>
    <t>2016. 12. 27 오후 4:00:00</t>
  </si>
  <si>
    <t>2016. 12. 27 오후 3:30:00</t>
  </si>
  <si>
    <t>2016. 12. 28 오후 4:00:00</t>
  </si>
  <si>
    <t>2016. 12. 28 오후 3:30:00</t>
  </si>
  <si>
    <t>2016. 12. 29 오후 4:00:00</t>
  </si>
  <si>
    <t>2016. 12. 29 오후 3:30:00</t>
  </si>
  <si>
    <t>2016. 12. 30 오후 4:00:00</t>
  </si>
  <si>
    <t>2016. 12. 30 오후 3:30:00</t>
  </si>
  <si>
    <t>2016. 12. 31 오후 4:00:00</t>
  </si>
  <si>
    <t>2016. 12. 31 오후 3:30:00</t>
  </si>
  <si>
    <t>2017. 1. 1 오후 4:00:00</t>
  </si>
  <si>
    <t>2017. 1. 1 오후 3:30:00</t>
  </si>
  <si>
    <t>2017. 1. 2 오후 4:00:00</t>
  </si>
  <si>
    <t>2017. 1. 2 오후 3:30:00</t>
  </si>
  <si>
    <t>2017. 1. 3 오후 4:00:00</t>
  </si>
  <si>
    <t>2017. 1. 3 오후 3:30:00</t>
  </si>
  <si>
    <t>2017. 1. 4 오후 4:00:00</t>
  </si>
  <si>
    <t>2017. 1. 4 오후 3:30:00</t>
  </si>
  <si>
    <t>2017. 1. 5 오후 4:00:00</t>
  </si>
  <si>
    <t>2017. 1. 5 오후 3:30:00</t>
  </si>
  <si>
    <t>2017. 1. 6 오후 4:00:00</t>
  </si>
  <si>
    <t>2017. 1. 6 오후 3:30:00</t>
  </si>
  <si>
    <t>2017. 1. 7 오후 4:00:00</t>
  </si>
  <si>
    <t>2017. 1. 7 오후 3:30:00</t>
  </si>
  <si>
    <t>2017. 1. 8 오후 4:00:00</t>
  </si>
  <si>
    <t>2017. 1. 8 오후 3:30:00</t>
  </si>
  <si>
    <t>2017. 1. 9 오후 4:00:00</t>
  </si>
  <si>
    <t>2017. 1. 9 오후 3:30:00</t>
  </si>
  <si>
    <t>2017. 1. 10 오후 4:00:00</t>
  </si>
  <si>
    <t>2017. 1. 10 오후 3:30:00</t>
  </si>
  <si>
    <t>2017. 1. 11 오후 4:00:00</t>
  </si>
  <si>
    <t>2017. 1. 11 오후 3:30:00</t>
  </si>
  <si>
    <t>2017. 1. 12 오후 4:00:00</t>
  </si>
  <si>
    <t>2017. 1. 12 오후 3:30:00</t>
  </si>
  <si>
    <t>2017. 1. 13 오후 4:00:00</t>
  </si>
  <si>
    <t>2017. 1. 13 오후 3:30:00</t>
  </si>
  <si>
    <t>2017. 1. 14 오후 4:00:00</t>
  </si>
  <si>
    <t>2017. 1. 14 오후 3:30:00</t>
  </si>
  <si>
    <t>2017. 1. 15 오후 4:00:00</t>
  </si>
  <si>
    <t>2017. 1. 15 오후 3:30:00</t>
  </si>
  <si>
    <t>2017. 1. 16 오후 4:00:00</t>
  </si>
  <si>
    <t>2017. 1. 16 오후 3:30:00</t>
  </si>
  <si>
    <t>2017. 1. 17 오후 4:00:00</t>
  </si>
  <si>
    <t>2017. 1. 17 오후 3:30:00</t>
  </si>
  <si>
    <t>2017. 1. 18 오후 4:00:00</t>
  </si>
  <si>
    <t>2017. 1. 18 오후 3:30:00</t>
  </si>
  <si>
    <t>2017. 1. 19 오후 4:00:00</t>
  </si>
  <si>
    <t>2017. 1. 19 오후 3:30:00</t>
  </si>
  <si>
    <t>2017. 1. 20 오후 4:00:00</t>
  </si>
  <si>
    <t>2017. 1. 20 오후 3:30:00</t>
  </si>
  <si>
    <t>2017. 1. 21 오후 4:00:00</t>
  </si>
  <si>
    <t>2017. 1. 21 오후 3:30:00</t>
  </si>
  <si>
    <t>2017. 1. 22 오후 4:00:00</t>
  </si>
  <si>
    <t>2017. 1. 22 오후 3:30:00</t>
  </si>
  <si>
    <t>2017. 1. 23 오후 4:00:00</t>
  </si>
  <si>
    <t>2017. 1. 23 오후 3:30:00</t>
  </si>
  <si>
    <t>2017. 1. 24 오후 4:00:00</t>
  </si>
  <si>
    <t>2017. 1. 24 오후 3:30:00</t>
  </si>
  <si>
    <t>2017. 1. 25 오후 4:00:00</t>
  </si>
  <si>
    <t>2017. 1. 25 오후 3:30:00</t>
  </si>
  <si>
    <t>2017. 1. 26 오후 4:00:00</t>
  </si>
  <si>
    <t>2017. 1. 26 오후 3:30:00</t>
  </si>
  <si>
    <t>2017. 1. 27 오후 4:00:00</t>
  </si>
  <si>
    <t>2017. 1. 27 오후 3:30:00</t>
  </si>
  <si>
    <t>2017. 1. 28 오후 4:00:00</t>
  </si>
  <si>
    <t>2017. 1. 28 오후 3:30:00</t>
  </si>
  <si>
    <t>2017. 1. 29 오후 4:00:00</t>
  </si>
  <si>
    <t>2017. 1. 29 오후 3:30:00</t>
  </si>
  <si>
    <t>2017. 1. 30 오후 4:00:00</t>
  </si>
  <si>
    <t>2017. 1. 30 오후 3:30:00</t>
  </si>
  <si>
    <t>2017. 1. 31 오후 4:00:00</t>
  </si>
  <si>
    <t>2017. 1. 31 오후 3:30:00</t>
  </si>
  <si>
    <t>2017. 2. 1 오후 4:00:00</t>
  </si>
  <si>
    <t>2017. 2. 1 오후 3:30:00</t>
  </si>
  <si>
    <t>2017. 2. 2 오후 4:00:00</t>
  </si>
  <si>
    <t>2017. 2. 2 오후 3:30:00</t>
  </si>
  <si>
    <t>2017. 2. 3 오후 4:00:00</t>
  </si>
  <si>
    <t>2017. 2. 3 오후 3:30:00</t>
  </si>
  <si>
    <t>2017. 2. 4 오후 4:00:00</t>
  </si>
  <si>
    <t>2017. 2. 4 오후 3:30:00</t>
  </si>
  <si>
    <t>2017. 2. 5 오후 4:00:00</t>
  </si>
  <si>
    <t>2017. 2. 5 오후 3:30:00</t>
  </si>
  <si>
    <t>2017. 2. 6 오후 4:00:00</t>
  </si>
  <si>
    <t>2017. 2. 6 오후 3:30:00</t>
  </si>
  <si>
    <t>2017. 2. 7 오후 4:00:00</t>
  </si>
  <si>
    <t>2017. 2. 7 오후 3:30:00</t>
  </si>
  <si>
    <t>2017. 2. 8 오후 4:00:00</t>
  </si>
  <si>
    <t>2017. 2. 8 오후 3:30:00</t>
  </si>
  <si>
    <t>2017. 2. 9 오후 4:00:00</t>
  </si>
  <si>
    <t>2017. 2. 9 오후 3:30:00</t>
  </si>
  <si>
    <t>2017. 2. 10 오후 4:00:00</t>
  </si>
  <si>
    <t>2017. 2. 10 오후 3:30:00</t>
  </si>
  <si>
    <t>2017. 2. 11 오후 4:00:00</t>
  </si>
  <si>
    <t>2017. 2. 11 오후 3:30:00</t>
  </si>
  <si>
    <t>2017. 2. 12 오후 4:00:00</t>
  </si>
  <si>
    <t>2017. 2. 12 오후 3:30:00</t>
  </si>
  <si>
    <t>2017. 2. 13 오후 4:00:00</t>
  </si>
  <si>
    <t>2017. 2. 13 오후 3:30:00</t>
  </si>
  <si>
    <t>2017. 2. 14 오후 4:00:00</t>
  </si>
  <si>
    <t>2017. 2. 14 오후 3:30:00</t>
  </si>
  <si>
    <t>2017. 2. 15 오후 4:00:00</t>
  </si>
  <si>
    <t>2017. 2. 15 오후 3:30:00</t>
  </si>
  <si>
    <t>2017. 2. 16 오후 4:00:00</t>
  </si>
  <si>
    <t>2017. 2. 16 오후 3:30:00</t>
  </si>
  <si>
    <t>2017. 2. 17 오후 4:00:00</t>
  </si>
  <si>
    <t>2017. 2. 17 오후 3:30:00</t>
  </si>
  <si>
    <t>2017. 2. 18 오후 4:00:00</t>
  </si>
  <si>
    <t>2017. 2. 18 오후 3:30:00</t>
  </si>
  <si>
    <t>2017. 2. 19 오후 4:00:00</t>
  </si>
  <si>
    <t>2017. 2. 19 오후 3:30:00</t>
  </si>
  <si>
    <t>2017. 2. 20 오후 4:00:00</t>
  </si>
  <si>
    <t>2017. 2. 20 오후 3:30:00</t>
  </si>
  <si>
    <t>2017. 2. 21 오후 4:00:00</t>
  </si>
  <si>
    <t>2017. 2. 21 오후 3:30:00</t>
  </si>
  <si>
    <t>2017. 2. 22 오후 4:00:00</t>
  </si>
  <si>
    <t>2017. 2. 22 오후 3:30:00</t>
  </si>
  <si>
    <t>2017. 2. 23 오후 4:00:00</t>
  </si>
  <si>
    <t>2017. 2. 23 오후 3:30:00</t>
  </si>
  <si>
    <t>2017. 2. 24 오후 4:00:00</t>
  </si>
  <si>
    <t>2017. 2. 24 오후 3:30:00</t>
  </si>
  <si>
    <t>2017. 2. 25 오후 4:00:00</t>
  </si>
  <si>
    <t>2017. 2. 25 오후 3:30:00</t>
  </si>
  <si>
    <t>2017. 2. 26 오후 4:00:00</t>
  </si>
  <si>
    <t>2017. 2. 26 오후 3:30:00</t>
  </si>
  <si>
    <t>2017. 2. 27 오후 4:00:00</t>
  </si>
  <si>
    <t>2017. 2. 27 오후 3:30:00</t>
  </si>
  <si>
    <t>2017. 2. 28 오후 4:00:00</t>
  </si>
  <si>
    <t>2017. 2. 28 오후 3:30:00</t>
  </si>
  <si>
    <t>2017. 3. 1 오후 4:00:00</t>
  </si>
  <si>
    <t>2017. 3. 1 오후 3:30:00</t>
  </si>
  <si>
    <t>2017. 3. 2 오후 4:00:00</t>
  </si>
  <si>
    <t>2017. 3. 2 오후 3:30:00</t>
  </si>
  <si>
    <t>2017. 3. 3 오후 4:00:00</t>
  </si>
  <si>
    <t>2017. 3. 3 오후 3:30:00</t>
  </si>
  <si>
    <t>2017. 3. 4 오후 4:00:00</t>
  </si>
  <si>
    <t>2017. 3. 4 오후 3:30:00</t>
  </si>
  <si>
    <t>2017. 3. 5 오후 4:00:00</t>
  </si>
  <si>
    <t>2017. 3. 5 오후 3:30:00</t>
  </si>
  <si>
    <t>2017. 3. 6 오후 4:00:00</t>
  </si>
  <si>
    <t>2017. 3. 6 오후 3:30:00</t>
  </si>
  <si>
    <t>2017. 3. 7 오후 4:00:00</t>
  </si>
  <si>
    <t>2017. 3. 7 오후 3:30:00</t>
  </si>
  <si>
    <t>2017. 3. 8 오후 4:00:00</t>
  </si>
  <si>
    <t>2017. 3. 8 오후 3:30:00</t>
  </si>
  <si>
    <t>2017. 3. 9 오후 4:00:00</t>
  </si>
  <si>
    <t>2017. 3. 9 오후 3:30:00</t>
  </si>
  <si>
    <t>2017. 3. 10 오후 4:00:00</t>
  </si>
  <si>
    <t>2017. 3. 10 오후 3:30:00</t>
  </si>
  <si>
    <t>2017. 3. 11 오후 4:00:00</t>
  </si>
  <si>
    <t>2017. 3. 11 오후 3:30:00</t>
  </si>
  <si>
    <t>2017. 3. 12 오후 4:00:00</t>
  </si>
  <si>
    <t>2017. 3. 12 오후 3:30:00</t>
  </si>
  <si>
    <t>2017. 3. 13 오후 4:00:00</t>
  </si>
  <si>
    <t>2017. 3. 13 오후 3:30:00</t>
  </si>
  <si>
    <t>2017. 3. 14 오후 4:00:00</t>
  </si>
  <si>
    <t>2017. 3. 14 오후 3:30:00</t>
  </si>
  <si>
    <t>2017. 3. 15 오후 4:00:00</t>
  </si>
  <si>
    <t>2017. 3. 15 오후 3:30:00</t>
  </si>
  <si>
    <t>2017. 3. 16 오후 4:00:00</t>
  </si>
  <si>
    <t>2017. 3. 16 오후 3:30:00</t>
  </si>
  <si>
    <t>2017. 3. 17 오후 4:00:00</t>
  </si>
  <si>
    <t>2017. 3. 17 오후 3:30:00</t>
  </si>
  <si>
    <t>2017. 3. 18 오후 4:00:00</t>
  </si>
  <si>
    <t>2017. 3. 18 오후 3:30:00</t>
  </si>
  <si>
    <t>2017. 3. 19 오후 4:00:00</t>
  </si>
  <si>
    <t>2017. 3. 19 오후 3:30:00</t>
  </si>
  <si>
    <t>2017. 3. 20 오후 4:00:00</t>
  </si>
  <si>
    <t>2017. 3. 20 오후 3:30:00</t>
  </si>
  <si>
    <t>2017. 3. 21 오후 4:00:00</t>
  </si>
  <si>
    <t>2017. 3. 21 오후 3:30:00</t>
  </si>
  <si>
    <t>2017. 3. 22 오후 4:00:00</t>
  </si>
  <si>
    <t>2017. 3. 22 오후 3:30:00</t>
  </si>
  <si>
    <t>2017. 3. 23 오후 4:00:00</t>
  </si>
  <si>
    <t>2017. 3. 23 오후 3:30:00</t>
  </si>
  <si>
    <t>2017. 3. 24 오후 4:00:00</t>
  </si>
  <si>
    <t>2017. 3. 24 오후 3:30:00</t>
  </si>
  <si>
    <t>2017. 3. 25 오후 4:00:00</t>
  </si>
  <si>
    <t>2017. 3. 25 오후 3:30:00</t>
  </si>
  <si>
    <t>2017. 3. 26 오후 4:00:00</t>
  </si>
  <si>
    <t>2017. 3. 26 오후 3:30:00</t>
  </si>
  <si>
    <t>2017. 3. 27 오후 4:00:00</t>
  </si>
  <si>
    <t>2017. 3. 27 오후 3:30:00</t>
  </si>
  <si>
    <t>2017. 3. 28 오후 4:00:00</t>
  </si>
  <si>
    <t>2017. 3. 28 오후 3:30:00</t>
  </si>
  <si>
    <t>2017. 3. 29 오후 4:00:00</t>
  </si>
  <si>
    <t>2017. 3. 29 오후 3:30:00</t>
  </si>
  <si>
    <t>2017. 3. 30 오후 4:00:00</t>
  </si>
  <si>
    <t>2017. 3. 30 오후 3:30:00</t>
  </si>
  <si>
    <t>2017. 3. 31 오후 4:00:00</t>
  </si>
  <si>
    <t>2017. 3. 31 오후 3:30:00</t>
  </si>
  <si>
    <t>2017. 4. 1 오후 4:00:00</t>
  </si>
  <si>
    <t>2017. 4. 1 오후 3:30:00</t>
  </si>
  <si>
    <t>2017. 4. 2 오후 4:00:00</t>
  </si>
  <si>
    <t>2017. 4. 2 오후 3:30:00</t>
  </si>
  <si>
    <t>2017. 4. 3 오후 4:00:00</t>
  </si>
  <si>
    <t>2017. 4. 3 오후 3:30:00</t>
  </si>
  <si>
    <t>2017. 4. 4 오후 4:00:00</t>
  </si>
  <si>
    <t>2017. 4. 4 오후 3:30:00</t>
  </si>
  <si>
    <t>2017. 4. 5 오후 4:00:00</t>
  </si>
  <si>
    <t>2017. 4. 5 오후 3:30:00</t>
  </si>
  <si>
    <t>2017. 4. 6 오후 4:00:00</t>
  </si>
  <si>
    <t>2017. 4. 6 오후 3:30:00</t>
  </si>
  <si>
    <t>2017. 4. 7 오후 4:00:00</t>
  </si>
  <si>
    <t>2017. 4. 7 오후 3:30:00</t>
  </si>
  <si>
    <t>2017. 4. 8 오후 4:00:00</t>
  </si>
  <si>
    <t>2017. 4. 8 오후 3:30:00</t>
  </si>
  <si>
    <t>2017. 4. 9 오후 4:00:00</t>
  </si>
  <si>
    <t>2017. 4. 9 오후 3:30:00</t>
  </si>
  <si>
    <t>2017. 4. 10 오후 4:00:00</t>
  </si>
  <si>
    <t>2017. 4. 10 오후 3:30:00</t>
  </si>
  <si>
    <t>2017. 4. 11 오후 4:00:00</t>
  </si>
  <si>
    <t>2017. 4. 11 오후 3:30:00</t>
  </si>
  <si>
    <t>2017. 4. 12 오후 4:00:00</t>
  </si>
  <si>
    <t>2017. 4. 12 오후 3:30:00</t>
  </si>
  <si>
    <t>2017. 4. 13 오후 4:00:00</t>
  </si>
  <si>
    <t>2017. 4. 13 오후 3:30:00</t>
  </si>
  <si>
    <t>2017. 4. 14 오후 4:00:00</t>
  </si>
  <si>
    <t>2017. 4. 14 오후 3:30:00</t>
  </si>
  <si>
    <t>2017. 4. 15 오후 4:00:00</t>
  </si>
  <si>
    <t>2017. 4. 15 오후 3:30:00</t>
  </si>
  <si>
    <t>2017. 4. 16 오후 4:00:00</t>
  </si>
  <si>
    <t>2017. 4. 16 오후 3:30:00</t>
  </si>
  <si>
    <t>2017. 4. 17 오후 4:00:00</t>
  </si>
  <si>
    <t>2017. 4. 17 오후 3:30:00</t>
  </si>
  <si>
    <t>2017. 4. 18 오후 4:00:00</t>
  </si>
  <si>
    <t>2017. 4. 18 오후 3:30:00</t>
  </si>
  <si>
    <t>2017. 4. 19 오후 4:00:00</t>
  </si>
  <si>
    <t>2017. 4. 19 오후 3:30:00</t>
  </si>
  <si>
    <t>2017. 4. 20 오후 4:00:00</t>
  </si>
  <si>
    <t>2017. 4. 20 오후 3:30:00</t>
  </si>
  <si>
    <t>2017. 4. 21 오후 4:00:00</t>
  </si>
  <si>
    <t>2017. 4. 21 오후 3:30:00</t>
  </si>
  <si>
    <t>2017. 4. 22 오후 4:00:00</t>
  </si>
  <si>
    <t>2017. 4. 22 오후 3:30:00</t>
  </si>
  <si>
    <t>2017. 4. 23 오후 4:00:00</t>
  </si>
  <si>
    <t>2017. 4. 23 오후 3:30:00</t>
  </si>
  <si>
    <t>2017. 4. 24 오후 4:00:00</t>
  </si>
  <si>
    <t>2017. 4. 24 오후 3:30:00</t>
  </si>
  <si>
    <t>2017. 4. 25 오후 4:00:00</t>
  </si>
  <si>
    <t>2017. 4. 25 오후 3:30:00</t>
  </si>
  <si>
    <t>2017. 4. 26 오후 4:00:00</t>
  </si>
  <si>
    <t>2017. 4. 26 오후 3:30:00</t>
  </si>
  <si>
    <t>2017. 4. 27 오후 4:00:00</t>
  </si>
  <si>
    <t>2017. 4. 27 오후 3:30:00</t>
  </si>
  <si>
    <t>2017. 4. 28 오후 4:00:00</t>
  </si>
  <si>
    <t>2017. 4. 28 오후 3:30:00</t>
  </si>
  <si>
    <t>2017. 4. 29 오후 4:00:00</t>
  </si>
  <si>
    <t>2017. 4. 29 오후 3:30:00</t>
  </si>
  <si>
    <t>2017. 4. 30 오후 4:00:00</t>
  </si>
  <si>
    <t>2017. 4. 30 오후 3:30:00</t>
  </si>
  <si>
    <t>2017. 5. 1 오후 4:00:00</t>
  </si>
  <si>
    <t>2017. 5. 1 오후 3:30:00</t>
  </si>
  <si>
    <t>2017. 5. 2 오후 4:00:00</t>
  </si>
  <si>
    <t>2017. 5. 2 오후 3:30:00</t>
  </si>
  <si>
    <t>2017. 5. 3 오후 4:00:00</t>
  </si>
  <si>
    <t>2017. 5. 3 오후 3:30:00</t>
  </si>
  <si>
    <t>2017. 5. 4 오후 4:00:00</t>
  </si>
  <si>
    <t>2017. 5. 4 오후 3:30:00</t>
  </si>
  <si>
    <t>2017. 5. 5 오후 4:00:00</t>
  </si>
  <si>
    <t>2017. 5. 5 오후 3:30:00</t>
  </si>
  <si>
    <t>2017. 5. 6 오후 4:00:00</t>
  </si>
  <si>
    <t>2017. 5. 6 오후 3:30:00</t>
  </si>
  <si>
    <t>2017. 5. 7 오후 4:00:00</t>
  </si>
  <si>
    <t>2017. 5. 7 오후 3:30:00</t>
  </si>
  <si>
    <t>2017. 5. 8 오후 4:00:00</t>
  </si>
  <si>
    <t>2017. 5. 8 오후 3:30:00</t>
  </si>
  <si>
    <t>2017. 5. 9 오후 4:00:00</t>
  </si>
  <si>
    <t>2017. 5. 9 오후 3:30:00</t>
  </si>
  <si>
    <t>2017. 5. 10 오후 4:00:00</t>
  </si>
  <si>
    <t>2017. 5. 10 오후 3:30:00</t>
  </si>
  <si>
    <t>2017. 5. 11 오후 4:00:00</t>
  </si>
  <si>
    <t>2017. 5. 11 오후 3:30:00</t>
  </si>
  <si>
    <t>2017. 5. 12 오후 4:00:00</t>
  </si>
  <si>
    <t>2017. 5. 12 오후 3:30:00</t>
  </si>
  <si>
    <t>2017. 5. 13 오후 4:00:00</t>
  </si>
  <si>
    <t>2017. 5. 13 오후 3:30:00</t>
  </si>
  <si>
    <t>2017. 5. 14 오후 4:00:00</t>
  </si>
  <si>
    <t>2017. 5. 14 오후 3:30:00</t>
  </si>
  <si>
    <t>2017. 5. 15 오후 4:00:00</t>
  </si>
  <si>
    <t>2017. 5. 15 오후 3:30:00</t>
  </si>
  <si>
    <t>2017. 5. 16 오후 4:00:00</t>
  </si>
  <si>
    <t>2017. 5. 16 오후 3:30:00</t>
  </si>
  <si>
    <t>2017. 5. 17 오후 4:00:00</t>
  </si>
  <si>
    <t>2017. 5. 17 오후 3:30:00</t>
  </si>
  <si>
    <t>2017. 5. 18 오후 4:00:00</t>
  </si>
  <si>
    <t>2017. 5. 18 오후 3:30:00</t>
  </si>
  <si>
    <t>2017. 5. 19 오후 4:00:00</t>
  </si>
  <si>
    <t>2017. 5. 19 오후 3:30:00</t>
  </si>
  <si>
    <t>2017. 5. 20 오후 4:00:00</t>
  </si>
  <si>
    <t>2017. 5. 20 오후 3:30:00</t>
  </si>
  <si>
    <t>2017. 5. 21 오후 4:00:00</t>
  </si>
  <si>
    <t>2017. 5. 21 오후 3:30:00</t>
  </si>
  <si>
    <t>2017. 5. 22 오후 4:00:00</t>
  </si>
  <si>
    <t>2017. 5. 22 오후 3:30:00</t>
  </si>
  <si>
    <t>2017. 5. 23 오후 4:00:00</t>
  </si>
  <si>
    <t>2017. 5. 23 오후 3:30:00</t>
  </si>
  <si>
    <t>2017. 5. 24 오후 4:00:00</t>
  </si>
  <si>
    <t>2017. 5. 24 오후 3:30:00</t>
  </si>
  <si>
    <t>2017. 5. 25 오후 4:00:00</t>
  </si>
  <si>
    <t>2017. 5. 25 오후 3:30:00</t>
  </si>
  <si>
    <t>2017. 5. 26 오후 4:00:00</t>
  </si>
  <si>
    <t>2017. 5. 26 오후 3:30:00</t>
  </si>
  <si>
    <t>2017. 5. 27 오후 4:00:00</t>
  </si>
  <si>
    <t>2017. 5. 27 오후 3:30:00</t>
  </si>
  <si>
    <t>2017. 5. 28 오후 4:00:00</t>
  </si>
  <si>
    <t>2017. 5. 28 오후 3:30:00</t>
  </si>
  <si>
    <t>2017. 5. 29 오후 4:00:00</t>
  </si>
  <si>
    <t>2017. 5. 29 오후 3:30:00</t>
  </si>
  <si>
    <t>2017. 5. 30 오후 4:00:00</t>
  </si>
  <si>
    <t>2017. 5. 30 오후 3:30:00</t>
  </si>
  <si>
    <t>2017. 5. 31 오후 4:00:00</t>
  </si>
  <si>
    <t>2017. 5. 31 오후 3:30:00</t>
  </si>
  <si>
    <t>2017. 6. 1 오후 4:00:00</t>
  </si>
  <si>
    <t>2017. 6. 1 오후 3:30:00</t>
  </si>
  <si>
    <t>2017. 6. 2 오후 4:00:00</t>
  </si>
  <si>
    <t>2017. 6. 2 오후 3:30:00</t>
  </si>
  <si>
    <t>2017. 6. 3 오후 4:00:00</t>
  </si>
  <si>
    <t>2017. 6. 3 오후 3:30:00</t>
  </si>
  <si>
    <t>2017. 6. 4 오후 4:00:00</t>
  </si>
  <si>
    <t>2017. 6. 4 오후 3:30:00</t>
  </si>
  <si>
    <t>2017. 6. 5 오후 4:00:00</t>
  </si>
  <si>
    <t>2017. 6. 5 오후 3:30:00</t>
  </si>
  <si>
    <t>2017. 6. 6 오후 4:00:00</t>
  </si>
  <si>
    <t>2017. 6. 6 오후 3:30:00</t>
  </si>
  <si>
    <t>2017. 6. 7 오후 4:00:00</t>
  </si>
  <si>
    <t>2017. 6. 7 오후 3:30:00</t>
  </si>
  <si>
    <t>2017. 6. 8 오후 4:00:00</t>
  </si>
  <si>
    <t>2017. 6. 8 오후 3:30:00</t>
  </si>
  <si>
    <t>2017. 6. 9 오후 4:00:00</t>
  </si>
  <si>
    <t>2017. 6. 9 오후 3:30:00</t>
  </si>
  <si>
    <t>2017. 6. 10 오후 4:00:00</t>
  </si>
  <si>
    <t>2017. 6. 10 오후 3:30:00</t>
  </si>
  <si>
    <t>2017. 6. 11 오후 4:00:00</t>
  </si>
  <si>
    <t>2017. 6. 11 오후 3:30:00</t>
  </si>
  <si>
    <t>2017. 6. 12 오후 4:00:00</t>
  </si>
  <si>
    <t>2017. 6. 12 오후 3:30:00</t>
  </si>
  <si>
    <t>2017. 6. 13 오후 4:00:00</t>
  </si>
  <si>
    <t>2017. 6. 13 오후 3:30:00</t>
  </si>
  <si>
    <t>2017. 6. 14 오후 4:00:00</t>
  </si>
  <si>
    <t>2017. 6. 14 오후 3:30:00</t>
  </si>
  <si>
    <t>2017. 6. 15 오후 4:00:00</t>
  </si>
  <si>
    <t>2017. 6. 15 오후 3:30:00</t>
  </si>
  <si>
    <t>2017. 6. 16 오후 4:00:00</t>
  </si>
  <si>
    <t>2017. 6. 16 오후 3:30:00</t>
  </si>
  <si>
    <t>2017. 6. 17 오후 4:00:00</t>
  </si>
  <si>
    <t>2017. 6. 17 오후 3:30:00</t>
  </si>
  <si>
    <t>2017. 6. 18 오후 4:00:00</t>
  </si>
  <si>
    <t>2017. 6. 18 오후 3:30:00</t>
  </si>
  <si>
    <t>2017. 6. 19 오후 4:00:00</t>
  </si>
  <si>
    <t>2017. 6. 19 오후 3:30:00</t>
  </si>
  <si>
    <t>2017. 6. 20 오후 4:00:00</t>
  </si>
  <si>
    <t>2017. 6. 20 오후 3:30:00</t>
  </si>
  <si>
    <t>2017. 6. 21 오후 4:00:00</t>
  </si>
  <si>
    <t>2017. 6. 21 오후 3:30:00</t>
  </si>
  <si>
    <t>2017. 6. 22 오후 4:00:00</t>
  </si>
  <si>
    <t>2017. 6. 22 오후 3:30:00</t>
  </si>
  <si>
    <t>2017. 6. 23 오후 4:00:00</t>
  </si>
  <si>
    <t>2017. 6. 23 오후 3:30:00</t>
  </si>
  <si>
    <t>2017. 6. 24 오후 4:00:00</t>
  </si>
  <si>
    <t>2017. 6. 24 오후 3:30:00</t>
  </si>
  <si>
    <t>2017. 6. 25 오후 4:00:00</t>
  </si>
  <si>
    <t>2017. 6. 25 오후 3:30:00</t>
  </si>
  <si>
    <t>2017. 6. 26 오후 4:00:00</t>
  </si>
  <si>
    <t>2017. 6. 26 오후 3:30:00</t>
  </si>
  <si>
    <t>2017. 6. 27 오후 4:00:00</t>
  </si>
  <si>
    <t>2017. 6. 27 오후 3:30:00</t>
  </si>
  <si>
    <t>2017. 6. 28 오후 4:00:00</t>
  </si>
  <si>
    <t>2017. 6. 28 오후 3:30:00</t>
  </si>
  <si>
    <t>2017. 6. 29 오후 4:00:00</t>
  </si>
  <si>
    <t>2017. 6. 29 오후 3:30:00</t>
  </si>
  <si>
    <t>2017. 6. 30 오후 4:00:00</t>
  </si>
  <si>
    <t>2017. 6. 30 오후 3:30:00</t>
  </si>
  <si>
    <t>2017. 7. 1 오후 4:00:00</t>
  </si>
  <si>
    <t>2017. 7. 1 오후 3:30:00</t>
  </si>
  <si>
    <t>2017. 7. 2 오후 4:00:00</t>
  </si>
  <si>
    <t>2017. 7. 2 오후 3:30:00</t>
  </si>
  <si>
    <t>2017. 7. 3 오후 4:00:00</t>
  </si>
  <si>
    <t>2017. 7. 3 오후 3:30:00</t>
  </si>
  <si>
    <t>2017. 7. 4 오후 4:00:00</t>
  </si>
  <si>
    <t>2017. 7. 4 오후 3:30:00</t>
  </si>
  <si>
    <t>2017. 7. 5 오후 4:00:00</t>
  </si>
  <si>
    <t>2017. 7. 5 오후 3:30:00</t>
  </si>
  <si>
    <t>2017. 7. 6 오후 4:00:00</t>
  </si>
  <si>
    <t>2017. 7. 6 오후 3:30:00</t>
  </si>
  <si>
    <t>2017. 7. 7 오후 4:00:00</t>
  </si>
  <si>
    <t>2017. 7. 7 오후 3:30:00</t>
  </si>
  <si>
    <t>2017. 7. 8 오후 4:00:00</t>
  </si>
  <si>
    <t>2017. 7. 8 오후 3:30:00</t>
  </si>
  <si>
    <t>2017. 7. 9 오후 4:00:00</t>
  </si>
  <si>
    <t>2017. 7. 9 오후 3:30:00</t>
  </si>
  <si>
    <t>2017. 7. 10 오후 4:00:00</t>
  </si>
  <si>
    <t>2017. 7. 10 오후 3:30:00</t>
  </si>
  <si>
    <t>2017. 7. 11 오후 4:00:00</t>
  </si>
  <si>
    <t>2017. 7. 11 오후 3:30:00</t>
  </si>
  <si>
    <t>2017. 7. 12 오후 4:00:00</t>
  </si>
  <si>
    <t>2017. 7. 12 오후 3:30:00</t>
  </si>
  <si>
    <t>2017. 7. 13 오후 4:00:00</t>
  </si>
  <si>
    <t>2017. 7. 13 오후 3:30:00</t>
  </si>
  <si>
    <t>2017. 7. 14 오후 4:00:00</t>
  </si>
  <si>
    <t>2017. 7. 14 오후 3:30:00</t>
  </si>
  <si>
    <t>2017. 7. 15 오후 4:00:00</t>
  </si>
  <si>
    <t>2017. 7. 15 오후 3:30:00</t>
  </si>
  <si>
    <t>2017. 7. 16 오후 4:00:00</t>
  </si>
  <si>
    <t>2017. 7. 16 오후 3:30:00</t>
  </si>
  <si>
    <t>2017. 7. 17 오후 4:00:00</t>
  </si>
  <si>
    <t>2017. 7. 17 오후 3:30:00</t>
  </si>
  <si>
    <t>2017. 7. 18 오후 4:00:00</t>
  </si>
  <si>
    <t>2017. 7. 18 오후 3:30:00</t>
  </si>
  <si>
    <t>2017. 7. 19 오후 4:00:00</t>
  </si>
  <si>
    <t>2017. 7. 19 오후 3:30:00</t>
  </si>
  <si>
    <t>2017. 7. 20 오후 4:00:00</t>
  </si>
  <si>
    <t>2017. 7. 20 오후 3:30:00</t>
  </si>
  <si>
    <t>2017. 7. 21 오후 4:00:00</t>
  </si>
  <si>
    <t>2017. 7. 21 오후 3:30:00</t>
  </si>
  <si>
    <t>2017. 7. 22 오후 4:00:00</t>
  </si>
  <si>
    <t>2017. 7. 22 오후 3:30:00</t>
  </si>
  <si>
    <t>2017. 7. 23 오후 4:00:00</t>
  </si>
  <si>
    <t>2017. 7. 23 오후 3:30:00</t>
  </si>
  <si>
    <t>2017. 7. 24 오후 4:00:00</t>
  </si>
  <si>
    <t>2017. 7. 24 오후 3:30:00</t>
  </si>
  <si>
    <t>2017. 7. 25 오후 4:00:00</t>
  </si>
  <si>
    <t>2017. 7. 25 오후 3:30:00</t>
  </si>
  <si>
    <t>2017. 7. 26 오후 4:00:00</t>
  </si>
  <si>
    <t>2017. 7. 26 오후 3:30:00</t>
  </si>
  <si>
    <t>2017. 7. 27 오후 4:00:00</t>
  </si>
  <si>
    <t>2017. 7. 27 오후 3:30:00</t>
  </si>
  <si>
    <t>2017. 7. 28 오후 4:00:00</t>
  </si>
  <si>
    <t>2017. 7. 28 오후 3:30:00</t>
  </si>
  <si>
    <t>2017. 7. 29 오후 4:00:00</t>
  </si>
  <si>
    <t>2017. 7. 29 오후 3:30:00</t>
  </si>
  <si>
    <t>2017. 7. 30 오후 4:00:00</t>
  </si>
  <si>
    <t>2017. 7. 30 오후 3:30:00</t>
  </si>
  <si>
    <t>2017. 7. 31 오후 4:00:00</t>
  </si>
  <si>
    <t>2017. 7. 31 오후 3:30:00</t>
  </si>
  <si>
    <t>2017. 8. 1 오후 4:00:00</t>
  </si>
  <si>
    <t>2017. 8. 1 오후 3:30:00</t>
  </si>
  <si>
    <t>2017. 8. 2 오후 4:00:00</t>
  </si>
  <si>
    <t>2017. 8. 2 오후 3:30:00</t>
  </si>
  <si>
    <t>2017. 8. 3 오후 4:00:00</t>
  </si>
  <si>
    <t>2017. 8. 3 오후 3:30:00</t>
  </si>
  <si>
    <t>2017. 8. 4 오후 4:00:00</t>
  </si>
  <si>
    <t>2017. 8. 4 오후 3:30:00</t>
  </si>
  <si>
    <t>2017. 8. 5 오후 4:00:00</t>
  </si>
  <si>
    <t>2017. 8. 5 오후 3:30:00</t>
  </si>
  <si>
    <t>2017. 8. 6 오후 4:00:00</t>
  </si>
  <si>
    <t>2017. 8. 6 오후 3:30:00</t>
  </si>
  <si>
    <t>2017. 8. 7 오후 4:00:00</t>
  </si>
  <si>
    <t>2017. 8. 7 오후 3:30:00</t>
  </si>
  <si>
    <t>2017. 8. 8 오후 4:00:00</t>
  </si>
  <si>
    <t>2017. 8. 8 오후 3:30:00</t>
  </si>
  <si>
    <t>2017. 8. 9 오후 4:00:00</t>
  </si>
  <si>
    <t>2017. 8. 9 오후 3:30:00</t>
  </si>
  <si>
    <t>2017. 8. 10 오후 4:00:00</t>
  </si>
  <si>
    <t>2017. 8. 10 오후 3:30:00</t>
  </si>
  <si>
    <t>2017. 8. 11 오후 4:00:00</t>
  </si>
  <si>
    <t>2017. 8. 11 오후 3:30:00</t>
  </si>
  <si>
    <t>2017. 8. 12 오후 4:00:00</t>
  </si>
  <si>
    <t>2017. 8. 12 오후 3:30:00</t>
  </si>
  <si>
    <t>2017. 8. 13 오후 4:00:00</t>
  </si>
  <si>
    <t>2017. 8. 13 오후 3:30:00</t>
  </si>
  <si>
    <t>2017. 8. 14 오후 4:00:00</t>
  </si>
  <si>
    <t>2017. 8. 14 오후 3:30:00</t>
  </si>
  <si>
    <t>2017. 8. 15 오후 4:00:00</t>
  </si>
  <si>
    <t>2017. 8. 15 오후 3:30:00</t>
  </si>
  <si>
    <t>2017. 8. 16 오후 4:00:00</t>
  </si>
  <si>
    <t>2017. 8. 16 오후 3:30:00</t>
  </si>
  <si>
    <t>2017. 8. 17 오후 4:00:00</t>
  </si>
  <si>
    <t>2017. 8. 17 오후 3:30:00</t>
  </si>
  <si>
    <t>2017. 8. 18 오후 4:00:00</t>
  </si>
  <si>
    <t>2017. 8. 18 오후 3:30:00</t>
  </si>
  <si>
    <t>2017. 8. 19 오후 4:00:00</t>
  </si>
  <si>
    <t>2017. 8. 19 오후 3:30:00</t>
  </si>
  <si>
    <t>2017. 8. 20 오후 4:00:00</t>
  </si>
  <si>
    <t>2017. 8. 20 오후 3:30:00</t>
  </si>
  <si>
    <t>2017. 8. 21 오후 4:00:00</t>
  </si>
  <si>
    <t>2017. 8. 21 오후 3:30:00</t>
  </si>
  <si>
    <t>2017. 8. 22 오후 4:00:00</t>
  </si>
  <si>
    <t>2017. 8. 22 오후 3:30:00</t>
  </si>
  <si>
    <t>2017. 8. 23 오후 4:00:00</t>
  </si>
  <si>
    <t>2017. 8. 23 오후 3:30:00</t>
  </si>
  <si>
    <t>2017. 8. 24 오후 4:00:00</t>
  </si>
  <si>
    <t>2017. 8. 24 오후 3:30:00</t>
  </si>
  <si>
    <t>2017. 8. 25 오후 4:00:00</t>
  </si>
  <si>
    <t>2017. 8. 25 오후 3:30:00</t>
  </si>
  <si>
    <t>2017. 8. 26 오후 4:00:00</t>
  </si>
  <si>
    <t>2017. 8. 26 오후 3:30:00</t>
  </si>
  <si>
    <t>2017. 8. 27 오후 4:00:00</t>
  </si>
  <si>
    <t>2017. 8. 27 오후 3:30:00</t>
  </si>
  <si>
    <t>2017. 8. 28 오후 4:00:00</t>
  </si>
  <si>
    <t>2017. 8. 28 오후 3:30:00</t>
  </si>
  <si>
    <t>2017. 8. 29 오후 4:00:00</t>
  </si>
  <si>
    <t>2017. 8. 29 오후 3:30:00</t>
  </si>
  <si>
    <t>2017. 8. 30 오후 4:00:00</t>
  </si>
  <si>
    <t>2017. 8. 30 오후 3:30:00</t>
  </si>
  <si>
    <t>2017. 8. 31 오후 4:00:00</t>
  </si>
  <si>
    <t>2017. 8. 31 오후 3:30:00</t>
  </si>
  <si>
    <t>2017. 9. 1 오후 4:00:00</t>
  </si>
  <si>
    <t>2017. 9. 1 오후 3:30:00</t>
  </si>
  <si>
    <t>2017. 9. 2 오후 4:00:00</t>
  </si>
  <si>
    <t>2017. 9. 2 오후 3:30:00</t>
  </si>
  <si>
    <t>2017. 9. 3 오후 4:00:00</t>
  </si>
  <si>
    <t>2017. 9. 3 오후 3:30:00</t>
  </si>
  <si>
    <t>2017. 9. 4 오후 4:00:00</t>
  </si>
  <si>
    <t>2017. 9. 4 오후 3:30:00</t>
  </si>
  <si>
    <t>2017. 9. 5 오후 4:00:00</t>
  </si>
  <si>
    <t>2017. 9. 5 오후 3:30:00</t>
  </si>
  <si>
    <t>2017. 9. 6 오후 4:00:00</t>
  </si>
  <si>
    <t>2017. 9. 6 오후 3:30:00</t>
  </si>
  <si>
    <t>2017. 9. 7 오후 4:00:00</t>
  </si>
  <si>
    <t>2017. 9. 7 오후 3:30:00</t>
  </si>
  <si>
    <t>2017. 9. 8 오후 4:00:00</t>
  </si>
  <si>
    <t>2017. 9. 8 오후 3:30:00</t>
  </si>
  <si>
    <t>2017. 9. 9 오후 4:00:00</t>
  </si>
  <si>
    <t>2017. 9. 9 오후 3:30:00</t>
  </si>
  <si>
    <t>2017. 9. 10 오후 4:00:00</t>
  </si>
  <si>
    <t>2017. 9. 10 오후 3:30:00</t>
  </si>
  <si>
    <t>2017. 9. 11 오후 4:00:00</t>
  </si>
  <si>
    <t>2017. 9. 11 오후 3:30:00</t>
  </si>
  <si>
    <t>2017. 9. 12 오후 4:00:00</t>
  </si>
  <si>
    <t>2017. 9. 12 오후 3:30:00</t>
  </si>
  <si>
    <t>2017. 9. 13 오후 4:00:00</t>
  </si>
  <si>
    <t>2017. 9. 13 오후 3:30:00</t>
  </si>
  <si>
    <t>2017. 9. 14 오후 4:00:00</t>
  </si>
  <si>
    <t>2017. 9. 14 오후 3:30:00</t>
  </si>
  <si>
    <t>2017. 9. 15 오후 4:00:00</t>
  </si>
  <si>
    <t>2017. 9. 15 오후 3:30:00</t>
  </si>
  <si>
    <t>2017. 9. 16 오후 4:00:00</t>
  </si>
  <si>
    <t>2017. 9. 16 오후 3:30:00</t>
  </si>
  <si>
    <t>2017. 9. 17 오후 4:00:00</t>
  </si>
  <si>
    <t>2017. 9. 17 오후 3:30:00</t>
  </si>
  <si>
    <t>2017. 9. 18 오후 4:00:00</t>
  </si>
  <si>
    <t>2017. 9. 18 오후 3:30:00</t>
  </si>
  <si>
    <t>2017. 9. 19 오후 4:00:00</t>
  </si>
  <si>
    <t>2017. 9. 19 오후 3:30:00</t>
  </si>
  <si>
    <t>2017. 9. 20 오후 4:00:00</t>
  </si>
  <si>
    <t>2017. 9. 20 오후 3:30:00</t>
  </si>
  <si>
    <t>2017. 9. 21 오후 4:00:00</t>
  </si>
  <si>
    <t>2017. 9. 21 오후 3:30:00</t>
  </si>
  <si>
    <t>2017. 9. 22 오후 4:00:00</t>
  </si>
  <si>
    <t>2017. 9. 22 오후 3:30:00</t>
  </si>
  <si>
    <t>2017. 9. 23 오후 4:00:00</t>
  </si>
  <si>
    <t>2017. 9. 23 오후 3:30:00</t>
  </si>
  <si>
    <t>2017. 9. 24 오후 4:00:00</t>
  </si>
  <si>
    <t>2017. 9. 24 오후 3:30:00</t>
  </si>
  <si>
    <t>2017. 9. 25 오후 4:00:00</t>
  </si>
  <si>
    <t>2017. 9. 25 오후 3:30:00</t>
  </si>
  <si>
    <t>2017. 9. 26 오후 4:00:00</t>
  </si>
  <si>
    <t>2017. 9. 26 오후 3:30:00</t>
  </si>
  <si>
    <t>2017. 9. 27 오후 4:00:00</t>
  </si>
  <si>
    <t>2017. 9. 27 오후 3:30:00</t>
  </si>
  <si>
    <t>2017. 9. 28 오후 4:00:00</t>
  </si>
  <si>
    <t>2017. 9. 28 오후 3:30:00</t>
  </si>
  <si>
    <t>2017. 9. 29 오후 4:00:00</t>
  </si>
  <si>
    <t>2017. 9. 29 오후 3:30:00</t>
  </si>
  <si>
    <t>2017. 9. 30 오후 4:00:00</t>
  </si>
  <si>
    <t>2017. 9. 30 오후 3:30:00</t>
  </si>
  <si>
    <t>2017. 10. 1 오후 4:00:00</t>
  </si>
  <si>
    <t>2017. 10. 1 오후 3:30:00</t>
  </si>
  <si>
    <t>2017. 10. 2 오후 4:00:00</t>
  </si>
  <si>
    <t>2017. 10. 2 오후 3:30:00</t>
  </si>
  <si>
    <t>2017. 10. 3 오후 4:00:00</t>
  </si>
  <si>
    <t>2017. 10. 3 오후 3:30:00</t>
  </si>
  <si>
    <t>2017. 10. 4 오후 4:00:00</t>
  </si>
  <si>
    <t>2017. 10. 4 오후 3:30:00</t>
  </si>
  <si>
    <t>2017. 10. 5 오후 4:00:00</t>
  </si>
  <si>
    <t>2017. 10. 5 오후 3:30:00</t>
  </si>
  <si>
    <t>2017. 10. 6 오후 4:00:00</t>
  </si>
  <si>
    <t>2017. 10. 6 오후 3:30:00</t>
  </si>
  <si>
    <t>2017. 10. 7 오후 4:00:00</t>
  </si>
  <si>
    <t>2017. 10. 7 오후 3:30:00</t>
  </si>
  <si>
    <t>2017. 10. 8 오후 4:00:00</t>
  </si>
  <si>
    <t>2017. 10. 8 오후 3:30:00</t>
  </si>
  <si>
    <t>2017. 10. 9 오후 4:00:00</t>
  </si>
  <si>
    <t>2017. 10. 9 오후 3:30:00</t>
  </si>
  <si>
    <t>2017. 10. 10 오후 4:00:00</t>
  </si>
  <si>
    <t>2017. 10. 10 오후 3:30:00</t>
  </si>
  <si>
    <t>2017. 10. 11 오후 4:00:00</t>
  </si>
  <si>
    <t>2017. 10. 11 오후 3:30:00</t>
  </si>
  <si>
    <t>2017. 10. 12 오후 4:00:00</t>
  </si>
  <si>
    <t>2017. 10. 12 오후 3:30:00</t>
  </si>
  <si>
    <t>2017. 10. 13 오후 4:00:00</t>
  </si>
  <si>
    <t>2017. 10. 13 오후 3:30:00</t>
  </si>
  <si>
    <t>2017. 10. 14 오후 4:00:00</t>
  </si>
  <si>
    <t>2017. 10. 14 오후 3:30:00</t>
  </si>
  <si>
    <t>2017. 10. 15 오후 4:00:00</t>
  </si>
  <si>
    <t>2017. 10. 15 오후 3:30:00</t>
  </si>
  <si>
    <t>2017. 10. 16 오후 4:00:00</t>
  </si>
  <si>
    <t>2017. 10. 16 오후 3:30:00</t>
  </si>
  <si>
    <t>2017. 10. 17 오후 4:00:00</t>
  </si>
  <si>
    <t>2017. 10. 17 오후 3:30:00</t>
  </si>
  <si>
    <t>2017. 10. 18 오후 4:00:00</t>
  </si>
  <si>
    <t>2017. 10. 18 오후 3:30:00</t>
  </si>
  <si>
    <t>2017. 10. 19 오후 4:00:00</t>
  </si>
  <si>
    <t>2017. 10. 19 오후 3:30:00</t>
  </si>
  <si>
    <t>2017. 10. 20 오후 4:00:00</t>
  </si>
  <si>
    <t>2017. 10. 20 오후 3:30:00</t>
  </si>
  <si>
    <t>2017. 10. 21 오후 4:00:00</t>
  </si>
  <si>
    <t>2017. 10. 21 오후 3:30:00</t>
  </si>
  <si>
    <t>2017. 10. 22 오후 4:00:00</t>
  </si>
  <si>
    <t>2017. 10. 22 오후 3:30:00</t>
  </si>
  <si>
    <t>2017. 10. 23 오후 4:00:00</t>
  </si>
  <si>
    <t>2017. 10. 23 오후 3:30:00</t>
  </si>
  <si>
    <t>2017. 10. 24 오후 4:00:00</t>
  </si>
  <si>
    <t>2017. 10. 24 오후 3:30:00</t>
  </si>
  <si>
    <t>2017. 10. 25 오후 4:00:00</t>
  </si>
  <si>
    <t>2017. 10. 25 오후 3:30:00</t>
  </si>
  <si>
    <t>2017. 10. 26 오후 4:00:00</t>
  </si>
  <si>
    <t>2017. 10. 26 오후 3:30:00</t>
  </si>
  <si>
    <t>2017. 10. 27 오후 4:00:00</t>
  </si>
  <si>
    <t>2017. 10. 27 오후 3:30:00</t>
  </si>
  <si>
    <t>2017. 10. 28 오후 4:00:00</t>
  </si>
  <si>
    <t>2017. 10. 28 오후 3:30:00</t>
  </si>
  <si>
    <t>2017. 10. 29 오후 4:00:00</t>
  </si>
  <si>
    <t>2017. 10. 29 오후 3:30:00</t>
  </si>
  <si>
    <t>2017. 10. 30 오후 4:00:00</t>
  </si>
  <si>
    <t>2017. 10. 30 오후 3:30:00</t>
  </si>
  <si>
    <t>2017. 10. 31 오후 4:00:00</t>
  </si>
  <si>
    <t>2017. 10. 31 오후 3:30:00</t>
  </si>
  <si>
    <t>2017. 11. 1 오후 4:00:00</t>
  </si>
  <si>
    <t>2017. 11. 1 오후 3:30:00</t>
  </si>
  <si>
    <t>2017. 11. 2 오후 4:00:00</t>
  </si>
  <si>
    <t>2017. 11. 2 오후 3:30:00</t>
  </si>
  <si>
    <t>2017. 11. 3 오후 4:00:00</t>
  </si>
  <si>
    <t>2017. 11. 3 오후 3:30:00</t>
  </si>
  <si>
    <t>2017. 11. 4 오후 4:00:00</t>
  </si>
  <si>
    <t>2017. 11. 4 오후 3:30:00</t>
  </si>
  <si>
    <t>2017. 11. 5 오후 4:00:00</t>
  </si>
  <si>
    <t>2017. 11. 5 오후 3:30:00</t>
  </si>
  <si>
    <t>2017. 11. 6 오후 4:00:00</t>
  </si>
  <si>
    <t>2017. 11. 6 오후 3:30:00</t>
  </si>
  <si>
    <t>2017. 11. 7 오후 4:00:00</t>
  </si>
  <si>
    <t>2017. 11. 7 오후 3:30:00</t>
  </si>
  <si>
    <t>2017. 11. 8 오후 4:00:00</t>
  </si>
  <si>
    <t>2017. 11. 8 오후 3:30:00</t>
  </si>
  <si>
    <t>2017. 11. 9 오후 4:00:00</t>
  </si>
  <si>
    <t>2017. 11. 9 오후 3:30:00</t>
  </si>
  <si>
    <t>2017. 11. 10 오후 4:00:00</t>
  </si>
  <si>
    <t>2017. 11. 10 오후 3:30:00</t>
  </si>
  <si>
    <t>2017. 11. 11 오후 4:00:00</t>
  </si>
  <si>
    <t>2017. 11. 11 오후 3:30:00</t>
  </si>
  <si>
    <t>2017. 11. 12 오후 4:00:00</t>
  </si>
  <si>
    <t>2017. 11. 12 오후 3:30:00</t>
  </si>
  <si>
    <t>2017. 11. 13 오후 4:00:00</t>
  </si>
  <si>
    <t>2017. 11. 13 오후 3:30:00</t>
  </si>
  <si>
    <t>2017. 11. 14 오후 4:00:00</t>
  </si>
  <si>
    <t>2017. 11. 14 오후 3:30:00</t>
  </si>
  <si>
    <t>2017. 11. 15 오후 4:00:00</t>
  </si>
  <si>
    <t>2017. 11. 15 오후 3:30:00</t>
  </si>
  <si>
    <t>2017. 11. 16 오후 4:00:00</t>
  </si>
  <si>
    <t>2017. 11. 16 오후 3:30:00</t>
  </si>
  <si>
    <t>2017. 11. 17 오후 4:00:00</t>
  </si>
  <si>
    <t>2017. 11. 17 오후 3:30:00</t>
  </si>
  <si>
    <t>2017. 11. 18 오후 4:00:00</t>
  </si>
  <si>
    <t>2017. 11. 18 오후 3:30:00</t>
  </si>
  <si>
    <t>2017. 11. 19 오후 4:00:00</t>
  </si>
  <si>
    <t>2017. 11. 19 오후 3:30:00</t>
  </si>
  <si>
    <t>2017. 11. 20 오후 4:00:00</t>
  </si>
  <si>
    <t>2017. 11. 20 오후 3:30:00</t>
  </si>
  <si>
    <t>2017. 11. 21 오후 4:00:00</t>
  </si>
  <si>
    <t>2017. 11. 21 오후 3:30:00</t>
  </si>
  <si>
    <t>2017. 11. 22 오후 4:00:00</t>
  </si>
  <si>
    <t>2017. 11. 22 오후 3:30:00</t>
  </si>
  <si>
    <t>2017. 11. 23 오후 4:00:00</t>
  </si>
  <si>
    <t>2017. 11. 23 오후 3:30:00</t>
  </si>
  <si>
    <t>2017. 11. 24 오후 4:00:00</t>
  </si>
  <si>
    <t>2017. 11. 24 오후 3:30:00</t>
  </si>
  <si>
    <t>2017. 11. 25 오후 4:00:00</t>
  </si>
  <si>
    <t>2017. 11. 25 오후 3:30:00</t>
  </si>
  <si>
    <t>2017. 11. 26 오후 4:00:00</t>
  </si>
  <si>
    <t>2017. 11. 26 오후 3:30:00</t>
  </si>
  <si>
    <t>2017. 11. 27 오후 4:00:00</t>
  </si>
  <si>
    <t>2017. 11. 27 오후 3:30:00</t>
  </si>
  <si>
    <t>2017. 11. 28 오후 4:00:00</t>
  </si>
  <si>
    <t>2017. 11. 28 오후 3:30:00</t>
  </si>
  <si>
    <t>2017. 11. 29 오후 4:00:00</t>
  </si>
  <si>
    <t>2017. 11. 29 오후 3:30:00</t>
  </si>
  <si>
    <t>2017. 11. 30 오후 4:00:00</t>
  </si>
  <si>
    <t>2017. 11. 30 오후 3:30:00</t>
  </si>
  <si>
    <t>2017. 12. 1 오후 4:00:00</t>
  </si>
  <si>
    <t>2017. 12. 1 오후 3:30:00</t>
  </si>
  <si>
    <t>2017. 12. 2 오후 4:00:00</t>
  </si>
  <si>
    <t>2017. 12. 2 오후 3:30:00</t>
  </si>
  <si>
    <t>2017. 12. 3 오후 4:00:00</t>
  </si>
  <si>
    <t>2017. 12. 3 오후 3:30:00</t>
  </si>
  <si>
    <t>2017. 12. 4 오후 4:00:00</t>
  </si>
  <si>
    <t>2017. 12. 4 오후 3:30:00</t>
  </si>
  <si>
    <t>2017. 12. 5 오후 4:00:00</t>
  </si>
  <si>
    <t>2017. 12. 5 오후 3:30:00</t>
  </si>
  <si>
    <t>2017. 12. 6 오후 4:00:00</t>
  </si>
  <si>
    <t>2017. 12. 6 오후 3:30:00</t>
  </si>
  <si>
    <t>2017. 12. 7 오후 4:00:00</t>
  </si>
  <si>
    <t>2017. 12. 7 오후 3:30:00</t>
  </si>
  <si>
    <t>2017. 12. 8 오후 4:00:00</t>
  </si>
  <si>
    <t>2017. 12. 8 오후 3:30:00</t>
  </si>
  <si>
    <t>2017. 12. 9 오후 4:00:00</t>
  </si>
  <si>
    <t>2017. 12. 9 오후 3:30:00</t>
  </si>
  <si>
    <t>2017. 12. 10 오후 4:00:00</t>
  </si>
  <si>
    <t>2017. 12. 10 오후 3:30:00</t>
  </si>
  <si>
    <t>2017. 12. 11 오후 4:00:00</t>
  </si>
  <si>
    <t>2017. 12. 11 오후 3:30:00</t>
  </si>
  <si>
    <t>2017. 12. 12 오후 4:00:00</t>
  </si>
  <si>
    <t>2017. 12. 12 오후 3:30:00</t>
  </si>
  <si>
    <t>2017. 12. 13 오후 4:00:00</t>
  </si>
  <si>
    <t>2017. 12. 13 오후 3:30:00</t>
  </si>
  <si>
    <t>2017. 12. 14 오후 4:00:00</t>
  </si>
  <si>
    <t>2017. 12. 14 오후 3:30:00</t>
  </si>
  <si>
    <t>2017. 12. 15 오후 4:00:00</t>
  </si>
  <si>
    <t>2017. 12. 15 오후 3:30:00</t>
  </si>
  <si>
    <t>2017. 12. 16 오후 4:00:00</t>
  </si>
  <si>
    <t>2017. 12. 16 오후 3:30:00</t>
  </si>
  <si>
    <t>2017. 12. 17 오후 4:00:00</t>
  </si>
  <si>
    <t>2017. 12. 17 오후 3:30:00</t>
  </si>
  <si>
    <t>2017. 12. 18 오후 4:00:00</t>
  </si>
  <si>
    <t>2017. 12. 18 오후 3:30:00</t>
  </si>
  <si>
    <t>2017. 12. 19 오후 4:00:00</t>
  </si>
  <si>
    <t>2017. 12. 19 오후 3:30:00</t>
  </si>
  <si>
    <t>2017. 12. 20 오후 4:00:00</t>
  </si>
  <si>
    <t>2017. 12. 20 오후 3:30:00</t>
  </si>
  <si>
    <t>2017. 12. 21 오후 4:00:00</t>
  </si>
  <si>
    <t>2017. 12. 21 오후 3:30:00</t>
  </si>
  <si>
    <t>2017. 12. 22 오후 4:00:00</t>
  </si>
  <si>
    <t>2017. 12. 22 오후 3:30:00</t>
  </si>
  <si>
    <t>2017. 12. 23 오후 4:00:00</t>
  </si>
  <si>
    <t>2017. 12. 23 오후 3:30:00</t>
  </si>
  <si>
    <t>2017. 12. 24 오후 4:00:00</t>
  </si>
  <si>
    <t>2017. 12. 24 오후 3:30:00</t>
  </si>
  <si>
    <t>2017. 12. 25 오후 4:00:00</t>
  </si>
  <si>
    <t>2017. 12. 25 오후 3:30:00</t>
  </si>
  <si>
    <t>2017. 12. 26 오후 4:00:00</t>
  </si>
  <si>
    <t>2017. 12. 26 오후 3:30:00</t>
  </si>
  <si>
    <t>2017. 12. 27 오후 4:00:00</t>
  </si>
  <si>
    <t>2017. 12. 27 오후 3:30:00</t>
  </si>
  <si>
    <t>2017. 12. 28 오후 4:00:00</t>
  </si>
  <si>
    <t>2017. 12. 28 오후 3:30:00</t>
  </si>
  <si>
    <t>2017. 12. 29 오후 4:00:00</t>
  </si>
  <si>
    <t>2017. 12. 29 오후 3:30:00</t>
  </si>
  <si>
    <t>2017. 12. 30 오후 4:00:00</t>
  </si>
  <si>
    <t>2017. 12. 30 오후 3:30:00</t>
  </si>
  <si>
    <t>2017. 12. 31 오후 4:00:00</t>
  </si>
  <si>
    <t>2017. 12. 31 오후 3:30:00</t>
  </si>
  <si>
    <t>2018. 1. 1 오후 4:00:00</t>
  </si>
  <si>
    <t>2018. 1. 1 오후 3:30:00</t>
  </si>
  <si>
    <t>2018. 1. 2 오후 4:00:00</t>
  </si>
  <si>
    <t>2018. 1. 2 오후 3:30:00</t>
  </si>
  <si>
    <t>2018. 1. 3 오후 4:00:00</t>
  </si>
  <si>
    <t>2018. 1. 3 오후 3:30:00</t>
  </si>
  <si>
    <t>2018. 1. 4 오후 4:00:00</t>
  </si>
  <si>
    <t>2018. 1. 4 오후 3:30:00</t>
  </si>
  <si>
    <t>2018. 1. 5 오후 4:00:00</t>
  </si>
  <si>
    <t>2018. 1. 5 오후 3:30:00</t>
  </si>
  <si>
    <t>2018. 1. 6 오후 4:00:00</t>
  </si>
  <si>
    <t>2018. 1. 6 오후 3:30:00</t>
  </si>
  <si>
    <t>2018. 1. 7 오후 4:00:00</t>
  </si>
  <si>
    <t>2018. 1. 7 오후 3:30:00</t>
  </si>
  <si>
    <t>2018. 1. 8 오후 4:00:00</t>
  </si>
  <si>
    <t>2018. 1. 8 오후 3:30:00</t>
  </si>
  <si>
    <t>2018. 1. 9 오후 4:00:00</t>
  </si>
  <si>
    <t>2018. 1. 9 오후 3:30:00</t>
  </si>
  <si>
    <t>2018. 1. 10 오후 4:00:00</t>
  </si>
  <si>
    <t>2018. 1. 10 오후 3:30:00</t>
  </si>
  <si>
    <t>2018. 1. 11 오후 4:00:00</t>
  </si>
  <si>
    <t>2018. 1. 11 오후 3:30:00</t>
  </si>
  <si>
    <t>2018. 1. 12 오후 4:00:00</t>
  </si>
  <si>
    <t>2018. 1. 12 오후 3:30:00</t>
  </si>
  <si>
    <t>2018. 1. 13 오후 4:00:00</t>
  </si>
  <si>
    <t>2018. 1. 13 오후 3:30:00</t>
  </si>
  <si>
    <t>2018. 1. 14 오후 4:00:00</t>
  </si>
  <si>
    <t>2018. 1. 14 오후 3:30:00</t>
  </si>
  <si>
    <t>2018. 1. 15 오후 4:00:00</t>
  </si>
  <si>
    <t>2018. 1. 15 오후 3:30:00</t>
  </si>
  <si>
    <t>2018. 1. 16 오후 4:00:00</t>
  </si>
  <si>
    <t>2018. 1. 16 오후 3:30:00</t>
  </si>
  <si>
    <t>2018. 1. 17 오후 4:00:00</t>
  </si>
  <si>
    <t>2018. 1. 17 오후 3:30:00</t>
  </si>
  <si>
    <t>2018. 1. 18 오후 4:00:00</t>
  </si>
  <si>
    <t>2018. 1. 18 오후 3:30:00</t>
  </si>
  <si>
    <t>2018. 1. 19 오후 4:00:00</t>
  </si>
  <si>
    <t>2018. 1. 19 오후 3:30:00</t>
  </si>
  <si>
    <t>2018. 1. 20 오후 4:00:00</t>
  </si>
  <si>
    <t>2018. 1. 20 오후 3:30:00</t>
  </si>
  <si>
    <t>2018. 1. 21 오후 4:00:00</t>
  </si>
  <si>
    <t>2018. 1. 21 오후 3:30:00</t>
  </si>
  <si>
    <t>2018. 1. 22 오후 4:00:00</t>
  </si>
  <si>
    <t>2018. 1. 22 오후 3:30:00</t>
  </si>
  <si>
    <t>2018. 1. 23 오후 4:00:00</t>
  </si>
  <si>
    <t>2018. 1. 23 오후 3:30:00</t>
  </si>
  <si>
    <t>2018. 1. 24 오후 4:00:00</t>
  </si>
  <si>
    <t>2018. 1. 24 오후 3:30:00</t>
  </si>
  <si>
    <t>2018. 1. 25 오후 4:00:00</t>
  </si>
  <si>
    <t>2018. 1. 25 오후 3:30:00</t>
  </si>
  <si>
    <t>2018. 1. 26 오후 4:00:00</t>
  </si>
  <si>
    <t>2018. 1. 26 오후 3:30:00</t>
  </si>
  <si>
    <t>2018. 1. 27 오후 4:00:00</t>
  </si>
  <si>
    <t>2018. 1. 27 오후 3:30:00</t>
  </si>
  <si>
    <t>2018. 1. 28 오후 4:00:00</t>
  </si>
  <si>
    <t>2018. 1. 28 오후 3:30:00</t>
  </si>
  <si>
    <t>2018. 1. 29 오후 4:00:00</t>
  </si>
  <si>
    <t>2018. 1. 29 오후 3:30:00</t>
  </si>
  <si>
    <t>2018. 1. 30 오후 4:00:00</t>
  </si>
  <si>
    <t>2018. 1. 30 오후 3:30:00</t>
  </si>
  <si>
    <t>2018. 1. 31 오후 4:00:00</t>
  </si>
  <si>
    <t>2018. 1. 31 오후 3:30:00</t>
  </si>
  <si>
    <t>2018. 2. 1 오후 4:00:00</t>
  </si>
  <si>
    <t>2018. 2. 1 오후 3:30:00</t>
  </si>
  <si>
    <t>2018. 2. 2 오후 4:00:00</t>
  </si>
  <si>
    <t>2018. 2. 2 오후 3:30:00</t>
  </si>
  <si>
    <t>2018. 2. 3 오후 4:00:00</t>
  </si>
  <si>
    <t>2018. 2. 3 오후 3:30:00</t>
  </si>
  <si>
    <t>2018. 2. 4 오후 4:00:00</t>
  </si>
  <si>
    <t>2018. 2. 4 오후 3:30:00</t>
  </si>
  <si>
    <t>2018. 2. 5 오후 4:00:00</t>
  </si>
  <si>
    <t>2018. 2. 5 오후 3:30:00</t>
  </si>
  <si>
    <t>2018. 2. 6 오후 4:00:00</t>
  </si>
  <si>
    <t>2018. 2. 6 오후 3:30:00</t>
  </si>
  <si>
    <t>2018. 2. 7 오후 4:00:00</t>
  </si>
  <si>
    <t>2018. 2. 7 오후 3:30:00</t>
  </si>
  <si>
    <t>2018. 2. 8 오후 4:00:00</t>
  </si>
  <si>
    <t>2018. 2. 8 오후 3:30:00</t>
  </si>
  <si>
    <t>2018. 2. 9 오후 4:00:00</t>
  </si>
  <si>
    <t>2018. 2. 9 오후 3:30:00</t>
  </si>
  <si>
    <t>2018. 2. 10 오후 4:00:00</t>
  </si>
  <si>
    <t>2018. 2. 10 오후 3:30:00</t>
  </si>
  <si>
    <t>2018. 2. 11 오후 4:00:00</t>
  </si>
  <si>
    <t>2018. 2. 11 오후 3:30:00</t>
  </si>
  <si>
    <t>2018. 2. 12 오후 4:00:00</t>
  </si>
  <si>
    <t>2018. 2. 12 오후 3:30:00</t>
  </si>
  <si>
    <t>2018. 2. 13 오후 4:00:00</t>
  </si>
  <si>
    <t>2018. 2. 13 오후 3:30:00</t>
  </si>
  <si>
    <t>2018. 2. 14 오후 4:00:00</t>
  </si>
  <si>
    <t>2018. 2. 14 오후 3:30:00</t>
  </si>
  <si>
    <t>2018. 2. 15 오후 4:00:00</t>
  </si>
  <si>
    <t>2018. 2. 15 오후 3:30:00</t>
  </si>
  <si>
    <t>2018. 2. 16 오후 4:00:00</t>
  </si>
  <si>
    <t>2018. 2. 16 오후 3:30:00</t>
  </si>
  <si>
    <t>2018. 2. 17 오후 4:00:00</t>
  </si>
  <si>
    <t>2018. 2. 17 오후 3:30:00</t>
  </si>
  <si>
    <t>2018. 2. 18 오후 4:00:00</t>
  </si>
  <si>
    <t>2018. 2. 18 오후 3:30:00</t>
  </si>
  <si>
    <t>2018. 2. 19 오후 4:00:00</t>
  </si>
  <si>
    <t>2018. 2. 19 오후 3:30:00</t>
  </si>
  <si>
    <t>2018. 2. 20 오후 4:00:00</t>
  </si>
  <si>
    <t>2018. 2. 20 오후 3:30:00</t>
  </si>
  <si>
    <t>2018. 2. 21 오후 4:00:00</t>
  </si>
  <si>
    <t>2018. 2. 21 오후 3:30:00</t>
  </si>
  <si>
    <t>2018. 2. 22 오후 4:00:00</t>
  </si>
  <si>
    <t>2018. 2. 22 오후 3:30:00</t>
  </si>
  <si>
    <t>2018. 2. 23 오후 4:00:00</t>
  </si>
  <si>
    <t>2018. 2. 23 오후 3:30:00</t>
  </si>
  <si>
    <t>2018. 2. 24 오후 4:00:00</t>
  </si>
  <si>
    <t>2018. 2. 24 오후 3:30:00</t>
  </si>
  <si>
    <t>2018. 2. 25 오후 4:00:00</t>
  </si>
  <si>
    <t>2018. 2. 25 오후 3:30:00</t>
  </si>
  <si>
    <t>2018. 2. 26 오후 4:00:00</t>
  </si>
  <si>
    <t>2018. 2. 26 오후 3:30:00</t>
  </si>
  <si>
    <t>2018. 2. 27 오후 4:00:00</t>
  </si>
  <si>
    <t>2018. 2. 27 오후 3:30:00</t>
  </si>
  <si>
    <t>2018. 2. 28 오후 4:00:00</t>
  </si>
  <si>
    <t>2018. 2. 28 오후 3:30:00</t>
  </si>
  <si>
    <t>2018. 3. 1 오후 4:00:00</t>
  </si>
  <si>
    <t>2018. 3. 1 오후 3:30:00</t>
  </si>
  <si>
    <t>2018. 3. 2 오후 4:00:00</t>
  </si>
  <si>
    <t>2018. 3. 2 오후 3:30:00</t>
  </si>
  <si>
    <t>2018. 3. 3 오후 4:00:00</t>
  </si>
  <si>
    <t>2018. 3. 3 오후 3:30:00</t>
  </si>
  <si>
    <t>2018. 3. 4 오후 4:00:00</t>
  </si>
  <si>
    <t>2018. 3. 4 오후 3:30:00</t>
  </si>
  <si>
    <t>2018. 3. 5 오후 4:00:00</t>
  </si>
  <si>
    <t>2018. 3. 5 오후 3:30:00</t>
  </si>
  <si>
    <t>2018. 3. 6 오후 4:00:00</t>
  </si>
  <si>
    <t>2018. 3. 6 오후 3:30:00</t>
  </si>
  <si>
    <t>2018. 3. 7 오후 4:00:00</t>
  </si>
  <si>
    <t>2018. 3. 7 오후 3:30:00</t>
  </si>
  <si>
    <t>2018. 3. 8 오후 4:00:00</t>
  </si>
  <si>
    <t>2018. 3. 8 오후 3:30:00</t>
  </si>
  <si>
    <t>2018. 3. 9 오후 4:00:00</t>
  </si>
  <si>
    <t>2018. 3. 9 오후 3:30:00</t>
  </si>
  <si>
    <t>2018. 3. 10 오후 4:00:00</t>
  </si>
  <si>
    <t>2018. 3. 10 오후 3:30:00</t>
  </si>
  <si>
    <t>2018. 3. 11 오후 4:00:00</t>
  </si>
  <si>
    <t>2018. 3. 11 오후 3:30:00</t>
  </si>
  <si>
    <t>2018. 3. 12 오후 4:00:00</t>
  </si>
  <si>
    <t>2018. 3. 12 오후 3:30:00</t>
  </si>
  <si>
    <t>2018. 3. 13 오후 4:00:00</t>
  </si>
  <si>
    <t>2018. 3. 13 오후 3:30:00</t>
  </si>
  <si>
    <t>2018. 3. 14 오후 4:00:00</t>
  </si>
  <si>
    <t>2018. 3. 14 오후 3:30:00</t>
  </si>
  <si>
    <t>2018. 3. 15 오후 4:00:00</t>
  </si>
  <si>
    <t>2018. 3. 15 오후 3:30:00</t>
  </si>
  <si>
    <t>2018. 3. 16 오후 4:00:00</t>
  </si>
  <si>
    <t>2018. 3. 16 오후 3:30:00</t>
  </si>
  <si>
    <t>2018. 3. 17 오후 4:00:00</t>
  </si>
  <si>
    <t>2018. 3. 17 오후 3:30:00</t>
  </si>
  <si>
    <t>2018. 3. 18 오후 4:00:00</t>
  </si>
  <si>
    <t>2018. 3. 18 오후 3:30:00</t>
  </si>
  <si>
    <t>2018. 3. 19 오후 4:00:00</t>
  </si>
  <si>
    <t>2018. 3. 19 오후 3:30:00</t>
  </si>
  <si>
    <t>2018. 3. 20 오후 4:00:00</t>
  </si>
  <si>
    <t>2018. 3. 20 오후 3:30:00</t>
  </si>
  <si>
    <t>2018. 3. 21 오후 4:00:00</t>
  </si>
  <si>
    <t>2018. 3. 21 오후 3:30:00</t>
  </si>
  <si>
    <t>2018. 3. 22 오후 4:00:00</t>
  </si>
  <si>
    <t>2018. 3. 22 오후 3:30:00</t>
  </si>
  <si>
    <t>2018. 3. 23 오후 4:00:00</t>
  </si>
  <si>
    <t>2018. 3. 23 오후 3:30:00</t>
  </si>
  <si>
    <t>2018. 3. 24 오후 4:00:00</t>
  </si>
  <si>
    <t>2018. 3. 24 오후 3:30:00</t>
  </si>
  <si>
    <t>2018. 3. 25 오후 4:00:00</t>
  </si>
  <si>
    <t>2018. 3. 25 오후 3:30:00</t>
  </si>
  <si>
    <t>2018. 3. 26 오후 4:00:00</t>
  </si>
  <si>
    <t>2018. 3. 26 오후 3:30:00</t>
  </si>
  <si>
    <t>2018. 3. 27 오후 4:00:00</t>
  </si>
  <si>
    <t>2018. 3. 27 오후 3:30:00</t>
  </si>
  <si>
    <t>2018. 3. 28 오후 4:00:00</t>
  </si>
  <si>
    <t>2018. 3. 28 오후 3:30:00</t>
  </si>
  <si>
    <t>2018. 3. 29 오후 4:00:00</t>
  </si>
  <si>
    <t>2018. 3. 29 오후 3:30:00</t>
  </si>
  <si>
    <t>2018. 3. 30 오후 4:00:00</t>
  </si>
  <si>
    <t>2018. 3. 30 오후 3:30:00</t>
  </si>
  <si>
    <t>2018. 3. 31 오후 4:00:00</t>
  </si>
  <si>
    <t>2018. 3. 31 오후 3:30:00</t>
  </si>
  <si>
    <t>2018. 4. 1 오후 4:00:00</t>
  </si>
  <si>
    <t>2018. 4. 1 오후 3:30:00</t>
  </si>
  <si>
    <t>2018. 4. 2 오후 4:00:00</t>
  </si>
  <si>
    <t>2018. 4. 2 오후 3:30:00</t>
  </si>
  <si>
    <t>2018. 4. 3 오후 4:00:00</t>
  </si>
  <si>
    <t>2018. 4. 3 오후 3:30:00</t>
  </si>
  <si>
    <t>2018. 4. 4 오후 4:00:00</t>
  </si>
  <si>
    <t>2018. 4. 4 오후 3:30:00</t>
  </si>
  <si>
    <t>2018. 4. 5 오후 4:00:00</t>
  </si>
  <si>
    <t>2018. 4. 5 오후 3:30:00</t>
  </si>
  <si>
    <t>2018. 4. 6 오후 4:00:00</t>
  </si>
  <si>
    <t>2018. 4. 6 오후 3:30:00</t>
  </si>
  <si>
    <t>2018. 4. 7 오후 4:00:00</t>
  </si>
  <si>
    <t>2018. 4. 7 오후 3:30:00</t>
  </si>
  <si>
    <t>2018. 4. 8 오후 4:00:00</t>
  </si>
  <si>
    <t>2018. 4. 8 오후 3:30:00</t>
  </si>
  <si>
    <t>2018. 4. 9 오후 4:00:00</t>
  </si>
  <si>
    <t>2018. 4. 9 오후 3:30:00</t>
  </si>
  <si>
    <t>2018. 4. 10 오후 4:00:00</t>
  </si>
  <si>
    <t>2018. 4. 10 오후 3:30:00</t>
  </si>
  <si>
    <t>2018. 4. 11 오후 4:00:00</t>
  </si>
  <si>
    <t>2018. 4. 11 오후 3:30:00</t>
  </si>
  <si>
    <t>2018. 4. 12 오후 4:00:00</t>
  </si>
  <si>
    <t>2018. 4. 12 오후 3:30:00</t>
  </si>
  <si>
    <t>2018. 4. 13 오후 4:00:00</t>
  </si>
  <si>
    <t>2018. 4. 13 오후 3:30:00</t>
  </si>
  <si>
    <t>2018. 4. 14 오후 4:00:00</t>
  </si>
  <si>
    <t>2018. 4. 14 오후 3:30:00</t>
  </si>
  <si>
    <t>2018. 4. 15 오후 4:00:00</t>
  </si>
  <si>
    <t>2018. 4. 15 오후 3:30:00</t>
  </si>
  <si>
    <t>2018. 4. 16 오후 4:00:00</t>
  </si>
  <si>
    <t>2018. 4. 16 오후 3:30:00</t>
  </si>
  <si>
    <t>2018. 4. 17 오후 4:00:00</t>
  </si>
  <si>
    <t>2018. 4. 17 오후 3:30:00</t>
  </si>
  <si>
    <t>2018. 4. 18 오후 4:00:00</t>
  </si>
  <si>
    <t>2018. 4. 18 오후 3:30:00</t>
  </si>
  <si>
    <t>2018. 4. 19 오후 4:00:00</t>
  </si>
  <si>
    <t>2018. 4. 19 오후 3:30:00</t>
  </si>
  <si>
    <t>2018. 4. 20 오후 4:00:00</t>
  </si>
  <si>
    <t>2018. 4. 20 오후 3:30:00</t>
  </si>
  <si>
    <t>2018. 4. 21 오후 4:00:00</t>
  </si>
  <si>
    <t>2018. 4. 21 오후 3:30:00</t>
  </si>
  <si>
    <t>2018. 4. 22 오후 4:00:00</t>
  </si>
  <si>
    <t>2018. 4. 22 오후 3:30:00</t>
  </si>
  <si>
    <t>2018. 4. 23 오후 4:00:00</t>
  </si>
  <si>
    <t>2018. 4. 23 오후 3:30:00</t>
  </si>
  <si>
    <t>2018. 4. 24 오후 4:00:00</t>
  </si>
  <si>
    <t>2018. 4. 24 오후 3:30:00</t>
  </si>
  <si>
    <t>2018. 4. 25 오후 4:00:00</t>
  </si>
  <si>
    <t>2018. 4. 25 오후 3:30:00</t>
  </si>
  <si>
    <t>2018. 4. 26 오후 4:00:00</t>
  </si>
  <si>
    <t>2018. 4. 26 오후 3:30:00</t>
  </si>
  <si>
    <t>2018. 4. 27 오후 4:00:00</t>
  </si>
  <si>
    <t>2018. 4. 27 오후 3:30:00</t>
  </si>
  <si>
    <t>2018. 4. 28 오후 4:00:00</t>
  </si>
  <si>
    <t>2018. 4. 28 오후 3:30:00</t>
  </si>
  <si>
    <t>2018. 4. 29 오후 4:00:00</t>
  </si>
  <si>
    <t>2018. 4. 29 오후 3:30:00</t>
  </si>
  <si>
    <t>2018. 4. 30 오후 4:00:00</t>
  </si>
  <si>
    <t>2018. 4. 30 오후 3:30:00</t>
  </si>
  <si>
    <t>2018. 5. 1 오후 4:00:00</t>
  </si>
  <si>
    <t>2018. 5. 1 오후 3:30:00</t>
  </si>
  <si>
    <t>2018. 5. 2 오후 4:00:00</t>
  </si>
  <si>
    <t>2018. 5. 2 오후 3:30:00</t>
  </si>
  <si>
    <t>2018. 5. 3 오후 4:00:00</t>
  </si>
  <si>
    <t>2018. 5. 3 오후 3:30:00</t>
  </si>
  <si>
    <t>2018. 5. 4 오후 4:00:00</t>
  </si>
  <si>
    <t>2018. 5. 4 오후 3:30:00</t>
  </si>
  <si>
    <t>2018. 5. 5 오후 4:00:00</t>
  </si>
  <si>
    <t>2018. 5. 5 오후 3:30:00</t>
  </si>
  <si>
    <t>2018. 5. 6 오후 4:00:00</t>
  </si>
  <si>
    <t>2018. 5. 6 오후 3:30:00</t>
  </si>
  <si>
    <t>2018. 5. 7 오후 4:00:00</t>
  </si>
  <si>
    <t>2018. 5. 7 오후 3:30:00</t>
  </si>
  <si>
    <t>2018. 5. 8 오후 4:00:00</t>
  </si>
  <si>
    <t>2018. 5. 8 오후 3:30:00</t>
  </si>
  <si>
    <t>2018. 5. 9 오후 4:00:00</t>
  </si>
  <si>
    <t>2018. 5. 9 오후 3:30:00</t>
  </si>
  <si>
    <t>2018. 5. 10 오후 4:00:00</t>
  </si>
  <si>
    <t>2018. 5. 10 오후 3:30:00</t>
  </si>
  <si>
    <t>2018. 5. 11 오후 4:00:00</t>
  </si>
  <si>
    <t>2018. 5. 11 오후 3:30:00</t>
  </si>
  <si>
    <t>2018. 5. 12 오후 4:00:00</t>
  </si>
  <si>
    <t>2018. 5. 12 오후 3:30:00</t>
  </si>
  <si>
    <t>2018. 5. 13 오후 4:00:00</t>
  </si>
  <si>
    <t>2018. 5. 13 오후 3:30:00</t>
  </si>
  <si>
    <t>2018. 5. 14 오후 4:00:00</t>
  </si>
  <si>
    <t>2018. 5. 14 오후 3:30:00</t>
  </si>
  <si>
    <t>2018. 5. 15 오후 4:00:00</t>
  </si>
  <si>
    <t>2018. 5. 15 오후 3:30:00</t>
  </si>
  <si>
    <t>2018. 5. 16 오후 4:00:00</t>
  </si>
  <si>
    <t>2018. 5. 16 오후 3:30:00</t>
  </si>
  <si>
    <t>2018. 5. 17 오후 4:00:00</t>
  </si>
  <si>
    <t>2018. 5. 17 오후 3:30:00</t>
  </si>
  <si>
    <t>2018. 5. 18 오후 4:00:00</t>
  </si>
  <si>
    <t>2018. 5. 18 오후 3:30:00</t>
  </si>
  <si>
    <t>2018. 5. 19 오후 4:00:00</t>
  </si>
  <si>
    <t>2018. 5. 19 오후 3:30:00</t>
  </si>
  <si>
    <t>2018. 5. 20 오후 4:00:00</t>
  </si>
  <si>
    <t>2018. 5. 20 오후 3:30:00</t>
  </si>
  <si>
    <t>2018. 5. 21 오후 4:00:00</t>
  </si>
  <si>
    <t>2018. 5. 21 오후 3:30:00</t>
  </si>
  <si>
    <t>2018. 5. 22 오후 4:00:00</t>
  </si>
  <si>
    <t>2018. 5. 22 오후 3:30:00</t>
  </si>
  <si>
    <t>2018. 5. 23 오후 4:00:00</t>
  </si>
  <si>
    <t>2018. 5. 23 오후 3:30:00</t>
  </si>
  <si>
    <t>2018. 5. 24 오후 4:00:00</t>
  </si>
  <si>
    <t>2018. 5. 24 오후 3:30:00</t>
  </si>
  <si>
    <t>2018. 5. 25 오후 4:00:00</t>
  </si>
  <si>
    <t>2018. 5. 25 오후 3:30:00</t>
  </si>
  <si>
    <t>2018. 5. 26 오후 4:00:00</t>
  </si>
  <si>
    <t>2018. 5. 26 오후 3:30:00</t>
  </si>
  <si>
    <t>2018. 5. 27 오후 4:00:00</t>
  </si>
  <si>
    <t>2018. 5. 27 오후 3:30:00</t>
  </si>
  <si>
    <t>2018. 5. 28 오후 4:00:00</t>
  </si>
  <si>
    <t>2018. 5. 28 오후 3:30:00</t>
  </si>
  <si>
    <t>2018. 5. 29 오후 4:00:00</t>
  </si>
  <si>
    <t>2018. 5. 29 오후 3:30:00</t>
  </si>
  <si>
    <t>2018. 5. 30 오후 4:00:00</t>
  </si>
  <si>
    <t>2018. 5. 30 오후 3:30:00</t>
  </si>
  <si>
    <t>2018. 5. 31 오후 4:00:00</t>
  </si>
  <si>
    <t>2018. 5. 31 오후 3:30:00</t>
  </si>
  <si>
    <t>2018. 6. 1 오후 4:00:00</t>
  </si>
  <si>
    <t>2018. 6. 1 오후 3:30:00</t>
  </si>
  <si>
    <t>2018. 6. 2 오후 4:00:00</t>
  </si>
  <si>
    <t>2018. 6. 2 오후 3:30:00</t>
  </si>
  <si>
    <t>2018. 6. 3 오후 4:00:00</t>
  </si>
  <si>
    <t>2018. 6. 3 오후 3:30:00</t>
  </si>
  <si>
    <t>2018. 6. 4 오후 4:00:00</t>
  </si>
  <si>
    <t>2018. 6. 4 오후 3:30:00</t>
  </si>
  <si>
    <t>2018. 6. 5 오후 4:00:00</t>
  </si>
  <si>
    <t>2018. 6. 5 오후 3:30:00</t>
  </si>
  <si>
    <t>2018. 6. 6 오후 4:00:00</t>
  </si>
  <si>
    <t>2018. 6. 6 오후 3:30:00</t>
  </si>
  <si>
    <t>2018. 6. 7 오후 4:00:00</t>
  </si>
  <si>
    <t>2018. 6. 7 오후 3:30:00</t>
  </si>
  <si>
    <t>2018. 6. 8 오후 4:00:00</t>
  </si>
  <si>
    <t>2018. 6. 8 오후 3:30:00</t>
  </si>
  <si>
    <t>2018. 6. 9 오후 4:00:00</t>
  </si>
  <si>
    <t>2018. 6. 9 오후 3:30:00</t>
  </si>
  <si>
    <t>2018. 6. 10 오후 4:00:00</t>
  </si>
  <si>
    <t>2018. 6. 10 오후 3:30:00</t>
  </si>
  <si>
    <t>2018. 6. 11 오후 4:00:00</t>
  </si>
  <si>
    <t>2018. 6. 11 오후 3:30:00</t>
  </si>
  <si>
    <t>2018. 6. 12 오후 4:00:00</t>
  </si>
  <si>
    <t>2018. 6. 12 오후 3:30:00</t>
  </si>
  <si>
    <t>2018. 6. 13 오후 4:00:00</t>
  </si>
  <si>
    <t>2018. 6. 13 오후 3:30:00</t>
  </si>
  <si>
    <t>2018. 6. 14 오후 4:00:00</t>
  </si>
  <si>
    <t>2018. 6. 14 오후 3:30:00</t>
  </si>
  <si>
    <t>2018. 6. 15 오후 4:00:00</t>
  </si>
  <si>
    <t>2018. 6. 15 오후 3:30:00</t>
  </si>
  <si>
    <t>2018. 6. 16 오후 4:00:00</t>
  </si>
  <si>
    <t>2018. 6. 16 오후 3:30:00</t>
  </si>
  <si>
    <t>2018. 6. 17 오후 4:00:00</t>
  </si>
  <si>
    <t>2018. 6. 17 오후 3:30:00</t>
  </si>
  <si>
    <t>2018. 6. 18 오후 4:00:00</t>
  </si>
  <si>
    <t>2018. 6. 18 오후 3:30:00</t>
  </si>
  <si>
    <t>2018. 6. 19 오후 4:00:00</t>
  </si>
  <si>
    <t>2018. 6. 19 오후 3:30:00</t>
  </si>
  <si>
    <t>2018. 6. 20 오후 4:00:00</t>
  </si>
  <si>
    <t>2018. 6. 20 오후 3:30:00</t>
  </si>
  <si>
    <t>2018. 6. 21 오후 4:00:00</t>
  </si>
  <si>
    <t>2018. 6. 21 오후 3:30:00</t>
  </si>
  <si>
    <t>2018. 6. 22 오후 4:00:00</t>
  </si>
  <si>
    <t>2018. 6. 22 오후 3:30:00</t>
  </si>
  <si>
    <t>2018. 6. 23 오후 4:00:00</t>
  </si>
  <si>
    <t>2018. 6. 23 오후 3:30:00</t>
  </si>
  <si>
    <t>2018. 6. 24 오후 4:00:00</t>
  </si>
  <si>
    <t>2018. 6. 24 오후 3:30:00</t>
  </si>
  <si>
    <t>2018. 6. 25 오후 4:00:00</t>
  </si>
  <si>
    <t>2018. 6. 25 오후 3:30:00</t>
  </si>
  <si>
    <t>2018. 6. 26 오후 4:00:00</t>
  </si>
  <si>
    <t>2018. 6. 26 오후 3:30:00</t>
  </si>
  <si>
    <t>2018. 6. 27 오후 4:00:00</t>
  </si>
  <si>
    <t>2018. 6. 27 오후 3:30:00</t>
  </si>
  <si>
    <t>2018. 6. 28 오후 4:00:00</t>
  </si>
  <si>
    <t>2018. 6. 28 오후 3:30:00</t>
  </si>
  <si>
    <t>2018. 6. 29 오후 4:00:00</t>
  </si>
  <si>
    <t>2018. 6. 29 오후 3:30:00</t>
  </si>
  <si>
    <t>2018. 6. 30 오후 4:00:00</t>
  </si>
  <si>
    <t>2018. 6. 30 오후 3:30:00</t>
  </si>
  <si>
    <t>2018. 7. 1 오후 4:00:00</t>
  </si>
  <si>
    <t>2018. 7. 1 오후 3:30:00</t>
  </si>
  <si>
    <t>2018. 7. 2 오후 4:00:00</t>
  </si>
  <si>
    <t>2018. 7. 2 오후 3:30:00</t>
  </si>
  <si>
    <t>2018. 7. 3 오후 4:00:00</t>
  </si>
  <si>
    <t>2018. 7. 3 오후 3:30:00</t>
  </si>
  <si>
    <t>2018. 7. 4 오후 4:00:00</t>
  </si>
  <si>
    <t>2018. 7. 4 오후 3:30:00</t>
  </si>
  <si>
    <t>2018. 7. 5 오후 4:00:00</t>
  </si>
  <si>
    <t>2018. 7. 5 오후 3:30:00</t>
  </si>
  <si>
    <t>2018. 7. 6 오후 4:00:00</t>
  </si>
  <si>
    <t>2018. 7. 6 오후 3:30:00</t>
  </si>
  <si>
    <t>2018. 7. 7 오후 4:00:00</t>
  </si>
  <si>
    <t>2018. 7. 7 오후 3:30:00</t>
  </si>
  <si>
    <t>2018. 7. 8 오후 4:00:00</t>
  </si>
  <si>
    <t>2018. 7. 8 오후 3:30:00</t>
  </si>
  <si>
    <t>2018. 7. 9 오후 4:00:00</t>
  </si>
  <si>
    <t>2018. 7. 9 오후 3:30:00</t>
  </si>
  <si>
    <t>2018. 7. 10 오후 4:00:00</t>
  </si>
  <si>
    <t>2018. 7. 10 오후 3:30:00</t>
  </si>
  <si>
    <t>2018. 7. 11 오후 4:00:00</t>
  </si>
  <si>
    <t>2018. 7. 11 오후 3:30:00</t>
  </si>
  <si>
    <t>2018. 7. 12 오후 4:00:00</t>
  </si>
  <si>
    <t>2018. 7. 12 오후 3:30:00</t>
  </si>
  <si>
    <t>2018. 7. 13 오후 4:00:00</t>
  </si>
  <si>
    <t>2018. 7. 13 오후 3:30:00</t>
  </si>
  <si>
    <t>2018. 7. 14 오후 4:00:00</t>
  </si>
  <si>
    <t>2018. 7. 14 오후 3:30:00</t>
  </si>
  <si>
    <t>2018. 7. 15 오후 4:00:00</t>
  </si>
  <si>
    <t>2018. 7. 15 오후 3:30:00</t>
  </si>
  <si>
    <t>2018. 7. 16 오후 4:00:00</t>
  </si>
  <si>
    <t>2018. 7. 16 오후 3:30:00</t>
  </si>
  <si>
    <t>2018. 7. 17 오후 4:00:00</t>
  </si>
  <si>
    <t>2018. 7. 17 오후 3:30:00</t>
  </si>
  <si>
    <t>2018. 7. 18 오후 4:00:00</t>
  </si>
  <si>
    <t>2018. 7. 18 오후 3:30:00</t>
  </si>
  <si>
    <t>2018. 7. 19 오후 4:00:00</t>
  </si>
  <si>
    <t>2018. 7. 19 오후 3:30:00</t>
  </si>
  <si>
    <t>2018. 7. 20 오후 4:00:00</t>
  </si>
  <si>
    <t>2018. 7. 20 오후 3:30:00</t>
  </si>
  <si>
    <t>2018. 7. 21 오후 4:00:00</t>
  </si>
  <si>
    <t>2018. 7. 21 오후 3:30:00</t>
  </si>
  <si>
    <t>2018. 7. 22 오후 4:00:00</t>
  </si>
  <si>
    <t>2018. 7. 22 오후 3:30:00</t>
  </si>
  <si>
    <t>2018. 7. 23 오후 4:00:00</t>
  </si>
  <si>
    <t>2018. 7. 23 오후 3:30:00</t>
  </si>
  <si>
    <t>2018. 7. 24 오후 4:00:00</t>
  </si>
  <si>
    <t>2018. 7. 24 오후 3:30:00</t>
  </si>
  <si>
    <t>2018. 7. 25 오후 4:00:00</t>
  </si>
  <si>
    <t>2018. 7. 25 오후 3:30:00</t>
  </si>
  <si>
    <t>2018. 7. 26 오후 4:00:00</t>
  </si>
  <si>
    <t>2018. 7. 26 오후 3:30:00</t>
  </si>
  <si>
    <t>2018. 7. 27 오후 4:00:00</t>
  </si>
  <si>
    <t>2018. 7. 27 오후 3:30:00</t>
  </si>
  <si>
    <t>2018. 7. 28 오후 4:00:00</t>
  </si>
  <si>
    <t>2018. 7. 28 오후 3:30:00</t>
  </si>
  <si>
    <t>2018. 7. 29 오후 4:00:00</t>
  </si>
  <si>
    <t>2018. 7. 29 오후 3:30:00</t>
  </si>
  <si>
    <t>2018. 7. 30 오후 4:00:00</t>
  </si>
  <si>
    <t>2018. 7. 30 오후 3:30:00</t>
  </si>
  <si>
    <t>2018. 7. 31 오후 4:00:00</t>
  </si>
  <si>
    <t>2018. 7. 31 오후 3:30:00</t>
  </si>
  <si>
    <t>2018. 8. 1 오후 4:00:00</t>
  </si>
  <si>
    <t>2018. 8. 1 오후 3:30:00</t>
  </si>
  <si>
    <t>2018. 8. 2 오후 4:00:00</t>
  </si>
  <si>
    <t>2018. 8. 2 오후 3:30:00</t>
  </si>
  <si>
    <t>2018. 8. 3 오후 4:00:00</t>
  </si>
  <si>
    <t>2018. 8. 3 오후 3:30:00</t>
  </si>
  <si>
    <t>2018. 8. 4 오후 4:00:00</t>
  </si>
  <si>
    <t>2018. 8. 4 오후 3:30:00</t>
  </si>
  <si>
    <t>2018. 8. 5 오후 4:00:00</t>
  </si>
  <si>
    <t>2018. 8. 5 오후 3:30:00</t>
  </si>
  <si>
    <t>2018. 8. 6 오후 4:00:00</t>
  </si>
  <si>
    <t>2018. 8. 6 오후 3:30:00</t>
  </si>
  <si>
    <t>2018. 8. 7 오후 4:00:00</t>
  </si>
  <si>
    <t>2018. 8. 7 오후 3:30:00</t>
  </si>
  <si>
    <t>2018. 8. 8 오후 4:00:00</t>
  </si>
  <si>
    <t>2018. 8. 8 오후 3:30:00</t>
  </si>
  <si>
    <t>2018. 8. 9 오후 4:00:00</t>
  </si>
  <si>
    <t>2018. 8. 9 오후 3:30:00</t>
  </si>
  <si>
    <t>2018. 8. 10 오후 4:00:00</t>
  </si>
  <si>
    <t>2018. 8. 10 오후 3:30:00</t>
  </si>
  <si>
    <t>2018. 8. 11 오후 4:00:00</t>
  </si>
  <si>
    <t>2018. 8. 11 오후 3:30:00</t>
  </si>
  <si>
    <t>2018. 8. 12 오후 4:00:00</t>
  </si>
  <si>
    <t>2018. 8. 12 오후 3:30:00</t>
  </si>
  <si>
    <t>2018. 8. 13 오후 4:00:00</t>
  </si>
  <si>
    <t>2018. 8. 13 오후 3:30:00</t>
  </si>
  <si>
    <t>2018. 8. 14 오후 4:00:00</t>
  </si>
  <si>
    <t>2018. 8. 14 오후 3:30:00</t>
  </si>
  <si>
    <t>2018. 8. 15 오후 4:00:00</t>
  </si>
  <si>
    <t>2018. 8. 15 오후 3:30:00</t>
  </si>
  <si>
    <t>2018. 8. 16 오후 4:00:00</t>
  </si>
  <si>
    <t>2018. 8. 16 오후 3:30:00</t>
  </si>
  <si>
    <t>2018. 8. 17 오후 4:00:00</t>
  </si>
  <si>
    <t>2018. 8. 17 오후 3:30:00</t>
  </si>
  <si>
    <t>2018. 8. 18 오후 4:00:00</t>
  </si>
  <si>
    <t>2018. 8. 18 오후 3:30:00</t>
  </si>
  <si>
    <t>2018. 8. 19 오후 4:00:00</t>
  </si>
  <si>
    <t>2018. 8. 19 오후 3:30:00</t>
  </si>
  <si>
    <t>2018. 8. 20 오후 4:00:00</t>
  </si>
  <si>
    <t>2018. 8. 20 오후 3:30:00</t>
  </si>
  <si>
    <t>2018. 8. 21 오후 4:00:00</t>
  </si>
  <si>
    <t>2018. 8. 21 오후 3:30:00</t>
  </si>
  <si>
    <t>2018. 8. 22 오후 4:00:00</t>
  </si>
  <si>
    <t>2018. 8. 22 오후 3:30:00</t>
  </si>
  <si>
    <t>2018. 8. 23 오후 4:00:00</t>
  </si>
  <si>
    <t>2018. 8. 23 오후 3:30:00</t>
  </si>
  <si>
    <t>2018. 8. 24 오후 4:00:00</t>
  </si>
  <si>
    <t>2018. 8. 24 오후 3:30:00</t>
  </si>
  <si>
    <t>2018. 8. 25 오후 4:00:00</t>
  </si>
  <si>
    <t>2018. 8. 25 오후 3:30:00</t>
  </si>
  <si>
    <t>2018. 8. 26 오후 4:00:00</t>
  </si>
  <si>
    <t>2018. 8. 26 오후 3:30:00</t>
  </si>
  <si>
    <t>2018. 8. 27 오후 4:00:00</t>
  </si>
  <si>
    <t>2018. 8. 27 오후 3:30:00</t>
  </si>
  <si>
    <t>2018. 8. 28 오후 4:00:00</t>
  </si>
  <si>
    <t>2018. 8. 28 오후 3:30:00</t>
  </si>
  <si>
    <t>2018. 8. 29 오후 4:00:00</t>
  </si>
  <si>
    <t>2018. 8. 29 오후 3:30:00</t>
  </si>
  <si>
    <t>2018. 8. 30 오후 4:00:00</t>
  </si>
  <si>
    <t>2018. 8. 30 오후 3:30:00</t>
  </si>
  <si>
    <t>2018. 8. 31 오후 4:00:00</t>
  </si>
  <si>
    <t>2018. 8. 31 오후 3:30:00</t>
  </si>
  <si>
    <t>2018. 9. 1 오후 4:00:00</t>
  </si>
  <si>
    <t>2018. 9. 1 오후 3:30:00</t>
  </si>
  <si>
    <t>2018. 9. 2 오후 4:00:00</t>
  </si>
  <si>
    <t>2018. 9. 2 오후 3:30:00</t>
  </si>
  <si>
    <t>2018. 9. 3 오후 4:00:00</t>
  </si>
  <si>
    <t>2018. 9. 3 오후 3:30:00</t>
  </si>
  <si>
    <t>2018. 9. 4 오후 4:00:00</t>
  </si>
  <si>
    <t>2018. 9. 4 오후 3:30:00</t>
  </si>
  <si>
    <t>2018. 9. 5 오후 4:00:00</t>
  </si>
  <si>
    <t>2018. 9. 5 오후 3:30:00</t>
  </si>
  <si>
    <t>2018. 9. 6 오후 4:00:00</t>
  </si>
  <si>
    <t>2018. 9. 6 오후 3:30:00</t>
  </si>
  <si>
    <t>2018. 9. 7 오후 4:00:00</t>
  </si>
  <si>
    <t>2018. 9. 7 오후 3:30:00</t>
  </si>
  <si>
    <t>2018. 9. 8 오후 4:00:00</t>
  </si>
  <si>
    <t>2018. 9. 8 오후 3:30:00</t>
  </si>
  <si>
    <t>2018. 9. 9 오후 4:00:00</t>
  </si>
  <si>
    <t>2018. 9. 9 오후 3:30:00</t>
  </si>
  <si>
    <t>2018. 9. 10 오후 4:00:00</t>
  </si>
  <si>
    <t>2018. 9. 10 오후 3:30:00</t>
  </si>
  <si>
    <t>2018. 9. 11 오후 4:00:00</t>
  </si>
  <si>
    <t>2018. 9. 11 오후 3:30:00</t>
  </si>
  <si>
    <t>2018. 9. 12 오후 4:00:00</t>
  </si>
  <si>
    <t>2018. 9. 12 오후 3:30:00</t>
  </si>
  <si>
    <t>2018. 9. 13 오후 4:00:00</t>
  </si>
  <si>
    <t>2018. 9. 13 오후 3:30:00</t>
  </si>
  <si>
    <t>2018. 9. 14 오후 4:00:00</t>
  </si>
  <si>
    <t>2018. 9. 14 오후 3:30:00</t>
  </si>
  <si>
    <t>2018. 9. 15 오후 4:00:00</t>
  </si>
  <si>
    <t>2018. 9. 15 오후 3:30:00</t>
  </si>
  <si>
    <t>2018. 9. 16 오후 4:00:00</t>
  </si>
  <si>
    <t>2018. 9. 16 오후 3:30:00</t>
  </si>
  <si>
    <t>2018. 9. 17 오후 4:00:00</t>
  </si>
  <si>
    <t>2018. 9. 17 오후 3:30:00</t>
  </si>
  <si>
    <t>2018. 9. 18 오후 4:00:00</t>
  </si>
  <si>
    <t>2018. 9. 18 오후 3:30:00</t>
  </si>
  <si>
    <t>2018. 9. 19 오후 4:00:00</t>
  </si>
  <si>
    <t>2018. 9. 19 오후 3:30:00</t>
  </si>
  <si>
    <t>2018. 9. 20 오후 4:00:00</t>
  </si>
  <si>
    <t>2018. 9. 20 오후 3:30:00</t>
  </si>
  <si>
    <t>2018. 9. 21 오후 4:00:00</t>
  </si>
  <si>
    <t>2018. 9. 21 오후 3:30:00</t>
  </si>
  <si>
    <t>2018. 9. 22 오후 4:00:00</t>
  </si>
  <si>
    <t>2018. 9. 22 오후 3:30:00</t>
  </si>
  <si>
    <t>2018. 9. 23 오후 4:00:00</t>
  </si>
  <si>
    <t>2018. 9. 23 오후 3:30:00</t>
  </si>
  <si>
    <t>2018. 9. 24 오후 4:00:00</t>
  </si>
  <si>
    <t>2018. 9. 24 오후 3:30:00</t>
  </si>
  <si>
    <t>2018. 9. 25 오후 4:00:00</t>
  </si>
  <si>
    <t>2018. 9. 25 오후 3:30:00</t>
  </si>
  <si>
    <t>2018. 9. 26 오후 4:00:00</t>
  </si>
  <si>
    <t>2018. 9. 26 오후 3:30:00</t>
  </si>
  <si>
    <t>2018. 9. 27 오후 4:00:00</t>
  </si>
  <si>
    <t>2018. 9. 27 오후 3:30:00</t>
  </si>
  <si>
    <t>2018. 9. 28 오후 4:00:00</t>
  </si>
  <si>
    <t>2018. 9. 28 오후 3:30:00</t>
  </si>
  <si>
    <t>2018. 9. 29 오후 4:00:00</t>
  </si>
  <si>
    <t>2018. 9. 29 오후 3:30:00</t>
  </si>
  <si>
    <t>2018. 9. 30 오후 4:00:00</t>
  </si>
  <si>
    <t>2018. 9. 30 오후 3:30:00</t>
  </si>
  <si>
    <t>2018. 10. 1 오후 4:00:00</t>
  </si>
  <si>
    <t>2018. 10. 1 오후 3:30:00</t>
  </si>
  <si>
    <t>2018. 10. 2 오후 4:00:00</t>
  </si>
  <si>
    <t>2018. 10. 2 오후 3:30:00</t>
  </si>
  <si>
    <t>2018. 10. 3 오후 4:00:00</t>
  </si>
  <si>
    <t>2018. 10. 3 오후 3:30:00</t>
  </si>
  <si>
    <t>2018. 10. 4 오후 4:00:00</t>
  </si>
  <si>
    <t>2018. 10. 4 오후 3:30:00</t>
  </si>
  <si>
    <t>2018. 10. 5 오후 4:00:00</t>
  </si>
  <si>
    <t>2018. 10. 5 오후 3:30:00</t>
  </si>
  <si>
    <t>2018. 10. 6 오후 4:00:00</t>
  </si>
  <si>
    <t>2018. 10. 6 오후 3:30:00</t>
  </si>
  <si>
    <t>2018. 10. 7 오후 4:00:00</t>
  </si>
  <si>
    <t>2018. 10. 7 오후 3:30:00</t>
  </si>
  <si>
    <t>2018. 10. 8 오후 4:00:00</t>
  </si>
  <si>
    <t>2018. 10. 8 오후 3:30:00</t>
  </si>
  <si>
    <t>2018. 10. 9 오후 4:00:00</t>
  </si>
  <si>
    <t>2018. 10. 9 오후 3:30:00</t>
  </si>
  <si>
    <t>2018. 10. 10 오후 4:00:00</t>
  </si>
  <si>
    <t>2018. 10. 10 오후 3:30:00</t>
  </si>
  <si>
    <t>2018. 10. 11 오후 4:00:00</t>
  </si>
  <si>
    <t>2018. 10. 11 오후 3:30:00</t>
  </si>
  <si>
    <t>2018. 10. 12 오후 4:00:00</t>
  </si>
  <si>
    <t>2018. 10. 12 오후 3:30:00</t>
  </si>
  <si>
    <t>2018. 10. 13 오후 4:00:00</t>
  </si>
  <si>
    <t>2018. 10. 13 오후 3:30:00</t>
  </si>
  <si>
    <t>2018. 10. 14 오후 4:00:00</t>
  </si>
  <si>
    <t>2018. 10. 14 오후 3:30:00</t>
  </si>
  <si>
    <t>2018. 10. 15 오후 4:00:00</t>
  </si>
  <si>
    <t>2018. 10. 15 오후 3:30:00</t>
  </si>
  <si>
    <t>2018. 10. 16 오후 4:00:00</t>
  </si>
  <si>
    <t>2018. 10. 16 오후 3:30:00</t>
  </si>
  <si>
    <t>2018. 10. 17 오후 4:00:00</t>
  </si>
  <si>
    <t>2018. 10. 17 오후 3:30:00</t>
  </si>
  <si>
    <t>2018. 10. 18 오후 4:00:00</t>
  </si>
  <si>
    <t>2018. 10. 18 오후 3:30:00</t>
  </si>
  <si>
    <t>2018. 10. 19 오후 4:00:00</t>
  </si>
  <si>
    <t>2018. 10. 19 오후 3:30:00</t>
  </si>
  <si>
    <t>2018. 10. 20 오후 4:00:00</t>
  </si>
  <si>
    <t>2018. 10. 20 오후 3:30:00</t>
  </si>
  <si>
    <t>2018. 10. 21 오후 4:00:00</t>
  </si>
  <si>
    <t>2018. 10. 21 오후 3:30:00</t>
  </si>
  <si>
    <t>2018. 10. 22 오후 4:00:00</t>
  </si>
  <si>
    <t>2018. 10. 22 오후 3:30:00</t>
  </si>
  <si>
    <t>2018. 10. 23 오후 4:00:00</t>
  </si>
  <si>
    <t>2018. 10. 23 오후 3:30:00</t>
  </si>
  <si>
    <t>2018. 10. 24 오후 4:00:00</t>
  </si>
  <si>
    <t>2018. 10. 24 오후 3:30:00</t>
  </si>
  <si>
    <t>2018. 10. 25 오후 4:00:00</t>
  </si>
  <si>
    <t>2018. 10. 25 오후 3:30:00</t>
  </si>
  <si>
    <t>2018. 10. 26 오후 4:00:00</t>
  </si>
  <si>
    <t>2018. 10. 26 오후 3:30:00</t>
  </si>
  <si>
    <t>2018. 10. 27 오후 4:00:00</t>
  </si>
  <si>
    <t>2018. 10. 27 오후 3:30:00</t>
  </si>
  <si>
    <t>2018. 10. 28 오후 4:00:00</t>
  </si>
  <si>
    <t>2018. 10. 28 오후 3:30:00</t>
  </si>
  <si>
    <t>2018. 10. 29 오후 4:00:00</t>
  </si>
  <si>
    <t>2018. 10. 29 오후 3:30:00</t>
  </si>
  <si>
    <t>2018. 10. 30 오후 4:00:00</t>
  </si>
  <si>
    <t>2018. 10. 30 오후 3:30:00</t>
  </si>
  <si>
    <t>2018. 10. 31 오후 4:00:00</t>
  </si>
  <si>
    <t>2018. 10. 31 오후 3:30:00</t>
  </si>
  <si>
    <t>2018. 11. 1 오후 4:00:00</t>
  </si>
  <si>
    <t>2018. 11. 1 오후 3:30:00</t>
  </si>
  <si>
    <t>2018. 11. 2 오후 4:00:00</t>
  </si>
  <si>
    <t>2018. 11. 2 오후 3:30:00</t>
  </si>
  <si>
    <t>2018. 11. 3 오후 4:00:00</t>
  </si>
  <si>
    <t>2018. 11. 3 오후 3:30:00</t>
  </si>
  <si>
    <t>2018. 11. 4 오후 4:00:00</t>
  </si>
  <si>
    <t>2018. 11. 4 오후 3:30:00</t>
  </si>
  <si>
    <t>2018. 11. 5 오후 4:00:00</t>
  </si>
  <si>
    <t>2018. 11. 5 오후 3:30:00</t>
  </si>
  <si>
    <t>2018. 11. 6 오후 4:00:00</t>
  </si>
  <si>
    <t>2018. 11. 6 오후 3:30:00</t>
  </si>
  <si>
    <t>2018. 11. 7 오후 4:00:00</t>
  </si>
  <si>
    <t>2018. 11. 7 오후 3:30:00</t>
  </si>
  <si>
    <t>2018. 11. 8 오후 4:00:00</t>
  </si>
  <si>
    <t>2018. 11. 8 오후 3:30:00</t>
  </si>
  <si>
    <t>2018. 11. 9 오후 4:00:00</t>
  </si>
  <si>
    <t>2018. 11. 9 오후 3:30:00</t>
  </si>
  <si>
    <t>2018. 11. 10 오후 4:00:00</t>
  </si>
  <si>
    <t>2018. 11. 10 오후 3:30:00</t>
  </si>
  <si>
    <t>2018. 11. 11 오후 4:00:00</t>
  </si>
  <si>
    <t>2018. 11. 11 오후 3:30:00</t>
  </si>
  <si>
    <t>2018. 11. 12 오후 4:00:00</t>
  </si>
  <si>
    <t>2018. 11. 12 오후 3:30:00</t>
  </si>
  <si>
    <t>2018. 11. 13 오후 4:00:00</t>
  </si>
  <si>
    <t>2018. 11. 13 오후 3:30:00</t>
  </si>
  <si>
    <t>2018. 11. 14 오후 4:00:00</t>
  </si>
  <si>
    <t>2018. 11. 14 오후 3:30:00</t>
  </si>
  <si>
    <t>2018. 11. 15 오후 4:00:00</t>
  </si>
  <si>
    <t>2018. 11. 15 오후 3:30:00</t>
  </si>
  <si>
    <t>2018. 11. 16 오후 4:00:00</t>
  </si>
  <si>
    <t>2018. 11. 16 오후 3:30:00</t>
  </si>
  <si>
    <t>2018. 11. 17 오후 4:00:00</t>
  </si>
  <si>
    <t>2018. 11. 17 오후 3:30:00</t>
  </si>
  <si>
    <t>2018. 11. 18 오후 4:00:00</t>
  </si>
  <si>
    <t>2018. 11. 18 오후 3:30:00</t>
  </si>
  <si>
    <t>2018. 11. 19 오후 4:00:00</t>
  </si>
  <si>
    <t>2018. 11. 19 오후 3:30:00</t>
  </si>
  <si>
    <t>2018. 11. 20 오후 4:00:00</t>
  </si>
  <si>
    <t>2018. 11. 20 오후 3:30:00</t>
  </si>
  <si>
    <t>2018. 11. 21 오후 4:00:00</t>
  </si>
  <si>
    <t>2018. 11. 21 오후 3:30:00</t>
  </si>
  <si>
    <t>2018. 11. 22 오후 4:00:00</t>
  </si>
  <si>
    <t>2018. 11. 22 오후 3:30:00</t>
  </si>
  <si>
    <t>2018. 11. 23 오후 4:00:00</t>
  </si>
  <si>
    <t>2018. 11. 23 오후 3:30:00</t>
  </si>
  <si>
    <t>2018. 11. 24 오후 4:00:00</t>
  </si>
  <si>
    <t>2018. 11. 24 오후 3:30:00</t>
  </si>
  <si>
    <t>2018. 11. 25 오후 4:00:00</t>
  </si>
  <si>
    <t>2018. 11. 25 오후 3:30:00</t>
  </si>
  <si>
    <t>2018. 11. 26 오후 4:00:00</t>
  </si>
  <si>
    <t>2018. 11. 26 오후 3:30:00</t>
  </si>
  <si>
    <t>2018. 11. 27 오후 4:00:00</t>
  </si>
  <si>
    <t>2018. 11. 27 오후 3:30:00</t>
  </si>
  <si>
    <t>2018. 11. 28 오후 4:00:00</t>
  </si>
  <si>
    <t>2018. 11. 28 오후 3:30:00</t>
  </si>
  <si>
    <t>2018. 11. 29 오후 4:00:00</t>
  </si>
  <si>
    <t>2018. 11. 29 오후 3:30:00</t>
  </si>
  <si>
    <t>2018. 11. 30 오후 4:00:00</t>
  </si>
  <si>
    <t>2018. 11. 30 오후 3:30:00</t>
  </si>
  <si>
    <t>2018. 12. 1 오후 4:00:00</t>
  </si>
  <si>
    <t>2018. 12. 1 오후 3:30:00</t>
  </si>
  <si>
    <t>2018. 12. 2 오후 4:00:00</t>
  </si>
  <si>
    <t>2018. 12. 2 오후 3:30:00</t>
  </si>
  <si>
    <t>2018. 12. 3 오후 4:00:00</t>
  </si>
  <si>
    <t>2018. 12. 3 오후 3:30:00</t>
  </si>
  <si>
    <t>2018. 12. 4 오후 4:00:00</t>
  </si>
  <si>
    <t>2018. 12. 4 오후 3:30:00</t>
  </si>
  <si>
    <t>2018. 12. 5 오후 4:00:00</t>
  </si>
  <si>
    <t>2018. 12. 5 오후 3:30:00</t>
  </si>
  <si>
    <t>2018. 12. 6 오후 4:00:00</t>
  </si>
  <si>
    <t>2018. 12. 6 오후 3:30:00</t>
  </si>
  <si>
    <t>2018. 12. 7 오후 4:00:00</t>
  </si>
  <si>
    <t>2018. 12. 7 오후 3:30:00</t>
  </si>
  <si>
    <t>2018. 12. 8 오후 4:00:00</t>
  </si>
  <si>
    <t>2018. 12. 8 오후 3:30:00</t>
  </si>
  <si>
    <t>2018. 12. 9 오후 4:00:00</t>
  </si>
  <si>
    <t>2018. 12. 9 오후 3:30:00</t>
  </si>
  <si>
    <t>2018. 12. 10 오후 4:00:00</t>
  </si>
  <si>
    <t>2018. 12. 10 오후 3:30:00</t>
  </si>
  <si>
    <t>2018. 12. 11 오후 4:00:00</t>
  </si>
  <si>
    <t>2018. 12. 11 오후 3:30:00</t>
  </si>
  <si>
    <t>2018. 12. 12 오후 4:00:00</t>
  </si>
  <si>
    <t>2018. 12. 12 오후 3:30:00</t>
  </si>
  <si>
    <t>2018. 12. 13 오후 4:00:00</t>
  </si>
  <si>
    <t>2018. 12. 13 오후 3:30:00</t>
  </si>
  <si>
    <t>2018. 12. 14 오후 4:00:00</t>
  </si>
  <si>
    <t>2018. 12. 14 오후 3:30:00</t>
  </si>
  <si>
    <t>2018. 12. 15 오후 4:00:00</t>
  </si>
  <si>
    <t>2018. 12. 15 오후 3:30:00</t>
  </si>
  <si>
    <t>2018. 12. 16 오후 4:00:00</t>
  </si>
  <si>
    <t>2018. 12. 16 오후 3:30:00</t>
  </si>
  <si>
    <t>2018. 12. 17 오후 4:00:00</t>
  </si>
  <si>
    <t>2018. 12. 17 오후 3:30:00</t>
  </si>
  <si>
    <t>2018. 12. 18 오후 4:00:00</t>
  </si>
  <si>
    <t>2018. 12. 18 오후 3:30:00</t>
  </si>
  <si>
    <t>2018. 12. 19 오후 4:00:00</t>
  </si>
  <si>
    <t>2018. 12. 19 오후 3:30:00</t>
  </si>
  <si>
    <t>2018. 12. 20 오후 4:00:00</t>
  </si>
  <si>
    <t>2018. 12. 20 오후 3:30:00</t>
  </si>
  <si>
    <t>2018. 12. 21 오후 4:00:00</t>
  </si>
  <si>
    <t>2018. 12. 21 오후 3:30:00</t>
  </si>
  <si>
    <t>2018. 12. 22 오후 4:00:00</t>
  </si>
  <si>
    <t>2018. 12. 22 오후 3:30:00</t>
  </si>
  <si>
    <t>2018. 12. 23 오후 4:00:00</t>
  </si>
  <si>
    <t>2018. 12. 23 오후 3:30:00</t>
  </si>
  <si>
    <t>2018. 12. 24 오후 4:00:00</t>
  </si>
  <si>
    <t>2018. 12. 24 오후 3:30:00</t>
  </si>
  <si>
    <t>2018. 12. 25 오후 4:00:00</t>
  </si>
  <si>
    <t>2018. 12. 25 오후 3:30:00</t>
  </si>
  <si>
    <t>2018. 12. 26 오후 4:00:00</t>
  </si>
  <si>
    <t>2018. 12. 26 오후 3:30:00</t>
  </si>
  <si>
    <t>2018. 12. 27 오후 4:00:00</t>
  </si>
  <si>
    <t>2018. 12. 27 오후 3:30:00</t>
  </si>
  <si>
    <t>2018. 12. 28 오후 4:00:00</t>
  </si>
  <si>
    <t>2018. 12. 28 오후 3:30:00</t>
  </si>
  <si>
    <t>2018. 12. 29 오후 4:00:00</t>
  </si>
  <si>
    <t>2018. 12. 29 오후 3:30:00</t>
  </si>
  <si>
    <t>2018. 12. 30 오후 4:00:00</t>
  </si>
  <si>
    <t>2018. 12. 30 오후 3:30:00</t>
  </si>
  <si>
    <t>2018. 12. 31 오후 4:00:00</t>
  </si>
  <si>
    <t>2018. 12. 31 오후 3:30:00</t>
  </si>
  <si>
    <t>2019. 1. 1 오후 4:00:00</t>
  </si>
  <si>
    <t>2019. 1. 1 오후 3:30:00</t>
  </si>
  <si>
    <t>2019. 1. 2 오후 4:00:00</t>
  </si>
  <si>
    <t>2019. 1. 2 오후 3:30:00</t>
  </si>
  <si>
    <t>2019. 1. 3 오후 4:00:00</t>
  </si>
  <si>
    <t>2019. 1. 3 오후 3:30:00</t>
  </si>
  <si>
    <t>2019. 1. 4 오후 4:00:00</t>
  </si>
  <si>
    <t>2019. 1. 4 오후 3:30:00</t>
  </si>
  <si>
    <t>2019. 1. 5 오후 4:00:00</t>
  </si>
  <si>
    <t>2019. 1. 5 오후 3:30:00</t>
  </si>
  <si>
    <t>2019. 1. 6 오후 4:00:00</t>
  </si>
  <si>
    <t>2019. 1. 6 오후 3:30:00</t>
  </si>
  <si>
    <t>2019. 1. 7 오후 4:00:00</t>
  </si>
  <si>
    <t>2019. 1. 7 오후 3:30:00</t>
  </si>
  <si>
    <t>2019. 1. 8 오후 4:00:00</t>
  </si>
  <si>
    <t>2019. 1. 8 오후 3:30:00</t>
  </si>
  <si>
    <t>2019. 1. 9 오후 4:00:00</t>
  </si>
  <si>
    <t>2019. 1. 9 오후 3:30:00</t>
  </si>
  <si>
    <t>2019. 1. 10 오후 4:00:00</t>
  </si>
  <si>
    <t>2019. 1. 10 오후 3:30:00</t>
  </si>
  <si>
    <t>2019. 1. 11 오후 4:00:00</t>
  </si>
  <si>
    <t>2019. 1. 11 오후 3:30:00</t>
  </si>
  <si>
    <t>2019. 1. 12 오후 4:00:00</t>
  </si>
  <si>
    <t>2019. 1. 12 오후 3:30:00</t>
  </si>
  <si>
    <t>2019. 1. 13 오후 4:00:00</t>
  </si>
  <si>
    <t>2019. 1. 13 오후 3:30:00</t>
  </si>
  <si>
    <t>2019. 1. 14 오후 4:00:00</t>
  </si>
  <si>
    <t>2019. 1. 14 오후 3:30:00</t>
  </si>
  <si>
    <t>2019. 1. 15 오후 4:00:00</t>
  </si>
  <si>
    <t>2019. 1. 15 오후 3:30:00</t>
  </si>
  <si>
    <t>2019. 1. 16 오후 4:00:00</t>
  </si>
  <si>
    <t>2019. 1. 16 오후 3:30:00</t>
  </si>
  <si>
    <t>2019. 1. 17 오후 4:00:00</t>
  </si>
  <si>
    <t>2019. 1. 17 오후 3:30:00</t>
  </si>
  <si>
    <t>2019. 1. 18 오후 4:00:00</t>
  </si>
  <si>
    <t>2019. 1. 18 오후 3:30:00</t>
  </si>
  <si>
    <t>2019. 1. 19 오후 4:00:00</t>
  </si>
  <si>
    <t>2019. 1. 19 오후 3:30:00</t>
  </si>
  <si>
    <t>2019. 1. 20 오후 4:00:00</t>
  </si>
  <si>
    <t>2019. 1. 20 오후 3:30:00</t>
  </si>
  <si>
    <t>2019. 1. 21 오후 4:00:00</t>
  </si>
  <si>
    <t>2019. 1. 21 오후 3:30:00</t>
  </si>
  <si>
    <t>2019. 1. 22 오후 4:00:00</t>
  </si>
  <si>
    <t>2019. 1. 22 오후 3:30:00</t>
  </si>
  <si>
    <t>2019. 1. 23 오후 4:00:00</t>
  </si>
  <si>
    <t>2019. 1. 23 오후 3:30:00</t>
  </si>
  <si>
    <t>2019. 1. 24 오후 4:00:00</t>
  </si>
  <si>
    <t>2019. 1. 24 오후 3:30:00</t>
  </si>
  <si>
    <t>2019. 1. 25 오후 4:00:00</t>
  </si>
  <si>
    <t>2019. 1. 25 오후 3:30:00</t>
  </si>
  <si>
    <t>2019. 1. 26 오후 4:00:00</t>
  </si>
  <si>
    <t>2019. 1. 26 오후 3:30:00</t>
  </si>
  <si>
    <t>2019. 1. 27 오후 4:00:00</t>
  </si>
  <si>
    <t>2019. 1. 27 오후 3:30:00</t>
  </si>
  <si>
    <t>2019. 1. 28 오후 4:00:00</t>
  </si>
  <si>
    <t>2019. 1. 28 오후 3:30:00</t>
  </si>
  <si>
    <t>2019. 1. 29 오후 4:00:00</t>
  </si>
  <si>
    <t>2019. 1. 29 오후 3:30:00</t>
  </si>
  <si>
    <t>2019. 1. 30 오후 4:00:00</t>
  </si>
  <si>
    <t>2019. 1. 30 오후 3:30:00</t>
  </si>
  <si>
    <t>2019. 1. 31 오후 4:00:00</t>
  </si>
  <si>
    <t>2019. 1. 31 오후 3:30:00</t>
  </si>
  <si>
    <t>2019. 2. 1 오후 4:00:00</t>
  </si>
  <si>
    <t>2019. 2. 1 오후 3:30:00</t>
  </si>
  <si>
    <t>2019. 2. 2 오후 4:00:00</t>
  </si>
  <si>
    <t>2019. 2. 2 오후 3:30:00</t>
  </si>
  <si>
    <t>2019. 2. 3 오후 4:00:00</t>
  </si>
  <si>
    <t>2019. 2. 3 오후 3:30:00</t>
  </si>
  <si>
    <t>2019. 2. 4 오후 4:00:00</t>
  </si>
  <si>
    <t>2019. 2. 4 오후 3:30:00</t>
  </si>
  <si>
    <t>2019. 2. 5 오후 4:00:00</t>
  </si>
  <si>
    <t>2019. 2. 5 오후 3:30:00</t>
  </si>
  <si>
    <t>2019. 2. 6 오후 4:00:00</t>
  </si>
  <si>
    <t>2019. 2. 6 오후 3:30:00</t>
  </si>
  <si>
    <t>2019. 2. 7 오후 4:00:00</t>
  </si>
  <si>
    <t>2019. 2. 7 오후 3:30:00</t>
  </si>
  <si>
    <t>2019. 2. 8 오후 4:00:00</t>
  </si>
  <si>
    <t>2019. 2. 8 오후 3:30:00</t>
  </si>
  <si>
    <t>2019. 2. 9 오후 4:00:00</t>
  </si>
  <si>
    <t>2019. 2. 9 오후 3:30:00</t>
  </si>
  <si>
    <t>2019. 2. 10 오후 4:00:00</t>
  </si>
  <si>
    <t>2019. 2. 10 오후 3:30:00</t>
  </si>
  <si>
    <t>2019. 2. 11 오후 4:00:00</t>
  </si>
  <si>
    <t>2019. 2. 11 오후 3:30:00</t>
  </si>
  <si>
    <t>2019. 2. 12 오후 4:00:00</t>
  </si>
  <si>
    <t>2019. 2. 12 오후 3:30:00</t>
  </si>
  <si>
    <t>2019. 2. 13 오후 4:00:00</t>
  </si>
  <si>
    <t>2019. 2. 13 오후 3:30:00</t>
  </si>
  <si>
    <t>2019. 2. 14 오후 4:00:00</t>
  </si>
  <si>
    <t>2019. 2. 14 오후 3:30:00</t>
  </si>
  <si>
    <t>2019. 2. 15 오후 4:00:00</t>
  </si>
  <si>
    <t>2019. 2. 15 오후 3:30:00</t>
  </si>
  <si>
    <t>2019. 2. 16 오후 4:00:00</t>
  </si>
  <si>
    <t>2019. 2. 16 오후 3:30:00</t>
  </si>
  <si>
    <t>2019. 2. 17 오후 4:00:00</t>
  </si>
  <si>
    <t>2019. 2. 17 오후 3:30:00</t>
  </si>
  <si>
    <t>2019. 2. 18 오후 4:00:00</t>
  </si>
  <si>
    <t>2019. 2. 18 오후 3:30:00</t>
  </si>
  <si>
    <t>2019. 2. 19 오후 4:00:00</t>
  </si>
  <si>
    <t>2019. 2. 19 오후 3:30:00</t>
  </si>
  <si>
    <t>2019. 2. 20 오후 4:00:00</t>
  </si>
  <si>
    <t>2019. 2. 20 오후 3:30:00</t>
  </si>
  <si>
    <t>2019. 2. 21 오후 4:00:00</t>
  </si>
  <si>
    <t>2019. 2. 21 오후 3:30:00</t>
  </si>
  <si>
    <t>2019. 2. 22 오후 4:00:00</t>
  </si>
  <si>
    <t>2019. 2. 22 오후 3:30:00</t>
  </si>
  <si>
    <t>2019. 2. 23 오후 4:00:00</t>
  </si>
  <si>
    <t>2019. 2. 23 오후 3:30:00</t>
  </si>
  <si>
    <t>2019. 2. 24 오후 4:00:00</t>
  </si>
  <si>
    <t>2019. 2. 24 오후 3:30:00</t>
  </si>
  <si>
    <t>2019. 2. 25 오후 4:00:00</t>
  </si>
  <si>
    <t>2019. 2. 25 오후 3:30:00</t>
  </si>
  <si>
    <t>2019. 2. 26 오후 4:00:00</t>
  </si>
  <si>
    <t>2019. 2. 26 오후 3:30:00</t>
  </si>
  <si>
    <t>2019. 2. 27 오후 4:00:00</t>
  </si>
  <si>
    <t>2019. 2. 27 오후 3:30:00</t>
  </si>
  <si>
    <t>2019. 2. 28 오후 4:00:00</t>
  </si>
  <si>
    <t>2019. 2. 28 오후 3:30:00</t>
  </si>
  <si>
    <t>2019. 3. 1 오후 4:00:00</t>
  </si>
  <si>
    <t>2019. 3. 1 오후 3:30:00</t>
  </si>
  <si>
    <t>2019. 3. 2 오후 4:00:00</t>
  </si>
  <si>
    <t>2019. 3. 2 오후 3:30:00</t>
  </si>
  <si>
    <t>2019. 3. 3 오후 4:00:00</t>
  </si>
  <si>
    <t>2019. 3. 3 오후 3:30:00</t>
  </si>
  <si>
    <t>2019. 3. 4 오후 4:00:00</t>
  </si>
  <si>
    <t>2019. 3. 4 오후 3:30:00</t>
  </si>
  <si>
    <t>2019. 3. 5 오후 4:00:00</t>
  </si>
  <si>
    <t>2019. 3. 5 오후 3:30:00</t>
  </si>
  <si>
    <t>2019. 3. 6 오후 4:00:00</t>
  </si>
  <si>
    <t>2019. 3. 6 오후 3:30:00</t>
  </si>
  <si>
    <t>2019. 3. 7 오후 4:00:00</t>
  </si>
  <si>
    <t>2019. 3. 7 오후 3:30:00</t>
  </si>
  <si>
    <t>2019. 3. 8 오후 4:00:00</t>
  </si>
  <si>
    <t>2019. 3. 8 오후 3:30:00</t>
  </si>
  <si>
    <t>2019. 3. 9 오후 4:00:00</t>
  </si>
  <si>
    <t>2019. 3. 9 오후 3:30:00</t>
  </si>
  <si>
    <t>2019. 3. 10 오후 4:00:00</t>
  </si>
  <si>
    <t>2019. 3. 10 오후 3:30:00</t>
  </si>
  <si>
    <t>2019. 3. 11 오후 4:00:00</t>
  </si>
  <si>
    <t>2019. 3. 11 오후 3:30:00</t>
  </si>
  <si>
    <t>2019. 3. 12 오후 4:00:00</t>
  </si>
  <si>
    <t>2019. 3. 12 오후 3:30:00</t>
  </si>
  <si>
    <t>2019. 3. 13 오후 4:00:00</t>
  </si>
  <si>
    <t>2019. 3. 13 오후 3:30:00</t>
  </si>
  <si>
    <t>2019. 3. 14 오후 4:00:00</t>
  </si>
  <si>
    <t>2019. 3. 14 오후 3:30:00</t>
  </si>
  <si>
    <t>2019. 3. 15 오후 4:00:00</t>
  </si>
  <si>
    <t>2019. 3. 15 오후 3:30:00</t>
  </si>
  <si>
    <t>2019. 3. 16 오후 4:00:00</t>
  </si>
  <si>
    <t>2019. 3. 16 오후 3:30:00</t>
  </si>
  <si>
    <t>2019. 3. 17 오후 4:00:00</t>
  </si>
  <si>
    <t>2019. 3. 17 오후 3:30:00</t>
  </si>
  <si>
    <t>2019. 3. 18 오후 4:00:00</t>
  </si>
  <si>
    <t>2019. 3. 18 오후 3:30:00</t>
  </si>
  <si>
    <t>2019. 3. 19 오후 4:00:00</t>
  </si>
  <si>
    <t>2019. 3. 19 오후 3:30:00</t>
  </si>
  <si>
    <t>2019. 3. 20 오후 4:00:00</t>
  </si>
  <si>
    <t>2019. 3. 20 오후 3:30:00</t>
  </si>
  <si>
    <t>2019. 3. 21 오후 4:00:00</t>
  </si>
  <si>
    <t>2019. 3. 21 오후 3:30:00</t>
  </si>
  <si>
    <t>2019. 3. 22 오후 4:00:00</t>
  </si>
  <si>
    <t>2019. 3. 22 오후 3:30:00</t>
  </si>
  <si>
    <t>2019. 3. 23 오후 4:00:00</t>
  </si>
  <si>
    <t>2019. 3. 23 오후 3:30:00</t>
  </si>
  <si>
    <t>2019. 3. 24 오후 4:00:00</t>
  </si>
  <si>
    <t>2019. 3. 24 오후 3:30:00</t>
  </si>
  <si>
    <t>2019. 3. 25 오후 4:00:00</t>
  </si>
  <si>
    <t>2019. 3. 25 오후 3:30:00</t>
  </si>
  <si>
    <t>2019. 3. 26 오후 4:00:00</t>
  </si>
  <si>
    <t>2019. 3. 26 오후 3:30:00</t>
  </si>
  <si>
    <t>2019. 3. 27 오후 4:00:00</t>
  </si>
  <si>
    <t>2019. 3. 27 오후 3:30:00</t>
  </si>
  <si>
    <t>2019. 3. 28 오후 4:00:00</t>
  </si>
  <si>
    <t>2019. 3. 28 오후 3:30:00</t>
  </si>
  <si>
    <t>2019. 3. 29 오후 4:00:00</t>
  </si>
  <si>
    <t>2019. 3. 29 오후 3:30:00</t>
  </si>
  <si>
    <t>2019. 3. 30 오후 4:00:00</t>
  </si>
  <si>
    <t>2019. 3. 30 오후 3:30:00</t>
  </si>
  <si>
    <t>2019. 3. 31 오후 4:00:00</t>
  </si>
  <si>
    <t>2019. 3. 31 오후 3:30:00</t>
  </si>
  <si>
    <t>2019. 4. 1 오후 4:00:00</t>
  </si>
  <si>
    <t>2019. 4. 1 오후 3:30:00</t>
  </si>
  <si>
    <t>2019. 4. 2 오후 4:00:00</t>
  </si>
  <si>
    <t>2019. 4. 2 오후 3:30:00</t>
  </si>
  <si>
    <t>2019. 4. 3 오후 4:00:00</t>
  </si>
  <si>
    <t>2019. 4. 3 오후 3:30:00</t>
  </si>
  <si>
    <t>2019. 4. 4 오후 4:00:00</t>
  </si>
  <si>
    <t>2019. 4. 4 오후 3:30:00</t>
  </si>
  <si>
    <t>2019. 4. 5 오후 4:00:00</t>
  </si>
  <si>
    <t>2019. 4. 5 오후 3:30:00</t>
  </si>
  <si>
    <t>2019. 4. 6 오후 4:00:00</t>
  </si>
  <si>
    <t>2019. 4. 6 오후 3:30:00</t>
  </si>
  <si>
    <t>2019. 4. 7 오후 4:00:00</t>
  </si>
  <si>
    <t>2019. 4. 7 오후 3:30:00</t>
  </si>
  <si>
    <t>2019. 4. 8 오후 4:00:00</t>
  </si>
  <si>
    <t>2019. 4. 8 오후 3:30:00</t>
  </si>
  <si>
    <t>2019. 4. 9 오후 4:00:00</t>
  </si>
  <si>
    <t>2019. 4. 9 오후 3:30:00</t>
  </si>
  <si>
    <t>2019. 4. 10 오후 4:00:00</t>
  </si>
  <si>
    <t>2019. 4. 10 오후 3:30:00</t>
  </si>
  <si>
    <t>2019. 4. 11 오후 4:00:00</t>
  </si>
  <si>
    <t>2019. 4. 11 오후 3:30:00</t>
  </si>
  <si>
    <t>2019. 4. 12 오후 4:00:00</t>
  </si>
  <si>
    <t>2019. 4. 12 오후 3:30:00</t>
  </si>
  <si>
    <t>2019. 4. 13 오후 4:00:00</t>
  </si>
  <si>
    <t>2019. 4. 13 오후 3:30:00</t>
  </si>
  <si>
    <t>2019. 4. 14 오후 4:00:00</t>
  </si>
  <si>
    <t>2019. 4. 14 오후 3:30:00</t>
  </si>
  <si>
    <t>2019. 4. 15 오후 4:00:00</t>
  </si>
  <si>
    <t>2019. 4. 15 오후 3:30:00</t>
  </si>
  <si>
    <t>2019. 4. 16 오후 4:00:00</t>
  </si>
  <si>
    <t>2019. 4. 16 오후 3:30:00</t>
  </si>
  <si>
    <t>2019. 4. 17 오후 4:00:00</t>
  </si>
  <si>
    <t>2019. 4. 17 오후 3:30:00</t>
  </si>
  <si>
    <t>2019. 4. 18 오후 4:00:00</t>
  </si>
  <si>
    <t>2019. 4. 18 오후 3:30:00</t>
  </si>
  <si>
    <t>2019. 4. 19 오후 4:00:00</t>
  </si>
  <si>
    <t>2019. 4. 19 오후 3:30:00</t>
  </si>
  <si>
    <t>2019. 4. 20 오후 4:00:00</t>
  </si>
  <si>
    <t>2019. 4. 20 오후 3:30:00</t>
  </si>
  <si>
    <t>2019. 4. 21 오후 4:00:00</t>
  </si>
  <si>
    <t>2019. 4. 21 오후 3:30:00</t>
  </si>
  <si>
    <t>2019. 4. 22 오후 4:00:00</t>
  </si>
  <si>
    <t>2019. 4. 22 오후 3:30:00</t>
  </si>
  <si>
    <t>2019. 4. 23 오후 4:00:00</t>
  </si>
  <si>
    <t>2019. 4. 23 오후 3:30:00</t>
  </si>
  <si>
    <t>2019. 4. 24 오후 4:00:00</t>
  </si>
  <si>
    <t>2019. 4. 24 오후 3:30:00</t>
  </si>
  <si>
    <t>2019. 4. 25 오후 4:00:00</t>
  </si>
  <si>
    <t>2019. 4. 25 오후 3:30:00</t>
  </si>
  <si>
    <t>2019. 4. 26 오후 4:00:00</t>
  </si>
  <si>
    <t>2019. 4. 26 오후 3:30:00</t>
  </si>
  <si>
    <t>2019. 4. 27 오후 4:00:00</t>
  </si>
  <si>
    <t>2019. 4. 27 오후 3:30:00</t>
  </si>
  <si>
    <t>2019. 4. 28 오후 4:00:00</t>
  </si>
  <si>
    <t>2019. 4. 28 오후 3:30:00</t>
  </si>
  <si>
    <t>2019. 4. 29 오후 4:00:00</t>
  </si>
  <si>
    <t>2019. 4. 29 오후 3:30:00</t>
  </si>
  <si>
    <t>2019. 4. 30 오후 4:00:00</t>
  </si>
  <si>
    <t>2019. 4. 30 오후 3:30:00</t>
  </si>
  <si>
    <t>2019. 5. 1 오후 4:00:00</t>
  </si>
  <si>
    <t>2019. 5. 1 오후 3:30:00</t>
  </si>
  <si>
    <t>2019. 5. 2 오후 4:00:00</t>
  </si>
  <si>
    <t>2019. 5. 2 오후 3:30:00</t>
  </si>
  <si>
    <t>2019. 5. 3 오후 4:00:00</t>
  </si>
  <si>
    <t>2019. 5. 3 오후 3:30:00</t>
  </si>
  <si>
    <t>2019. 5. 4 오후 4:00:00</t>
  </si>
  <si>
    <t>2019. 5. 4 오후 3:30:00</t>
  </si>
  <si>
    <t>2019. 5. 5 오후 4:00:00</t>
  </si>
  <si>
    <t>2019. 5. 5 오후 3:30:00</t>
  </si>
  <si>
    <t>2019. 5. 6 오후 4:00:00</t>
  </si>
  <si>
    <t>2019. 5. 6 오후 3:30:00</t>
  </si>
  <si>
    <t>2019. 5. 7 오후 4:00:00</t>
  </si>
  <si>
    <t>2019. 5. 7 오후 3:30:00</t>
  </si>
  <si>
    <t>2019. 5. 8 오후 4:00:00</t>
  </si>
  <si>
    <t>2019. 5. 8 오후 3:30:00</t>
  </si>
  <si>
    <t>2019. 5. 9 오후 4:00:00</t>
  </si>
  <si>
    <t>2019. 5. 9 오후 3:30:00</t>
  </si>
  <si>
    <t>2019. 5. 10 오후 4:00:00</t>
  </si>
  <si>
    <t>2019. 5. 10 오후 3:30:00</t>
  </si>
  <si>
    <t>2019. 5. 11 오후 4:00:00</t>
  </si>
  <si>
    <t>2019. 5. 11 오후 3:30:00</t>
  </si>
  <si>
    <t>2019. 5. 12 오후 4:00:00</t>
  </si>
  <si>
    <t>2019. 5. 12 오후 3:30:00</t>
  </si>
  <si>
    <t>2019. 5. 13 오후 4:00:00</t>
  </si>
  <si>
    <t>2019. 5. 13 오후 3:30:00</t>
  </si>
  <si>
    <t>2019. 5. 14 오후 4:00:00</t>
  </si>
  <si>
    <t>2019. 5. 14 오후 3:30:00</t>
  </si>
  <si>
    <t>2019. 5. 15 오후 4:00:00</t>
  </si>
  <si>
    <t>2019. 5. 15 오후 3:30:00</t>
  </si>
  <si>
    <t>2019. 5. 16 오후 4:00:00</t>
  </si>
  <si>
    <t>2019. 5. 16 오후 3:30:00</t>
  </si>
  <si>
    <t>2019. 5. 17 오후 4:00:00</t>
  </si>
  <si>
    <t>2019. 5. 17 오후 3:30:00</t>
  </si>
  <si>
    <t>2019. 5. 18 오후 4:00:00</t>
  </si>
  <si>
    <t>2019. 5. 18 오후 3:30:00</t>
  </si>
  <si>
    <t>2019. 5. 19 오후 4:00:00</t>
  </si>
  <si>
    <t>2019. 5. 19 오후 3:30:00</t>
  </si>
  <si>
    <t>2019. 5. 20 오후 4:00:00</t>
  </si>
  <si>
    <t>2019. 5. 20 오후 3:30:00</t>
  </si>
  <si>
    <t>2019. 5. 21 오후 4:00:00</t>
  </si>
  <si>
    <t>2019. 5. 21 오후 3:30:00</t>
  </si>
  <si>
    <t>2019. 5. 22 오후 4:00:00</t>
  </si>
  <si>
    <t>2019. 5. 22 오후 3:30:00</t>
  </si>
  <si>
    <t>2019. 5. 23 오후 4:00:00</t>
  </si>
  <si>
    <t>2019. 5. 23 오후 3:30:00</t>
  </si>
  <si>
    <t>2019. 5. 24 오후 4:00:00</t>
  </si>
  <si>
    <t>2019. 5. 24 오후 3:30:00</t>
  </si>
  <si>
    <t>2019. 5. 25 오후 4:00:00</t>
  </si>
  <si>
    <t>2019. 5. 25 오후 3:30:00</t>
  </si>
  <si>
    <t>2019. 5. 26 오후 4:00:00</t>
  </si>
  <si>
    <t>2019. 5. 26 오후 3:30:00</t>
  </si>
  <si>
    <t>2019. 5. 27 오후 4:00:00</t>
  </si>
  <si>
    <t>2019. 5. 27 오후 3:30:00</t>
  </si>
  <si>
    <t>2019. 5. 28 오후 4:00:00</t>
  </si>
  <si>
    <t>2019. 5. 28 오후 3:30:00</t>
  </si>
  <si>
    <t>2019. 5. 29 오후 4:00:00</t>
  </si>
  <si>
    <t>2019. 5. 29 오후 3:30:00</t>
  </si>
  <si>
    <t>2019. 5. 30 오후 4:00:00</t>
  </si>
  <si>
    <t>2019. 5. 30 오후 3:30:00</t>
  </si>
  <si>
    <t>2019. 5. 31 오후 4:00:00</t>
  </si>
  <si>
    <t>2019. 5. 31 오후 3:30:00</t>
  </si>
  <si>
    <t>2019. 6. 1 오후 4:00:00</t>
  </si>
  <si>
    <t>2019. 6. 1 오후 3:30:00</t>
  </si>
  <si>
    <t>2019. 6. 2 오후 4:00:00</t>
  </si>
  <si>
    <t>2019. 6. 2 오후 3:30:00</t>
  </si>
  <si>
    <t>2019. 6. 3 오후 4:00:00</t>
  </si>
  <si>
    <t>2019. 6. 3 오후 3:30:00</t>
  </si>
  <si>
    <t>2019. 6. 4 오후 4:00:00</t>
  </si>
  <si>
    <t>2019. 6. 4 오후 3:30:00</t>
  </si>
  <si>
    <t>2019. 6. 5 오후 4:00:00</t>
  </si>
  <si>
    <t>2019. 6. 5 오후 3:30:00</t>
  </si>
  <si>
    <t>2019. 6. 6 오후 4:00:00</t>
  </si>
  <si>
    <t>2019. 6. 6 오후 3:30:00</t>
  </si>
  <si>
    <t>2019. 6. 7 오후 4:00:00</t>
  </si>
  <si>
    <t>2019. 6. 7 오후 3:30:00</t>
  </si>
  <si>
    <t>2019. 6. 8 오후 4:00:00</t>
  </si>
  <si>
    <t>2019. 6. 8 오후 3:30:00</t>
  </si>
  <si>
    <t>2019. 6. 9 오후 4:00:00</t>
  </si>
  <si>
    <t>2019. 6. 9 오후 3:30:00</t>
  </si>
  <si>
    <t>2019. 6. 10 오후 4:00:00</t>
  </si>
  <si>
    <t>2019. 6. 10 오후 3:30:00</t>
  </si>
  <si>
    <t>2019. 6. 11 오후 4:00:00</t>
  </si>
  <si>
    <t>2019. 6. 11 오후 3:30:00</t>
  </si>
  <si>
    <t>2019. 6. 12 오후 4:00:00</t>
  </si>
  <si>
    <t>2019. 6. 12 오후 3:30:00</t>
  </si>
  <si>
    <t>2019. 6. 13 오후 4:00:00</t>
  </si>
  <si>
    <t>2019. 6. 13 오후 3:30:00</t>
  </si>
  <si>
    <t>2019. 6. 14 오후 4:00:00</t>
  </si>
  <si>
    <t>2019. 6. 14 오후 3:30:00</t>
  </si>
  <si>
    <t>2019. 6. 15 오후 4:00:00</t>
  </si>
  <si>
    <t>2019. 6. 15 오후 3:30:00</t>
  </si>
  <si>
    <t>2019. 6. 16 오후 4:00:00</t>
  </si>
  <si>
    <t>2019. 6. 16 오후 3:30:00</t>
  </si>
  <si>
    <t>2019. 6. 17 오후 4:00:00</t>
  </si>
  <si>
    <t>2019. 6. 17 오후 3:30:00</t>
  </si>
  <si>
    <t>2019. 6. 18 오후 4:00:00</t>
  </si>
  <si>
    <t>2019. 6. 18 오후 3:30:00</t>
  </si>
  <si>
    <t>2019. 6. 19 오후 4:00:00</t>
  </si>
  <si>
    <t>2019. 6. 19 오후 3:30:00</t>
  </si>
  <si>
    <t>2019. 6. 20 오후 4:00:00</t>
  </si>
  <si>
    <t>2019. 6. 20 오후 3:30:00</t>
  </si>
  <si>
    <t>2019. 6. 21 오후 4:00:00</t>
  </si>
  <si>
    <t>2019. 6. 21 오후 3:30:00</t>
  </si>
  <si>
    <t>2019. 6. 22 오후 4:00:00</t>
  </si>
  <si>
    <t>2019. 6. 22 오후 3:30:00</t>
  </si>
  <si>
    <t>2019. 6. 23 오후 4:00:00</t>
  </si>
  <si>
    <t>2019. 6. 23 오후 3:30:00</t>
  </si>
  <si>
    <t>2019. 6. 24 오후 4:00:00</t>
  </si>
  <si>
    <t>2019. 6. 24 오후 3:30:00</t>
  </si>
  <si>
    <t>2019. 6. 25 오후 4:00:00</t>
  </si>
  <si>
    <t>2019. 6. 25 오후 3:30:00</t>
  </si>
  <si>
    <t>2019. 6. 26 오후 4:00:00</t>
  </si>
  <si>
    <t>2019. 6. 26 오후 3:30:00</t>
  </si>
  <si>
    <t>2019. 6. 27 오후 4:00:00</t>
  </si>
  <si>
    <t>2019. 6. 27 오후 3:30:00</t>
  </si>
  <si>
    <t>2019. 6. 28 오후 4:00:00</t>
  </si>
  <si>
    <t>2019. 6. 28 오후 3:30:00</t>
  </si>
  <si>
    <t>2019. 6. 29 오후 4:00:00</t>
  </si>
  <si>
    <t>2019. 6. 29 오후 3:30:00</t>
  </si>
  <si>
    <t>2019. 6. 30 오후 4:00:00</t>
  </si>
  <si>
    <t>2019. 6. 30 오후 3:30:00</t>
  </si>
  <si>
    <t>2019. 7. 1 오후 4:00:00</t>
  </si>
  <si>
    <t>2019. 7. 1 오후 3:30:00</t>
  </si>
  <si>
    <t>2019. 7. 2 오후 4:00:00</t>
  </si>
  <si>
    <t>2019. 7. 2 오후 3:30:00</t>
  </si>
  <si>
    <t>2019. 7. 3 오후 4:00:00</t>
  </si>
  <si>
    <t>2019. 7. 3 오후 3:30:00</t>
  </si>
  <si>
    <t>2019. 7. 4 오후 4:00:00</t>
  </si>
  <si>
    <t>2019. 7. 4 오후 3:30:00</t>
  </si>
  <si>
    <t>2019. 7. 5 오후 4:00:00</t>
  </si>
  <si>
    <t>2019. 7. 5 오후 3:30:00</t>
  </si>
  <si>
    <t>2019. 7. 6 오후 4:00:00</t>
  </si>
  <si>
    <t>2019. 7. 6 오후 3:30:00</t>
  </si>
  <si>
    <t>2019. 7. 7 오후 4:00:00</t>
  </si>
  <si>
    <t>2019. 7. 7 오후 3:30:00</t>
  </si>
  <si>
    <t>2019. 7. 8 오후 4:00:00</t>
  </si>
  <si>
    <t>2019. 7. 8 오후 3:30:00</t>
  </si>
  <si>
    <t>2019. 7. 9 오후 4:00:00</t>
  </si>
  <si>
    <t>2019. 7. 9 오후 3:30:00</t>
  </si>
  <si>
    <t>2019. 7. 10 오후 4:00:00</t>
  </si>
  <si>
    <t>2019. 7. 10 오후 3:30:00</t>
  </si>
  <si>
    <t>2019. 7. 11 오후 4:00:00</t>
  </si>
  <si>
    <t>2019. 7. 11 오후 3:30:00</t>
  </si>
  <si>
    <t>2019. 7. 12 오후 4:00:00</t>
  </si>
  <si>
    <t>2019. 7. 12 오후 3:30:00</t>
  </si>
  <si>
    <t>2019. 7. 13 오후 4:00:00</t>
  </si>
  <si>
    <t>2019. 7. 13 오후 3:30:00</t>
  </si>
  <si>
    <t>2019. 7. 14 오후 4:00:00</t>
  </si>
  <si>
    <t>2019. 7. 14 오후 3:30:00</t>
  </si>
  <si>
    <t>2019. 7. 15 오후 4:00:00</t>
  </si>
  <si>
    <t>2019. 7. 15 오후 3:30:00</t>
  </si>
  <si>
    <t>2019. 7. 16 오후 4:00:00</t>
  </si>
  <si>
    <t>2019. 7. 16 오후 3:30:00</t>
  </si>
  <si>
    <t>2019. 7. 17 오후 4:00:00</t>
  </si>
  <si>
    <t>2019. 7. 17 오후 3:30:00</t>
  </si>
  <si>
    <t>2019. 7. 18 오후 4:00:00</t>
  </si>
  <si>
    <t>2019. 7. 18 오후 3:30:00</t>
  </si>
  <si>
    <t>2019. 7. 19 오후 4:00:00</t>
  </si>
  <si>
    <t>2019. 7. 19 오후 3:30:00</t>
  </si>
  <si>
    <t>2019. 7. 20 오후 4:00:00</t>
  </si>
  <si>
    <t>2019. 7. 20 오후 3:30:00</t>
  </si>
  <si>
    <t>2019. 7. 21 오후 4:00:00</t>
  </si>
  <si>
    <t>2019. 7. 21 오후 3:30:00</t>
  </si>
  <si>
    <t>2019. 7. 22 오후 4:00:00</t>
  </si>
  <si>
    <t>2019. 7. 22 오후 3:30:00</t>
  </si>
  <si>
    <t>2019. 7. 23 오후 4:00:00</t>
  </si>
  <si>
    <t>2019. 7. 23 오후 3:30:00</t>
  </si>
  <si>
    <t>2019. 7. 24 오후 4:00:00</t>
  </si>
  <si>
    <t>2019. 7. 24 오후 3:30:00</t>
  </si>
  <si>
    <t>2019. 7. 25 오후 4:00:00</t>
  </si>
  <si>
    <t>2019. 7. 25 오후 3:30:00</t>
  </si>
  <si>
    <t>2019. 7. 26 오후 4:00:00</t>
  </si>
  <si>
    <t>2019. 7. 26 오후 3:30:00</t>
  </si>
  <si>
    <t>2019. 7. 27 오후 4:00:00</t>
  </si>
  <si>
    <t>2019. 7. 27 오후 3:30:00</t>
  </si>
  <si>
    <t>2019. 7. 28 오후 4:00:00</t>
  </si>
  <si>
    <t>2019. 7. 28 오후 3:30:00</t>
  </si>
  <si>
    <t>2019. 7. 29 오후 4:00:00</t>
  </si>
  <si>
    <t>2019. 7. 29 오후 3:30:00</t>
  </si>
  <si>
    <t>2019. 7. 30 오후 4:00:00</t>
  </si>
  <si>
    <t>2019. 7. 30 오후 3:30:00</t>
  </si>
  <si>
    <t>2019. 7. 31 오후 4:00:00</t>
  </si>
  <si>
    <t>2019. 7. 31 오후 3:30:00</t>
  </si>
  <si>
    <t>2019. 8. 1 오후 4:00:00</t>
  </si>
  <si>
    <t>2019. 8. 1 오후 3:30:00</t>
  </si>
  <si>
    <t>2019. 8. 2 오후 4:00:00</t>
  </si>
  <si>
    <t>2019. 8. 2 오후 3:30:00</t>
  </si>
  <si>
    <t>2019. 8. 3 오후 4:00:00</t>
  </si>
  <si>
    <t>2019. 8. 3 오후 3:30:00</t>
  </si>
  <si>
    <t>2019. 8. 4 오후 4:00:00</t>
  </si>
  <si>
    <t>2019. 8. 4 오후 3:30:00</t>
  </si>
  <si>
    <t>2019. 8. 5 오후 4:00:00</t>
  </si>
  <si>
    <t>2019. 8. 5 오후 3:30:00</t>
  </si>
  <si>
    <t>2019. 8. 6 오후 4:00:00</t>
  </si>
  <si>
    <t>2019. 8. 6 오후 3:30:00</t>
  </si>
  <si>
    <t>2019. 8. 7 오후 4:00:00</t>
  </si>
  <si>
    <t>2019. 8. 7 오후 3:30:00</t>
  </si>
  <si>
    <t>2019. 8. 8 오후 4:00:00</t>
  </si>
  <si>
    <t>2019. 8. 8 오후 3:30:00</t>
  </si>
  <si>
    <t>2019. 8. 9 오후 4:00:00</t>
  </si>
  <si>
    <t>2019. 8. 9 오후 3:30:00</t>
  </si>
  <si>
    <t>2019. 8. 10 오후 4:00:00</t>
  </si>
  <si>
    <t>2019. 8. 10 오후 3:30:00</t>
  </si>
  <si>
    <t>2019. 8. 11 오후 4:00:00</t>
  </si>
  <si>
    <t>2019. 8. 11 오후 3:30:00</t>
  </si>
  <si>
    <t>2019. 8. 12 오후 4:00:00</t>
  </si>
  <si>
    <t>2019. 8. 12 오후 3:30:00</t>
  </si>
  <si>
    <t>2019. 8. 13 오후 4:00:00</t>
  </si>
  <si>
    <t>2019. 8. 13 오후 3:30:00</t>
  </si>
  <si>
    <t>2019. 8. 14 오후 4:00:00</t>
  </si>
  <si>
    <t>2019. 8. 14 오후 3:30:00</t>
  </si>
  <si>
    <t>2019. 8. 15 오후 4:00:00</t>
  </si>
  <si>
    <t>2019. 8. 15 오후 3:30:00</t>
  </si>
  <si>
    <t>2019. 8. 16 오후 4:00:00</t>
  </si>
  <si>
    <t>2019. 8. 16 오후 3:30:00</t>
  </si>
  <si>
    <t>2019. 8. 17 오후 4:00:00</t>
  </si>
  <si>
    <t>2019. 8. 17 오후 3:30:00</t>
  </si>
  <si>
    <t>2019. 8. 18 오후 4:00:00</t>
  </si>
  <si>
    <t>2019. 8. 18 오후 3:30:00</t>
  </si>
  <si>
    <t>2019. 8. 19 오후 4:00:00</t>
  </si>
  <si>
    <t>2019. 8. 19 오후 3:30:00</t>
  </si>
  <si>
    <t>2019. 8. 20 오후 4:00:00</t>
  </si>
  <si>
    <t>2019. 8. 20 오후 3:30:00</t>
  </si>
  <si>
    <t>2019. 8. 21 오후 4:00:00</t>
  </si>
  <si>
    <t>2019. 8. 21 오후 3:30:00</t>
  </si>
  <si>
    <t>2019. 8. 22 오후 4:00:00</t>
  </si>
  <si>
    <t>2019. 8. 22 오후 3:30:00</t>
  </si>
  <si>
    <t>2019. 8. 23 오후 4:00:00</t>
  </si>
  <si>
    <t>2019. 8. 23 오후 3:30:00</t>
  </si>
  <si>
    <t>2019. 8. 24 오후 4:00:00</t>
  </si>
  <si>
    <t>2019. 8. 24 오후 3:30:00</t>
  </si>
  <si>
    <t>2019. 8. 25 오후 4:00:00</t>
  </si>
  <si>
    <t>2019. 8. 25 오후 3:30:00</t>
  </si>
  <si>
    <t>2019. 8. 26 오후 4:00:00</t>
  </si>
  <si>
    <t>2019. 8. 26 오후 3:30:00</t>
  </si>
  <si>
    <t>2019. 8. 27 오후 4:00:00</t>
  </si>
  <si>
    <t>2019. 8. 27 오후 3:30:00</t>
  </si>
  <si>
    <t>2019. 8. 28 오후 4:00:00</t>
  </si>
  <si>
    <t>2019. 8. 28 오후 3:30:00</t>
  </si>
  <si>
    <t>2019. 8. 29 오후 4:00:00</t>
  </si>
  <si>
    <t>2019. 8. 29 오후 3:30:00</t>
  </si>
  <si>
    <t>2019. 8. 30 오후 4:00:00</t>
  </si>
  <si>
    <t>2019. 8. 30 오후 3:30:00</t>
  </si>
  <si>
    <t>2019. 8. 31 오후 4:00:00</t>
  </si>
  <si>
    <t>2019. 8. 31 오후 3:30:00</t>
  </si>
  <si>
    <t>2019. 9. 1 오후 4:00:00</t>
  </si>
  <si>
    <t>2019. 9. 1 오후 3:30:00</t>
  </si>
  <si>
    <t>2019. 9. 2 오후 4:00:00</t>
  </si>
  <si>
    <t>2019. 9. 2 오후 3:30:00</t>
  </si>
  <si>
    <t>2019. 9. 3 오후 4:00:00</t>
  </si>
  <si>
    <t>2019. 9. 3 오후 3:30:00</t>
  </si>
  <si>
    <t>2019. 9. 4 오후 4:00:00</t>
  </si>
  <si>
    <t>2019. 9. 4 오후 3:30:00</t>
  </si>
  <si>
    <t>2019. 9. 5 오후 4:00:00</t>
  </si>
  <si>
    <t>2019. 9. 5 오후 3:30:00</t>
  </si>
  <si>
    <t>2019. 9. 6 오후 4:00:00</t>
  </si>
  <si>
    <t>2019. 9. 6 오후 3:30:00</t>
  </si>
  <si>
    <t>2019. 9. 7 오후 4:00:00</t>
  </si>
  <si>
    <t>2019. 9. 7 오후 3:30:00</t>
  </si>
  <si>
    <t>2019. 9. 8 오후 4:00:00</t>
  </si>
  <si>
    <t>2019. 9. 8 오후 3:30:00</t>
  </si>
  <si>
    <t>2019. 9. 9 오후 4:00:00</t>
  </si>
  <si>
    <t>2019. 9. 9 오후 3:30:00</t>
  </si>
  <si>
    <t>2019. 9. 10 오후 4:00:00</t>
  </si>
  <si>
    <t>2019. 9. 10 오후 3:30:00</t>
  </si>
  <si>
    <t>2019. 9. 11 오후 4:00:00</t>
  </si>
  <si>
    <t>2019. 9. 11 오후 3:30:00</t>
  </si>
  <si>
    <t>2019. 9. 12 오후 4:00:00</t>
  </si>
  <si>
    <t>2019. 9. 12 오후 3:30:00</t>
  </si>
  <si>
    <t>2019. 9. 13 오후 4:00:00</t>
  </si>
  <si>
    <t>2019. 9. 13 오후 3:30:00</t>
  </si>
  <si>
    <t>2019. 9. 14 오후 4:00:00</t>
  </si>
  <si>
    <t>2019. 9. 14 오후 3:30:00</t>
  </si>
  <si>
    <t>2019. 9. 15 오후 4:00:00</t>
  </si>
  <si>
    <t>2019. 9. 15 오후 3:30:00</t>
  </si>
  <si>
    <t>2019. 9. 16 오후 4:00:00</t>
  </si>
  <si>
    <t>2019. 9. 16 오후 3:30:00</t>
  </si>
  <si>
    <t>2019. 9. 17 오후 4:00:00</t>
  </si>
  <si>
    <t>2019. 9. 17 오후 3:30:00</t>
  </si>
  <si>
    <t>2019. 9. 18 오후 4:00:00</t>
  </si>
  <si>
    <t>2019. 9. 18 오후 3:30:00</t>
  </si>
  <si>
    <t>2019. 9. 19 오후 4:00:00</t>
  </si>
  <si>
    <t>2019. 9. 19 오후 3:30:00</t>
  </si>
  <si>
    <t>2019. 9. 20 오후 4:00:00</t>
  </si>
  <si>
    <t>2019. 9. 20 오후 3:30:00</t>
  </si>
  <si>
    <t>2019. 9. 21 오후 4:00:00</t>
  </si>
  <si>
    <t>2019. 9. 21 오후 3:30:00</t>
  </si>
  <si>
    <t>2019. 9. 22 오후 4:00:00</t>
  </si>
  <si>
    <t>2019. 9. 22 오후 3:30:00</t>
  </si>
  <si>
    <t>2019. 9. 23 오후 4:00:00</t>
  </si>
  <si>
    <t>2019. 9. 23 오후 3:30:00</t>
  </si>
  <si>
    <t>2019. 9. 24 오후 4:00:00</t>
  </si>
  <si>
    <t>2019. 9. 24 오후 3:30:00</t>
  </si>
  <si>
    <t>2019. 9. 25 오후 4:00:00</t>
  </si>
  <si>
    <t>2019. 9. 25 오후 3:30:00</t>
  </si>
  <si>
    <t>2019. 9. 26 오후 4:00:00</t>
  </si>
  <si>
    <t>2019. 9. 26 오후 3:30:00</t>
  </si>
  <si>
    <t>2019. 9. 27 오후 4:00:00</t>
  </si>
  <si>
    <t>2019. 9. 27 오후 3:30:00</t>
  </si>
  <si>
    <t>2019. 9. 28 오후 4:00:00</t>
  </si>
  <si>
    <t>2019. 9. 28 오후 3:30:00</t>
  </si>
  <si>
    <t>2019. 9. 29 오후 4:00:00</t>
  </si>
  <si>
    <t>2019. 9. 29 오후 3:30:00</t>
  </si>
  <si>
    <t>2019. 9. 30 오후 4:00:00</t>
  </si>
  <si>
    <t>2019. 9. 30 오후 3:30:00</t>
  </si>
  <si>
    <t>2019. 10. 1 오후 4:00:00</t>
  </si>
  <si>
    <t>2019. 10. 1 오후 3:30:00</t>
  </si>
  <si>
    <t>2019. 10. 2 오후 4:00:00</t>
  </si>
  <si>
    <t>2019. 10. 2 오후 3:30:00</t>
  </si>
  <si>
    <t>2019. 10. 3 오후 4:00:00</t>
  </si>
  <si>
    <t>2019. 10. 3 오후 3:30:00</t>
  </si>
  <si>
    <t>2019. 10. 4 오후 4:00:00</t>
  </si>
  <si>
    <t>2019. 10. 4 오후 3:30:00</t>
  </si>
  <si>
    <t>2019. 10. 5 오후 4:00:00</t>
  </si>
  <si>
    <t>2019. 10. 5 오후 3:30:00</t>
  </si>
  <si>
    <t>2019. 10. 6 오후 4:00:00</t>
  </si>
  <si>
    <t>2019. 10. 6 오후 3:30:00</t>
  </si>
  <si>
    <t>2019. 10. 7 오후 4:00:00</t>
  </si>
  <si>
    <t>2019. 10. 7 오후 3:30:00</t>
  </si>
  <si>
    <t>2019. 10. 8 오후 4:00:00</t>
  </si>
  <si>
    <t>2019. 10. 8 오후 3:30:00</t>
  </si>
  <si>
    <t>2019. 10. 9 오후 4:00:00</t>
  </si>
  <si>
    <t>2019. 10. 9 오후 3:30:00</t>
  </si>
  <si>
    <t>2019. 10. 10 오후 4:00:00</t>
  </si>
  <si>
    <t>2019. 10. 10 오후 3:30:00</t>
  </si>
  <si>
    <t>2019. 10. 11 오후 4:00:00</t>
  </si>
  <si>
    <t>2019. 10. 11 오후 3:30:00</t>
  </si>
  <si>
    <t>2019. 10. 12 오후 4:00:00</t>
  </si>
  <si>
    <t>2019. 10. 12 오후 3:30:00</t>
  </si>
  <si>
    <t>2019. 10. 13 오후 4:00:00</t>
  </si>
  <si>
    <t>2019. 10. 13 오후 3:30:00</t>
  </si>
  <si>
    <t>2019. 10. 14 오후 4:00:00</t>
  </si>
  <si>
    <t>2019. 10. 14 오후 3:30:00</t>
  </si>
  <si>
    <t>2019. 10. 15 오후 4:00:00</t>
  </si>
  <si>
    <t>2019. 10. 15 오후 3:30:00</t>
  </si>
  <si>
    <t>2019. 10. 16 오후 4:00:00</t>
  </si>
  <si>
    <t>2019. 10. 16 오후 3:30:00</t>
  </si>
  <si>
    <t>2019. 10. 17 오후 4:00:00</t>
  </si>
  <si>
    <t>2019. 10. 17 오후 3:30:00</t>
  </si>
  <si>
    <t>2019. 10. 18 오후 4:00:00</t>
  </si>
  <si>
    <t>2019. 10. 18 오후 3:30:00</t>
  </si>
  <si>
    <t>2019. 10. 19 오후 4:00:00</t>
  </si>
  <si>
    <t>2019. 10. 19 오후 3:30:00</t>
  </si>
  <si>
    <t>2019. 10. 20 오후 4:00:00</t>
  </si>
  <si>
    <t>2019. 10. 20 오후 3:30:00</t>
  </si>
  <si>
    <t>2019. 10. 21 오후 4:00:00</t>
  </si>
  <si>
    <t>2019. 10. 21 오후 3:30:00</t>
  </si>
  <si>
    <t>2019. 10. 22 오후 4:00:00</t>
  </si>
  <si>
    <t>2019. 10. 22 오후 3:30:00</t>
  </si>
  <si>
    <t>2019. 10. 23 오후 4:00:00</t>
  </si>
  <si>
    <t>2019. 10. 23 오후 3:30:00</t>
  </si>
  <si>
    <t>2019. 10. 24 오후 4:00:00</t>
  </si>
  <si>
    <t>2019. 10. 24 오후 3:30:00</t>
  </si>
  <si>
    <t>2019. 10. 25 오후 4:00:00</t>
  </si>
  <si>
    <t>2019. 10. 25 오후 3:30:00</t>
  </si>
  <si>
    <t>2019. 10. 26 오후 4:00:00</t>
  </si>
  <si>
    <t>2019. 10. 26 오후 3:30:00</t>
  </si>
  <si>
    <t>2019. 10. 27 오후 4:00:00</t>
  </si>
  <si>
    <t>2019. 10. 27 오후 3:30:00</t>
  </si>
  <si>
    <t>2019. 10. 28 오후 4:00:00</t>
  </si>
  <si>
    <t>2019. 10. 28 오후 3:30:00</t>
  </si>
  <si>
    <t>2019. 10. 29 오후 4:00:00</t>
  </si>
  <si>
    <t>2019. 10. 29 오후 3:30:00</t>
  </si>
  <si>
    <t>2019. 10. 30 오후 4:00:00</t>
  </si>
  <si>
    <t>2019. 10. 30 오후 3:30:00</t>
  </si>
  <si>
    <t>2019. 10. 31 오후 4:00:00</t>
  </si>
  <si>
    <t>2019. 10. 31 오후 3:30:00</t>
  </si>
  <si>
    <t>2019. 11. 1 오후 4:00:00</t>
  </si>
  <si>
    <t>2019. 11. 1 오후 3:30:00</t>
  </si>
  <si>
    <t>2019. 11. 2 오후 4:00:00</t>
  </si>
  <si>
    <t>2019. 11. 2 오후 3:30:00</t>
  </si>
  <si>
    <t>2019. 11. 3 오후 4:00:00</t>
  </si>
  <si>
    <t>2019. 11. 3 오후 3:30:00</t>
  </si>
  <si>
    <t>2019. 11. 4 오후 4:00:00</t>
  </si>
  <si>
    <t>2019. 11. 4 오후 3:30:00</t>
  </si>
  <si>
    <t>2019. 11. 5 오후 4:00:00</t>
  </si>
  <si>
    <t>2019. 11. 5 오후 3:30:00</t>
  </si>
  <si>
    <t>2019. 11. 6 오후 4:00:00</t>
  </si>
  <si>
    <t>2019. 11. 6 오후 3:30:00</t>
  </si>
  <si>
    <t>2019. 11. 7 오후 4:00:00</t>
  </si>
  <si>
    <t>2019. 11. 7 오후 3:30:00</t>
  </si>
  <si>
    <t>2019. 11. 8 오후 4:00:00</t>
  </si>
  <si>
    <t>2019. 11. 8 오후 3:30:00</t>
  </si>
  <si>
    <t>2019. 11. 9 오후 4:00:00</t>
  </si>
  <si>
    <t>2019. 11. 9 오후 3:30:00</t>
  </si>
  <si>
    <t>2019. 11. 10 오후 4:00:00</t>
  </si>
  <si>
    <t>2019. 11. 10 오후 3:30:00</t>
  </si>
  <si>
    <t>2019. 11. 11 오후 4:00:00</t>
  </si>
  <si>
    <t>2019. 11. 11 오후 3:30:00</t>
  </si>
  <si>
    <t>2019. 11. 12 오후 4:00:00</t>
  </si>
  <si>
    <t>2019. 11. 12 오후 3:30:00</t>
  </si>
  <si>
    <t>2019. 11. 13 오후 4:00:00</t>
  </si>
  <si>
    <t>2019. 11. 13 오후 3:30:00</t>
  </si>
  <si>
    <t>2019. 11. 14 오후 4:00:00</t>
  </si>
  <si>
    <t>2019. 11. 14 오후 3:30:00</t>
  </si>
  <si>
    <t>2019. 11. 15 오후 4:00:00</t>
  </si>
  <si>
    <t>2019. 11. 15 오후 3:30:00</t>
  </si>
  <si>
    <t>2019. 11. 16 오후 4:00:00</t>
  </si>
  <si>
    <t>2019. 11. 16 오후 3:30:00</t>
  </si>
  <si>
    <t>2019. 11. 17 오후 4:00:00</t>
  </si>
  <si>
    <t>2019. 11. 17 오후 3:30:00</t>
  </si>
  <si>
    <t>2019. 11. 18 오후 4:00:00</t>
  </si>
  <si>
    <t>2019. 11. 18 오후 3:30:00</t>
  </si>
  <si>
    <t>2019. 11. 19 오후 4:00:00</t>
  </si>
  <si>
    <t>2019. 11. 19 오후 3:30:00</t>
  </si>
  <si>
    <t>2019. 11. 20 오후 4:00:00</t>
  </si>
  <si>
    <t>2019. 11. 20 오후 3:30:00</t>
  </si>
  <si>
    <t>2019. 11. 21 오후 4:00:00</t>
  </si>
  <si>
    <t>2019. 11. 21 오후 3:30:00</t>
  </si>
  <si>
    <t>2019. 11. 22 오후 4:00:00</t>
  </si>
  <si>
    <t>2019. 11. 22 오후 3:30:00</t>
  </si>
  <si>
    <t>2019. 11. 23 오후 4:00:00</t>
  </si>
  <si>
    <t>2019. 11. 23 오후 3:30:00</t>
  </si>
  <si>
    <t>2019. 11. 24 오후 4:00:00</t>
  </si>
  <si>
    <t>2019. 11. 24 오후 3:30:00</t>
  </si>
  <si>
    <t>2019. 11. 25 오후 4:00:00</t>
  </si>
  <si>
    <t>2019. 11. 25 오후 3:30:00</t>
  </si>
  <si>
    <t>2019. 11. 26 오후 4:00:00</t>
  </si>
  <si>
    <t>2019. 11. 26 오후 3:30:00</t>
  </si>
  <si>
    <t>2019. 11. 27 오후 4:00:00</t>
  </si>
  <si>
    <t>2019. 11. 27 오후 3:30:00</t>
  </si>
  <si>
    <t>2019. 11. 28 오후 4:00:00</t>
  </si>
  <si>
    <t>2019. 11. 28 오후 3:30:00</t>
  </si>
  <si>
    <t>2019. 11. 29 오후 4:00:00</t>
  </si>
  <si>
    <t>2019. 11. 29 오후 3:30:00</t>
  </si>
  <si>
    <t>2019. 11. 30 오후 4:00:00</t>
  </si>
  <si>
    <t>2019. 11. 30 오후 3:30:00</t>
  </si>
  <si>
    <t>2019. 12. 1 오후 4:00:00</t>
  </si>
  <si>
    <t>2019. 12. 1 오후 3:30:00</t>
  </si>
  <si>
    <t>2019. 12. 2 오후 4:00:00</t>
  </si>
  <si>
    <t>2019. 12. 2 오후 3:30:00</t>
  </si>
  <si>
    <t>2019. 12. 3 오후 4:00:00</t>
  </si>
  <si>
    <t>2019. 12. 3 오후 3:30:00</t>
  </si>
  <si>
    <t>2019. 12. 4 오후 4:00:00</t>
  </si>
  <si>
    <t>2019. 12. 4 오후 3:30:00</t>
  </si>
  <si>
    <t>2019. 12. 5 오후 4:00:00</t>
  </si>
  <si>
    <t>2019. 12. 5 오후 3:30:00</t>
  </si>
  <si>
    <t>2019. 12. 6 오후 4:00:00</t>
  </si>
  <si>
    <t>2019. 12. 6 오후 3:30:00</t>
  </si>
  <si>
    <t>2019. 12. 7 오후 4:00:00</t>
  </si>
  <si>
    <t>2019. 12. 7 오후 3:30:00</t>
  </si>
  <si>
    <t>2019. 12. 8 오후 4:00:00</t>
  </si>
  <si>
    <t>2019. 12. 8 오후 3:30:00</t>
  </si>
  <si>
    <t>2019. 12. 9 오후 4:00:00</t>
  </si>
  <si>
    <t>2019. 12. 9 오후 3:30:00</t>
  </si>
  <si>
    <t>2019. 12. 10 오후 4:00:00</t>
  </si>
  <si>
    <t>2019. 12. 10 오후 3:30:00</t>
  </si>
  <si>
    <t>2019. 12. 11 오후 4:00:00</t>
  </si>
  <si>
    <t>2019. 12. 11 오후 3:30:00</t>
  </si>
  <si>
    <t>2019. 12. 12 오후 4:00:00</t>
  </si>
  <si>
    <t>2019. 12. 12 오후 3:30:00</t>
  </si>
  <si>
    <t>2019. 12. 13 오후 4:00:00</t>
  </si>
  <si>
    <t>2019. 12. 13 오후 3:30:00</t>
  </si>
  <si>
    <t>2019. 12. 14 오후 4:00:00</t>
  </si>
  <si>
    <t>2019. 12. 14 오후 3:30:00</t>
  </si>
  <si>
    <t>2019. 12. 15 오후 4:00:00</t>
  </si>
  <si>
    <t>2019. 12. 15 오후 3:30:00</t>
  </si>
  <si>
    <t>2019. 12. 16 오후 4:00:00</t>
  </si>
  <si>
    <t>2019. 12. 16 오후 3:30:00</t>
  </si>
  <si>
    <t>2019. 12. 17 오후 4:00:00</t>
  </si>
  <si>
    <t>2019. 12. 17 오후 3:30:00</t>
  </si>
  <si>
    <t>2019. 12. 18 오후 4:00:00</t>
  </si>
  <si>
    <t>2019. 12. 18 오후 3:30:00</t>
  </si>
  <si>
    <t>2019. 12. 19 오후 4:00:00</t>
  </si>
  <si>
    <t>2019. 12. 19 오후 3:30:00</t>
  </si>
  <si>
    <t>2019. 12. 20 오후 4:00:00</t>
  </si>
  <si>
    <t>2019. 12. 20 오후 3:30:00</t>
  </si>
  <si>
    <t>2019. 12. 21 오후 4:00:00</t>
  </si>
  <si>
    <t>2019. 12. 21 오후 3:30:00</t>
  </si>
  <si>
    <t>2019. 12. 22 오후 4:00:00</t>
  </si>
  <si>
    <t>2019. 12. 22 오후 3:30:00</t>
  </si>
  <si>
    <t>2019. 12. 23 오후 4:00:00</t>
  </si>
  <si>
    <t>2019. 12. 23 오후 3:30:00</t>
  </si>
  <si>
    <t>2019. 12. 24 오후 4:00:00</t>
  </si>
  <si>
    <t>2019. 12. 24 오후 3:30:00</t>
  </si>
  <si>
    <t>2019. 12. 25 오후 4:00:00</t>
  </si>
  <si>
    <t>2019. 12. 25 오후 3:30:00</t>
  </si>
  <si>
    <t>2019. 12. 26 오후 4:00:00</t>
  </si>
  <si>
    <t>2019. 12. 26 오후 3:30:00</t>
  </si>
  <si>
    <t>2019. 12. 27 오후 4:00:00</t>
  </si>
  <si>
    <t>2019. 12. 27 오후 3:30:00</t>
  </si>
  <si>
    <t>2019. 12. 28 오후 4:00:00</t>
  </si>
  <si>
    <t>2019. 12. 28 오후 3:30:00</t>
  </si>
  <si>
    <t>2019. 12. 29 오후 4:00:00</t>
  </si>
  <si>
    <t>2019. 12. 29 오후 3:30:00</t>
  </si>
  <si>
    <t>2019. 12. 30 오후 4:00:00</t>
  </si>
  <si>
    <t>2019. 12. 30 오후 3:30:00</t>
  </si>
  <si>
    <t>2019. 12. 31 오후 4:00:00</t>
  </si>
  <si>
    <t>2019. 12. 31 오후 3:30:00</t>
  </si>
  <si>
    <t>2020. 1. 1 오후 4:00:00</t>
  </si>
  <si>
    <t>2020. 1. 1 오후 3:30:00</t>
  </si>
  <si>
    <t>2020. 1. 2 오후 4:00:00</t>
  </si>
  <si>
    <t>2020. 1. 2 오후 3:30:00</t>
  </si>
  <si>
    <t>2020. 1. 3 오후 4:00:00</t>
  </si>
  <si>
    <t>2020. 1. 3 오후 3:30:00</t>
  </si>
  <si>
    <t>2020. 1. 4 오후 4:00:00</t>
  </si>
  <si>
    <t>2020. 1. 4 오후 3:30:00</t>
  </si>
  <si>
    <t>2020. 1. 5 오후 4:00:00</t>
  </si>
  <si>
    <t>2020. 1. 5 오후 3:30:00</t>
  </si>
  <si>
    <t>2020. 1. 6 오후 4:00:00</t>
  </si>
  <si>
    <t>2020. 1. 6 오후 3:30:00</t>
  </si>
  <si>
    <t>2020. 1. 7 오후 4:00:00</t>
  </si>
  <si>
    <t>2020. 1. 7 오후 3:30:00</t>
  </si>
  <si>
    <t>2020. 1. 8 오후 4:00:00</t>
  </si>
  <si>
    <t>2020. 1. 8 오후 3:30:00</t>
  </si>
  <si>
    <t>2020. 1. 9 오후 4:00:00</t>
  </si>
  <si>
    <t>2020. 1. 9 오후 3:30:00</t>
  </si>
  <si>
    <t>2020. 1. 10 오후 4:00:00</t>
  </si>
  <si>
    <t>2020. 1. 10 오후 3:30:00</t>
  </si>
  <si>
    <t>2020. 1. 11 오후 4:00:00</t>
  </si>
  <si>
    <t>2020. 1. 11 오후 3:30:00</t>
  </si>
  <si>
    <t>2020. 1. 12 오후 4:00:00</t>
  </si>
  <si>
    <t>2020. 1. 12 오후 3:30:00</t>
  </si>
  <si>
    <t>2020. 1. 13 오후 4:00:00</t>
  </si>
  <si>
    <t>2020. 1. 13 오후 3:30:00</t>
  </si>
  <si>
    <t>2020. 1. 14 오후 4:00:00</t>
  </si>
  <si>
    <t>2020. 1. 14 오후 3:30:00</t>
  </si>
  <si>
    <t>2020. 1. 15 오후 4:00:00</t>
  </si>
  <si>
    <t>2020. 1. 15 오후 3:30:00</t>
  </si>
  <si>
    <t>2020. 1. 16 오후 4:00:00</t>
  </si>
  <si>
    <t>2020. 1. 16 오후 3:30:00</t>
  </si>
  <si>
    <t>2020. 1. 17 오후 4:00:00</t>
  </si>
  <si>
    <t>2020. 1. 17 오후 3:30:00</t>
  </si>
  <si>
    <t>2020. 1. 18 오후 4:00:00</t>
  </si>
  <si>
    <t>2020. 1. 18 오후 3:30:00</t>
  </si>
  <si>
    <t>2020. 1. 19 오후 4:00:00</t>
  </si>
  <si>
    <t>2020. 1. 19 오후 3:30:00</t>
  </si>
  <si>
    <t>2020. 1. 20 오후 4:00:00</t>
  </si>
  <si>
    <t>2020. 1. 20 오후 3:30:00</t>
  </si>
  <si>
    <t>2020. 1. 21 오후 4:00:00</t>
  </si>
  <si>
    <t>2020. 1. 21 오후 3:30:00</t>
  </si>
  <si>
    <t>2020. 1. 22 오후 4:00:00</t>
  </si>
  <si>
    <t>2020. 1. 22 오후 3:30:00</t>
  </si>
  <si>
    <t>2020. 1. 23 오후 4:00:00</t>
  </si>
  <si>
    <t>2020. 1. 23 오후 3:30:00</t>
  </si>
  <si>
    <t>2020. 1. 24 오후 4:00:00</t>
  </si>
  <si>
    <t>2020. 1. 24 오후 3:30:00</t>
  </si>
  <si>
    <t>2020. 1. 25 오후 4:00:00</t>
  </si>
  <si>
    <t>2020. 1. 25 오후 3:30:00</t>
  </si>
  <si>
    <t>2020. 1. 26 오후 4:00:00</t>
  </si>
  <si>
    <t>2020. 1. 26 오후 3:30:00</t>
  </si>
  <si>
    <t>2020. 1. 27 오후 4:00:00</t>
  </si>
  <si>
    <t>2020. 1. 27 오후 3:30:00</t>
  </si>
  <si>
    <t>2020. 1. 28 오후 4:00:00</t>
  </si>
  <si>
    <t>2020. 1. 28 오후 3:30:00</t>
  </si>
  <si>
    <t>2020. 1. 29 오후 4:00:00</t>
  </si>
  <si>
    <t>2020. 1. 29 오후 3:30:00</t>
  </si>
  <si>
    <t>2020. 1. 30 오후 4:00:00</t>
  </si>
  <si>
    <t>2020. 1. 30 오후 3:30:00</t>
  </si>
  <si>
    <t>2020. 1. 31 오후 4:00:00</t>
  </si>
  <si>
    <t>2020. 1. 31 오후 3:30:00</t>
  </si>
  <si>
    <t>2020. 2. 1 오후 4:00:00</t>
  </si>
  <si>
    <t>2020. 2. 1 오후 3:30:00</t>
  </si>
  <si>
    <t>2020. 2. 2 오후 4:00:00</t>
  </si>
  <si>
    <t>2020. 2. 2 오후 3:30:00</t>
  </si>
  <si>
    <t>2020. 2. 3 오후 4:00:00</t>
  </si>
  <si>
    <t>2020. 2. 3 오후 3:30:00</t>
  </si>
  <si>
    <t>2020. 2. 4 오후 4:00:00</t>
  </si>
  <si>
    <t>2020. 2. 4 오후 3:30:00</t>
  </si>
  <si>
    <t>2020. 2. 5 오후 4:00:00</t>
  </si>
  <si>
    <t>2020. 2. 5 오후 3:30:00</t>
  </si>
  <si>
    <t>2020. 2. 6 오후 4:00:00</t>
  </si>
  <si>
    <t>2020. 2. 6 오후 3:30:00</t>
  </si>
  <si>
    <t>2020. 2. 7 오후 4:00:00</t>
  </si>
  <si>
    <t>2020. 2. 7 오후 3:30:00</t>
  </si>
  <si>
    <t>2020. 2. 8 오후 4:00:00</t>
  </si>
  <si>
    <t>2020. 2. 8 오후 3:30:00</t>
  </si>
  <si>
    <t>2020. 2. 9 오후 4:00:00</t>
  </si>
  <si>
    <t>2020. 2. 9 오후 3:30:00</t>
  </si>
  <si>
    <t>2020. 2. 10 오후 4:00:00</t>
  </si>
  <si>
    <t>2020. 2. 10 오후 3:30:00</t>
  </si>
  <si>
    <t>2020. 2. 11 오후 4:00:00</t>
  </si>
  <si>
    <t>2020. 2. 11 오후 3:30:00</t>
  </si>
  <si>
    <t>2020. 2. 12 오후 4:00:00</t>
  </si>
  <si>
    <t>2020. 2. 12 오후 3:30:00</t>
  </si>
  <si>
    <t>2020. 2. 13 오후 4:00:00</t>
  </si>
  <si>
    <t>2020. 2. 13 오후 3:30:00</t>
  </si>
  <si>
    <t>2020. 2. 14 오후 4:00:00</t>
  </si>
  <si>
    <t>2020. 2. 14 오후 3:30:00</t>
  </si>
  <si>
    <t>2020. 2. 15 오후 4:00:00</t>
  </si>
  <si>
    <t>2020. 2. 15 오후 3:30:00</t>
  </si>
  <si>
    <t>2020. 2. 16 오후 4:00:00</t>
  </si>
  <si>
    <t>2020. 2. 16 오후 3:30:00</t>
  </si>
  <si>
    <t>2020. 2. 17 오후 4:00:00</t>
  </si>
  <si>
    <t>2020. 2. 17 오후 3:30:00</t>
  </si>
  <si>
    <t>2020. 2. 18 오후 4:00:00</t>
  </si>
  <si>
    <t>2020. 2. 18 오후 3:30:00</t>
  </si>
  <si>
    <t>2020. 2. 19 오후 4:00:00</t>
  </si>
  <si>
    <t>2020. 2. 19 오후 3:30:00</t>
  </si>
  <si>
    <t>2020. 2. 20 오후 4:00:00</t>
  </si>
  <si>
    <t>2020. 2. 20 오후 3:30:00</t>
  </si>
  <si>
    <t>2020. 2. 21 오후 4:00:00</t>
  </si>
  <si>
    <t>2020. 2. 21 오후 3:30:00</t>
  </si>
  <si>
    <t>2020. 2. 22 오후 4:00:00</t>
  </si>
  <si>
    <t>2020. 2. 22 오후 3:30:00</t>
  </si>
  <si>
    <t>2020. 2. 23 오후 4:00:00</t>
  </si>
  <si>
    <t>2020. 2. 23 오후 3:30:00</t>
  </si>
  <si>
    <t>2020. 2. 24 오후 4:00:00</t>
  </si>
  <si>
    <t>2020. 2. 24 오후 3:30:00</t>
  </si>
  <si>
    <t>2020. 2. 25 오후 4:00:00</t>
  </si>
  <si>
    <t>2020. 2. 25 오후 3:30:00</t>
  </si>
  <si>
    <t>2020. 2. 26 오후 4:00:00</t>
  </si>
  <si>
    <t>2020. 2. 26 오후 3:30:00</t>
  </si>
  <si>
    <t>2020. 2. 27 오후 4:00:00</t>
  </si>
  <si>
    <t>2020. 2. 27 오후 3:30:00</t>
  </si>
  <si>
    <t>2020. 2. 28 오후 4:00:00</t>
  </si>
  <si>
    <t>2020. 2. 28 오후 3:30:00</t>
  </si>
  <si>
    <t>2020. 2. 29 오후 4:00:00</t>
  </si>
  <si>
    <t>2020. 2. 29 오후 3:30:00</t>
  </si>
  <si>
    <t>2020. 3. 1 오후 4:00:00</t>
  </si>
  <si>
    <t>2020. 3. 1 오후 3:30:00</t>
  </si>
  <si>
    <t>2020. 3. 2 오후 4:00:00</t>
  </si>
  <si>
    <t>2020. 3. 2 오후 3:30:00</t>
  </si>
  <si>
    <t>2020. 3. 3 오후 4:00:00</t>
  </si>
  <si>
    <t>2020. 3. 3 오후 3:30:00</t>
  </si>
  <si>
    <t>2020. 3. 4 오후 4:00:00</t>
  </si>
  <si>
    <t>2020. 3. 4 오후 3:30:00</t>
  </si>
  <si>
    <t>2020. 3. 5 오후 4:00:00</t>
  </si>
  <si>
    <t>2020. 3. 5 오후 3:30:00</t>
  </si>
  <si>
    <t>2020. 3. 6 오후 4:00:00</t>
  </si>
  <si>
    <t>2020. 3. 6 오후 3:30:00</t>
  </si>
  <si>
    <t>2020. 3. 7 오후 4:00:00</t>
  </si>
  <si>
    <t>2020. 3. 7 오후 3:30:00</t>
  </si>
  <si>
    <t>2020. 3. 8 오후 4:00:00</t>
  </si>
  <si>
    <t>2020. 3. 8 오후 3:30:00</t>
  </si>
  <si>
    <t>2020. 3. 9 오후 4:00:00</t>
  </si>
  <si>
    <t>2020. 3. 9 오후 3:30:00</t>
  </si>
  <si>
    <t>2020. 3. 10 오후 4:00:00</t>
  </si>
  <si>
    <t>2020. 3. 10 오후 3:30:00</t>
  </si>
  <si>
    <t>2020. 3. 11 오후 4:00:00</t>
  </si>
  <si>
    <t>2020. 3. 11 오후 3:30:00</t>
  </si>
  <si>
    <t>2020. 3. 12 오후 4:00:00</t>
  </si>
  <si>
    <t>2020. 3. 12 오후 3:30:00</t>
  </si>
  <si>
    <t>2020. 3. 13 오후 4:00:00</t>
  </si>
  <si>
    <t>2020. 3. 13 오후 3:30:00</t>
  </si>
  <si>
    <t>2020. 3. 14 오후 4:00:00</t>
  </si>
  <si>
    <t>2020. 3. 14 오후 3:30:00</t>
  </si>
  <si>
    <t>2020. 3. 15 오후 4:00:00</t>
  </si>
  <si>
    <t>2020. 3. 15 오후 3:30:00</t>
  </si>
  <si>
    <t>2020. 3. 16 오후 4:00:00</t>
  </si>
  <si>
    <t>2020. 3. 16 오후 3:30:00</t>
  </si>
  <si>
    <t>2020. 3. 17 오후 4:00:00</t>
  </si>
  <si>
    <t>2020. 3. 17 오후 3:30:00</t>
  </si>
  <si>
    <t>2020. 3. 18 오후 4:00:00</t>
  </si>
  <si>
    <t>2020. 3. 18 오후 3:30:00</t>
  </si>
  <si>
    <t>2020. 3. 19 오후 4:00:00</t>
  </si>
  <si>
    <t>2020. 3. 19 오후 3:30:00</t>
  </si>
  <si>
    <t>2020. 3. 20 오후 4:00:00</t>
  </si>
  <si>
    <t>2020. 3. 20 오후 3:30:00</t>
  </si>
  <si>
    <t>2020. 3. 21 오후 4:00:00</t>
  </si>
  <si>
    <t>2020. 3. 21 오후 3:30:00</t>
  </si>
  <si>
    <t>2020. 3. 22 오후 4:00:00</t>
  </si>
  <si>
    <t>2020. 3. 22 오후 3:30:00</t>
  </si>
  <si>
    <t>2020. 3. 23 오후 4:00:00</t>
  </si>
  <si>
    <t>2020. 3. 23 오후 3:30:00</t>
  </si>
  <si>
    <t>2020. 3. 24 오후 4:00:00</t>
  </si>
  <si>
    <t>2020. 3. 24 오후 3:30:00</t>
  </si>
  <si>
    <t>2020. 3. 25 오후 4:00:00</t>
  </si>
  <si>
    <t>2020. 3. 25 오후 3:30:00</t>
  </si>
  <si>
    <t>2020. 3. 26 오후 4:00:00</t>
  </si>
  <si>
    <t>2020. 3. 26 오후 3:30:00</t>
  </si>
  <si>
    <t>2020. 3. 27 오후 4:00:00</t>
  </si>
  <si>
    <t>2020. 3. 27 오후 3:30:00</t>
  </si>
  <si>
    <t>2020. 3. 28 오후 4:00:00</t>
  </si>
  <si>
    <t>2020. 3. 28 오후 3:30:00</t>
  </si>
  <si>
    <t>2020. 3. 29 오후 4:00:00</t>
  </si>
  <si>
    <t>2020. 3. 29 오후 3:30:00</t>
  </si>
  <si>
    <t>2020. 3. 30 오후 4:00:00</t>
  </si>
  <si>
    <t>2020. 3. 30 오후 3:30:00</t>
  </si>
  <si>
    <t>2020. 3. 31 오후 4:00:00</t>
  </si>
  <si>
    <t>2020. 3. 31 오후 3:30:00</t>
  </si>
  <si>
    <t>2020. 4. 1 오후 4:00:00</t>
  </si>
  <si>
    <t>2020. 4. 1 오후 3:30:00</t>
  </si>
  <si>
    <t>2020. 4. 2 오후 4:00:00</t>
  </si>
  <si>
    <t>2020. 4. 2 오후 3:30:00</t>
  </si>
  <si>
    <t>2020. 4. 3 오후 4:00:00</t>
  </si>
  <si>
    <t>2020. 4. 3 오후 3:30:00</t>
  </si>
  <si>
    <t>2020. 4. 4 오후 4:00:00</t>
  </si>
  <si>
    <t>2020. 4. 4 오후 3:30:00</t>
  </si>
  <si>
    <t>2020. 4. 5 오후 4:00:00</t>
  </si>
  <si>
    <t>2020. 4. 5 오후 3:30:00</t>
  </si>
  <si>
    <t>2020. 4. 6 오후 4:00:00</t>
  </si>
  <si>
    <t>2020. 4. 6 오후 3:30:00</t>
  </si>
  <si>
    <t>2020. 4. 7 오후 4:00:00</t>
  </si>
  <si>
    <t>2020. 4. 7 오후 3:30:00</t>
  </si>
  <si>
    <t>2020. 4. 8 오후 4:00:00</t>
  </si>
  <si>
    <t>2020. 4. 8 오후 3:30:00</t>
  </si>
  <si>
    <t>2020. 4. 9 오후 4:00:00</t>
  </si>
  <si>
    <t>2020. 4. 9 오후 3:30:00</t>
  </si>
  <si>
    <t>2020. 4. 10 오후 4:00:00</t>
  </si>
  <si>
    <t>2020. 4. 10 오후 3:30:00</t>
  </si>
  <si>
    <t>2020. 4. 11 오후 4:00:00</t>
  </si>
  <si>
    <t>2020. 4. 11 오후 3:30:00</t>
  </si>
  <si>
    <t>2020. 4. 12 오후 4:00:00</t>
  </si>
  <si>
    <t>2020. 4. 12 오후 3:30:00</t>
  </si>
  <si>
    <t>2020. 4. 13 오후 4:00:00</t>
  </si>
  <si>
    <t>2020. 4. 13 오후 3:30:00</t>
  </si>
  <si>
    <t>2020. 4. 14 오후 4:00:00</t>
  </si>
  <si>
    <t>2020. 4. 14 오후 3:30:00</t>
  </si>
  <si>
    <t>2020. 4. 15 오후 4:00:00</t>
  </si>
  <si>
    <t>2020. 4. 15 오후 3:30:00</t>
  </si>
  <si>
    <t>2020. 4. 16 오후 4:00:00</t>
  </si>
  <si>
    <t>2020. 4. 16 오후 3:30:00</t>
  </si>
  <si>
    <t>2020. 4. 17 오후 4:00:00</t>
  </si>
  <si>
    <t>2020. 4. 17 오후 3:30:00</t>
  </si>
  <si>
    <t>2020. 4. 18 오후 4:00:00</t>
  </si>
  <si>
    <t>2020. 4. 18 오후 3:30:00</t>
  </si>
  <si>
    <t>2020. 4. 19 오후 4:00:00</t>
  </si>
  <si>
    <t>2020. 4. 19 오후 3:30:00</t>
  </si>
  <si>
    <t>2020. 4. 20 오후 4:00:00</t>
  </si>
  <si>
    <t>2020. 4. 20 오후 3:30:00</t>
  </si>
  <si>
    <t>2020. 4. 21 오후 4:00:00</t>
  </si>
  <si>
    <t>2020. 4. 21 오후 3:30:00</t>
  </si>
  <si>
    <t>2020. 4. 22 오후 4:00:00</t>
  </si>
  <si>
    <t>2020. 4. 22 오후 3:30:00</t>
  </si>
  <si>
    <t>2020. 4. 23 오후 4:00:00</t>
  </si>
  <si>
    <t>2020. 4. 23 오후 3:30:00</t>
  </si>
  <si>
    <t>2020. 4. 24 오후 4:00:00</t>
  </si>
  <si>
    <t>2020. 4. 24 오후 3:30:00</t>
  </si>
  <si>
    <t>2020. 4. 25 오후 4:00:00</t>
  </si>
  <si>
    <t>2020. 4. 25 오후 3:30:00</t>
  </si>
  <si>
    <t>2020. 4. 26 오후 4:00:00</t>
  </si>
  <si>
    <t>2020. 4. 26 오후 3:30:00</t>
  </si>
  <si>
    <t>2020. 4. 27 오후 4:00:00</t>
  </si>
  <si>
    <t>2020. 4. 27 오후 3:30:00</t>
  </si>
  <si>
    <t>2020. 4. 28 오후 4:00:00</t>
  </si>
  <si>
    <t>2020. 4. 28 오후 3:30:00</t>
  </si>
  <si>
    <t>2020. 4. 29 오후 4:00:00</t>
  </si>
  <si>
    <t>2020. 4. 29 오후 3:30:00</t>
  </si>
  <si>
    <t>2020. 4. 30 오후 4:00:00</t>
  </si>
  <si>
    <t>2020. 4. 30 오후 3:30:00</t>
  </si>
  <si>
    <t>2020. 5. 1 오후 4:00:00</t>
  </si>
  <si>
    <t>2020. 5. 1 오후 3:30:00</t>
  </si>
  <si>
    <t>2020. 5. 2 오후 4:00:00</t>
  </si>
  <si>
    <t>2020. 5. 2 오후 3:30:00</t>
  </si>
  <si>
    <t>2020. 5. 3 오후 4:00:00</t>
  </si>
  <si>
    <t>2020. 5. 3 오후 3:30:00</t>
  </si>
  <si>
    <t>2020. 5. 4 오후 4:00:00</t>
  </si>
  <si>
    <t>2020. 5. 4 오후 3:30:00</t>
  </si>
  <si>
    <t>2020. 5. 5 오후 4:00:00</t>
  </si>
  <si>
    <t>2020. 5. 5 오후 3:30:00</t>
  </si>
  <si>
    <t>2020. 5. 6 오후 4:00:00</t>
  </si>
  <si>
    <t>2020. 5. 6 오후 3:30:00</t>
  </si>
  <si>
    <t>2020. 5. 7 오후 4:00:00</t>
  </si>
  <si>
    <t>2020. 5. 7 오후 3:30:00</t>
  </si>
  <si>
    <t>2020. 5. 8 오후 4:00:00</t>
  </si>
  <si>
    <t>2020. 5. 8 오후 3:30:00</t>
  </si>
  <si>
    <t>2020. 5. 9 오후 4:00:00</t>
  </si>
  <si>
    <t>2020. 5. 9 오후 3:30:00</t>
  </si>
  <si>
    <t>2020. 5. 10 오후 4:00:00</t>
  </si>
  <si>
    <t>2020. 5. 10 오후 3:30:00</t>
  </si>
  <si>
    <t>2020. 5. 11 오후 4:00:00</t>
  </si>
  <si>
    <t>2020. 5. 11 오후 3:30:00</t>
  </si>
  <si>
    <t>2020. 5. 12 오후 4:00:00</t>
  </si>
  <si>
    <t>2020. 5. 12 오후 3:30:00</t>
  </si>
  <si>
    <t>2020. 5. 13 오후 4:00:00</t>
  </si>
  <si>
    <t>2020. 5. 13 오후 3:30:00</t>
  </si>
  <si>
    <t>2020. 5. 14 오후 4:00:00</t>
  </si>
  <si>
    <t>2020. 5. 14 오후 3:30:00</t>
  </si>
  <si>
    <t>2020. 5. 15 오후 4:00:00</t>
  </si>
  <si>
    <t>2020. 5. 15 오후 3:30:00</t>
  </si>
  <si>
    <t>2020. 5. 16 오후 4:00:00</t>
  </si>
  <si>
    <t>2020. 5. 16 오후 3:30:00</t>
  </si>
  <si>
    <t>2020. 5. 17 오후 4:00:00</t>
  </si>
  <si>
    <t>2020. 5. 17 오후 3:30:00</t>
  </si>
  <si>
    <t>2020. 5. 18 오후 4:00:00</t>
  </si>
  <si>
    <t>2020. 5. 18 오후 3:30:00</t>
  </si>
  <si>
    <t>2020. 5. 19 오후 4:00:00</t>
  </si>
  <si>
    <t>2020. 5. 19 오후 3:30:00</t>
  </si>
  <si>
    <t>2020. 5. 20 오후 4:00:00</t>
  </si>
  <si>
    <t>2020. 5. 20 오후 3:30:00</t>
  </si>
  <si>
    <t>2020. 5. 21 오후 4:00:00</t>
  </si>
  <si>
    <t>2020. 5. 21 오후 3:30:00</t>
  </si>
  <si>
    <t>2020. 5. 22 오후 4:00:00</t>
  </si>
  <si>
    <t>2020. 5. 22 오후 3:30:00</t>
  </si>
  <si>
    <t>2020. 5. 23 오후 4:00:00</t>
  </si>
  <si>
    <t>2020. 5. 23 오후 3:30:00</t>
  </si>
  <si>
    <t>2020. 5. 24 오후 4:00:00</t>
  </si>
  <si>
    <t>2020. 5. 24 오후 3:30:00</t>
  </si>
  <si>
    <t>2020. 5. 25 오후 4:00:00</t>
  </si>
  <si>
    <t>2020. 5. 25 오후 3:30:00</t>
  </si>
  <si>
    <t>2020. 5. 26 오후 4:00:00</t>
  </si>
  <si>
    <t>2020. 5. 26 오후 3:30:00</t>
  </si>
  <si>
    <t>2020. 5. 27 오후 4:00:00</t>
  </si>
  <si>
    <t>2020. 5. 27 오후 3:30:00</t>
  </si>
  <si>
    <t>2020. 5. 28 오후 4:00:00</t>
  </si>
  <si>
    <t>2020. 5. 28 오후 3:30:00</t>
  </si>
  <si>
    <t>2020. 5. 29 오후 4:00:00</t>
  </si>
  <si>
    <t>2020. 5. 29 오후 3:30:00</t>
  </si>
  <si>
    <t>2020. 5. 30 오후 4:00:00</t>
  </si>
  <si>
    <t>2020. 5. 30 오후 3:30:00</t>
  </si>
  <si>
    <t>2020. 5. 31 오후 4:00:00</t>
  </si>
  <si>
    <t>2020. 5. 31 오후 3:30:00</t>
  </si>
  <si>
    <t>2020. 6. 1 오후 4:00:00</t>
  </si>
  <si>
    <t>2020. 6. 1 오후 3:30:00</t>
  </si>
  <si>
    <t>2020. 6. 2 오후 4:00:00</t>
  </si>
  <si>
    <t>2020. 6. 2 오후 3:30:00</t>
  </si>
  <si>
    <t>2020. 6. 3 오후 4:00:00</t>
  </si>
  <si>
    <t>2020. 6. 3 오후 3:30:00</t>
  </si>
  <si>
    <t>2020. 6. 4 오후 4:00:00</t>
  </si>
  <si>
    <t>2020. 6. 4 오후 3:30:00</t>
  </si>
  <si>
    <t>2020. 6. 5 오후 4:00:00</t>
  </si>
  <si>
    <t>2020. 6. 5 오후 3:30:00</t>
  </si>
  <si>
    <t>2020. 6. 6 오후 4:00:00</t>
  </si>
  <si>
    <t>2020. 6. 6 오후 3:30:00</t>
  </si>
  <si>
    <t>2020. 6. 7 오후 4:00:00</t>
  </si>
  <si>
    <t>2020. 6. 7 오후 3:30:00</t>
  </si>
  <si>
    <t>2020. 6. 8 오후 4:00:00</t>
  </si>
  <si>
    <t>2020. 6. 8 오후 3:30:00</t>
  </si>
  <si>
    <t>2020. 6. 9 오후 4:00:00</t>
  </si>
  <si>
    <t>2020. 6. 9 오후 3:30:00</t>
  </si>
  <si>
    <t>2020. 6. 10 오후 4:00:00</t>
  </si>
  <si>
    <t>2020. 6. 10 오후 3:30:00</t>
  </si>
  <si>
    <t>2020. 6. 11 오후 4:00:00</t>
  </si>
  <si>
    <t>2020. 6. 11 오후 3:30:00</t>
  </si>
  <si>
    <t>2020. 6. 12 오후 4:00:00</t>
  </si>
  <si>
    <t>2020. 6. 12 오후 3:30:00</t>
  </si>
  <si>
    <t>2020. 6. 13 오후 4:00:00</t>
  </si>
  <si>
    <t>2020. 6. 13 오후 3:30:00</t>
  </si>
  <si>
    <t>2020. 6. 14 오후 4:00:00</t>
  </si>
  <si>
    <t>2020. 6. 14 오후 3:30:00</t>
  </si>
  <si>
    <t>2020. 6. 15 오후 4:00:00</t>
  </si>
  <si>
    <t>2020. 6. 15 오후 3:30:00</t>
  </si>
  <si>
    <t>2020. 6. 16 오후 4:00:00</t>
  </si>
  <si>
    <t>2020. 6. 16 오후 3:30:00</t>
  </si>
  <si>
    <t>2020. 6. 17 오후 4:00:00</t>
  </si>
  <si>
    <t>2020. 6. 17 오후 3:30:00</t>
  </si>
  <si>
    <t>2020. 6. 18 오후 4:00:00</t>
  </si>
  <si>
    <t>2020. 6. 18 오후 3:30:00</t>
  </si>
  <si>
    <t>2020. 6. 19 오후 4:00:00</t>
  </si>
  <si>
    <t>2020. 6. 19 오후 3:30:00</t>
  </si>
  <si>
    <t>2020. 6. 20 오후 4:00:00</t>
  </si>
  <si>
    <t>2020. 6. 20 오후 3:30:00</t>
  </si>
  <si>
    <t>2020. 6. 21 오후 4:00:00</t>
  </si>
  <si>
    <t>2020. 6. 21 오후 3:30:00</t>
  </si>
  <si>
    <t>2020. 6. 22 오후 4:00:00</t>
  </si>
  <si>
    <t>2020. 6. 22 오후 3:30:00</t>
  </si>
  <si>
    <t>2020. 6. 23 오후 4:00:00</t>
  </si>
  <si>
    <t>2020. 6. 23 오후 3:30:00</t>
  </si>
  <si>
    <t>2020. 6. 24 오후 4:00:00</t>
  </si>
  <si>
    <t>2020. 6. 24 오후 3:30:00</t>
  </si>
  <si>
    <t>2020. 6. 25 오후 4:00:00</t>
  </si>
  <si>
    <t>2020. 6. 25 오후 3:30:00</t>
  </si>
  <si>
    <t>2020. 6. 26 오후 4:00:00</t>
  </si>
  <si>
    <t>2020. 6. 26 오후 3:30:00</t>
  </si>
  <si>
    <t>2020. 6. 27 오후 4:00:00</t>
  </si>
  <si>
    <t>2020. 6. 27 오후 3:30:00</t>
  </si>
  <si>
    <t>2020. 6. 28 오후 4:00:00</t>
  </si>
  <si>
    <t>2020. 6. 28 오후 3:30:00</t>
  </si>
  <si>
    <t>2020. 6. 29 오후 4:00:00</t>
  </si>
  <si>
    <t>2020. 6. 29 오후 3:30:00</t>
  </si>
  <si>
    <t>2020. 6. 30 오후 4:00:00</t>
  </si>
  <si>
    <t>2020. 6. 30 오후 3:30:00</t>
  </si>
  <si>
    <t>2020. 7. 1 오후 4:00:00</t>
  </si>
  <si>
    <t>2020. 7. 1 오후 3:30:00</t>
  </si>
  <si>
    <t>2020. 7. 2 오후 4:00:00</t>
  </si>
  <si>
    <t>2020. 7. 2 오후 3:30:00</t>
  </si>
  <si>
    <t>2020. 7. 3 오후 4:00:00</t>
  </si>
  <si>
    <t>2020. 7. 3 오후 3:30:00</t>
  </si>
  <si>
    <t>2020. 7. 4 오후 4:00:00</t>
  </si>
  <si>
    <t>2020. 7. 4 오후 3:30:00</t>
  </si>
  <si>
    <t>2020. 7. 5 오후 4:00:00</t>
  </si>
  <si>
    <t>2020. 7. 5 오후 3:30:00</t>
  </si>
  <si>
    <t>2020. 7. 6 오후 4:00:00</t>
  </si>
  <si>
    <t>2020. 7. 6 오후 3:30:00</t>
  </si>
  <si>
    <t>2020. 7. 7 오후 4:00:00</t>
  </si>
  <si>
    <t>2020. 7. 7 오후 3:30:00</t>
  </si>
  <si>
    <t>2020. 7. 8 오후 4:00:00</t>
  </si>
  <si>
    <t>2020. 7. 8 오후 3:30:00</t>
  </si>
  <si>
    <t>2020. 7. 9 오후 4:00:00</t>
  </si>
  <si>
    <t>2020. 7. 9 오후 3:30:00</t>
  </si>
  <si>
    <t>2020. 7. 10 오후 4:00:00</t>
  </si>
  <si>
    <t>2020. 7. 10 오후 3:30:00</t>
  </si>
  <si>
    <t>2020. 7. 11 오후 4:00:00</t>
  </si>
  <si>
    <t>2020. 7. 11 오후 3:30:00</t>
  </si>
  <si>
    <t>2020. 7. 12 오후 4:00:00</t>
  </si>
  <si>
    <t>2020. 7. 12 오후 3:30:00</t>
  </si>
  <si>
    <t>2020. 7. 13 오후 4:00:00</t>
  </si>
  <si>
    <t>2020. 7. 13 오후 3:30:00</t>
  </si>
  <si>
    <t>2020. 7. 14 오후 4:00:00</t>
  </si>
  <si>
    <t>2020. 7. 14 오후 3:30:00</t>
  </si>
  <si>
    <t>2020. 7. 15 오후 4:00:00</t>
  </si>
  <si>
    <t>2020. 7. 15 오후 3:30:00</t>
  </si>
  <si>
    <t>2020. 7. 16 오후 4:00:00</t>
  </si>
  <si>
    <t>2020. 7. 16 오후 3:30:00</t>
  </si>
  <si>
    <t>2020. 7. 17 오후 4:00:00</t>
  </si>
  <si>
    <t>2020. 7. 17 오후 3:30:00</t>
  </si>
  <si>
    <t>2020. 7. 18 오후 4:00:00</t>
  </si>
  <si>
    <t>2020. 7. 18 오후 3:30:00</t>
  </si>
  <si>
    <t>2020. 7. 19 오후 4:00:00</t>
  </si>
  <si>
    <t>2020. 7. 19 오후 3:30:00</t>
  </si>
  <si>
    <t>2020. 7. 20 오후 4:00:00</t>
  </si>
  <si>
    <t>2020. 7. 20 오후 3:30:00</t>
  </si>
  <si>
    <t>2020. 7. 21 오후 4:00:00</t>
  </si>
  <si>
    <t>2020. 7. 21 오후 3:30:00</t>
  </si>
  <si>
    <t>2020. 7. 22 오후 4:00:00</t>
  </si>
  <si>
    <t>2020. 7. 22 오후 3:30:00</t>
  </si>
  <si>
    <t>2020. 7. 23 오후 4:00:00</t>
  </si>
  <si>
    <t>2020. 7. 23 오후 3:30:00</t>
  </si>
  <si>
    <t>2020. 7. 24 오후 4:00:00</t>
  </si>
  <si>
    <t>2020. 7. 24 오후 3:30:00</t>
  </si>
  <si>
    <t>2020. 7. 25 오후 4:00:00</t>
  </si>
  <si>
    <t>2020. 7. 25 오후 3:30:00</t>
  </si>
  <si>
    <t>2020. 7. 26 오후 4:00:00</t>
  </si>
  <si>
    <t>2020. 7. 26 오후 3:30:00</t>
  </si>
  <si>
    <t>2020. 7. 27 오후 4:00:00</t>
  </si>
  <si>
    <t>2020. 7. 27 오후 3:30:00</t>
  </si>
  <si>
    <t>2020. 7. 28 오후 4:00:00</t>
  </si>
  <si>
    <t>2020. 7. 28 오후 3:30:00</t>
  </si>
  <si>
    <t>2020. 7. 29 오후 4:00:00</t>
  </si>
  <si>
    <t>2020. 7. 29 오후 3:30:00</t>
  </si>
  <si>
    <t>2020. 7. 30 오후 4:00:00</t>
  </si>
  <si>
    <t>2020. 7. 30 오후 3:30:00</t>
  </si>
  <si>
    <t>2020. 7. 31 오후 4:00:00</t>
  </si>
  <si>
    <t>2020. 7. 31 오후 3:30:00</t>
  </si>
  <si>
    <t>2020. 8. 1 오후 4:00:00</t>
  </si>
  <si>
    <t>2020. 8. 1 오후 3:30:00</t>
  </si>
  <si>
    <t>2020. 8. 2 오후 4:00:00</t>
  </si>
  <si>
    <t>2020. 8. 2 오후 3:30:00</t>
  </si>
  <si>
    <t>2020. 8. 3 오후 4:00:00</t>
  </si>
  <si>
    <t>2020. 8. 3 오후 3:30:00</t>
  </si>
  <si>
    <t>2020. 8. 4 오후 4:00:00</t>
  </si>
  <si>
    <t>2020. 8. 4 오후 3:30:00</t>
  </si>
  <si>
    <t>2020. 8. 5 오후 4:00:00</t>
  </si>
  <si>
    <t>2020. 8. 5 오후 3:30:00</t>
  </si>
  <si>
    <t>2020. 8. 6 오후 4:00:00</t>
  </si>
  <si>
    <t>2020. 8. 6 오후 3:30:00</t>
  </si>
  <si>
    <t>2020. 8. 7 오후 4:00:00</t>
  </si>
  <si>
    <t>2020. 8. 7 오후 3:30:00</t>
  </si>
  <si>
    <t>2020. 8. 8 오후 4:00:00</t>
  </si>
  <si>
    <t>2020. 8. 8 오후 3:30:00</t>
  </si>
  <si>
    <t>2020. 8. 9 오후 4:00:00</t>
  </si>
  <si>
    <t>2020. 8. 9 오후 3:30:00</t>
  </si>
  <si>
    <t>2020. 8. 10 오후 4:00:00</t>
  </si>
  <si>
    <t>2020. 8. 10 오후 3:30:00</t>
  </si>
  <si>
    <t>2020. 8. 11 오후 4:00:00</t>
  </si>
  <si>
    <t>2020. 8. 11 오후 3:30:00</t>
  </si>
  <si>
    <t>2020. 8. 12 오후 4:00:00</t>
  </si>
  <si>
    <t>2020. 8. 12 오후 3:30:00</t>
  </si>
  <si>
    <t>2020. 8. 13 오후 4:00:00</t>
  </si>
  <si>
    <t>2020. 8. 13 오후 3:30:00</t>
  </si>
  <si>
    <t>2020. 8. 14 오후 4:00:00</t>
  </si>
  <si>
    <t>2020. 8. 14 오후 3:30:00</t>
  </si>
  <si>
    <t>2020. 8. 15 오후 4:00:00</t>
  </si>
  <si>
    <t>2020. 8. 15 오후 3:30:00</t>
  </si>
  <si>
    <t>2020. 8. 16 오후 4:00:00</t>
  </si>
  <si>
    <t>2020. 8. 16 오후 3:30:00</t>
  </si>
  <si>
    <t>2020. 8. 17 오후 4:00:00</t>
  </si>
  <si>
    <t>2020. 8. 17 오후 3:30:00</t>
  </si>
  <si>
    <t>2020. 8. 18 오후 4:00:00</t>
  </si>
  <si>
    <t>2020. 8. 18 오후 3:30:00</t>
  </si>
  <si>
    <t>2020. 8. 19 오후 4:00:00</t>
  </si>
  <si>
    <t>2020. 8. 19 오후 3:30:00</t>
  </si>
  <si>
    <t>2020. 8. 20 오후 4:00:00</t>
  </si>
  <si>
    <t>2020. 8. 20 오후 3:30:00</t>
  </si>
  <si>
    <t>2020. 8. 21 오후 4:00:00</t>
  </si>
  <si>
    <t>2020. 8. 21 오후 3:30:00</t>
  </si>
  <si>
    <t>2020. 8. 22 오후 4:00:00</t>
  </si>
  <si>
    <t>2020. 8. 22 오후 3:30:00</t>
  </si>
  <si>
    <t>2020. 8. 23 오후 4:00:00</t>
  </si>
  <si>
    <t>2020. 8. 23 오후 3:30:00</t>
  </si>
  <si>
    <t>2020. 8. 24 오후 4:00:00</t>
  </si>
  <si>
    <t>2020. 8. 24 오후 3:30:00</t>
  </si>
  <si>
    <t>2020. 8. 25 오후 4:00:00</t>
  </si>
  <si>
    <t>2020. 8. 25 오후 3:30:00</t>
  </si>
  <si>
    <t>2020. 8. 26 오후 4:00:00</t>
  </si>
  <si>
    <t>2020. 8. 26 오후 3:30:00</t>
  </si>
  <si>
    <t>2020. 8. 27 오후 4:00:00</t>
  </si>
  <si>
    <t>2020. 8. 27 오후 3:30:00</t>
  </si>
  <si>
    <t>2020. 8. 28 오후 4:00:00</t>
  </si>
  <si>
    <t>2020. 8. 28 오후 3:30:00</t>
  </si>
  <si>
    <t>2020. 8. 29 오후 4:00:00</t>
  </si>
  <si>
    <t>2020. 8. 29 오후 3:30:00</t>
  </si>
  <si>
    <t>2020. 8. 30 오후 4:00:00</t>
  </si>
  <si>
    <t>2020. 8. 30 오후 3:30:00</t>
  </si>
  <si>
    <t>2020. 8. 31 오후 4:00:00</t>
  </si>
  <si>
    <t>2020. 8. 31 오후 3:30:00</t>
  </si>
  <si>
    <t>2020. 9. 1 오후 4:00:00</t>
  </si>
  <si>
    <t>2020. 9. 1 오후 3:30:00</t>
  </si>
  <si>
    <t>2020. 9. 2 오후 4:00:00</t>
  </si>
  <si>
    <t>2020. 9. 2 오후 3:30:00</t>
  </si>
  <si>
    <t>2020. 9. 3 오후 4:00:00</t>
  </si>
  <si>
    <t>2020. 9. 3 오후 3:30:00</t>
  </si>
  <si>
    <t>2020. 9. 4 오후 4:00:00</t>
  </si>
  <si>
    <t>2020. 9. 4 오후 3:30:00</t>
  </si>
  <si>
    <t>2020. 9. 5 오후 4:00:00</t>
  </si>
  <si>
    <t>2020. 9. 5 오후 3:30:00</t>
  </si>
  <si>
    <t>2020. 9. 6 오후 4:00:00</t>
  </si>
  <si>
    <t>2020. 9. 6 오후 3:30:00</t>
  </si>
  <si>
    <t>2020. 9. 7 오후 4:00:00</t>
  </si>
  <si>
    <t>2020. 9. 7 오후 3:30:00</t>
  </si>
  <si>
    <t>2020. 9. 8 오후 4:00:00</t>
  </si>
  <si>
    <t>2020. 9. 8 오후 3:30:00</t>
  </si>
  <si>
    <t>2020. 9. 9 오후 4:00:00</t>
  </si>
  <si>
    <t>2020. 9. 9 오후 3:30:00</t>
  </si>
  <si>
    <t>2020. 9. 10 오후 4:00:00</t>
  </si>
  <si>
    <t>2020. 9. 10 오후 3:30:00</t>
  </si>
  <si>
    <t>2020. 9. 11 오후 4:00:00</t>
  </si>
  <si>
    <t>2020. 9. 11 오후 3:30:00</t>
  </si>
  <si>
    <t>2020. 9. 12 오후 4:00:00</t>
  </si>
  <si>
    <t>2020. 9. 12 오후 3:30:00</t>
  </si>
  <si>
    <t>2020. 9. 13 오후 4:00:00</t>
  </si>
  <si>
    <t>2020. 9. 13 오후 3:30:00</t>
  </si>
  <si>
    <t>2020. 9. 14 오후 4:00:00</t>
  </si>
  <si>
    <t>2020. 9. 14 오후 3:30:00</t>
  </si>
  <si>
    <t>2020. 9. 15 오후 4:00:00</t>
  </si>
  <si>
    <t>2020. 9. 15 오후 3:30:00</t>
  </si>
  <si>
    <t>2020. 9. 16 오후 4:00:00</t>
  </si>
  <si>
    <t>2020. 9. 16 오후 3:30:00</t>
  </si>
  <si>
    <t>2020. 9. 17 오후 4:00:00</t>
  </si>
  <si>
    <t>2020. 9. 17 오후 3:30:00</t>
  </si>
  <si>
    <t>2020. 9. 18 오후 4:00:00</t>
  </si>
  <si>
    <t>2020. 9. 18 오후 3:30:00</t>
  </si>
  <si>
    <t>2020. 9. 19 오후 4:00:00</t>
  </si>
  <si>
    <t>2020. 9. 19 오후 3:30:00</t>
  </si>
  <si>
    <t>2020. 9. 20 오후 4:00:00</t>
  </si>
  <si>
    <t>2020. 9. 20 오후 3:30:00</t>
  </si>
  <si>
    <t>2020. 9. 21 오후 4:00:00</t>
  </si>
  <si>
    <t>2020. 9. 21 오후 3:30:00</t>
  </si>
  <si>
    <t>2020. 9. 22 오후 4:00:00</t>
  </si>
  <si>
    <t>2020. 9. 22 오후 3:30:00</t>
  </si>
  <si>
    <t>2020. 9. 23 오후 4:00:00</t>
  </si>
  <si>
    <t>2020. 9. 23 오후 3:30:00</t>
  </si>
  <si>
    <t>2020. 9. 24 오후 4:00:00</t>
  </si>
  <si>
    <t>2020. 9. 24 오후 3:30:00</t>
  </si>
  <si>
    <t>2020. 9. 25 오후 4:00:00</t>
  </si>
  <si>
    <t>2020. 9. 25 오후 3:30:00</t>
  </si>
  <si>
    <t>2020. 9. 26 오후 4:00:00</t>
  </si>
  <si>
    <t>2020. 9. 26 오후 3:30:00</t>
  </si>
  <si>
    <t>2020. 9. 27 오후 4:00:00</t>
  </si>
  <si>
    <t>2020. 9. 27 오후 3:30:00</t>
  </si>
  <si>
    <t>2020. 9. 28 오후 4:00:00</t>
  </si>
  <si>
    <t>2020. 9. 28 오후 3:30:00</t>
  </si>
  <si>
    <t>2020. 9. 29 오후 4:00:00</t>
  </si>
  <si>
    <t>2020. 9. 29 오후 3:30:00</t>
  </si>
  <si>
    <t>2020. 9. 30 오후 4:00:00</t>
  </si>
  <si>
    <t>2020. 9. 30 오후 3:30:00</t>
  </si>
  <si>
    <t>2020. 10. 1 오후 4:00:00</t>
  </si>
  <si>
    <t>2020. 10. 1 오후 3:30:00</t>
  </si>
  <si>
    <t>2020. 10. 2 오후 4:00:00</t>
  </si>
  <si>
    <t>2020. 10. 2 오후 3:30:00</t>
  </si>
  <si>
    <t>2020. 10. 3 오후 4:00:00</t>
  </si>
  <si>
    <t>2020. 10. 3 오후 3:30:00</t>
  </si>
  <si>
    <t>2020. 10. 4 오후 4:00:00</t>
  </si>
  <si>
    <t>2020. 10. 4 오후 3:30:00</t>
  </si>
  <si>
    <t>2020. 10. 5 오후 4:00:00</t>
  </si>
  <si>
    <t>2020. 10. 5 오후 3:30:00</t>
  </si>
  <si>
    <t>2020. 10. 6 오후 4:00:00</t>
  </si>
  <si>
    <t>2020. 10. 6 오후 3:30:00</t>
  </si>
  <si>
    <t>2020. 10. 7 오후 4:00:00</t>
  </si>
  <si>
    <t>2020. 10. 7 오후 3:30:00</t>
  </si>
  <si>
    <t>2020. 10. 8 오후 4:00:00</t>
  </si>
  <si>
    <t>2020. 10. 8 오후 3:30:00</t>
  </si>
  <si>
    <t>2020. 10. 9 오후 4:00:00</t>
  </si>
  <si>
    <t>2020. 10. 9 오후 3:30:00</t>
  </si>
  <si>
    <t>2020. 10. 10 오후 4:00:00</t>
  </si>
  <si>
    <t>2020. 10. 10 오후 3:30:00</t>
  </si>
  <si>
    <t>2020. 10. 11 오후 4:00:00</t>
  </si>
  <si>
    <t>2020. 10. 11 오후 3:30:00</t>
  </si>
  <si>
    <t>2020. 10. 12 오후 4:00:00</t>
  </si>
  <si>
    <t>2020. 10. 12 오후 3:30:00</t>
  </si>
  <si>
    <t>2020. 10. 13 오후 4:00:00</t>
  </si>
  <si>
    <t>2020. 10. 13 오후 3:30:00</t>
  </si>
  <si>
    <t>2020. 10. 14 오후 4:00:00</t>
  </si>
  <si>
    <t>2020. 10. 14 오후 3:30:00</t>
  </si>
  <si>
    <t>2020. 10. 15 오후 4:00:00</t>
  </si>
  <si>
    <t>2020. 10. 15 오후 3:30:00</t>
  </si>
  <si>
    <t>2020. 10. 16 오후 4:00:00</t>
  </si>
  <si>
    <t>2020. 10. 16 오후 3:30:00</t>
  </si>
  <si>
    <t>2020. 10. 17 오후 4:00:00</t>
  </si>
  <si>
    <t>2020. 10. 17 오후 3:30:00</t>
  </si>
  <si>
    <t>2020. 10. 18 오후 4:00:00</t>
  </si>
  <si>
    <t>2020. 10. 18 오후 3:30:00</t>
  </si>
  <si>
    <t>2020. 10. 19 오후 4:00:00</t>
  </si>
  <si>
    <t>2020. 10. 19 오후 3:30:00</t>
  </si>
  <si>
    <t>2020. 10. 20 오후 4:00:00</t>
  </si>
  <si>
    <t>2020. 10. 20 오후 3:30:00</t>
  </si>
  <si>
    <t>2020. 10. 21 오후 4:00:00</t>
  </si>
  <si>
    <t>2020. 10. 21 오후 3:30:00</t>
  </si>
  <si>
    <t>2020. 10. 22 오후 4:00:00</t>
  </si>
  <si>
    <t>2020. 10. 22 오후 3:30:00</t>
  </si>
  <si>
    <t>2020. 10. 23 오후 4:00:00</t>
  </si>
  <si>
    <t>2020. 10. 23 오후 3:30:00</t>
  </si>
  <si>
    <t>2020. 10. 24 오후 4:00:00</t>
  </si>
  <si>
    <t>2020. 10. 24 오후 3:30:00</t>
  </si>
  <si>
    <t>2020. 10. 25 오후 4:00:00</t>
  </si>
  <si>
    <t>2020. 10. 25 오후 3:30:00</t>
  </si>
  <si>
    <t>2020. 10. 26 오후 4:00:00</t>
  </si>
  <si>
    <t>2020. 10. 26 오후 3:30:00</t>
  </si>
  <si>
    <t>2020. 10. 27 오후 4:00:00</t>
  </si>
  <si>
    <t>2020. 10. 27 오후 3:30:00</t>
  </si>
  <si>
    <t>2020. 10. 28 오후 4:00:00</t>
  </si>
  <si>
    <t>2020. 10. 28 오후 3:30:00</t>
  </si>
  <si>
    <t>2020. 10. 29 오후 4:00:00</t>
  </si>
  <si>
    <t>2020. 10. 29 오후 3:30:00</t>
  </si>
  <si>
    <t>2020. 10. 30 오후 4:00:00</t>
  </si>
  <si>
    <t>2020. 10. 30 오후 3:30:00</t>
  </si>
  <si>
    <t>2020. 10. 31 오후 4:00:00</t>
  </si>
  <si>
    <t>2020. 10. 31 오후 3:30:00</t>
  </si>
  <si>
    <t>2020. 11. 1 오후 4:00:00</t>
  </si>
  <si>
    <t>2020. 11. 1 오후 3:30:00</t>
  </si>
  <si>
    <t>2020. 11. 2 오후 4:00:00</t>
  </si>
  <si>
    <t>2020. 11. 2 오후 3:30:00</t>
  </si>
  <si>
    <t>2020. 11. 3 오후 4:00:00</t>
  </si>
  <si>
    <t>2020. 11. 3 오후 3:30:00</t>
  </si>
  <si>
    <t>2020. 11. 4 오후 4:00:00</t>
  </si>
  <si>
    <t>2020. 11. 4 오후 3:30:00</t>
  </si>
  <si>
    <t>2020. 11. 5 오후 4:00:00</t>
  </si>
  <si>
    <t>2020. 11. 5 오후 3:30:00</t>
  </si>
  <si>
    <t>2020. 11. 6 오후 4:00:00</t>
  </si>
  <si>
    <t>2020. 11. 6 오후 3:30:00</t>
  </si>
  <si>
    <t>2020. 11. 7 오후 4:00:00</t>
  </si>
  <si>
    <t>2020. 11. 7 오후 3:30:00</t>
  </si>
  <si>
    <t>2020. 11. 8 오후 4:00:00</t>
  </si>
  <si>
    <t>2020. 11. 8 오후 3:30:00</t>
  </si>
  <si>
    <t>2020. 11. 9 오후 4:00:00</t>
  </si>
  <si>
    <t>2020. 11. 9 오후 3:30:00</t>
  </si>
  <si>
    <t>2020. 11. 10 오후 4:00:00</t>
  </si>
  <si>
    <t>2020. 11. 10 오후 3:30:00</t>
  </si>
  <si>
    <t>2020. 11. 11 오후 4:00:00</t>
  </si>
  <si>
    <t>2020. 11. 11 오후 3:30:00</t>
  </si>
  <si>
    <t>2020. 11. 12 오후 4:00:00</t>
  </si>
  <si>
    <t>2020. 11. 12 오후 3:30:00</t>
  </si>
  <si>
    <t>2020. 11. 13 오후 4:00:00</t>
  </si>
  <si>
    <t>2020. 11. 13 오후 3:30:00</t>
  </si>
  <si>
    <t>2020. 11. 14 오후 4:00:00</t>
  </si>
  <si>
    <t>2020. 11. 14 오후 3:30:00</t>
  </si>
  <si>
    <t>2020. 11. 15 오후 4:00:00</t>
  </si>
  <si>
    <t>2020. 11. 15 오후 3:30:00</t>
  </si>
  <si>
    <t>2020. 11. 16 오후 4:00:00</t>
  </si>
  <si>
    <t>2020. 11. 16 오후 3:30:00</t>
  </si>
  <si>
    <t>2020. 11. 17 오후 4:00:00</t>
  </si>
  <si>
    <t>2020. 11. 17 오후 3:30:00</t>
  </si>
  <si>
    <t>2020. 11. 18 오후 4:00:00</t>
  </si>
  <si>
    <t>2020. 11. 18 오후 3:30:00</t>
  </si>
  <si>
    <t>2020. 11. 19 오후 4:00:00</t>
  </si>
  <si>
    <t>2020. 11. 19 오후 3:30:00</t>
  </si>
  <si>
    <t>2020. 11. 20 오후 4:00:00</t>
  </si>
  <si>
    <t>2020. 11. 20 오후 3:30:00</t>
  </si>
  <si>
    <t>2020. 11. 21 오후 4:00:00</t>
  </si>
  <si>
    <t>2020. 11. 21 오후 3:30:00</t>
  </si>
  <si>
    <t>2020. 11. 22 오후 4:00:00</t>
  </si>
  <si>
    <t>2020. 11. 22 오후 3:30:00</t>
  </si>
  <si>
    <t>2020. 11. 23 오후 4:00:00</t>
  </si>
  <si>
    <t>2020. 11. 23 오후 3:30:00</t>
  </si>
  <si>
    <t>2020. 11. 24 오후 4:00:00</t>
  </si>
  <si>
    <t>2020. 11. 24 오후 3:30:00</t>
  </si>
  <si>
    <t>2020. 11. 25 오후 4:00:00</t>
  </si>
  <si>
    <t>2020. 11. 25 오후 3:30:00</t>
  </si>
  <si>
    <t>2020. 11. 26 오후 4:00:00</t>
  </si>
  <si>
    <t>2020. 11. 26 오후 3:30:00</t>
  </si>
  <si>
    <t>2020. 11. 27 오후 4:00:00</t>
  </si>
  <si>
    <t>2020. 11. 27 오후 3:30:00</t>
  </si>
  <si>
    <t>2020. 11. 28 오후 4:00:00</t>
  </si>
  <si>
    <t>2020. 11. 28 오후 3:30:00</t>
  </si>
  <si>
    <t>2020. 11. 29 오후 4:00:00</t>
  </si>
  <si>
    <t>2020. 11. 29 오후 3:30:00</t>
  </si>
  <si>
    <t>2020. 11. 30 오후 4:00:00</t>
  </si>
  <si>
    <t>2020. 11. 30 오후 3:30:00</t>
  </si>
  <si>
    <t>2020. 12. 1 오후 4:00:00</t>
  </si>
  <si>
    <t>2020. 12. 1 오후 3:30:00</t>
  </si>
  <si>
    <t>2020. 12. 2 오후 4:00:00</t>
  </si>
  <si>
    <t>2020. 12. 2 오후 3:30:00</t>
  </si>
  <si>
    <t>2020. 12. 3 오후 4:00:00</t>
  </si>
  <si>
    <t>2020. 12. 3 오후 3:30:00</t>
  </si>
  <si>
    <t>2020. 12. 4 오후 4:00:00</t>
  </si>
  <si>
    <t>2020. 12. 4 오후 3:30:00</t>
  </si>
  <si>
    <t>2020. 12. 5 오후 4:00:00</t>
  </si>
  <si>
    <t>2020. 12. 5 오후 3:30:00</t>
  </si>
  <si>
    <t>2020. 12. 6 오후 4:00:00</t>
  </si>
  <si>
    <t>2020. 12. 6 오후 3:30:00</t>
  </si>
  <si>
    <t>2020. 12. 7 오후 4:00:00</t>
  </si>
  <si>
    <t>2020. 12. 7 오후 3:30:00</t>
  </si>
  <si>
    <t>2020. 12. 8 오후 4:00:00</t>
  </si>
  <si>
    <t>2020. 12. 8 오후 3:30:00</t>
  </si>
  <si>
    <t>2020. 12. 9 오후 4:00:00</t>
  </si>
  <si>
    <t>2020. 12. 9 오후 3:30:00</t>
  </si>
  <si>
    <t>2020. 12. 10 오후 4:00:00</t>
  </si>
  <si>
    <t>2020. 12. 10 오후 3:30:00</t>
  </si>
  <si>
    <t>2020. 12. 11 오후 4:00:00</t>
  </si>
  <si>
    <t>2020. 12. 11 오후 3:30:00</t>
  </si>
  <si>
    <t>2020. 12. 12 오후 4:00:00</t>
  </si>
  <si>
    <t>2020. 12. 12 오후 3:30:00</t>
  </si>
  <si>
    <t>2020. 12. 13 오후 4:00:00</t>
  </si>
  <si>
    <t>2020. 12. 13 오후 3:30:00</t>
  </si>
  <si>
    <t>2020. 12. 14 오후 4:00:00</t>
  </si>
  <si>
    <t>2020. 12. 14 오후 3:30:00</t>
  </si>
  <si>
    <t>2020. 12. 15 오후 4:00:00</t>
  </si>
  <si>
    <t>2020. 12. 15 오후 3:30:00</t>
  </si>
  <si>
    <t>2020. 12. 16 오후 4:00:00</t>
  </si>
  <si>
    <t>2020. 12. 16 오후 3:30:00</t>
  </si>
  <si>
    <t>2020. 12. 17 오후 4:00:00</t>
  </si>
  <si>
    <t>2020. 12. 17 오후 3:30:00</t>
  </si>
  <si>
    <t>2020. 12. 18 오후 4:00:00</t>
  </si>
  <si>
    <t>2020. 12. 18 오후 3:30:00</t>
  </si>
  <si>
    <t>2020. 12. 19 오후 4:00:00</t>
  </si>
  <si>
    <t>2020. 12. 19 오후 3:30:00</t>
  </si>
  <si>
    <t>2020. 12. 20 오후 4:00:00</t>
  </si>
  <si>
    <t>2020. 12. 20 오후 3:30:00</t>
  </si>
  <si>
    <t>2020. 12. 21 오후 4:00:00</t>
  </si>
  <si>
    <t>2020. 12. 21 오후 3:30:00</t>
  </si>
  <si>
    <t>2020. 12. 22 오후 4:00:00</t>
  </si>
  <si>
    <t>2020. 12. 22 오후 3:30:00</t>
  </si>
  <si>
    <t>2020. 12. 23 오후 4:00:00</t>
  </si>
  <si>
    <t>2020. 12. 23 오후 3:30:00</t>
  </si>
  <si>
    <t>2020. 12. 24 오후 4:00:00</t>
  </si>
  <si>
    <t>2020. 12. 24 오후 3:30:00</t>
  </si>
  <si>
    <t>2020. 12. 25 오후 4:00:00</t>
  </si>
  <si>
    <t>2020. 12. 25 오후 3:30:00</t>
  </si>
  <si>
    <t>2020. 12. 26 오후 4:00:00</t>
  </si>
  <si>
    <t>2020. 12. 26 오후 3:30:00</t>
  </si>
  <si>
    <t>2020. 12. 27 오후 4:00:00</t>
  </si>
  <si>
    <t>2020. 12. 27 오후 3:30:00</t>
  </si>
  <si>
    <t>2020. 12. 28 오후 4:00:00</t>
  </si>
  <si>
    <t>2020. 12. 28 오후 3:30:00</t>
  </si>
  <si>
    <t>2020. 12. 29 오후 4:00:00</t>
  </si>
  <si>
    <t>2020. 12. 29 오후 3:30:00</t>
  </si>
  <si>
    <t>2020. 12. 30 오후 4:00:00</t>
  </si>
  <si>
    <t>2020. 12. 30 오후 3:30:00</t>
  </si>
  <si>
    <t>2020. 12. 31 오후 4:00:00</t>
  </si>
  <si>
    <t>2020. 12. 31 오후 3:30:00</t>
  </si>
  <si>
    <t>2021. 1. 1 오후 4:00:00</t>
  </si>
  <si>
    <t>2021. 1. 1 오후 3:30:00</t>
  </si>
  <si>
    <t>2021. 1. 2 오후 4:00:00</t>
  </si>
  <si>
    <t>2021. 1. 2 오후 3:30:00</t>
  </si>
  <si>
    <t>2021. 1. 3 오후 4:00:00</t>
  </si>
  <si>
    <t>2021. 1. 3 오후 3:30:00</t>
  </si>
  <si>
    <t>2021. 1. 4 오후 4:00:00</t>
  </si>
  <si>
    <t>2021. 1. 4 오후 3:30:00</t>
  </si>
  <si>
    <t>2021. 1. 5 오후 4:00:00</t>
  </si>
  <si>
    <t>2021. 1. 5 오후 3:30:00</t>
  </si>
  <si>
    <t>2021. 1. 6 오후 4:00:00</t>
  </si>
  <si>
    <t>2021. 1. 6 오후 3:30:00</t>
  </si>
  <si>
    <t>2021. 1. 7 오후 4:00:00</t>
  </si>
  <si>
    <t>2021. 1. 7 오후 3:30:00</t>
  </si>
  <si>
    <t>2021. 1. 8 오후 4:00:00</t>
  </si>
  <si>
    <t>2021. 1. 8 오후 3:30:00</t>
  </si>
  <si>
    <t>2021. 1. 9 오후 4:00:00</t>
  </si>
  <si>
    <t>2021. 1. 9 오후 3:30:00</t>
  </si>
  <si>
    <t>2021. 1. 10 오후 4:00:00</t>
  </si>
  <si>
    <t>2021. 1. 10 오후 3:30:00</t>
  </si>
  <si>
    <t>2021. 1. 11 오후 4:00:00</t>
  </si>
  <si>
    <t>2021. 1. 11 오후 3:30:00</t>
  </si>
  <si>
    <t>2021. 1. 12 오후 4:00:00</t>
  </si>
  <si>
    <t>2021. 1. 12 오후 3:30:00</t>
  </si>
  <si>
    <t>2021. 1. 13 오후 4:00:00</t>
  </si>
  <si>
    <t>2021. 1. 13 오후 3:30:00</t>
  </si>
  <si>
    <t>2021. 1. 14 오후 4:00:00</t>
  </si>
  <si>
    <t>2021. 1. 14 오후 3:30:00</t>
  </si>
  <si>
    <t>2021. 1. 15 오후 4:00:00</t>
  </si>
  <si>
    <t>2021. 1. 15 오후 3:30:00</t>
  </si>
  <si>
    <t>2021. 1. 16 오후 4:00:00</t>
  </si>
  <si>
    <t>2021. 1. 16 오후 3:30:00</t>
  </si>
  <si>
    <t>2021. 1. 17 오후 4:00:00</t>
  </si>
  <si>
    <t>2021. 1. 17 오후 3:30:00</t>
  </si>
  <si>
    <t>2021. 1. 18 오후 4:00:00</t>
  </si>
  <si>
    <t>2021. 1. 18 오후 3:30:00</t>
  </si>
  <si>
    <t>2021. 1. 19 오후 4:00:00</t>
  </si>
  <si>
    <t>2021. 1. 19 오후 3:30:00</t>
  </si>
  <si>
    <t>2021. 1. 20 오후 4:00:00</t>
  </si>
  <si>
    <t>2021. 1. 20 오후 3:30:00</t>
  </si>
  <si>
    <t>2021. 1. 21 오후 4:00:00</t>
  </si>
  <si>
    <t>2021. 1. 21 오후 3:30:00</t>
  </si>
  <si>
    <t>2021. 1. 22 오후 4:00:00</t>
  </si>
  <si>
    <t>2021. 1. 22 오후 3:30:00</t>
  </si>
  <si>
    <t>2021. 1. 23 오후 4:00:00</t>
  </si>
  <si>
    <t>2021. 1. 23 오후 3:30:00</t>
  </si>
  <si>
    <t>2021. 1. 24 오후 4:00:00</t>
  </si>
  <si>
    <t>2021. 1. 24 오후 3:30:00</t>
  </si>
  <si>
    <t>2021. 1. 25 오후 4:00:00</t>
  </si>
  <si>
    <t>2021. 1. 25 오후 3:30:00</t>
  </si>
  <si>
    <t>2021. 1. 26 오후 4:00:00</t>
  </si>
  <si>
    <t>2021. 1. 26 오후 3:30:00</t>
  </si>
  <si>
    <t>2021. 1. 27 오후 4:00:00</t>
  </si>
  <si>
    <t>2021. 1. 27 오후 3:30:00</t>
  </si>
  <si>
    <t>2021. 1. 28 오후 4:00:00</t>
  </si>
  <si>
    <t>2021. 1. 28 오후 3:30:00</t>
  </si>
  <si>
    <t>2021. 1. 29 오후 4:00:00</t>
  </si>
  <si>
    <t>2021. 1. 29 오후 3:30:00</t>
  </si>
  <si>
    <t>2021. 1. 30 오후 4:00:00</t>
  </si>
  <si>
    <t>2021. 1. 30 오후 3:30:00</t>
  </si>
  <si>
    <t>2021. 1. 31 오후 4:00:00</t>
  </si>
  <si>
    <t>2021. 1. 31 오후 3:30:00</t>
  </si>
  <si>
    <t>2021. 2. 1 오후 4:00:00</t>
  </si>
  <si>
    <t>2021. 2. 1 오후 3:30:00</t>
  </si>
  <si>
    <t>2021. 2. 2 오후 4:00:00</t>
  </si>
  <si>
    <t>2021. 2. 2 오후 3:30:00</t>
  </si>
  <si>
    <t>2021. 2. 3 오후 4:00:00</t>
  </si>
  <si>
    <t>2021. 2. 3 오후 3:30:00</t>
  </si>
  <si>
    <t>2021. 2. 4 오후 4:00:00</t>
  </si>
  <si>
    <t>2021. 2. 4 오후 3:30:00</t>
  </si>
  <si>
    <t>2021. 2. 5 오후 4:00:00</t>
  </si>
  <si>
    <t>2021. 2. 5 오후 3:30:00</t>
  </si>
  <si>
    <t>2021. 2. 6 오후 4:00:00</t>
  </si>
  <si>
    <t>2021. 2. 6 오후 3:30:00</t>
  </si>
  <si>
    <t>2021. 2. 7 오후 4:00:00</t>
  </si>
  <si>
    <t>2021. 2. 7 오후 3:30:00</t>
  </si>
  <si>
    <t>2021. 2. 8 오후 4:00:00</t>
  </si>
  <si>
    <t>2021. 2. 8 오후 3:30:00</t>
  </si>
  <si>
    <t>2021. 2. 9 오후 4:00:00</t>
  </si>
  <si>
    <t>2021. 2. 9 오후 3:30:00</t>
  </si>
  <si>
    <t>2021. 2. 10 오후 4:00:00</t>
  </si>
  <si>
    <t>2021. 2. 10 오후 3:30:00</t>
  </si>
  <si>
    <t>2021. 2. 11 오후 4:00:00</t>
  </si>
  <si>
    <t>2021. 2. 11 오후 3:30:00</t>
  </si>
  <si>
    <t>2021. 2. 12 오후 4:00:00</t>
  </si>
  <si>
    <t>2021. 2. 12 오후 3:30:00</t>
  </si>
  <si>
    <t>2021. 2. 13 오후 4:00:00</t>
  </si>
  <si>
    <t>2021. 2. 13 오후 3:30:00</t>
  </si>
  <si>
    <t>2021. 2. 14 오후 4:00:00</t>
  </si>
  <si>
    <t>2021. 2. 14 오후 3:30:00</t>
  </si>
  <si>
    <t>2021. 2. 15 오후 4:00:00</t>
  </si>
  <si>
    <t>2021. 2. 15 오후 3:30:00</t>
  </si>
  <si>
    <t>2021. 2. 16 오후 4:00:00</t>
  </si>
  <si>
    <t>2021. 2. 16 오후 3:30:00</t>
  </si>
  <si>
    <t>2021. 2. 17 오후 4:00:00</t>
  </si>
  <si>
    <t>2021. 2. 17 오후 3:30:00</t>
  </si>
  <si>
    <t>2021. 2. 18 오후 4:00:00</t>
  </si>
  <si>
    <t>2021. 2. 18 오후 3:30:00</t>
  </si>
  <si>
    <t>2021. 2. 19 오후 4:00:00</t>
  </si>
  <si>
    <t>2021. 2. 19 오후 3:30:00</t>
  </si>
  <si>
    <t>2021. 2. 20 오후 4:00:00</t>
  </si>
  <si>
    <t>2021. 2. 20 오후 3:30:00</t>
  </si>
  <si>
    <t>2021. 2. 21 오후 4:00:00</t>
  </si>
  <si>
    <t>2021. 2. 21 오후 3:30:00</t>
  </si>
  <si>
    <t>2021. 2. 22 오후 4:00:00</t>
  </si>
  <si>
    <t>2021. 2. 22 오후 3:30:00</t>
  </si>
  <si>
    <t>2021. 2. 23 오후 4:00:00</t>
  </si>
  <si>
    <t>2021. 2. 23 오후 3:30:00</t>
  </si>
  <si>
    <t>2021. 2. 24 오후 4:00:00</t>
  </si>
  <si>
    <t>2021. 2. 24 오후 3:30:00</t>
  </si>
  <si>
    <t>2021. 2. 25 오후 4:00:00</t>
  </si>
  <si>
    <t>2021. 2. 25 오후 3:30:00</t>
  </si>
  <si>
    <t>2021. 2. 26 오후 4:00:00</t>
  </si>
  <si>
    <t>2021. 2. 26 오후 3:30:00</t>
  </si>
  <si>
    <t>2021. 2. 27 오후 4:00:00</t>
  </si>
  <si>
    <t>2021. 2. 27 오후 3:30:00</t>
  </si>
  <si>
    <t>2021. 2. 28 오후 4:00:00</t>
  </si>
  <si>
    <t>2021. 2. 28 오후 3:30:00</t>
  </si>
  <si>
    <t>2021. 3. 1 오후 4:00:00</t>
  </si>
  <si>
    <t>2021. 3. 1 오후 3:30:00</t>
  </si>
  <si>
    <t>2021. 3. 2 오후 4:00:00</t>
  </si>
  <si>
    <t>2021. 3. 2 오후 3:30:00</t>
  </si>
  <si>
    <t>2021. 3. 3 오후 4:00:00</t>
  </si>
  <si>
    <t>2021. 3. 3 오후 3:30:00</t>
  </si>
  <si>
    <t>2021. 3. 4 오후 4:00:00</t>
  </si>
  <si>
    <t>2021. 3. 4 오후 3:30:00</t>
  </si>
  <si>
    <t>2021. 3. 5 오후 4:00:00</t>
  </si>
  <si>
    <t>2021. 3. 5 오후 3:30:00</t>
  </si>
  <si>
    <t>2021. 3. 6 오후 4:00:00</t>
  </si>
  <si>
    <t>2021. 3. 6 오후 3:30:00</t>
  </si>
  <si>
    <t>2021. 3. 7 오후 4:00:00</t>
  </si>
  <si>
    <t>2021. 3. 7 오후 3:30:00</t>
  </si>
  <si>
    <t>2021. 3. 8 오후 4:00:00</t>
  </si>
  <si>
    <t>2021. 3. 8 오후 3:30:00</t>
  </si>
  <si>
    <t>2021. 3. 9 오후 4:00:00</t>
  </si>
  <si>
    <t>2021. 3. 9 오후 3:30:00</t>
  </si>
  <si>
    <t>2021. 3. 10 오후 4:00:00</t>
  </si>
  <si>
    <t>2021. 3. 10 오후 3:30:00</t>
  </si>
  <si>
    <t>2021. 3. 11 오후 4:00:00</t>
  </si>
  <si>
    <t>2021. 3. 11 오후 3:30:00</t>
  </si>
  <si>
    <t>2021. 3. 12 오후 4:00:00</t>
  </si>
  <si>
    <t>2021. 3. 12 오후 3:30:00</t>
  </si>
  <si>
    <t>2021. 3. 13 오후 4:00:00</t>
  </si>
  <si>
    <t>2021. 3. 13 오후 3:30:00</t>
  </si>
  <si>
    <t>2021. 3. 14 오후 4:00:00</t>
  </si>
  <si>
    <t>2021. 3. 14 오후 3:30:00</t>
  </si>
  <si>
    <t>2021. 3. 15 오후 4:00:00</t>
  </si>
  <si>
    <t>2021. 3. 15 오후 3:30:00</t>
  </si>
  <si>
    <t>2021. 3. 16 오후 4:00:00</t>
  </si>
  <si>
    <t>2021. 3. 16 오후 3:30:00</t>
  </si>
  <si>
    <t>2021. 3. 17 오후 4:00:00</t>
  </si>
  <si>
    <t>2021. 3. 17 오후 3:30:00</t>
  </si>
  <si>
    <t>2021. 3. 18 오후 4:00:00</t>
  </si>
  <si>
    <t>2021. 3. 18 오후 3:30:00</t>
  </si>
  <si>
    <t>2021. 3. 19 오후 4:00:00</t>
  </si>
  <si>
    <t>2021. 3. 19 오후 3:30:00</t>
  </si>
  <si>
    <t>2021. 3. 20 오후 4:00:00</t>
  </si>
  <si>
    <t>2021. 3. 20 오후 3:30:00</t>
  </si>
  <si>
    <t>2021. 3. 21 오후 4:00:00</t>
  </si>
  <si>
    <t>2021. 3. 21 오후 3:30:00</t>
  </si>
  <si>
    <t>2021. 3. 22 오후 4:00:00</t>
  </si>
  <si>
    <t>2021. 3. 22 오후 3:30:00</t>
  </si>
  <si>
    <t>2021. 3. 23 오후 4:00:00</t>
  </si>
  <si>
    <t>2021. 3. 23 오후 3:30:00</t>
  </si>
  <si>
    <t>2021. 3. 24 오후 4:00:00</t>
  </si>
  <si>
    <t>2021. 3. 24 오후 3:30:00</t>
  </si>
  <si>
    <t>2021. 3. 25 오후 4:00:00</t>
  </si>
  <si>
    <t>2021. 3. 25 오후 3:30:00</t>
  </si>
  <si>
    <t>2021. 3. 26 오후 4:00:00</t>
  </si>
  <si>
    <t>2021. 3. 26 오후 3:30:00</t>
  </si>
  <si>
    <t>2021. 3. 27 오후 4:00:00</t>
  </si>
  <si>
    <t>2021. 3. 27 오후 3:30:00</t>
  </si>
  <si>
    <t>2021. 3. 28 오후 4:00:00</t>
  </si>
  <si>
    <t>2021. 3. 28 오후 3:30:00</t>
  </si>
  <si>
    <t>2021. 3. 29 오후 4:00:00</t>
  </si>
  <si>
    <t>2021. 3. 29 오후 3:30:00</t>
  </si>
  <si>
    <t>2021. 3. 30 오후 4:00:00</t>
  </si>
  <si>
    <t>2021. 3. 30 오후 3:30:00</t>
  </si>
  <si>
    <t>2021. 3. 31 오후 4:00:00</t>
  </si>
  <si>
    <t>2021. 3. 31 오후 3:30:00</t>
  </si>
  <si>
    <t>2021. 4. 1 오후 4:00:00</t>
  </si>
  <si>
    <t>2021. 4. 1 오후 3:30:00</t>
  </si>
  <si>
    <t>2021. 4. 2 오후 4:00:00</t>
  </si>
  <si>
    <t>2021. 4. 2 오후 3:30:00</t>
  </si>
  <si>
    <t>2021. 4. 3 오후 4:00:00</t>
  </si>
  <si>
    <t>2021. 4. 3 오후 3:30:00</t>
  </si>
  <si>
    <t>2021. 4. 4 오후 4:00:00</t>
  </si>
  <si>
    <t>2021. 4. 4 오후 3:30:00</t>
  </si>
  <si>
    <t>2021. 4. 5 오후 4:00:00</t>
  </si>
  <si>
    <t>2021. 4. 5 오후 3:30:00</t>
  </si>
  <si>
    <t>2021. 4. 6 오후 4:00:00</t>
  </si>
  <si>
    <t>2021. 4. 6 오후 3:30:00</t>
  </si>
  <si>
    <t>2021. 4. 7 오후 4:00:00</t>
  </si>
  <si>
    <t>2021. 4. 7 오후 3:30:00</t>
  </si>
  <si>
    <t>2021. 4. 8 오후 4:00:00</t>
  </si>
  <si>
    <t>2021. 4. 8 오후 3:30:00</t>
  </si>
  <si>
    <t>2021. 4. 9 오후 4:00:00</t>
  </si>
  <si>
    <t>2021. 4. 9 오후 3:30:00</t>
  </si>
  <si>
    <t>2021. 4. 10 오후 4:00:00</t>
  </si>
  <si>
    <t>2021. 4. 10 오후 3:30:00</t>
  </si>
  <si>
    <t>2021. 4. 11 오후 4:00:00</t>
  </si>
  <si>
    <t>2021. 4. 11 오후 3:30:00</t>
  </si>
  <si>
    <t>2021. 4. 12 오후 4:00:00</t>
  </si>
  <si>
    <t>2021. 4. 12 오후 3:30:00</t>
  </si>
  <si>
    <t>2021. 4. 13 오후 4:00:00</t>
  </si>
  <si>
    <t>2021. 4. 13 오후 3:30:00</t>
  </si>
  <si>
    <t>2021. 4. 14 오후 4:00:00</t>
  </si>
  <si>
    <t>2021. 4. 14 오후 3:30:00</t>
  </si>
  <si>
    <t>2021. 4. 15 오후 4:00:00</t>
  </si>
  <si>
    <t>2021. 4. 15 오후 3:30:00</t>
  </si>
  <si>
    <t>2021. 4. 16 오후 4:00:00</t>
  </si>
  <si>
    <t>2021. 4. 16 오후 3:30:00</t>
  </si>
  <si>
    <t>2021. 4. 17 오후 4:00:00</t>
  </si>
  <si>
    <t>2021. 4. 17 오후 3:30:00</t>
  </si>
  <si>
    <t>2021. 4. 18 오후 4:00:00</t>
  </si>
  <si>
    <t>2021. 4. 18 오후 3:30:00</t>
  </si>
  <si>
    <t>2021. 4. 19 오후 4:00:00</t>
  </si>
  <si>
    <t>2021. 4. 19 오후 3:30:00</t>
  </si>
  <si>
    <t>2021. 4. 20 오후 4:00:00</t>
  </si>
  <si>
    <t>2021. 4. 20 오후 3:30:00</t>
  </si>
  <si>
    <t>2021. 4. 21 오후 4:00:00</t>
  </si>
  <si>
    <t>2021. 4. 21 오후 3:30:00</t>
  </si>
  <si>
    <t>2021. 4. 22 오후 4:00:00</t>
  </si>
  <si>
    <t>2021. 4. 22 오후 3:30:00</t>
  </si>
  <si>
    <t>2021. 4. 23 오후 4:00:00</t>
  </si>
  <si>
    <t>2021. 4. 23 오후 3:30:00</t>
  </si>
  <si>
    <t>2021. 4. 24 오후 4:00:00</t>
  </si>
  <si>
    <t>2021. 4. 24 오후 3:30:00</t>
  </si>
  <si>
    <t>2021. 4. 25 오후 4:00:00</t>
  </si>
  <si>
    <t>2021. 4. 25 오후 3:30:00</t>
  </si>
  <si>
    <t>2021. 4. 26 오후 4:00:00</t>
  </si>
  <si>
    <t>2021. 4. 26 오후 3:30:00</t>
  </si>
  <si>
    <t>2021. 4. 27 오후 4:00:00</t>
  </si>
  <si>
    <t>2021. 4. 27 오후 3:30:00</t>
  </si>
  <si>
    <t>2021. 4. 28 오후 4:00:00</t>
  </si>
  <si>
    <t>2021. 4. 28 오후 3:30:00</t>
  </si>
  <si>
    <t>2021. 4. 29 오후 4:00:00</t>
  </si>
  <si>
    <t>2021. 4. 29 오후 3:30:00</t>
  </si>
  <si>
    <t>2021. 4. 30 오후 4:00:00</t>
  </si>
  <si>
    <t>2021. 4. 30 오후 3:30:00</t>
  </si>
  <si>
    <t>2021. 5. 1 오후 4:00:00</t>
  </si>
  <si>
    <t>2021. 5. 1 오후 3:30:00</t>
  </si>
  <si>
    <t>2021. 5. 2 오후 4:00:00</t>
  </si>
  <si>
    <t>2021. 5. 2 오후 3:30:00</t>
  </si>
  <si>
    <t>2021. 5. 3 오후 4:00:00</t>
  </si>
  <si>
    <t>2021. 5. 3 오후 3:30:00</t>
  </si>
  <si>
    <t>2021. 5. 4 오후 4:00:00</t>
  </si>
  <si>
    <t>2021. 5. 4 오후 3:30:00</t>
  </si>
  <si>
    <t>2021. 5. 5 오후 4:00:00</t>
  </si>
  <si>
    <t>2021. 5. 5 오후 3:30:00</t>
  </si>
  <si>
    <t>2021. 5. 6 오후 4:00:00</t>
  </si>
  <si>
    <t>2021. 5. 6 오후 3:30:00</t>
  </si>
  <si>
    <t>2021. 5. 7 오후 4:00:00</t>
  </si>
  <si>
    <t>2021. 5. 7 오후 3:30:00</t>
  </si>
  <si>
    <t>2021. 5. 8 오후 4:00:00</t>
  </si>
  <si>
    <t>2021. 5. 8 오후 3:30:00</t>
  </si>
  <si>
    <t>2021. 5. 9 오후 4:00:00</t>
  </si>
  <si>
    <t>2021. 5. 9 오후 3:30:00</t>
  </si>
  <si>
    <t>2021. 5. 10 오후 4:00:00</t>
  </si>
  <si>
    <t>2021. 5. 10 오후 3:30:00</t>
  </si>
  <si>
    <t>2021. 5. 11 오후 4:00:00</t>
  </si>
  <si>
    <t>2021. 5. 11 오후 3:30:00</t>
  </si>
  <si>
    <t>2021. 5. 12 오후 4:00:00</t>
  </si>
  <si>
    <t>2021. 5. 12 오후 3:30:00</t>
  </si>
  <si>
    <t>2021. 5. 13 오후 4:00:00</t>
  </si>
  <si>
    <t>2021. 5. 13 오후 3:30:00</t>
  </si>
  <si>
    <t>2021. 5. 14 오후 4:00:00</t>
  </si>
  <si>
    <t>2021. 5. 14 오후 3:30:00</t>
  </si>
  <si>
    <t>2021. 5. 15 오후 4:00:00</t>
  </si>
  <si>
    <t>2021. 5. 15 오후 3:30:00</t>
  </si>
  <si>
    <t>2021. 5. 16 오후 4:00:00</t>
  </si>
  <si>
    <t>2021. 5. 16 오후 3:30:00</t>
  </si>
  <si>
    <t>2021. 5. 17 오후 4:00:00</t>
  </si>
  <si>
    <t>2021. 5. 17 오후 3:30:00</t>
  </si>
  <si>
    <t>2021. 5. 18 오후 4:00:00</t>
  </si>
  <si>
    <t>2021. 5. 18 오후 3:30:00</t>
  </si>
  <si>
    <t>2021. 5. 19 오후 4:00:00</t>
  </si>
  <si>
    <t>2021. 5. 19 오후 3:30:00</t>
  </si>
  <si>
    <t>2021. 5. 20 오후 4:00:00</t>
  </si>
  <si>
    <t>2021. 5. 20 오후 3:30:00</t>
  </si>
  <si>
    <t>2021. 5. 21 오후 4:00:00</t>
  </si>
  <si>
    <t>2021. 5. 21 오후 3:30:00</t>
  </si>
  <si>
    <t>2021. 5. 22 오후 4:00:00</t>
  </si>
  <si>
    <t>2021. 5. 22 오후 3:30:00</t>
  </si>
  <si>
    <t>2021. 5. 23 오후 4:00:00</t>
  </si>
  <si>
    <t>2021. 5. 23 오후 3:30:00</t>
  </si>
  <si>
    <t>2021. 5. 24 오후 4:00:00</t>
  </si>
  <si>
    <t>2021. 5. 24 오후 3:30:00</t>
  </si>
  <si>
    <t>2021. 5. 25 오후 4:00:00</t>
  </si>
  <si>
    <t>2021. 5. 25 오후 3:30:00</t>
  </si>
  <si>
    <t>2021. 5. 26 오후 4:00:00</t>
  </si>
  <si>
    <t>2021. 5. 26 오후 3:30:00</t>
  </si>
  <si>
    <t>2021. 5. 27 오후 4:00:00</t>
  </si>
  <si>
    <t>2021. 5. 27 오후 3:30:00</t>
  </si>
  <si>
    <t>2021. 5. 28 오후 4:00:00</t>
  </si>
  <si>
    <t>2021. 5. 28 오후 3:30:00</t>
  </si>
  <si>
    <t>2021. 5. 29 오후 4:00:00</t>
  </si>
  <si>
    <t>2021. 5. 29 오후 3:30:00</t>
  </si>
  <si>
    <t>2021. 5. 30 오후 4:00:00</t>
  </si>
  <si>
    <t>2021. 5. 30 오후 3:30:00</t>
  </si>
  <si>
    <t>2021. 5. 31 오후 4:00:00</t>
  </si>
  <si>
    <t>2021. 5. 31 오후 3:30:00</t>
  </si>
  <si>
    <t>2021. 6. 1 오후 4:00:00</t>
  </si>
  <si>
    <t>2021. 6. 1 오후 3:30:00</t>
  </si>
  <si>
    <t>2021. 6. 2 오후 4:00:00</t>
  </si>
  <si>
    <t>2021. 6. 2 오후 3:30:00</t>
  </si>
  <si>
    <t>2021. 6. 3 오후 4:00:00</t>
  </si>
  <si>
    <t>2021. 6. 3 오후 3:30:00</t>
  </si>
  <si>
    <t>2021. 6. 4 오후 4:00:00</t>
  </si>
  <si>
    <t>2021. 6. 4 오후 3:30:00</t>
  </si>
  <si>
    <t>2021. 6. 5 오후 4:00:00</t>
  </si>
  <si>
    <t>2021. 6. 5 오후 3:30:00</t>
  </si>
  <si>
    <t>2021. 6. 6 오후 4:00:00</t>
  </si>
  <si>
    <t>2021. 6. 6 오후 3:30:00</t>
  </si>
  <si>
    <t>2021. 6. 7 오후 4:00:00</t>
  </si>
  <si>
    <t>2021. 6. 7 오후 3:30:00</t>
  </si>
  <si>
    <t>2021. 6. 8 오후 4:00:00</t>
  </si>
  <si>
    <t>2021. 6. 8 오후 3:30:00</t>
  </si>
  <si>
    <t>2021. 6. 9 오후 4:00:00</t>
  </si>
  <si>
    <t>2021. 6. 9 오후 3:30:00</t>
  </si>
  <si>
    <t>2021. 6. 10 오후 4:00:00</t>
  </si>
  <si>
    <t>2021. 6. 10 오후 3:30:00</t>
  </si>
  <si>
    <t>2021. 6. 11 오후 4:00:00</t>
  </si>
  <si>
    <t>2021. 6. 11 오후 3:30:00</t>
  </si>
  <si>
    <t>2021. 6. 12 오후 4:00:00</t>
  </si>
  <si>
    <t>2021. 6. 12 오후 3:30:00</t>
  </si>
  <si>
    <t>2021. 6. 13 오후 4:00:00</t>
  </si>
  <si>
    <t>2021. 6. 13 오후 3:30:00</t>
  </si>
  <si>
    <t>2021. 6. 14 오후 4:00:00</t>
  </si>
  <si>
    <t>2021. 6. 14 오후 3:30:00</t>
  </si>
  <si>
    <t>2021. 6. 15 오후 4:00:00</t>
  </si>
  <si>
    <t>2021. 6. 15 오후 3:30:00</t>
  </si>
  <si>
    <t>2021. 6. 16 오후 4:00:00</t>
  </si>
  <si>
    <t>2021. 6. 16 오후 3:30:00</t>
  </si>
  <si>
    <t>2021. 6. 17 오후 4:00:00</t>
  </si>
  <si>
    <t>2021. 6. 17 오후 3:30:00</t>
  </si>
  <si>
    <t>2021. 6. 18 오후 4:00:00</t>
  </si>
  <si>
    <t>2021. 6. 18 오후 3:30:00</t>
  </si>
  <si>
    <t>2021. 6. 19 오후 4:00:00</t>
  </si>
  <si>
    <t>2021. 6. 19 오후 3:30:00</t>
  </si>
  <si>
    <t>2021. 6. 20 오후 4:00:00</t>
  </si>
  <si>
    <t>2021. 6. 20 오후 3:30:00</t>
  </si>
  <si>
    <t>2021. 6. 21 오후 4:00:00</t>
  </si>
  <si>
    <t>2021. 6. 21 오후 3:30:00</t>
  </si>
  <si>
    <t>2021. 6. 22 오후 4:00:00</t>
  </si>
  <si>
    <t>2021. 6. 22 오후 3:30:00</t>
  </si>
  <si>
    <t>2021. 6. 23 오후 4:00:00</t>
  </si>
  <si>
    <t>2021. 6. 23 오후 3:30:00</t>
  </si>
  <si>
    <t>2021. 6. 24 오후 4:00:00</t>
  </si>
  <si>
    <t>2021. 6. 24 오후 3:30:00</t>
  </si>
  <si>
    <t>2021. 6. 25 오후 4:00:00</t>
  </si>
  <si>
    <t>2021. 6. 25 오후 3:30:00</t>
  </si>
  <si>
    <t>2021. 6. 26 오후 4:00:00</t>
  </si>
  <si>
    <t>2021. 6. 26 오후 3:30:00</t>
  </si>
  <si>
    <t>2021. 6. 27 오후 4:00:00</t>
  </si>
  <si>
    <t>2021. 6. 27 오후 3:30:00</t>
  </si>
  <si>
    <t>2021. 6. 28 오후 4:00:00</t>
  </si>
  <si>
    <t>2021. 6. 28 오후 3:30:00</t>
  </si>
  <si>
    <t>2021. 6. 29 오후 4:00:00</t>
  </si>
  <si>
    <t>2021. 6. 29 오후 3:30:00</t>
  </si>
  <si>
    <t>2021. 6. 30 오후 4:00:00</t>
  </si>
  <si>
    <t>2021. 6. 30 오후 3:30:00</t>
  </si>
  <si>
    <t>2021. 7. 1 오후 4:00:00</t>
  </si>
  <si>
    <t>2021. 7. 1 오후 3:30:00</t>
  </si>
  <si>
    <t>2021. 7. 2 오후 4:00:00</t>
  </si>
  <si>
    <t>2021. 7. 2 오후 3:30:00</t>
  </si>
  <si>
    <t>2021. 7. 3 오후 4:00:00</t>
  </si>
  <si>
    <t>2021. 7. 3 오후 3:30:00</t>
  </si>
  <si>
    <t>2021. 7. 4 오후 4:00:00</t>
  </si>
  <si>
    <t>2021. 7. 4 오후 3:30:00</t>
  </si>
  <si>
    <t>2021. 7. 5 오후 4:00:00</t>
  </si>
  <si>
    <t>2021. 7. 5 오후 3:30:00</t>
  </si>
  <si>
    <t>2021. 7. 6 오후 4:00:00</t>
  </si>
  <si>
    <t>2021. 7. 6 오후 3:30:00</t>
  </si>
  <si>
    <t>2021. 7. 7 오후 4:00:00</t>
  </si>
  <si>
    <t>2021. 7. 7 오후 3:30:00</t>
  </si>
  <si>
    <t>2021. 7. 8 오후 4:00:00</t>
  </si>
  <si>
    <t>2021. 7. 8 오후 3:30:00</t>
  </si>
  <si>
    <t>2021. 7. 9 오후 4:00:00</t>
  </si>
  <si>
    <t>2021. 7. 9 오후 3:30:00</t>
  </si>
  <si>
    <t>2021. 7. 10 오후 4:00:00</t>
  </si>
  <si>
    <t>2021. 7. 10 오후 3:30:00</t>
  </si>
  <si>
    <t>2021. 7. 11 오후 4:00:00</t>
  </si>
  <si>
    <t>2021. 7. 11 오후 3:30:00</t>
  </si>
  <si>
    <t>2021. 7. 12 오후 4:00:00</t>
  </si>
  <si>
    <t>2021. 7. 12 오후 3:30:00</t>
  </si>
  <si>
    <t>2021. 7. 13 오후 4:00:00</t>
  </si>
  <si>
    <t>2021. 7. 13 오후 3:30:00</t>
  </si>
  <si>
    <t>2021. 7. 14 오후 4:00:00</t>
  </si>
  <si>
    <t>2021. 7. 14 오후 3:30:00</t>
  </si>
  <si>
    <t>2021. 7. 15 오후 4:00:00</t>
  </si>
  <si>
    <t>2021. 7. 15 오후 3:30:00</t>
  </si>
  <si>
    <t>2021. 7. 16 오후 4:00:00</t>
  </si>
  <si>
    <t>2021. 7. 16 오후 3:30:00</t>
  </si>
  <si>
    <t>2021. 7. 17 오후 4:00:00</t>
  </si>
  <si>
    <t>2021. 7. 17 오후 3:30:00</t>
  </si>
  <si>
    <t>2021. 7. 18 오후 4:00:00</t>
  </si>
  <si>
    <t>2021. 7. 18 오후 3:30:00</t>
  </si>
  <si>
    <t>2021. 7. 19 오후 4:00:00</t>
  </si>
  <si>
    <t>2021. 7. 19 오후 3:30:00</t>
  </si>
  <si>
    <t>2021. 7. 20 오후 4:00:00</t>
  </si>
  <si>
    <t>2021. 7. 20 오후 3:30:00</t>
  </si>
  <si>
    <t>2021. 7. 21 오후 4:00:00</t>
  </si>
  <si>
    <t>2021. 7. 21 오후 3:30:00</t>
  </si>
  <si>
    <t>2021. 7. 22 오후 4:00:00</t>
  </si>
  <si>
    <t>2021. 7. 22 오후 3:30:00</t>
  </si>
  <si>
    <t>2021. 7. 23 오후 4:00:00</t>
  </si>
  <si>
    <t>2021. 7. 23 오후 3:30:00</t>
  </si>
  <si>
    <t>2021. 7. 24 오후 4:00:00</t>
  </si>
  <si>
    <t>2021. 7. 24 오후 3:30:00</t>
  </si>
  <si>
    <t>2021. 7. 25 오후 4:00:00</t>
  </si>
  <si>
    <t>2021. 7. 25 오후 3:30:00</t>
  </si>
  <si>
    <t>2021. 7. 26 오후 4:00:00</t>
  </si>
  <si>
    <t>2021. 7. 26 오후 3:30:00</t>
  </si>
  <si>
    <t>2021. 7. 27 오후 4:00:00</t>
  </si>
  <si>
    <t>2021. 7. 27 오후 3:30:00</t>
  </si>
  <si>
    <t>2021. 7. 28 오후 4:00:00</t>
  </si>
  <si>
    <t>2021. 7. 28 오후 3:30:00</t>
  </si>
  <si>
    <t>2021. 7. 29 오후 4:00:00</t>
  </si>
  <si>
    <t>2021. 7. 29 오후 3:30:00</t>
  </si>
  <si>
    <t>2021. 7. 30 오후 4:00:00</t>
  </si>
  <si>
    <t>2021. 7. 30 오후 3:30:00</t>
  </si>
  <si>
    <t>2021. 7. 31 오후 4:00:00</t>
  </si>
  <si>
    <t>2021. 7. 31 오후 3:30:00</t>
  </si>
  <si>
    <t>2021. 8. 1 오후 4:00:00</t>
  </si>
  <si>
    <t>2021. 8. 1 오후 3:30:00</t>
  </si>
  <si>
    <t>2021. 8. 2 오후 4:00:00</t>
  </si>
  <si>
    <t>2021. 8. 2 오후 3:30:00</t>
  </si>
  <si>
    <t>2021. 8. 3 오후 4:00:00</t>
  </si>
  <si>
    <t>2021. 8. 3 오후 3:30:00</t>
  </si>
  <si>
    <t>2021. 8. 4 오후 4:00:00</t>
  </si>
  <si>
    <t>2021. 8. 4 오후 3:30:00</t>
  </si>
  <si>
    <t>2021. 8. 5 오후 4:00:00</t>
  </si>
  <si>
    <t>2021. 8. 5 오후 3:30:00</t>
  </si>
  <si>
    <t>2021. 8. 6 오후 4:00:00</t>
  </si>
  <si>
    <t>2021. 8. 6 오후 3:30:00</t>
  </si>
  <si>
    <t>2021. 8. 7 오후 4:00:00</t>
  </si>
  <si>
    <t>2021. 8. 7 오후 3:30:00</t>
  </si>
  <si>
    <t>2021. 8. 8 오후 4:00:00</t>
  </si>
  <si>
    <t>2021. 8. 8 오후 3:30:00</t>
  </si>
  <si>
    <t>2021. 8. 9 오후 4:00:00</t>
  </si>
  <si>
    <t>2021. 8. 9 오후 3:30:00</t>
  </si>
  <si>
    <t>2021. 8. 10 오후 4:00:00</t>
  </si>
  <si>
    <t>2021. 8. 10 오후 3:30:00</t>
  </si>
  <si>
    <t>2021. 8. 11 오후 4:00:00</t>
  </si>
  <si>
    <t>2021. 8. 11 오후 3:30:00</t>
  </si>
  <si>
    <t>2021. 8. 12 오후 4:00:00</t>
  </si>
  <si>
    <t>2021. 8. 12 오후 3:30:00</t>
  </si>
  <si>
    <t>2021. 8. 13 오후 4:00:00</t>
  </si>
  <si>
    <t>2021. 8. 13 오후 3:30:00</t>
  </si>
  <si>
    <t>2021. 8. 14 오후 4:00:00</t>
  </si>
  <si>
    <t>2021. 8. 14 오후 3:30:00</t>
  </si>
  <si>
    <t>2021. 8. 15 오후 4:00:00</t>
  </si>
  <si>
    <t>2021. 8. 15 오후 3:30:00</t>
  </si>
  <si>
    <t>2021. 8. 16 오후 4:00:00</t>
  </si>
  <si>
    <t>2021. 8. 16 오후 3:30:00</t>
  </si>
  <si>
    <t>2021. 8. 17 오후 4:00:00</t>
  </si>
  <si>
    <t>2021. 8. 17 오후 3:30:00</t>
  </si>
  <si>
    <t>2021. 8. 18 오후 4:00:00</t>
  </si>
  <si>
    <t>2021. 8. 18 오후 3:30:00</t>
  </si>
  <si>
    <t>2021. 8. 19 오후 4:00:00</t>
  </si>
  <si>
    <t>2021. 8. 19 오후 3:30:00</t>
  </si>
  <si>
    <t>2021. 8. 20 오후 4:00:00</t>
  </si>
  <si>
    <t>2021. 8. 20 오후 3:30:00</t>
  </si>
  <si>
    <t>2021. 8. 21 오후 4:00:00</t>
  </si>
  <si>
    <t>2021. 8. 21 오후 3:30:00</t>
  </si>
  <si>
    <t>2021. 8. 22 오후 4:00:00</t>
  </si>
  <si>
    <t>2021. 8. 22 오후 3:30:00</t>
  </si>
  <si>
    <t>2021. 8. 23 오후 4:00:00</t>
  </si>
  <si>
    <t>2021. 8. 23 오후 3:30:00</t>
  </si>
  <si>
    <t>2021. 8. 24 오후 4:00:00</t>
  </si>
  <si>
    <t>2021. 8. 24 오후 3:30:00</t>
  </si>
  <si>
    <t>2021. 8. 25 오후 4:00:00</t>
  </si>
  <si>
    <t>2021. 8. 25 오후 3:30:00</t>
  </si>
  <si>
    <t>2021. 8. 26 오후 4:00:00</t>
  </si>
  <si>
    <t>2021. 8. 26 오후 3:30:00</t>
  </si>
  <si>
    <t>2021. 8. 27 오후 4:00:00</t>
  </si>
  <si>
    <t>2021. 8. 27 오후 3:30:00</t>
  </si>
  <si>
    <t>2021. 8. 28 오후 4:00:00</t>
  </si>
  <si>
    <t>2021. 8. 28 오후 3:30:00</t>
  </si>
  <si>
    <t>2021. 8. 29 오후 4:00:00</t>
  </si>
  <si>
    <t>2021. 8. 29 오후 3:30:00</t>
  </si>
  <si>
    <t>2021. 8. 30 오후 4:00:00</t>
  </si>
  <si>
    <t>2021. 8. 30 오후 3:30:00</t>
  </si>
  <si>
    <t>2021. 8. 31 오후 4:00:00</t>
  </si>
  <si>
    <t>2021. 8. 31 오후 3:30:00</t>
  </si>
  <si>
    <t>2021. 9. 1 오후 4:00:00</t>
  </si>
  <si>
    <t>2021. 9. 1 오후 3:30:00</t>
  </si>
  <si>
    <t>2021. 9. 2 오후 4:00:00</t>
  </si>
  <si>
    <t>2021. 9. 2 오후 3:30:00</t>
  </si>
  <si>
    <t>2021. 9. 3 오후 4:00:00</t>
  </si>
  <si>
    <t>2021. 9. 3 오후 3:30:00</t>
  </si>
  <si>
    <t>2021. 9. 4 오후 4:00:00</t>
  </si>
  <si>
    <t>2021. 9. 4 오후 3:30:00</t>
  </si>
  <si>
    <t>2021. 9. 5 오후 4:00:00</t>
  </si>
  <si>
    <t>2021. 9. 5 오후 3:30:00</t>
  </si>
  <si>
    <t>2021. 9. 6 오후 4:00:00</t>
  </si>
  <si>
    <t>2021. 9. 6 오후 3:30:00</t>
  </si>
  <si>
    <t>2021. 9. 7 오후 4:00:00</t>
  </si>
  <si>
    <t>2021. 9. 7 오후 3:30:00</t>
  </si>
  <si>
    <t>2021. 9. 8 오후 4:00:00</t>
  </si>
  <si>
    <t>2021. 9. 8 오후 3:30:00</t>
  </si>
  <si>
    <t>2021. 9. 9 오후 4:00:00</t>
  </si>
  <si>
    <t>2021. 9. 9 오후 3:30:00</t>
  </si>
  <si>
    <t>2021. 9. 10 오후 4:00:00</t>
  </si>
  <si>
    <t>2021. 9. 10 오후 3:30:00</t>
  </si>
  <si>
    <t>2021. 9. 11 오후 4:00:00</t>
  </si>
  <si>
    <t>2021. 9. 11 오후 3:30:00</t>
  </si>
  <si>
    <t>2021. 9. 12 오후 4:00:00</t>
  </si>
  <si>
    <t>2021. 9. 12 오후 3:30:00</t>
  </si>
  <si>
    <t>2021. 9. 13 오후 4:00:00</t>
  </si>
  <si>
    <t>2021. 9. 13 오후 3:30:00</t>
  </si>
  <si>
    <t>2021. 9. 14 오후 4:00:00</t>
  </si>
  <si>
    <t>2021. 9. 14 오후 3:30:00</t>
  </si>
  <si>
    <t>2021. 9. 15 오후 4:00:00</t>
  </si>
  <si>
    <t>2021. 9. 15 오후 3:30:00</t>
  </si>
  <si>
    <t>2021. 9. 16 오후 4:00:00</t>
  </si>
  <si>
    <t>2021. 9. 16 오후 3:30:00</t>
  </si>
  <si>
    <t>2021. 9. 17 오후 4:00:00</t>
  </si>
  <si>
    <t>2021. 9. 17 오후 3:30:00</t>
  </si>
  <si>
    <t>2021. 9. 18 오후 4:00:00</t>
  </si>
  <si>
    <t>2021. 9. 18 오후 3:30:00</t>
  </si>
  <si>
    <t>2021. 9. 19 오후 4:00:00</t>
  </si>
  <si>
    <t>2021. 9. 19 오후 3:30:00</t>
  </si>
  <si>
    <t>2021. 9. 20 오후 4:00:00</t>
  </si>
  <si>
    <t>2021. 9. 20 오후 3:30:00</t>
  </si>
  <si>
    <t>2021. 9. 21 오후 4:00:00</t>
  </si>
  <si>
    <t>2021. 9. 21 오후 3:30:00</t>
  </si>
  <si>
    <t>2021. 9. 22 오후 4:00:00</t>
  </si>
  <si>
    <t>2021. 9. 22 오후 3:30:00</t>
  </si>
  <si>
    <t>2021. 9. 23 오후 4:00:00</t>
  </si>
  <si>
    <t>2021. 9. 23 오후 3:30:00</t>
  </si>
  <si>
    <t>2021. 9. 24 오후 4:00:00</t>
  </si>
  <si>
    <t>2021. 9. 24 오후 3:30:00</t>
  </si>
  <si>
    <t>2021. 9. 25 오후 4:00:00</t>
  </si>
  <si>
    <t>2021. 9. 25 오후 3:30:00</t>
  </si>
  <si>
    <t>2021. 9. 26 오후 4:00:00</t>
  </si>
  <si>
    <t>2021. 9. 26 오후 3:30:00</t>
  </si>
  <si>
    <t>2021. 9. 27 오후 4:00:00</t>
  </si>
  <si>
    <t>2021. 9. 27 오후 3:30:00</t>
  </si>
  <si>
    <t>2021. 9. 28 오후 4:00:00</t>
  </si>
  <si>
    <t>2021. 9. 28 오후 3:30:00</t>
  </si>
  <si>
    <t>2021. 9. 29 오후 4:00:00</t>
  </si>
  <si>
    <t>2021. 9. 29 오후 3:30:00</t>
  </si>
  <si>
    <t>2021. 9. 30 오후 4:00:00</t>
  </si>
  <si>
    <t>2021. 9. 30 오후 3:30:00</t>
  </si>
  <si>
    <t>2021. 10. 1 오후 4:00:00</t>
  </si>
  <si>
    <t>2021. 10. 1 오후 3:30:00</t>
  </si>
  <si>
    <t>2021. 10. 2 오후 4:00:00</t>
  </si>
  <si>
    <t>2021. 10. 2 오후 3:30:00</t>
  </si>
  <si>
    <t>2021. 10. 3 오후 4:00:00</t>
  </si>
  <si>
    <t>2021. 10. 3 오후 3:30:00</t>
  </si>
  <si>
    <t>2021. 10. 4 오후 4:00:00</t>
  </si>
  <si>
    <t>2021. 10. 4 오후 3:30:00</t>
  </si>
  <si>
    <t>2021. 10. 5 오후 4:00:00</t>
  </si>
  <si>
    <t>2021. 10. 5 오후 3:30:00</t>
  </si>
  <si>
    <t>2021. 10. 6 오후 4:00:00</t>
  </si>
  <si>
    <t>2021. 10. 6 오후 3:30:00</t>
  </si>
  <si>
    <t>2021. 10. 7 오후 4:00:00</t>
  </si>
  <si>
    <t>2021. 10. 7 오후 3:30:00</t>
  </si>
  <si>
    <t>2021. 10. 8 오후 4:00:00</t>
  </si>
  <si>
    <t>2021. 10. 8 오후 3:30:00</t>
  </si>
  <si>
    <t>2021. 10. 9 오후 4:00:00</t>
  </si>
  <si>
    <t>2021. 10. 9 오후 3:30:00</t>
  </si>
  <si>
    <t>2021. 10. 10 오후 4:00:00</t>
  </si>
  <si>
    <t>2021. 10. 10 오후 3:30:00</t>
  </si>
  <si>
    <t>2021. 10. 11 오후 4:00:00</t>
  </si>
  <si>
    <t>2021. 10. 11 오후 3:30:00</t>
  </si>
  <si>
    <t>2021. 10. 12 오후 4:00:00</t>
  </si>
  <si>
    <t>2021. 10. 12 오후 3:30:00</t>
  </si>
  <si>
    <t>2021. 10. 13 오후 4:00:00</t>
  </si>
  <si>
    <t>2021. 10. 13 오후 3:30:00</t>
  </si>
  <si>
    <t>2021. 10. 14 오후 4:00:00</t>
  </si>
  <si>
    <t>2021. 10. 14 오후 3:30:00</t>
  </si>
  <si>
    <t>2021. 10. 15 오후 4:00:00</t>
  </si>
  <si>
    <t>2021. 10. 15 오후 3:30:00</t>
  </si>
  <si>
    <t>2021. 10. 16 오후 4:00:00</t>
  </si>
  <si>
    <t>2021. 10. 16 오후 3:30:00</t>
  </si>
  <si>
    <t>2021. 10. 17 오후 4:00:00</t>
  </si>
  <si>
    <t>2021. 10. 17 오후 3:30:00</t>
  </si>
  <si>
    <t>2021. 10. 18 오후 4:00:00</t>
  </si>
  <si>
    <t>2021. 10. 18 오후 3:30:00</t>
  </si>
  <si>
    <t>2021. 10. 19 오후 4:00:00</t>
  </si>
  <si>
    <t>2021. 10. 19 오후 3:30:00</t>
  </si>
  <si>
    <t>2021. 10. 20 오후 4:00:00</t>
  </si>
  <si>
    <t>2021. 10. 20 오후 3:30:00</t>
  </si>
  <si>
    <t>2021. 10. 21 오후 4:00:00</t>
  </si>
  <si>
    <t>2021. 10. 21 오후 3:30:00</t>
  </si>
  <si>
    <t>2021. 10. 22 오후 4:00:00</t>
  </si>
  <si>
    <t>2021. 10. 22 오후 3:30:00</t>
  </si>
  <si>
    <t>2021. 10. 23 오후 4:00:00</t>
  </si>
  <si>
    <t>2021. 10. 23 오후 3:30:00</t>
  </si>
  <si>
    <t>2021. 10. 24 오후 4:00:00</t>
  </si>
  <si>
    <t>2021. 10. 24 오후 3:30:00</t>
  </si>
  <si>
    <t>2021. 10. 25 오후 4:00:00</t>
  </si>
  <si>
    <t>2021. 10. 25 오후 3:30:00</t>
  </si>
  <si>
    <t>2021. 10. 26 오후 4:00:00</t>
  </si>
  <si>
    <t>2021. 10. 26 오후 3:30:00</t>
  </si>
  <si>
    <t>2021. 10. 27 오후 4:00:00</t>
  </si>
  <si>
    <t>2021. 10. 27 오후 3:30:00</t>
  </si>
  <si>
    <t>2021. 10. 28 오후 4:00:00</t>
  </si>
  <si>
    <t>2021. 10. 28 오후 3:30:00</t>
  </si>
  <si>
    <t>2021. 10. 29 오후 4:00:00</t>
  </si>
  <si>
    <t>2021. 10. 29 오후 3:30:00</t>
  </si>
  <si>
    <t>2021. 10. 30 오후 4:00:00</t>
  </si>
  <si>
    <t>2021. 10. 30 오후 3:30:00</t>
  </si>
  <si>
    <t>2021. 10. 31 오후 4:00:00</t>
  </si>
  <si>
    <t>2021. 10. 31 오후 3:30:00</t>
  </si>
  <si>
    <t>2021. 11. 1 오후 4:00:00</t>
  </si>
  <si>
    <t>2021. 11. 1 오후 3:30:00</t>
  </si>
  <si>
    <t>2021. 11. 2 오후 4:00:00</t>
  </si>
  <si>
    <t>2021. 11. 2 오후 3:30:00</t>
  </si>
  <si>
    <t>2021. 11. 3 오후 4:00:00</t>
  </si>
  <si>
    <t>2021. 11. 3 오후 3:30:00</t>
  </si>
  <si>
    <t>2021. 11. 4 오후 4:00:00</t>
  </si>
  <si>
    <t>2021. 11. 4 오후 3:30:00</t>
  </si>
  <si>
    <t>2021. 11. 5 오후 4:00:00</t>
  </si>
  <si>
    <t>2021. 11. 5 오후 3:30:00</t>
  </si>
  <si>
    <t>2021. 11. 6 오후 4:00:00</t>
  </si>
  <si>
    <t>2021. 11. 6 오후 3:30:00</t>
  </si>
  <si>
    <t>2021. 11. 7 오후 4:00:00</t>
  </si>
  <si>
    <t>2021. 11. 7 오후 3:30:00</t>
  </si>
  <si>
    <t>2021. 11. 8 오후 4:00:00</t>
  </si>
  <si>
    <t>2021. 11. 8 오후 3:30:00</t>
  </si>
  <si>
    <t>2021. 11. 9 오후 4:00:00</t>
  </si>
  <si>
    <t>2021. 11. 9 오후 3:30:00</t>
  </si>
  <si>
    <t>2021. 11. 10 오후 4:00:00</t>
  </si>
  <si>
    <t>2021. 11. 10 오후 3:30:00</t>
  </si>
  <si>
    <t>2021. 11. 11 오후 4:00:00</t>
  </si>
  <si>
    <t>2021. 11. 11 오후 3:30:00</t>
  </si>
  <si>
    <t>2021. 11. 12 오후 4:00:00</t>
  </si>
  <si>
    <t>2021. 11. 12 오후 3:30:00</t>
  </si>
  <si>
    <t>2021. 11. 13 오후 4:00:00</t>
  </si>
  <si>
    <t>2021. 11. 13 오후 3:30:00</t>
  </si>
  <si>
    <t>2021. 11. 14 오후 4:00:00</t>
  </si>
  <si>
    <t>2021. 11. 14 오후 3:30:00</t>
  </si>
  <si>
    <t>2021. 11. 15 오후 4:00:00</t>
  </si>
  <si>
    <t>2021. 11. 15 오후 3:30:00</t>
  </si>
  <si>
    <t>2021. 11. 16 오후 4:00:00</t>
  </si>
  <si>
    <t>2021. 11. 16 오후 3:30:00</t>
  </si>
  <si>
    <t>2021. 11. 17 오후 4:00:00</t>
  </si>
  <si>
    <t>2021. 11. 17 오후 3:30:00</t>
  </si>
  <si>
    <t>2021. 11. 18 오후 4:00:00</t>
  </si>
  <si>
    <t>2021. 11. 18 오후 3:30:00</t>
  </si>
  <si>
    <t>2021. 11. 19 오후 4:00:00</t>
  </si>
  <si>
    <t>2021. 11. 19 오후 3:30:00</t>
  </si>
  <si>
    <t>2021. 11. 20 오후 4:00:00</t>
  </si>
  <si>
    <t>2021. 11. 20 오후 3:30:00</t>
  </si>
  <si>
    <t>2021. 11. 21 오후 4:00:00</t>
  </si>
  <si>
    <t>2021. 11. 21 오후 3:30:00</t>
  </si>
  <si>
    <t>2021. 11. 22 오후 4:00:00</t>
  </si>
  <si>
    <t>2021. 11. 22 오후 3:30:00</t>
  </si>
  <si>
    <t>2021. 11. 23 오후 4:00:00</t>
  </si>
  <si>
    <t>2021. 11. 23 오후 3:30:00</t>
  </si>
  <si>
    <t>2021. 11. 24 오후 4:00:00</t>
  </si>
  <si>
    <t>2021. 11. 24 오후 3:30:00</t>
  </si>
  <si>
    <t>2021. 11. 25 오후 4:00:00</t>
  </si>
  <si>
    <t>2021. 11. 25 오후 3:30:00</t>
  </si>
  <si>
    <t>2021. 11. 26 오후 4:00:00</t>
  </si>
  <si>
    <t>2021. 11. 26 오후 3:30:00</t>
  </si>
  <si>
    <t>2021. 11. 27 오후 4:00:00</t>
  </si>
  <si>
    <t>2021. 11. 27 오후 3:30:00</t>
  </si>
  <si>
    <t>2021. 11. 28 오후 4:00:00</t>
  </si>
  <si>
    <t>2021. 11. 28 오후 3:30:00</t>
  </si>
  <si>
    <t>2021. 11. 29 오후 4:00:00</t>
  </si>
  <si>
    <t>2021. 11. 29 오후 3:30:00</t>
  </si>
  <si>
    <t>2021. 11. 30 오후 4:00:00</t>
  </si>
  <si>
    <t>2021. 11. 30 오후 3:30:00</t>
  </si>
  <si>
    <t>2021. 12. 1 오후 4:00:00</t>
  </si>
  <si>
    <t>2021. 12. 1 오후 3:30:00</t>
  </si>
  <si>
    <t>2021. 12. 2 오후 4:00:00</t>
  </si>
  <si>
    <t>2021. 12. 2 오후 3:30:00</t>
  </si>
  <si>
    <t>2021. 12. 3 오후 4:00:00</t>
  </si>
  <si>
    <t>2021. 12. 3 오후 3:30:00</t>
  </si>
  <si>
    <t>2021. 12. 4 오후 4:00:00</t>
  </si>
  <si>
    <t>2021. 12. 4 오후 3:30:00</t>
  </si>
  <si>
    <t>2021. 12. 5 오후 4:00:00</t>
  </si>
  <si>
    <t>2021. 12. 5 오후 3:30:00</t>
  </si>
  <si>
    <t>2021. 12. 6 오후 4:00:00</t>
  </si>
  <si>
    <t>2021. 12. 6 오후 3:30:00</t>
  </si>
  <si>
    <t>2021. 12. 7 오후 4:00:00</t>
  </si>
  <si>
    <t>2021. 12. 7 오후 3:30:00</t>
  </si>
  <si>
    <t>2021. 12. 8 오후 4:00:00</t>
  </si>
  <si>
    <t>2021. 12. 8 오후 3:30:00</t>
  </si>
  <si>
    <t>2021. 12. 9 오후 4:00:00</t>
  </si>
  <si>
    <t>2021. 12. 9 오후 3:30:00</t>
  </si>
  <si>
    <t>2021. 12. 10 오후 4:00:00</t>
  </si>
  <si>
    <t>2021. 12. 10 오후 3:30:00</t>
  </si>
  <si>
    <t>2021. 12. 11 오후 4:00:00</t>
  </si>
  <si>
    <t>2021. 12. 11 오후 3:30:00</t>
  </si>
  <si>
    <t>2021. 12. 12 오후 4:00:00</t>
  </si>
  <si>
    <t>2021. 12. 12 오후 3:30:00</t>
  </si>
  <si>
    <t>2021. 12. 13 오후 4:00:00</t>
  </si>
  <si>
    <t>2021. 12. 13 오후 3:30:00</t>
  </si>
  <si>
    <t>2021. 12. 14 오후 4:00:00</t>
  </si>
  <si>
    <t>2021. 12. 14 오후 3:30:00</t>
  </si>
  <si>
    <t>2021. 12. 15 오후 4:00:00</t>
  </si>
  <si>
    <t>2021. 12. 15 오후 3:30:00</t>
  </si>
  <si>
    <t>2021. 12. 16 오후 4:00:00</t>
  </si>
  <si>
    <t>2021. 12. 16 오후 3:30:00</t>
  </si>
  <si>
    <t>2021. 12. 17 오후 4:00:00</t>
  </si>
  <si>
    <t>2021. 12. 17 오후 3:30:00</t>
  </si>
  <si>
    <t>2021. 12. 18 오후 4:00:00</t>
  </si>
  <si>
    <t>2021. 12. 18 오후 3:30:00</t>
  </si>
  <si>
    <t>2021. 12. 19 오후 4:00:00</t>
  </si>
  <si>
    <t>2021. 12. 19 오후 3:30:00</t>
  </si>
  <si>
    <t>2021. 12. 20 오후 4:00:00</t>
  </si>
  <si>
    <t>2021. 12. 20 오후 3:30:00</t>
  </si>
  <si>
    <t>2021. 12. 21 오후 4:00:00</t>
  </si>
  <si>
    <t>2021. 12. 21 오후 3:30:00</t>
  </si>
  <si>
    <t>2021. 12. 22 오후 4:00:00</t>
  </si>
  <si>
    <t>2021. 12. 22 오후 3:30:00</t>
  </si>
  <si>
    <t>2021. 12. 23 오후 4:00:00</t>
  </si>
  <si>
    <t>2021. 12. 23 오후 3:30:00</t>
  </si>
  <si>
    <t>2021. 12. 24 오후 4:00:00</t>
  </si>
  <si>
    <t>2021. 12. 24 오후 3:30:00</t>
  </si>
  <si>
    <t>2021. 12. 25 오후 4:00:00</t>
  </si>
  <si>
    <t>2021. 12. 25 오후 3:30:00</t>
  </si>
  <si>
    <t>2021. 12. 26 오후 4:00:00</t>
  </si>
  <si>
    <t>2021. 12. 26 오후 3:30:00</t>
  </si>
  <si>
    <t>2021. 12. 27 오후 4:00:00</t>
  </si>
  <si>
    <t>2021. 12. 27 오후 3:30:00</t>
  </si>
  <si>
    <t>2021. 12. 28 오후 4:00:00</t>
  </si>
  <si>
    <t>2021. 12. 28 오후 3:30:00</t>
  </si>
  <si>
    <t>2021. 12. 29 오후 4:00:00</t>
  </si>
  <si>
    <t>2021. 12. 29 오후 3:30:00</t>
  </si>
  <si>
    <t>2021. 12. 30 오후 4:00:00</t>
  </si>
  <si>
    <t>2021. 12. 30 오후 3:30:00</t>
  </si>
  <si>
    <t>2021. 12. 31 오후 4:00:00</t>
  </si>
  <si>
    <t>2021. 12. 31 오후 3:30:00</t>
  </si>
  <si>
    <t>2022. 1. 1 오후 4:00:00</t>
  </si>
  <si>
    <t>2022. 1. 1 오후 3:30:00</t>
  </si>
  <si>
    <t>2022. 1. 2 오후 4:00:00</t>
  </si>
  <si>
    <t>2022. 1. 2 오후 3:30:00</t>
  </si>
  <si>
    <t>2022. 1. 3 오후 4:00:00</t>
  </si>
  <si>
    <t>2022. 1. 3 오후 3:30:00</t>
  </si>
  <si>
    <t>2022. 1. 4 오후 4:00:00</t>
  </si>
  <si>
    <t>2022. 1. 4 오후 3:30:00</t>
  </si>
  <si>
    <t>2022. 1. 5 오후 4:00:00</t>
  </si>
  <si>
    <t>2022. 1. 5 오후 3:30:00</t>
  </si>
  <si>
    <t>2022. 1. 6 오후 4:00:00</t>
  </si>
  <si>
    <t>2022. 1. 6 오후 3:30:00</t>
  </si>
  <si>
    <t>2022. 1. 7 오후 4:00:00</t>
  </si>
  <si>
    <t>2022. 1. 7 오후 3:30:00</t>
  </si>
  <si>
    <t>2022. 1. 8 오후 4:00:00</t>
  </si>
  <si>
    <t>2022. 1. 8 오후 3:30:00</t>
  </si>
  <si>
    <t>2022. 1. 9 오후 4:00:00</t>
  </si>
  <si>
    <t>2022. 1. 9 오후 3:30:00</t>
  </si>
  <si>
    <t>2022. 1. 10 오후 4:00:00</t>
  </si>
  <si>
    <t>2022. 1. 10 오후 3:30:00</t>
  </si>
  <si>
    <t>2022. 1. 11 오후 4:00:00</t>
  </si>
  <si>
    <t>2022. 1. 11 오후 3:30:00</t>
  </si>
  <si>
    <t>2022. 1. 12 오후 4:00:00</t>
  </si>
  <si>
    <t>2022. 1. 12 오후 3:30:00</t>
  </si>
  <si>
    <t>2022. 1. 13 오후 4:00:00</t>
  </si>
  <si>
    <t>2022. 1. 13 오후 3:30:00</t>
  </si>
  <si>
    <t>2022. 1. 14 오후 4:00:00</t>
  </si>
  <si>
    <t>2022. 1. 14 오후 3:30:00</t>
  </si>
  <si>
    <t>2022. 1. 15 오후 4:00:00</t>
  </si>
  <si>
    <t>2022. 1. 15 오후 3:30:00</t>
  </si>
  <si>
    <t>2022. 1. 16 오후 4:00:00</t>
  </si>
  <si>
    <t>2022. 1. 16 오후 3:30:00</t>
  </si>
  <si>
    <t>2022. 1. 17 오후 4:00:00</t>
  </si>
  <si>
    <t>2022. 1. 17 오후 3:30:00</t>
  </si>
  <si>
    <t>2022. 1. 18 오후 4:00:00</t>
  </si>
  <si>
    <t>2022. 1. 18 오후 3:30:00</t>
  </si>
  <si>
    <t>2022. 1. 19 오후 4:00:00</t>
  </si>
  <si>
    <t>2022. 1. 19 오후 3:30:00</t>
  </si>
  <si>
    <t>2022. 1. 20 오후 4:00:00</t>
  </si>
  <si>
    <t>2022. 1. 20 오후 3:30:00</t>
  </si>
  <si>
    <t>2022. 1. 21 오후 4:00:00</t>
  </si>
  <si>
    <t>2022. 1. 21 오후 3:30:00</t>
  </si>
  <si>
    <t>2022. 1. 22 오후 4:00:00</t>
  </si>
  <si>
    <t>2022. 1. 22 오후 3:30:00</t>
  </si>
  <si>
    <t>2022. 1. 23 오후 4:00:00</t>
  </si>
  <si>
    <t>2022. 1. 23 오후 3:30:00</t>
  </si>
  <si>
    <t>2022. 1. 24 오후 4:00:00</t>
  </si>
  <si>
    <t>2022. 1. 24 오후 3:30:00</t>
  </si>
  <si>
    <t>2022. 1. 25 오후 4:00:00</t>
  </si>
  <si>
    <t>2022. 1. 25 오후 3:30:00</t>
  </si>
  <si>
    <t>2022. 1. 26 오후 4:00:00</t>
  </si>
  <si>
    <t>2022. 1. 26 오후 3:30:00</t>
  </si>
  <si>
    <t>2022. 1. 27 오후 4:00:00</t>
  </si>
  <si>
    <t>2022. 1. 27 오후 3:30:00</t>
  </si>
  <si>
    <t>2022. 1. 28 오후 4:00:00</t>
  </si>
  <si>
    <t>2022. 1. 28 오후 3:30:00</t>
  </si>
  <si>
    <t>2022. 1. 29 오후 4:00:00</t>
  </si>
  <si>
    <t>2022. 1. 29 오후 3:30:00</t>
  </si>
  <si>
    <t>2022. 1. 30 오후 4:00:00</t>
  </si>
  <si>
    <t>2022. 1. 30 오후 3:30:00</t>
  </si>
  <si>
    <t>2022. 1. 31 오후 4:00:00</t>
  </si>
  <si>
    <t>2022. 1. 31 오후 3:30:00</t>
  </si>
  <si>
    <t>2022. 2. 1 오후 4:00:00</t>
  </si>
  <si>
    <t>2022. 2. 1 오후 3:30:00</t>
  </si>
  <si>
    <t>2022. 2. 2 오후 4:00:00</t>
  </si>
  <si>
    <t>2022. 2. 2 오후 3:30:00</t>
  </si>
  <si>
    <t>2022. 2. 3 오후 4:00:00</t>
  </si>
  <si>
    <t>2022. 2. 3 오후 3:30:00</t>
  </si>
  <si>
    <t>2022. 2. 4 오후 4:00:00</t>
  </si>
  <si>
    <t>2022. 2. 4 오후 3:30:00</t>
  </si>
  <si>
    <t>2022. 2. 5 오후 4:00:00</t>
  </si>
  <si>
    <t>2022. 2. 5 오후 3:30:00</t>
  </si>
  <si>
    <t>2022. 2. 6 오후 4:00:00</t>
  </si>
  <si>
    <t>2022. 2. 6 오후 3:30:00</t>
  </si>
  <si>
    <t>2022. 2. 7 오후 4:00:00</t>
  </si>
  <si>
    <t>2022. 2. 7 오후 3:30:00</t>
  </si>
  <si>
    <t>2022. 2. 8 오후 4:00:00</t>
  </si>
  <si>
    <t>2022. 2. 8 오후 3:30:00</t>
  </si>
  <si>
    <t>2022. 2. 9 오후 4:00:00</t>
  </si>
  <si>
    <t>2022. 2. 9 오후 3:30:00</t>
  </si>
  <si>
    <t>2022. 2. 10 오후 4:00:00</t>
  </si>
  <si>
    <t>2022. 2. 10 오후 3:30:00</t>
  </si>
  <si>
    <t>2022. 2. 11 오후 4:00:00</t>
  </si>
  <si>
    <t>2022. 2. 11 오후 3:30:00</t>
  </si>
  <si>
    <t>2022. 2. 12 오후 4:00:00</t>
  </si>
  <si>
    <t>2022. 2. 12 오후 3:30:00</t>
  </si>
  <si>
    <t>2022. 2. 13 오후 4:00:00</t>
  </si>
  <si>
    <t>2022. 2. 13 오후 3:30:00</t>
  </si>
  <si>
    <t>2022. 2. 14 오후 4:00:00</t>
  </si>
  <si>
    <t>2022. 2. 14 오후 3:30:00</t>
  </si>
  <si>
    <t>2022. 2. 15 오후 4:00:00</t>
  </si>
  <si>
    <t>2022. 2. 15 오후 3:30:00</t>
  </si>
  <si>
    <t>2022. 2. 16 오후 4:00:00</t>
  </si>
  <si>
    <t>2022. 2. 16 오후 3:30:00</t>
  </si>
  <si>
    <t>2022. 2. 17 오후 4:00:00</t>
  </si>
  <si>
    <t>2022. 2. 17 오후 3:30:00</t>
  </si>
  <si>
    <t>2022. 2. 18 오후 4:00:00</t>
  </si>
  <si>
    <t>2022. 2. 18 오후 3:30:00</t>
  </si>
  <si>
    <t>2022. 2. 19 오후 4:00:00</t>
  </si>
  <si>
    <t>2022. 2. 19 오후 3:30:00</t>
  </si>
  <si>
    <t>2022. 2. 20 오후 4:00:00</t>
  </si>
  <si>
    <t>2022. 2. 20 오후 3:30:00</t>
  </si>
  <si>
    <t>2022. 2. 21 오후 4:00:00</t>
  </si>
  <si>
    <t>2022. 2. 21 오후 3:30:00</t>
  </si>
  <si>
    <t>2022. 2. 22 오후 4:00:00</t>
  </si>
  <si>
    <t>2022. 2. 22 오후 3:30:00</t>
  </si>
  <si>
    <t>2022. 2. 23 오후 4:00:00</t>
  </si>
  <si>
    <t>2022. 2. 23 오후 3:30:00</t>
  </si>
  <si>
    <t>2022. 2. 24 오후 4:00:00</t>
  </si>
  <si>
    <t>2022. 2. 24 오후 3:30:00</t>
  </si>
  <si>
    <t>2022. 2. 25 오후 4:00:00</t>
  </si>
  <si>
    <t>2022. 2. 25 오후 3:30:00</t>
  </si>
  <si>
    <t>2022. 2. 26 오후 4:00:00</t>
  </si>
  <si>
    <t>2022. 2. 26 오후 3:30:00</t>
  </si>
  <si>
    <t>2022. 2. 27 오후 4:00:00</t>
  </si>
  <si>
    <t>2022. 2. 27 오후 3:30:00</t>
  </si>
  <si>
    <t>2022. 2. 28 오후 4:00:00</t>
  </si>
  <si>
    <t>2022. 2. 28 오후 3:30:00</t>
  </si>
  <si>
    <t>2022. 3. 1 오후 4:00:00</t>
  </si>
  <si>
    <t>2022. 3. 1 오후 3:30:00</t>
  </si>
  <si>
    <t>2022. 3. 2 오후 4:00:00</t>
  </si>
  <si>
    <t>2022. 3. 2 오후 3:30:00</t>
  </si>
  <si>
    <t>2022. 3. 3 오후 4:00:00</t>
  </si>
  <si>
    <t>2022. 3. 3 오후 3:30:00</t>
  </si>
  <si>
    <t>2022. 3. 4 오후 4:00:00</t>
  </si>
  <si>
    <t>2022. 3. 4 오후 3:30:00</t>
  </si>
  <si>
    <t>2022. 3. 5 오후 4:00:00</t>
  </si>
  <si>
    <t>2022. 3. 5 오후 3:30:00</t>
  </si>
  <si>
    <t>2022. 3. 6 오후 4:00:00</t>
  </si>
  <si>
    <t>2022. 3. 6 오후 3:30:00</t>
  </si>
  <si>
    <t>2022. 3. 7 오후 4:00:00</t>
  </si>
  <si>
    <t>2022. 3. 7 오후 3:30:00</t>
  </si>
  <si>
    <t>2022. 3. 8 오후 4:00:00</t>
  </si>
  <si>
    <t>2022. 3. 8 오후 3:30:00</t>
  </si>
  <si>
    <t>2022. 3. 9 오후 4:00:00</t>
  </si>
  <si>
    <t>2022. 3. 9 오후 3:30:00</t>
  </si>
  <si>
    <t>2022. 3. 10 오후 4:00:00</t>
  </si>
  <si>
    <t>2022. 3. 10 오후 3:30:00</t>
  </si>
  <si>
    <t>2022. 3. 11 오후 4:00:00</t>
  </si>
  <si>
    <t>2022. 3. 11 오후 3:30:00</t>
  </si>
  <si>
    <t>2022. 3. 12 오후 4:00:00</t>
  </si>
  <si>
    <t>2022. 3. 12 오후 3:30:00</t>
  </si>
  <si>
    <t>2022. 3. 13 오후 4:00:00</t>
  </si>
  <si>
    <t>2022. 3. 13 오후 3:30:00</t>
  </si>
  <si>
    <t>2022. 3. 14 오후 4:00:00</t>
  </si>
  <si>
    <t>2022. 3. 14 오후 3:30:00</t>
  </si>
  <si>
    <t>2022. 3. 15 오후 4:00:00</t>
  </si>
  <si>
    <t>2022. 3. 15 오후 3:30:00</t>
  </si>
  <si>
    <t>2022. 3. 16 오후 4:00:00</t>
  </si>
  <si>
    <t>2022. 3. 16 오후 3:30:00</t>
  </si>
  <si>
    <t>2022. 3. 17 오후 4:00:00</t>
  </si>
  <si>
    <t>2022. 3. 17 오후 3:30:00</t>
  </si>
  <si>
    <t>2022. 3. 18 오후 4:00:00</t>
  </si>
  <si>
    <t>2022. 3. 18 오후 3:30:00</t>
  </si>
  <si>
    <t>2022. 3. 19 오후 4:00:00</t>
  </si>
  <si>
    <t>2022. 3. 19 오후 3:30:00</t>
  </si>
  <si>
    <t>2022. 3. 20 오후 4:00:00</t>
  </si>
  <si>
    <t>2022. 3. 20 오후 3:30:00</t>
  </si>
  <si>
    <t>2022. 3. 21 오후 4:00:00</t>
  </si>
  <si>
    <t>2022. 3. 21 오후 3:30:00</t>
  </si>
  <si>
    <t>2022. 3. 22 오후 4:00:00</t>
  </si>
  <si>
    <t>2022. 3. 22 오후 3:30:00</t>
  </si>
  <si>
    <t>2022. 3. 23 오후 4:00:00</t>
  </si>
  <si>
    <t>2022. 3. 23 오후 3:30:00</t>
  </si>
  <si>
    <t>2022. 3. 24 오후 4:00:00</t>
  </si>
  <si>
    <t>2022. 3. 24 오후 3:30:00</t>
  </si>
  <si>
    <t>2022. 3. 25 오후 4:00:00</t>
  </si>
  <si>
    <t>2022. 3. 25 오후 3:30:00</t>
  </si>
  <si>
    <t>2022. 3. 26 오후 4:00:00</t>
  </si>
  <si>
    <t>2022. 3. 26 오후 3:30:00</t>
  </si>
  <si>
    <t>2022. 3. 27 오후 4:00:00</t>
  </si>
  <si>
    <t>2022. 3. 27 오후 3:30:00</t>
  </si>
  <si>
    <t>2022. 3. 28 오후 4:00:00</t>
  </si>
  <si>
    <t>2022. 3. 28 오후 3:30:00</t>
  </si>
  <si>
    <t>2022. 3. 29 오후 4:00:00</t>
  </si>
  <si>
    <t>2022. 3. 29 오후 3:30:00</t>
  </si>
  <si>
    <t>2022. 3. 30 오후 4:00:00</t>
  </si>
  <si>
    <t>2022. 3. 30 오후 3:30:00</t>
  </si>
  <si>
    <t>2022. 3. 31 오후 4:00:00</t>
  </si>
  <si>
    <t>2022. 3. 31 오후 3:30:00</t>
  </si>
  <si>
    <t>2022. 4. 1 오후 4:00:00</t>
  </si>
  <si>
    <t>2022. 4. 1 오후 3:30:00</t>
  </si>
  <si>
    <t>2022. 4. 2 오후 4:00:00</t>
  </si>
  <si>
    <t>2022. 4. 2 오후 3:30:00</t>
  </si>
  <si>
    <t>2022. 4. 3 오후 4:00:00</t>
  </si>
  <si>
    <t>2022. 4. 3 오후 3:30:00</t>
  </si>
  <si>
    <t>2022. 4. 4 오후 4:00:00</t>
  </si>
  <si>
    <t>2022. 4. 4 오후 3:30:00</t>
  </si>
  <si>
    <t>2022. 4. 5 오후 4:00:00</t>
  </si>
  <si>
    <t>2022. 4. 5 오후 3:30:00</t>
  </si>
  <si>
    <t>2022. 4. 6 오후 4:00:00</t>
  </si>
  <si>
    <t>2022. 4. 6 오후 3:30:00</t>
  </si>
  <si>
    <t>2022. 4. 7 오후 4:00:00</t>
  </si>
  <si>
    <t>2022. 4. 7 오후 3:30:00</t>
  </si>
  <si>
    <t>2022. 4. 8 오후 4:00:00</t>
  </si>
  <si>
    <t>2022. 4. 8 오후 3:30:00</t>
  </si>
  <si>
    <t>2022. 4. 9 오후 4:00:00</t>
  </si>
  <si>
    <t>2022. 4. 9 오후 3:30:00</t>
  </si>
  <si>
    <t>2022. 4. 10 오후 4:00:00</t>
  </si>
  <si>
    <t>2022. 4. 10 오후 3:30:00</t>
  </si>
  <si>
    <t>2022. 4. 11 오후 4:00:00</t>
  </si>
  <si>
    <t>2022. 4. 11 오후 3:30:00</t>
  </si>
  <si>
    <t>2022. 4. 12 오후 4:00:00</t>
  </si>
  <si>
    <t>2022. 4. 12 오후 3:30:00</t>
  </si>
  <si>
    <t>2022. 4. 13 오후 4:00:00</t>
  </si>
  <si>
    <t>2022. 4. 13 오후 3:30:00</t>
  </si>
  <si>
    <t>2022. 4. 14 오후 4:00:00</t>
  </si>
  <si>
    <t>2022. 4. 14 오후 3:30:00</t>
  </si>
  <si>
    <t>2022. 4. 15 오후 4:00:00</t>
  </si>
  <si>
    <t>2022. 4. 15 오후 3:30:00</t>
  </si>
  <si>
    <t>2022. 4. 16 오후 4:00:00</t>
  </si>
  <si>
    <t>2022. 4. 16 오후 3:30:00</t>
  </si>
  <si>
    <t>2022. 4. 17 오후 4:00:00</t>
  </si>
  <si>
    <t>2022. 4. 17 오후 3:30:00</t>
  </si>
  <si>
    <t>2022. 4. 18 오후 4:00:00</t>
  </si>
  <si>
    <t>2022. 4. 18 오후 3:30:00</t>
  </si>
  <si>
    <t>2022. 4. 19 오후 4:00:00</t>
  </si>
  <si>
    <t>2022. 4. 19 오후 3:30:00</t>
  </si>
  <si>
    <t>2022. 4. 20 오후 4:00:00</t>
  </si>
  <si>
    <t>2022. 4. 20 오후 3:30:00</t>
  </si>
  <si>
    <t>2022. 4. 21 오후 4:00:00</t>
  </si>
  <si>
    <t>2022. 4. 21 오후 3:30:00</t>
  </si>
  <si>
    <t>2022. 4. 22 오후 4:00:00</t>
  </si>
  <si>
    <t>2022. 4. 22 오후 3:30:00</t>
  </si>
  <si>
    <t>2022. 4. 23 오후 4:00:00</t>
  </si>
  <si>
    <t>2022. 4. 23 오후 3:30:00</t>
  </si>
  <si>
    <t>2022. 4. 24 오후 4:00:00</t>
  </si>
  <si>
    <t>2022. 4. 24 오후 3:30:00</t>
  </si>
  <si>
    <t>2022. 4. 25 오후 4:00:00</t>
  </si>
  <si>
    <t>2022. 4. 25 오후 3:30:00</t>
  </si>
  <si>
    <t>2022. 4. 26 오후 4:00:00</t>
  </si>
  <si>
    <t>2022. 4. 26 오후 3:30:00</t>
  </si>
  <si>
    <t>2022. 4. 27 오후 4:00:00</t>
  </si>
  <si>
    <t>2022. 4. 27 오후 3:30:00</t>
  </si>
  <si>
    <t>2022. 4. 28 오후 4:00:00</t>
  </si>
  <si>
    <t>2022. 4. 28 오후 3:30:00</t>
  </si>
  <si>
    <t>2022. 4. 29 오후 4:00:00</t>
  </si>
  <si>
    <t>2022. 4. 29 오후 3:30:00</t>
  </si>
  <si>
    <t>2022. 4. 30 오후 4:00:00</t>
  </si>
  <si>
    <t>2022. 4. 30 오후 3:30:00</t>
  </si>
  <si>
    <t>2022. 5. 1 오후 4:00:00</t>
  </si>
  <si>
    <t>2022. 5. 1 오후 3:30:00</t>
  </si>
  <si>
    <t>2022. 5. 2 오후 4:00:00</t>
  </si>
  <si>
    <t>2022. 5. 2 오후 3:30:00</t>
  </si>
  <si>
    <t>2022. 5. 3 오후 4:00:00</t>
  </si>
  <si>
    <t>2022. 5. 3 오후 3:30:00</t>
  </si>
  <si>
    <t>2022. 5. 4 오후 4:00:00</t>
  </si>
  <si>
    <t>2022. 5. 4 오후 3:30:00</t>
  </si>
  <si>
    <t>2022. 5. 5 오후 4:00:00</t>
  </si>
  <si>
    <t>2022. 5. 5 오후 3:30:00</t>
  </si>
  <si>
    <t>2022. 5. 6 오후 4:00:00</t>
  </si>
  <si>
    <t>2022. 5. 6 오후 3:30:00</t>
  </si>
  <si>
    <t>2022. 5. 7 오후 4:00:00</t>
  </si>
  <si>
    <t>2022. 5. 7 오후 3:30:00</t>
  </si>
  <si>
    <t>2022. 5. 8 오후 4:00:00</t>
  </si>
  <si>
    <t>2022. 5. 8 오후 3:30:00</t>
  </si>
  <si>
    <t>2022. 5. 9 오후 4:00:00</t>
  </si>
  <si>
    <t>2022. 5. 9 오후 3:30:00</t>
  </si>
  <si>
    <t>2022. 5. 10 오후 4:00:00</t>
  </si>
  <si>
    <t>2022. 5. 10 오후 3:30:00</t>
  </si>
  <si>
    <t>2022. 5. 11 오후 4:00:00</t>
  </si>
  <si>
    <t>2022. 5. 11 오후 3:30:00</t>
  </si>
  <si>
    <t>2022. 5. 12 오후 4:00:00</t>
  </si>
  <si>
    <t>2022. 5. 12 오후 3:30:00</t>
  </si>
  <si>
    <t>2022. 5. 13 오후 4:00:00</t>
  </si>
  <si>
    <t>2022. 5. 13 오후 3:30:00</t>
  </si>
  <si>
    <t>2022. 5. 14 오후 4:00:00</t>
  </si>
  <si>
    <t>2022. 5. 14 오후 3:30:00</t>
  </si>
  <si>
    <t>2022. 5. 15 오후 4:00:00</t>
  </si>
  <si>
    <t>2022. 5. 15 오후 3:30:00</t>
  </si>
  <si>
    <t>2022. 5. 16 오후 4:00:00</t>
  </si>
  <si>
    <t>2022. 5. 16 오후 3:30:00</t>
  </si>
  <si>
    <t>2022. 5. 17 오후 4:00:00</t>
  </si>
  <si>
    <t>2022. 5. 17 오후 3:30:00</t>
  </si>
  <si>
    <t>2022. 5. 18 오후 4:00:00</t>
  </si>
  <si>
    <t>2022. 5. 18 오후 3:30:00</t>
  </si>
  <si>
    <t>2022. 5. 19 오후 4:00:00</t>
  </si>
  <si>
    <t>2022. 5. 19 오후 3:30:00</t>
  </si>
  <si>
    <t>2022. 5. 20 오후 4:00:00</t>
  </si>
  <si>
    <t>2022. 5. 20 오후 3:30:00</t>
  </si>
  <si>
    <t>2022. 5. 21 오후 4:00:00</t>
  </si>
  <si>
    <t>2022. 5. 21 오후 3:30:00</t>
  </si>
  <si>
    <t>2022. 5. 22 오후 4:00:00</t>
  </si>
  <si>
    <t>2022. 5. 22 오후 3:30:00</t>
  </si>
  <si>
    <t>2022. 5. 23 오후 4:00:00</t>
  </si>
  <si>
    <t>2022. 5. 23 오후 3:30:00</t>
  </si>
  <si>
    <t>2022. 5. 24 오후 4:00:00</t>
  </si>
  <si>
    <t>2022. 5. 24 오후 3:30:00</t>
  </si>
  <si>
    <t>2022. 5. 25 오후 4:00:00</t>
  </si>
  <si>
    <t>2022. 5. 25 오후 3:30:00</t>
  </si>
  <si>
    <t>2022. 5. 26 오후 4:00:00</t>
  </si>
  <si>
    <t>2022. 5. 26 오후 3:30:00</t>
  </si>
  <si>
    <t>2022. 5. 27 오후 4:00:00</t>
  </si>
  <si>
    <t>2022. 5. 27 오후 3:30:00</t>
  </si>
  <si>
    <t>2022. 5. 28 오후 4:00:00</t>
  </si>
  <si>
    <t>2022. 5. 28 오후 3:30:00</t>
  </si>
  <si>
    <t>2022. 5. 29 오후 4:00:00</t>
  </si>
  <si>
    <t>2022. 5. 29 오후 3:30:00</t>
  </si>
  <si>
    <t>2022. 5. 30 오후 4:00:00</t>
  </si>
  <si>
    <t>2022. 5. 30 오후 3:30:00</t>
  </si>
  <si>
    <t>2022. 5. 31 오후 4:00:00</t>
  </si>
  <si>
    <t>2022. 5. 31 오후 3:30:00</t>
  </si>
  <si>
    <t>2022. 6. 1 오후 4:00:00</t>
  </si>
  <si>
    <t>2022. 6. 1 오후 3:30:00</t>
  </si>
  <si>
    <t>2022. 6. 2 오후 4:00:00</t>
  </si>
  <si>
    <t>2022. 6. 2 오후 3:30:00</t>
  </si>
  <si>
    <t>2022. 6. 3 오후 4:00:00</t>
  </si>
  <si>
    <t>2022. 6. 3 오후 3:30:00</t>
  </si>
  <si>
    <t>2022. 6. 4 오후 4:00:00</t>
  </si>
  <si>
    <t>2022. 6. 4 오후 3:30:00</t>
  </si>
  <si>
    <t>2022. 6. 5 오후 4:00:00</t>
  </si>
  <si>
    <t>2022. 6. 5 오후 3:30:00</t>
  </si>
  <si>
    <t>2022. 6. 6 오후 4:00:00</t>
  </si>
  <si>
    <t>2022. 6. 6 오후 3:30:00</t>
  </si>
  <si>
    <t>2022. 6. 7 오후 4:00:00</t>
  </si>
  <si>
    <t>2022. 6. 7 오후 3:30:00</t>
  </si>
  <si>
    <t>2022. 6. 8 오후 4:00:00</t>
  </si>
  <si>
    <t>2022. 6. 8 오후 3:30:00</t>
  </si>
  <si>
    <t>2022. 6. 9 오후 4:00:00</t>
  </si>
  <si>
    <t>2022. 6. 9 오후 3:30:00</t>
  </si>
  <si>
    <t>2022. 6. 10 오후 4:00:00</t>
  </si>
  <si>
    <t>2022. 6. 10 오후 3:30:00</t>
  </si>
  <si>
    <t>2022. 6. 11 오후 4:00:00</t>
  </si>
  <si>
    <t>2022. 6. 11 오후 3:30:00</t>
  </si>
  <si>
    <t>2022. 6. 12 오후 4:00:00</t>
  </si>
  <si>
    <t>2022. 6. 12 오후 3:30:00</t>
  </si>
  <si>
    <t>2022. 6. 13 오후 4:00:00</t>
  </si>
  <si>
    <t>2022. 6. 13 오후 3:30:00</t>
  </si>
  <si>
    <t>2022. 6. 14 오후 4:00:00</t>
  </si>
  <si>
    <t>2022. 6. 14 오후 3:30:00</t>
  </si>
  <si>
    <t>2022. 6. 15 오후 4:00:00</t>
  </si>
  <si>
    <t>2022. 6. 15 오후 3:30:00</t>
  </si>
  <si>
    <t>2022. 6. 16 오후 4:00:00</t>
  </si>
  <si>
    <t>2022. 6. 16 오후 3:30:00</t>
  </si>
  <si>
    <t>2022. 6. 17 오후 4:00:00</t>
  </si>
  <si>
    <t>2022. 6. 17 오후 3:30:00</t>
  </si>
  <si>
    <t>2022. 6. 18 오후 4:00:00</t>
  </si>
  <si>
    <t>2022. 6. 18 오후 3:30:00</t>
  </si>
  <si>
    <t>2022. 6. 19 오후 4:00:00</t>
  </si>
  <si>
    <t>2022. 6. 19 오후 3:30:00</t>
  </si>
  <si>
    <t>2022. 6. 20 오후 4:00:00</t>
  </si>
  <si>
    <t>2022. 6. 20 오후 3:30:00</t>
  </si>
  <si>
    <t>2022. 6. 21 오후 4:00:00</t>
  </si>
  <si>
    <t>2022. 6. 21 오후 3:30:00</t>
  </si>
  <si>
    <t>2022. 6. 22 오후 4:00:00</t>
  </si>
  <si>
    <t>2022. 6. 22 오후 3:30:00</t>
  </si>
  <si>
    <t>2022. 6. 23 오후 4:00:00</t>
  </si>
  <si>
    <t>2022. 6. 23 오후 3:30:00</t>
  </si>
  <si>
    <t>2022. 6. 24 오후 4:00:00</t>
  </si>
  <si>
    <t>2022. 6. 24 오후 3:30:00</t>
  </si>
  <si>
    <t>2022. 6. 25 오후 4:00:00</t>
  </si>
  <si>
    <t>2022. 6. 25 오후 3:30:00</t>
  </si>
  <si>
    <t>2022. 6. 26 오후 4:00:00</t>
  </si>
  <si>
    <t>2022. 6. 26 오후 3:30:00</t>
  </si>
  <si>
    <t>2022. 6. 27 오후 4:00:00</t>
  </si>
  <si>
    <t>2022. 6. 27 오후 3:30:00</t>
  </si>
  <si>
    <t>2022. 6. 28 오후 4:00:00</t>
  </si>
  <si>
    <t>2022. 6. 28 오후 3:30:00</t>
  </si>
  <si>
    <t>2022. 6. 29 오후 4:00:00</t>
  </si>
  <si>
    <t>2022. 6. 29 오후 3:30:00</t>
  </si>
  <si>
    <t>2022. 6. 30 오후 4:00:00</t>
  </si>
  <si>
    <t>2022. 6. 30 오후 3:30:00</t>
  </si>
  <si>
    <t>2022. 7. 1 오후 4:00:00</t>
  </si>
  <si>
    <t>2022. 7. 1 오후 3:30:00</t>
  </si>
  <si>
    <t>2022. 7. 2 오후 4:00:00</t>
  </si>
  <si>
    <t>2022. 7. 2 오후 3:30:00</t>
  </si>
  <si>
    <t>2022. 7. 3 오후 4:00:00</t>
  </si>
  <si>
    <t>2022. 7. 3 오후 3:30:00</t>
  </si>
  <si>
    <t>2022. 7. 4 오후 4:00:00</t>
  </si>
  <si>
    <t>2022. 7. 4 오후 3:30:00</t>
  </si>
  <si>
    <t>2022. 7. 5 오후 4:00:00</t>
  </si>
  <si>
    <t>2022. 7. 5 오후 3:30:00</t>
  </si>
  <si>
    <t>2022. 7. 6 오후 4:00:00</t>
  </si>
  <si>
    <t>2022. 7. 6 오후 3:30:00</t>
  </si>
  <si>
    <t>2022. 7. 7 오후 4:00:00</t>
  </si>
  <si>
    <t>2022. 7. 7 오후 3:30:00</t>
  </si>
  <si>
    <t>2022. 7. 8 오후 4:00:00</t>
  </si>
  <si>
    <t>2022. 7. 8 오후 3:30:00</t>
  </si>
  <si>
    <t>2022. 7. 9 오후 4:00:00</t>
  </si>
  <si>
    <t>2022. 7. 9 오후 3:30:00</t>
  </si>
  <si>
    <t>2022. 7. 10 오후 4:00:00</t>
  </si>
  <si>
    <t>2022. 7. 10 오후 3:30:00</t>
  </si>
  <si>
    <t>2022. 7. 11 오후 4:00:00</t>
  </si>
  <si>
    <t>2022. 7. 11 오후 3:30:00</t>
  </si>
  <si>
    <t>2022. 7. 12 오후 4:00:00</t>
  </si>
  <si>
    <t>2022. 7. 12 오후 3:30:00</t>
  </si>
  <si>
    <t>2022. 7. 13 오후 4:00:00</t>
  </si>
  <si>
    <t>2022. 7. 13 오후 3:30:00</t>
  </si>
  <si>
    <t>2022. 7. 14 오후 4:00:00</t>
  </si>
  <si>
    <t>2022. 7. 14 오후 3:30:00</t>
  </si>
  <si>
    <t>2022. 7. 15 오후 4:00:00</t>
  </si>
  <si>
    <t>2022. 7. 15 오후 3:30:00</t>
  </si>
  <si>
    <t>2022. 7. 16 오후 4:00:00</t>
  </si>
  <si>
    <t>2022. 7. 16 오후 3:30:00</t>
  </si>
  <si>
    <t>2022. 7. 17 오후 4:00:00</t>
  </si>
  <si>
    <t>2022. 7. 17 오후 3:30:00</t>
  </si>
  <si>
    <t>2022. 7. 18 오후 4:00:00</t>
  </si>
  <si>
    <t>2022. 7. 18 오후 3:30:00</t>
  </si>
  <si>
    <t>2022. 7. 19 오후 4:00:00</t>
  </si>
  <si>
    <t>2022. 7. 19 오후 3:30:00</t>
  </si>
  <si>
    <t>2022. 7. 20 오후 4:00:00</t>
  </si>
  <si>
    <t>2022. 7. 20 오후 3:30:00</t>
  </si>
  <si>
    <t>2022. 7. 21 오후 4:00:00</t>
  </si>
  <si>
    <t>2022. 7. 21 오후 3:30:00</t>
  </si>
  <si>
    <t>2022. 7. 22 오후 4:00:00</t>
  </si>
  <si>
    <t>2022. 7. 22 오후 3:30:00</t>
  </si>
  <si>
    <t>2022. 7. 23 오후 4:00:00</t>
  </si>
  <si>
    <t>2022. 7. 23 오후 3:30:00</t>
  </si>
  <si>
    <t>2022. 7. 24 오후 4:00:00</t>
  </si>
  <si>
    <t>2022. 7. 24 오후 3:30:00</t>
  </si>
  <si>
    <t>2022. 7. 25 오후 4:00:00</t>
  </si>
  <si>
    <t>2022. 7. 25 오후 3:30:00</t>
  </si>
  <si>
    <t>2022. 7. 26 오후 4:00:00</t>
  </si>
  <si>
    <t>2022. 7. 26 오후 3:30:00</t>
  </si>
  <si>
    <t>2022. 7. 27 오후 4:00:00</t>
  </si>
  <si>
    <t>2022. 7. 27 오후 3:30:00</t>
  </si>
  <si>
    <t>2022. 7. 28 오후 4:00:00</t>
  </si>
  <si>
    <t>2022. 7. 28 오후 3:30:00</t>
  </si>
  <si>
    <t>2022. 7. 29 오후 4:00:00</t>
  </si>
  <si>
    <t>2022. 7. 29 오후 3:30:00</t>
  </si>
  <si>
    <t>2022. 7. 30 오후 4:00:00</t>
  </si>
  <si>
    <t>2022. 7. 30 오후 3:30:00</t>
  </si>
  <si>
    <t>2022. 7. 31 오후 4:00:00</t>
  </si>
  <si>
    <t>2022. 7. 31 오후 3:30:00</t>
  </si>
  <si>
    <t>2022. 8. 1 오후 4:00:00</t>
  </si>
  <si>
    <t>2022. 8. 1 오후 3:30:00</t>
  </si>
  <si>
    <t>2022. 8. 2 오후 4:00:00</t>
  </si>
  <si>
    <t>2022. 8. 2 오후 3:30:00</t>
  </si>
  <si>
    <t>2022. 8. 3 오후 4:00:00</t>
  </si>
  <si>
    <t>2022. 8. 3 오후 3:30:00</t>
  </si>
  <si>
    <t>2022. 8. 4 오후 4:00:00</t>
  </si>
  <si>
    <t>2022. 8. 4 오후 3:30:00</t>
  </si>
  <si>
    <t>2022. 8. 5 오후 4:00:00</t>
  </si>
  <si>
    <t>2022. 8. 5 오후 3:30:00</t>
  </si>
  <si>
    <t>2022. 8. 6 오후 4:00:00</t>
  </si>
  <si>
    <t>2022. 8. 6 오후 3:30:00</t>
  </si>
  <si>
    <t>2022. 8. 7 오후 4:00:00</t>
  </si>
  <si>
    <t>2022. 8. 7 오후 3:30:00</t>
  </si>
  <si>
    <t>2022. 8. 8 오후 4:00:00</t>
  </si>
  <si>
    <t>2022. 8. 8 오후 3:30:00</t>
  </si>
  <si>
    <t>2022. 8. 9 오후 4:00:00</t>
  </si>
  <si>
    <t>2022. 8. 9 오후 3:30:00</t>
  </si>
  <si>
    <t>2022. 8. 10 오후 4:00:00</t>
  </si>
  <si>
    <t>2022. 8. 10 오후 3:30:00</t>
  </si>
  <si>
    <t>2022. 8. 11 오후 4:00:00</t>
  </si>
  <si>
    <t>2022. 8. 11 오후 3:30:00</t>
  </si>
  <si>
    <t>2022. 8. 12 오후 4:00:00</t>
  </si>
  <si>
    <t>2022. 8. 12 오후 3:30:00</t>
  </si>
  <si>
    <t>2022. 8. 13 오후 4:00:00</t>
  </si>
  <si>
    <t>2022. 8. 13 오후 3:30:00</t>
  </si>
  <si>
    <t>2022. 8. 14 오후 4:00:00</t>
  </si>
  <si>
    <t>2022. 8. 14 오후 3:30:00</t>
  </si>
  <si>
    <t>2022. 8. 15 오후 4:00:00</t>
  </si>
  <si>
    <t>2022. 8. 15 오후 3:30:00</t>
  </si>
  <si>
    <t>2022. 8. 16 오후 4:00:00</t>
  </si>
  <si>
    <t>2022. 8. 16 오후 3:30:00</t>
  </si>
  <si>
    <t>2022. 8. 17 오후 4:00:00</t>
  </si>
  <si>
    <t>2022. 8. 17 오후 3:30:00</t>
  </si>
  <si>
    <t>2022. 8. 18 오후 4:00:00</t>
  </si>
  <si>
    <t>2022. 8. 18 오후 3:30:00</t>
  </si>
  <si>
    <t>2022. 8. 19 오후 4:00:00</t>
  </si>
  <si>
    <t>2022. 8. 19 오후 3:30:00</t>
  </si>
  <si>
    <t>2022. 8. 20 오후 4:00:00</t>
  </si>
  <si>
    <t>2022. 8. 20 오후 3:30:00</t>
  </si>
  <si>
    <t>2022. 8. 21 오후 4:00:00</t>
  </si>
  <si>
    <t>2022. 8. 21 오후 3:30:00</t>
  </si>
  <si>
    <t>2022. 8. 22 오후 4:00:00</t>
  </si>
  <si>
    <t>2022. 8. 22 오후 3:30:00</t>
  </si>
  <si>
    <t>2022. 8. 23 오후 4:00:00</t>
  </si>
  <si>
    <t>2022. 8. 23 오후 3:30:00</t>
  </si>
  <si>
    <t>2022. 8. 24 오후 4:00:00</t>
  </si>
  <si>
    <t>2022. 8. 24 오후 3:30:00</t>
  </si>
  <si>
    <t>2022. 8. 25 오후 4:00:00</t>
  </si>
  <si>
    <t>2022. 8. 25 오후 3:30:00</t>
  </si>
  <si>
    <t>2022. 8. 26 오후 4:00:00</t>
  </si>
  <si>
    <t>2022. 8. 26 오후 3:30:00</t>
  </si>
  <si>
    <t>2022. 8. 27 오후 4:00:00</t>
  </si>
  <si>
    <t>2022. 8. 27 오후 3:30:00</t>
  </si>
  <si>
    <t>2022. 8. 28 오후 4:00:00</t>
  </si>
  <si>
    <t>2022. 8. 28 오후 3:30:00</t>
  </si>
  <si>
    <t>2022. 8. 29 오후 4:00:00</t>
  </si>
  <si>
    <t>2022. 8. 29 오후 3:30:00</t>
  </si>
  <si>
    <t>2022. 8. 30 오후 4:00:00</t>
  </si>
  <si>
    <t>2022. 8. 30 오후 3:30:00</t>
  </si>
  <si>
    <t>2022. 8. 31 오후 4:00:00</t>
  </si>
  <si>
    <t>2022. 8. 31 오후 3:30:00</t>
  </si>
  <si>
    <t>2022. 9. 1 오후 4:00:00</t>
  </si>
  <si>
    <t>2022. 9. 1 오후 3:30:00</t>
  </si>
  <si>
    <t>2022. 9. 2 오후 4:00:00</t>
  </si>
  <si>
    <t>2022. 9. 2 오후 3:30:00</t>
  </si>
  <si>
    <t>2022. 9. 3 오후 4:00:00</t>
  </si>
  <si>
    <t>2022. 9. 3 오후 3:30:00</t>
  </si>
  <si>
    <t>2022. 9. 4 오후 4:00:00</t>
  </si>
  <si>
    <t>2022. 9. 4 오후 3:30:00</t>
  </si>
  <si>
    <t>2022. 9. 5 오후 4:00:00</t>
  </si>
  <si>
    <t>2022. 9. 5 오후 3:30:00</t>
  </si>
  <si>
    <t>2022. 9. 6 오후 4:00:00</t>
  </si>
  <si>
    <t>2022. 9. 6 오후 3:30:00</t>
  </si>
  <si>
    <t>2022. 9. 7 오후 4:00:00</t>
  </si>
  <si>
    <t>2022. 9. 7 오후 3:30:00</t>
  </si>
  <si>
    <t>2022. 9. 8 오후 4:00:00</t>
  </si>
  <si>
    <t>2022. 9. 8 오후 3:30:00</t>
  </si>
  <si>
    <t>2022. 9. 9 오후 4:00:00</t>
  </si>
  <si>
    <t>2022. 9. 9 오후 3:30:00</t>
  </si>
  <si>
    <t>2022. 9. 10 오후 4:00:00</t>
  </si>
  <si>
    <t>2022. 9. 10 오후 3:30:00</t>
  </si>
  <si>
    <t>2022. 9. 11 오후 4:00:00</t>
  </si>
  <si>
    <t>2022. 9. 11 오후 3:30:00</t>
  </si>
  <si>
    <t>2022. 9. 12 오후 4:00:00</t>
  </si>
  <si>
    <t>2022. 9. 12 오후 3:30:00</t>
  </si>
  <si>
    <t>2022. 9. 13 오후 4:00:00</t>
  </si>
  <si>
    <t>2022. 9. 13 오후 3:30:00</t>
  </si>
  <si>
    <t>2022. 9. 14 오후 4:00:00</t>
  </si>
  <si>
    <t>2022. 9. 14 오후 3:30:00</t>
  </si>
  <si>
    <t>2022. 9. 15 오후 4:00:00</t>
  </si>
  <si>
    <t>2022. 9. 15 오후 3:30:00</t>
  </si>
  <si>
    <t>2022. 9. 16 오후 4:00:00</t>
  </si>
  <si>
    <t>2022. 9. 16 오후 3:30:00</t>
  </si>
  <si>
    <t>2022. 9. 17 오후 4:00:00</t>
  </si>
  <si>
    <t>2022. 9. 17 오후 3:30:00</t>
  </si>
  <si>
    <t>2022. 9. 18 오후 4:00:00</t>
  </si>
  <si>
    <t>2022. 9. 18 오후 3:30:00</t>
  </si>
  <si>
    <t>2022. 9. 19 오후 4:00:00</t>
  </si>
  <si>
    <t>2022. 9. 19 오후 3:30:00</t>
  </si>
  <si>
    <t>2022. 9. 20 오후 4:00:00</t>
  </si>
  <si>
    <t>2022. 9. 20 오후 3:30:00</t>
  </si>
  <si>
    <t>2022. 9. 21 오후 4:00:00</t>
  </si>
  <si>
    <t>2022. 9. 21 오후 3:30:00</t>
  </si>
  <si>
    <t>2022. 9. 22 오후 4:00:00</t>
  </si>
  <si>
    <t>2022. 9. 22 오후 3:30:00</t>
  </si>
  <si>
    <t>2022. 9. 23 오후 4:00:00</t>
  </si>
  <si>
    <t>2022. 9. 23 오후 3:30:00</t>
  </si>
  <si>
    <t>2022. 9. 24 오후 4:00:00</t>
  </si>
  <si>
    <t>2022. 9. 24 오후 3:30:00</t>
  </si>
  <si>
    <t>2022. 9. 25 오후 4:00:00</t>
  </si>
  <si>
    <t>2022. 9. 25 오후 3:30:00</t>
  </si>
  <si>
    <t>2022. 9. 26 오후 4:00:00</t>
  </si>
  <si>
    <t>2022. 9. 26 오후 3:30:00</t>
  </si>
  <si>
    <t>2022. 9. 27 오후 4:00:00</t>
  </si>
  <si>
    <t>2022. 9. 27 오후 3:30:00</t>
  </si>
  <si>
    <t>2022. 9. 28 오후 4:00:00</t>
  </si>
  <si>
    <t>2022. 9. 28 오후 3:30:00</t>
  </si>
  <si>
    <t>2022. 9. 29 오후 4:00:00</t>
  </si>
  <si>
    <t>2022. 9. 29 오후 3:30:00</t>
  </si>
  <si>
    <t>2022. 9. 30 오후 4:00:00</t>
  </si>
  <si>
    <t>2022. 9. 30 오후 3:30:00</t>
  </si>
  <si>
    <t>2022. 10. 1 오후 4:00:00</t>
  </si>
  <si>
    <t>2022. 10. 1 오후 3:30:00</t>
  </si>
  <si>
    <t>2022. 10. 2 오후 4:00:00</t>
  </si>
  <si>
    <t>2022. 10. 2 오후 3:30:00</t>
  </si>
  <si>
    <t>2022. 10. 3 오후 4:00:00</t>
  </si>
  <si>
    <t>2022. 10. 3 오후 3:30:00</t>
  </si>
  <si>
    <t>2022. 10. 4 오후 4:00:00</t>
  </si>
  <si>
    <t>2022. 10. 4 오후 3:30:00</t>
  </si>
  <si>
    <t>2022. 10. 5 오후 4:00:00</t>
  </si>
  <si>
    <t>2022. 10. 5 오후 3:30:00</t>
  </si>
  <si>
    <t>2022. 10. 6 오후 4:00:00</t>
  </si>
  <si>
    <t>2022. 10. 6 오후 3:30:00</t>
  </si>
  <si>
    <t>2022. 10. 7 오후 4:00:00</t>
  </si>
  <si>
    <t>2022. 10. 7 오후 3:30:00</t>
  </si>
  <si>
    <t>2022. 10. 8 오후 4:00:00</t>
  </si>
  <si>
    <t>2022. 10. 8 오후 3:30:00</t>
  </si>
  <si>
    <t>2022. 10. 9 오후 4:00:00</t>
  </si>
  <si>
    <t>2022. 10. 9 오후 3:30:00</t>
  </si>
  <si>
    <t>2022. 10. 10 오후 4:00:00</t>
  </si>
  <si>
    <t>2022. 10. 10 오후 3:30:00</t>
  </si>
  <si>
    <t>2022. 10. 11 오후 4:00:00</t>
  </si>
  <si>
    <t>2022. 10. 11 오후 3:30:00</t>
  </si>
  <si>
    <t>2022. 10. 12 오후 4:00:00</t>
  </si>
  <si>
    <t>2022. 10. 12 오후 3:30:00</t>
  </si>
  <si>
    <t>2022. 10. 13 오후 4:00:00</t>
  </si>
  <si>
    <t>2022. 10. 13 오후 3:30:00</t>
  </si>
  <si>
    <t>2022. 10. 14 오후 4:00:00</t>
  </si>
  <si>
    <t>2022. 10. 14 오후 3:30:00</t>
  </si>
  <si>
    <t>2022. 10. 15 오후 4:00:00</t>
  </si>
  <si>
    <t>2022. 10. 15 오후 3:30:00</t>
  </si>
  <si>
    <t>2022. 10. 16 오후 4:00:00</t>
  </si>
  <si>
    <t>2022. 10. 16 오후 3:30:00</t>
  </si>
  <si>
    <t>2022. 10. 17 오후 4:00:00</t>
  </si>
  <si>
    <t>2022. 10. 17 오후 3:30:00</t>
  </si>
  <si>
    <t>2022. 10. 18 오후 4:00:00</t>
  </si>
  <si>
    <t>2022. 10. 18 오후 3:30:00</t>
  </si>
  <si>
    <t>2022. 10. 19 오후 4:00:00</t>
  </si>
  <si>
    <t>2022. 10. 19 오후 3:30:00</t>
  </si>
  <si>
    <t>2022. 10. 20 오후 4:00:00</t>
  </si>
  <si>
    <t>2022. 10. 20 오후 3:30:00</t>
  </si>
  <si>
    <t>2022. 10. 21 오후 4:00:00</t>
  </si>
  <si>
    <t>2022. 10. 21 오후 3:30:00</t>
  </si>
  <si>
    <t>2022. 10. 22 오후 4:00:00</t>
  </si>
  <si>
    <t>2022. 10. 22 오후 3:30:00</t>
  </si>
  <si>
    <t>2022. 10. 23 오후 4:00:00</t>
  </si>
  <si>
    <t>2022. 10. 23 오후 3:30:00</t>
  </si>
  <si>
    <t>2022. 10. 24 오후 4:00:00</t>
  </si>
  <si>
    <t>2022. 10. 24 오후 3:30:00</t>
  </si>
  <si>
    <t>2022. 10. 25 오후 4:00:00</t>
  </si>
  <si>
    <t>2022. 10. 25 오후 3:30:00</t>
  </si>
  <si>
    <t>2022. 10. 26 오후 4:00:00</t>
  </si>
  <si>
    <t>2022. 10. 26 오후 3:30:00</t>
  </si>
  <si>
    <t>2022. 10. 27 오후 4:00:00</t>
  </si>
  <si>
    <t>2022. 10. 27 오후 3:30:00</t>
  </si>
  <si>
    <t>2022. 10. 28 오후 4:00:00</t>
  </si>
  <si>
    <t>2022. 10. 28 오후 3:30:00</t>
  </si>
  <si>
    <t>2022. 10. 29 오후 4:00:00</t>
  </si>
  <si>
    <t>2022. 10. 29 오후 3:30:00</t>
  </si>
  <si>
    <t>2022. 10. 30 오후 4:00:00</t>
  </si>
  <si>
    <t>2022. 10. 30 오후 3:30:00</t>
  </si>
  <si>
    <t>2022. 10. 31 오후 4:00:00</t>
  </si>
  <si>
    <t>2022. 10. 31 오후 3:30:00</t>
  </si>
  <si>
    <t>2022. 11. 1 오후 4:00:00</t>
  </si>
  <si>
    <t>2022. 11. 1 오후 3:30:00</t>
  </si>
  <si>
    <t>2022. 11. 2 오후 4:00:00</t>
  </si>
  <si>
    <t>2022. 11. 2 오후 3:30:00</t>
  </si>
  <si>
    <t>2022. 11. 3 오후 4:00:00</t>
  </si>
  <si>
    <t>2022. 11. 3 오후 3:30:00</t>
  </si>
  <si>
    <t>2022. 11. 4 오후 4:00:00</t>
  </si>
  <si>
    <t>2022. 11. 4 오후 3:30:00</t>
  </si>
  <si>
    <t>2022. 11. 5 오후 4:00:00</t>
  </si>
  <si>
    <t>2022. 11. 5 오후 3:30:00</t>
  </si>
  <si>
    <t>2022. 11. 6 오후 4:00:00</t>
  </si>
  <si>
    <t>2022. 11. 6 오후 3:30:00</t>
  </si>
  <si>
    <t>2022. 11. 7 오후 4:00:00</t>
  </si>
  <si>
    <t>2022. 11. 7 오후 3:30:00</t>
  </si>
  <si>
    <t>2022. 11. 8 오후 4:00:00</t>
  </si>
  <si>
    <t>2022. 11. 8 오후 3:30:00</t>
  </si>
  <si>
    <t>2022. 11. 9 오후 4:00:00</t>
  </si>
  <si>
    <t>2022. 11. 9 오후 3:30:00</t>
  </si>
  <si>
    <t>2022. 11. 10 오후 4:00:00</t>
  </si>
  <si>
    <t>2022. 11. 10 오후 3:30:00</t>
  </si>
  <si>
    <t>2022. 11. 11 오후 4:00:00</t>
  </si>
  <si>
    <t>2022. 11. 11 오후 3:30:00</t>
  </si>
  <si>
    <t>2022. 11. 12 오후 4:00:00</t>
  </si>
  <si>
    <t>2022. 11. 12 오후 3:30:00</t>
  </si>
  <si>
    <t>2022. 11. 13 오후 4:00:00</t>
  </si>
  <si>
    <t>2022. 11. 13 오후 3:30:00</t>
  </si>
  <si>
    <t>2022. 11. 14 오후 4:00:00</t>
  </si>
  <si>
    <t>2022. 11. 14 오후 3:30:00</t>
  </si>
  <si>
    <t>2022. 11. 15 오후 4:00:00</t>
  </si>
  <si>
    <t>2022. 11. 15 오후 3:30:00</t>
  </si>
  <si>
    <t>2022. 11. 16 오후 4:00:00</t>
  </si>
  <si>
    <t>2022. 11. 16 오후 3:30:00</t>
  </si>
  <si>
    <t>2022. 11. 17 오후 4:00:00</t>
  </si>
  <si>
    <t>2022. 11. 17 오후 3:30:00</t>
  </si>
  <si>
    <t>2022. 11. 18 오후 4:00:00</t>
  </si>
  <si>
    <t>2022. 11. 18 오후 3:30:00</t>
  </si>
  <si>
    <t>2022. 11. 19 오후 4:00:00</t>
  </si>
  <si>
    <t>2022. 11. 19 오후 3:30:00</t>
  </si>
  <si>
    <t>2022. 11. 20 오후 4:00:00</t>
  </si>
  <si>
    <t>2022. 11. 20 오후 3:30:00</t>
  </si>
  <si>
    <t>2022. 11. 21 오후 4:00:00</t>
  </si>
  <si>
    <t>2022. 11. 21 오후 3:30:00</t>
  </si>
  <si>
    <t>2022. 11. 22 오후 4:00:00</t>
  </si>
  <si>
    <t>2022. 11. 22 오후 3:30:00</t>
  </si>
  <si>
    <t>2022. 11. 23 오후 4:00:00</t>
  </si>
  <si>
    <t>2022. 11. 23 오후 3:30:00</t>
  </si>
  <si>
    <t>2022. 11. 24 오후 4:00:00</t>
  </si>
  <si>
    <t>2022. 11. 24 오후 3:30:00</t>
  </si>
  <si>
    <t>2022. 11. 25 오후 4:00:00</t>
  </si>
  <si>
    <t>2022. 11. 25 오후 3:30:00</t>
  </si>
  <si>
    <t>2022. 11. 26 오후 4:00:00</t>
  </si>
  <si>
    <t>2022. 11. 26 오후 3:30:00</t>
  </si>
  <si>
    <t>2022. 11. 27 오후 4:00:00</t>
  </si>
  <si>
    <t>2022. 11. 27 오후 3:30:00</t>
  </si>
  <si>
    <t>2022. 11. 28 오후 4:00:00</t>
  </si>
  <si>
    <t>2022. 11. 28 오후 3:30:00</t>
  </si>
  <si>
    <t>2022. 11. 29 오후 4:00:00</t>
  </si>
  <si>
    <t>2022. 11. 29 오후 3:30:00</t>
  </si>
  <si>
    <t>2022. 11. 30 오후 4:00:00</t>
  </si>
  <si>
    <t>2022. 11. 30 오후 3:30:00</t>
  </si>
  <si>
    <t>2022. 12. 1 오후 4:00:00</t>
  </si>
  <si>
    <t>2022. 12. 1 오후 3:30:00</t>
  </si>
  <si>
    <t>2022. 12. 2 오후 4:00:00</t>
  </si>
  <si>
    <t>2022. 12. 2 오후 3:30:00</t>
  </si>
  <si>
    <t>2022. 12. 3 오후 4:00:00</t>
  </si>
  <si>
    <t>2022. 12. 3 오후 3:30:00</t>
  </si>
  <si>
    <t>2022. 12. 4 오후 4:00:00</t>
  </si>
  <si>
    <t>2022. 12. 4 오후 3:30:00</t>
  </si>
  <si>
    <t>2022. 12. 5 오후 4:00:00</t>
  </si>
  <si>
    <t>2022. 12. 5 오후 3:30:00</t>
  </si>
  <si>
    <t>2022. 12. 6 오후 4:00:00</t>
  </si>
  <si>
    <t>2022. 12. 6 오후 3:30:00</t>
  </si>
  <si>
    <t>2022. 12. 7 오후 4:00:00</t>
  </si>
  <si>
    <t>2022. 12. 7 오후 3:30:00</t>
  </si>
  <si>
    <t>2022. 12. 8 오후 4:00:00</t>
  </si>
  <si>
    <t>2022. 12. 8 오후 3:30:00</t>
  </si>
  <si>
    <t>2022. 12. 9 오후 4:00:00</t>
  </si>
  <si>
    <t>2022. 12. 9 오후 3:30:00</t>
  </si>
  <si>
    <t>2022. 12. 10 오후 4:00:00</t>
  </si>
  <si>
    <t>2022. 12. 10 오후 3:30:00</t>
  </si>
  <si>
    <t>2022. 12. 11 오후 4:00:00</t>
  </si>
  <si>
    <t>2022. 12. 11 오후 3:30:00</t>
  </si>
  <si>
    <t>2022. 12. 12 오후 4:00:00</t>
  </si>
  <si>
    <t>2022. 12. 12 오후 3:30:00</t>
  </si>
  <si>
    <t>2022. 12. 13 오후 4:00:00</t>
  </si>
  <si>
    <t>2022. 12. 13 오후 3:30:00</t>
  </si>
  <si>
    <t>2022. 12. 14 오후 4:00:00</t>
  </si>
  <si>
    <t>2022. 12. 14 오후 3:30:00</t>
  </si>
  <si>
    <t>2022. 12. 15 오후 4:00:00</t>
  </si>
  <si>
    <t>2022. 12. 15 오후 3:30:00</t>
  </si>
  <si>
    <t>2022. 12. 16 오후 4:00:00</t>
  </si>
  <si>
    <t>2022. 12. 16 오후 3:30:00</t>
  </si>
  <si>
    <t>2022. 12. 17 오후 4:00:00</t>
  </si>
  <si>
    <t>2022. 12. 17 오후 3:30:00</t>
  </si>
  <si>
    <t>2022. 12. 18 오후 4:00:00</t>
  </si>
  <si>
    <t>2022. 12. 18 오후 3:30:00</t>
  </si>
  <si>
    <t>2022. 12. 19 오후 4:00:00</t>
  </si>
  <si>
    <t>2022. 12. 19 오후 3:30:00</t>
  </si>
  <si>
    <t>2022. 12. 20 오후 4:00:00</t>
  </si>
  <si>
    <t>2022. 12. 20 오후 3:30:00</t>
  </si>
  <si>
    <t>2022. 12. 21 오후 4:00:00</t>
  </si>
  <si>
    <t>2022. 12. 21 오후 3:30:00</t>
  </si>
  <si>
    <t>2022. 12. 22 오후 4:00:00</t>
  </si>
  <si>
    <t>2022. 12. 22 오후 3:30:00</t>
  </si>
  <si>
    <t>2022. 12. 23 오후 4:00:00</t>
  </si>
  <si>
    <t>2022. 12. 23 오후 3:30:00</t>
  </si>
  <si>
    <t>2022. 12. 24 오후 4:00:00</t>
  </si>
  <si>
    <t>2022. 12. 24 오후 3:30:00</t>
  </si>
  <si>
    <t>2022. 12. 25 오후 4:00:00</t>
  </si>
  <si>
    <t>2022. 12. 25 오후 3:30:00</t>
  </si>
  <si>
    <t>2022. 12. 26 오후 4:00:00</t>
  </si>
  <si>
    <t>2022. 12. 26 오후 3:30:00</t>
  </si>
  <si>
    <t>2022. 12. 27 오후 4:00:00</t>
  </si>
  <si>
    <t>2022. 12. 27 오후 3:30:00</t>
  </si>
  <si>
    <t>2022. 12. 28 오후 4:00:00</t>
  </si>
  <si>
    <t>2022. 12. 28 오후 3:30:00</t>
  </si>
  <si>
    <t>2022. 12. 29 오후 4:00:00</t>
  </si>
  <si>
    <t>2022. 12. 29 오후 3:30:00</t>
  </si>
  <si>
    <t>2022. 12. 30 오후 4:00:00</t>
  </si>
  <si>
    <t>2022. 12. 30 오후 3:30:00</t>
  </si>
  <si>
    <t>2022. 12. 31 오후 4:00:00</t>
  </si>
  <si>
    <t>2022. 12. 31 오후 3:30:00</t>
  </si>
  <si>
    <t>2023. 1. 1 오후 4:00:00</t>
  </si>
  <si>
    <t>2023. 1. 1 오후 3:30:00</t>
  </si>
  <si>
    <t>2023. 1. 2 오후 4:00:00</t>
  </si>
  <si>
    <t>2023. 1. 2 오후 3:30:00</t>
  </si>
  <si>
    <t>2023. 1. 3 오후 4:00:00</t>
  </si>
  <si>
    <t>2023. 1. 3 오후 3:30:00</t>
  </si>
  <si>
    <t>2023. 1. 4 오후 4:00:00</t>
  </si>
  <si>
    <t>2023. 1. 4 오후 3:30:00</t>
  </si>
  <si>
    <t>2023. 1. 5 오후 4:00:00</t>
  </si>
  <si>
    <t>2023. 1. 5 오후 3:30:00</t>
  </si>
  <si>
    <t>2023. 1. 6 오후 4:00:00</t>
  </si>
  <si>
    <t>2023. 1. 6 오후 3:30:00</t>
  </si>
  <si>
    <t>2023. 1. 7 오후 4:00:00</t>
  </si>
  <si>
    <t>2023. 1. 7 오후 3:30:00</t>
  </si>
  <si>
    <t>2023. 1. 8 오후 4:00:00</t>
  </si>
  <si>
    <t>2023. 1. 8 오후 3:30:00</t>
  </si>
  <si>
    <t>2023. 1. 9 오후 4:00:00</t>
  </si>
  <si>
    <t>2023. 1. 9 오후 3:30:00</t>
  </si>
  <si>
    <t>2023. 1. 10 오후 4:00:00</t>
  </si>
  <si>
    <t>2023. 1. 10 오후 3:30:00</t>
  </si>
  <si>
    <t>2023. 1. 11 오후 4:00:00</t>
  </si>
  <si>
    <t>2023. 1. 11 오후 3:30:00</t>
  </si>
  <si>
    <t>2023. 1. 12 오후 4:00:00</t>
  </si>
  <si>
    <t>2023. 1. 12 오후 3:30:00</t>
  </si>
  <si>
    <t>2023. 1. 13 오후 4:00:00</t>
  </si>
  <si>
    <t>2023. 1. 13 오후 3:30:00</t>
  </si>
  <si>
    <t>2023. 1. 14 오후 4:00:00</t>
  </si>
  <si>
    <t>2023. 1. 14 오후 3:30:00</t>
  </si>
  <si>
    <t>2023. 1. 15 오후 4:00:00</t>
  </si>
  <si>
    <t>2023. 1. 15 오후 3:30:00</t>
  </si>
  <si>
    <t>2023. 1. 16 오후 4:00:00</t>
  </si>
  <si>
    <t>2023. 1. 16 오후 3:30:00</t>
  </si>
  <si>
    <t>2023. 1. 17 오후 4:00:00</t>
  </si>
  <si>
    <t>2023. 1. 17 오후 3:30:00</t>
  </si>
  <si>
    <t>2023. 1. 18 오후 4:00:00</t>
  </si>
  <si>
    <t>2023. 1. 18 오후 3:30:00</t>
  </si>
  <si>
    <t>2023. 1. 19 오후 4:00:00</t>
  </si>
  <si>
    <t>2023. 1. 19 오후 3:30:00</t>
  </si>
  <si>
    <t>2023. 1. 20 오후 4:00:00</t>
  </si>
  <si>
    <t>2023. 1. 20 오후 3:30:00</t>
  </si>
  <si>
    <t>2023. 1. 21 오후 4:00:00</t>
  </si>
  <si>
    <t>2023. 1. 21 오후 3:30:00</t>
  </si>
  <si>
    <t>2023. 1. 22 오후 4:00:00</t>
  </si>
  <si>
    <t>2023. 1. 22 오후 3:30:00</t>
  </si>
  <si>
    <t>2023. 1. 23 오후 4:00:00</t>
  </si>
  <si>
    <t>2023. 1. 23 오후 3:30:00</t>
  </si>
  <si>
    <t>2023. 1. 24 오후 4:00:00</t>
  </si>
  <si>
    <t>2023. 1. 24 오후 3:30:00</t>
  </si>
  <si>
    <t>2023. 1. 25 오후 4:00:00</t>
  </si>
  <si>
    <t>2023. 1. 25 오후 3:30:00</t>
  </si>
  <si>
    <t>2023. 1. 26 오후 4:00:00</t>
  </si>
  <si>
    <t>2023. 1. 26 오후 3:30:00</t>
  </si>
  <si>
    <t>2023. 1. 27 오후 4:00:00</t>
  </si>
  <si>
    <t>2023. 1. 27 오후 3:30:00</t>
  </si>
  <si>
    <t>2023. 1. 28 오후 4:00:00</t>
  </si>
  <si>
    <t>2023. 1. 28 오후 3:30:00</t>
  </si>
  <si>
    <t>2023. 1. 29 오후 4:00:00</t>
  </si>
  <si>
    <t>2023. 1. 29 오후 3:30:00</t>
  </si>
  <si>
    <t>2023. 1. 30 오후 4:00:00</t>
  </si>
  <si>
    <t>2023. 1. 30 오후 3:30:00</t>
  </si>
  <si>
    <t>2023. 1. 31 오후 4:00:00</t>
  </si>
  <si>
    <t>2023. 1. 31 오후 3:30:00</t>
  </si>
  <si>
    <t>2023. 2. 1 오후 4:00:00</t>
  </si>
  <si>
    <t>2023. 2. 1 오후 3:30:00</t>
  </si>
  <si>
    <t>2023. 2. 2 오후 4:00:00</t>
  </si>
  <si>
    <t>2023. 2. 2 오후 3:30:00</t>
  </si>
  <si>
    <t>2023. 2. 3 오후 4:00:00</t>
  </si>
  <si>
    <t>2023. 2. 3 오후 3:30:00</t>
  </si>
  <si>
    <t>2023. 2. 4 오후 4:00:00</t>
  </si>
  <si>
    <t>2023. 2. 4 오후 3:30:00</t>
  </si>
  <si>
    <t>2023. 2. 5 오후 4:00:00</t>
  </si>
  <si>
    <t>2023. 2. 5 오후 3:30:00</t>
  </si>
  <si>
    <t>2023. 2. 6 오후 4:00:00</t>
  </si>
  <si>
    <t>2023. 2. 6 오후 3:30:00</t>
  </si>
  <si>
    <t>2023. 2. 7 오후 4:00:00</t>
  </si>
  <si>
    <t>2023. 2. 7 오후 3:30:00</t>
  </si>
  <si>
    <t>2023. 2. 8 오후 4:00:00</t>
  </si>
  <si>
    <t>2023. 2. 8 오후 3:30:00</t>
  </si>
  <si>
    <t>2023. 2. 9 오후 4:00:00</t>
  </si>
  <si>
    <t>2023. 2. 9 오후 3:30:00</t>
  </si>
  <si>
    <t>2023. 2. 10 오후 4:00:00</t>
  </si>
  <si>
    <t>2023. 2. 10 오후 3:30:00</t>
  </si>
  <si>
    <t>2023. 2. 11 오후 4:00:00</t>
  </si>
  <si>
    <t>2023. 2. 11 오후 3:30:00</t>
  </si>
  <si>
    <t>2023. 2. 12 오후 4:00:00</t>
  </si>
  <si>
    <t>2023. 2. 12 오후 3:30:00</t>
  </si>
  <si>
    <t>2023. 2. 13 오후 4:00:00</t>
  </si>
  <si>
    <t>2023. 2. 13 오후 3:30:00</t>
  </si>
  <si>
    <t>2023. 2. 14 오후 4:00:00</t>
  </si>
  <si>
    <t>2023. 2. 14 오후 3:30:00</t>
  </si>
  <si>
    <t>2023. 2. 15 오후 4:00:00</t>
  </si>
  <si>
    <t>2023. 2. 15 오후 3:30:00</t>
  </si>
  <si>
    <t>2023. 2. 16 오후 4:00:00</t>
  </si>
  <si>
    <t>2023. 2. 16 오후 3:30:00</t>
  </si>
  <si>
    <t>2023. 2. 17 오후 4:00:00</t>
  </si>
  <si>
    <t>2023. 2. 17 오후 3:30:00</t>
  </si>
  <si>
    <t>2023. 2. 18 오후 4:00:00</t>
  </si>
  <si>
    <t>2023. 2. 18 오후 3:30:00</t>
  </si>
  <si>
    <t>2023. 2. 19 오후 4:00:00</t>
  </si>
  <si>
    <t>2023. 2. 19 오후 3:30:00</t>
  </si>
  <si>
    <t>2023. 2. 20 오후 4:00:00</t>
  </si>
  <si>
    <t>2023. 2. 20 오후 3:30:00</t>
  </si>
  <si>
    <t>2023. 2. 21 오후 4:00:00</t>
  </si>
  <si>
    <t>2023. 2. 21 오후 3:30:00</t>
  </si>
  <si>
    <t>2023. 2. 22 오후 4:00:00</t>
  </si>
  <si>
    <t>2023. 2. 22 오후 3:30:00</t>
  </si>
  <si>
    <t>2023. 2. 23 오후 4:00:00</t>
  </si>
  <si>
    <t>2023. 2. 23 오후 3:30:00</t>
  </si>
  <si>
    <t>2023. 2. 24 오후 4:00:00</t>
  </si>
  <si>
    <t>2023. 2. 24 오후 3:30:00</t>
  </si>
  <si>
    <t>2023. 2. 25 오후 4:00:00</t>
  </si>
  <si>
    <t>2023. 2. 25 오후 3:30:00</t>
  </si>
  <si>
    <t>2023. 2. 26 오후 4:00:00</t>
  </si>
  <si>
    <t>2023. 2. 26 오후 3:30:00</t>
  </si>
  <si>
    <t>2023. 2. 27 오후 4:00:00</t>
  </si>
  <si>
    <t>2023. 2. 27 오후 3:30:00</t>
  </si>
  <si>
    <t>2023. 2. 28 오후 4:00:00</t>
  </si>
  <si>
    <t>2023. 2. 28 오후 3:30:00</t>
  </si>
  <si>
    <t>2023. 3. 1 오후 4:00:00</t>
  </si>
  <si>
    <t>2023. 3. 1 오후 3:30:00</t>
  </si>
  <si>
    <t>2023. 3. 2 오후 4:00:00</t>
  </si>
  <si>
    <t>2023. 3. 2 오후 3:30:00</t>
  </si>
  <si>
    <t>2023. 3. 3 오후 4:00:00</t>
  </si>
  <si>
    <t>2023. 3. 3 오후 3:30:00</t>
  </si>
  <si>
    <t>2023. 3. 4 오후 4:00:00</t>
  </si>
  <si>
    <t>2023. 3. 4 오후 3:30:00</t>
  </si>
  <si>
    <t>2023. 3. 5 오후 4:00:00</t>
  </si>
  <si>
    <t>2023. 3. 5 오후 3:30:00</t>
  </si>
  <si>
    <t>2023. 3. 6 오후 4:00:00</t>
  </si>
  <si>
    <t>2023. 3. 6 오후 3:30:00</t>
  </si>
  <si>
    <t>2023. 3. 7 오후 4:00:00</t>
  </si>
  <si>
    <t>2023. 3. 7 오후 3:30:00</t>
  </si>
  <si>
    <t>2023. 3. 8 오후 4:00:00</t>
  </si>
  <si>
    <t>2023. 3. 8 오후 3:30:00</t>
  </si>
  <si>
    <t>2023. 3. 9 오후 4:00:00</t>
  </si>
  <si>
    <t>2023. 3. 9 오후 3:30:00</t>
  </si>
  <si>
    <t>2023. 3. 10 오후 4:00:00</t>
  </si>
  <si>
    <t>2023. 3. 10 오후 3:30:00</t>
  </si>
  <si>
    <t>2023. 3. 11 오후 4:00:00</t>
  </si>
  <si>
    <t>2023. 3. 11 오후 3:30:00</t>
  </si>
  <si>
    <t>2023. 3. 12 오후 4:00:00</t>
  </si>
  <si>
    <t>2023. 3. 12 오후 3:30:00</t>
  </si>
  <si>
    <t>2023. 3. 13 오후 4:00:00</t>
  </si>
  <si>
    <t>2023. 3. 13 오후 3:30:00</t>
  </si>
  <si>
    <t>2023. 3. 14 오후 4:00:00</t>
  </si>
  <si>
    <t>2023. 3. 14 오후 3:30:00</t>
  </si>
  <si>
    <t>2023. 3. 15 오후 4:00:00</t>
  </si>
  <si>
    <t>2023. 3. 15 오후 3:30:00</t>
  </si>
  <si>
    <t>2023. 3. 16 오후 4:00:00</t>
  </si>
  <si>
    <t>2023. 3. 16 오후 3:30:00</t>
  </si>
  <si>
    <t>2023. 3. 17 오후 4:00:00</t>
  </si>
  <si>
    <t>2023. 3. 17 오후 3:30:00</t>
  </si>
  <si>
    <t>2023. 3. 18 오후 4:00:00</t>
  </si>
  <si>
    <t>2023. 3. 18 오후 3:30:00</t>
  </si>
  <si>
    <t>2023. 3. 19 오후 4:00:00</t>
  </si>
  <si>
    <t>2023. 3. 19 오후 3:30:00</t>
  </si>
  <si>
    <t>2023. 3. 20 오후 4:00:00</t>
  </si>
  <si>
    <t>2023. 3. 20 오후 3:30:00</t>
  </si>
  <si>
    <t>2023. 3. 21 오후 4:00:00</t>
  </si>
  <si>
    <t>2023. 3. 21 오후 3:30:00</t>
  </si>
  <si>
    <t>2023. 3. 22 오후 4:00:00</t>
  </si>
  <si>
    <t>2023. 3. 22 오후 3:30:00</t>
  </si>
  <si>
    <t>2023. 3. 23 오후 4:00:00</t>
  </si>
  <si>
    <t>2023. 3. 23 오후 3:30:00</t>
  </si>
  <si>
    <t>2023. 3. 24 오후 4:00:00</t>
  </si>
  <si>
    <t>2023. 3. 24 오후 3:30:00</t>
  </si>
  <si>
    <t>2023. 3. 25 오후 4:00:00</t>
  </si>
  <si>
    <t>2023. 3. 25 오후 3:30:00</t>
  </si>
  <si>
    <t>2023. 3. 26 오후 4:00:00</t>
  </si>
  <si>
    <t>2023. 3. 26 오후 3:30:00</t>
  </si>
  <si>
    <t>2023. 3. 27 오후 4:00:00</t>
  </si>
  <si>
    <t>2023. 3. 27 오후 3:30:00</t>
  </si>
  <si>
    <t>2023. 3. 28 오후 4:00:00</t>
  </si>
  <si>
    <t>2023. 3. 28 오후 3:30:00</t>
  </si>
  <si>
    <t>2023. 3. 29 오후 4:00:00</t>
  </si>
  <si>
    <t>2023. 3. 29 오후 3:30:00</t>
  </si>
  <si>
    <t>2023. 3. 30 오후 4:00:00</t>
  </si>
  <si>
    <t>2023. 3. 30 오후 3:30:00</t>
  </si>
  <si>
    <t>2023. 3. 31 오후 4:00:00</t>
  </si>
  <si>
    <t>2023. 3. 31 오후 3:30:00</t>
  </si>
  <si>
    <t>2023. 4. 1 오후 4:00:00</t>
  </si>
  <si>
    <t>2023. 4. 1 오후 3:30:00</t>
  </si>
  <si>
    <t>2023. 4. 2 오후 4:00:00</t>
  </si>
  <si>
    <t>2023. 4. 2 오후 3:30:00</t>
  </si>
  <si>
    <t>2023. 4. 3 오후 4:00:00</t>
  </si>
  <si>
    <t>2023. 4. 3 오후 3:30:00</t>
  </si>
  <si>
    <t>2023. 4. 4 오후 4:00:00</t>
  </si>
  <si>
    <t>2023. 4. 4 오후 3:30:00</t>
  </si>
  <si>
    <t>2023. 4. 5 오후 4:00:00</t>
  </si>
  <si>
    <t>2023. 4. 5 오후 3:30:00</t>
  </si>
  <si>
    <t>2023. 4. 6 오후 4:00:00</t>
  </si>
  <si>
    <t>2023. 4. 6 오후 3:30:00</t>
  </si>
  <si>
    <t>2023. 4. 7 오후 4:00:00</t>
  </si>
  <si>
    <t>2023. 4. 7 오후 3:30:00</t>
  </si>
  <si>
    <t>2023. 4. 8 오후 4:00:00</t>
  </si>
  <si>
    <t>2023. 4. 8 오후 3:30:00</t>
  </si>
  <si>
    <t>2023. 4. 9 오후 4:00:00</t>
  </si>
  <si>
    <t>2023. 4. 9 오후 3:30:00</t>
  </si>
  <si>
    <t>2023. 4. 10 오후 4:00:00</t>
  </si>
  <si>
    <t>2023. 4. 10 오후 3:30:00</t>
  </si>
  <si>
    <t>2023. 4. 11 오후 4:00:00</t>
  </si>
  <si>
    <t>2023. 4. 11 오후 3:30:00</t>
  </si>
  <si>
    <t>2023. 4. 12 오후 4:00:00</t>
  </si>
  <si>
    <t>2023. 4. 12 오후 3:30:00</t>
  </si>
  <si>
    <t>2023. 4. 13 오후 4:00:00</t>
  </si>
  <si>
    <t>2023. 4. 13 오후 3:30:00</t>
  </si>
  <si>
    <t>2023. 4. 14 오후 4:00:00</t>
  </si>
  <si>
    <t>2023. 4. 14 오후 3:30:00</t>
  </si>
  <si>
    <t>2023. 4. 15 오후 4:00:00</t>
  </si>
  <si>
    <t>2023. 4. 15 오후 3:30:00</t>
  </si>
  <si>
    <t>2023. 4. 16 오후 4:00:00</t>
  </si>
  <si>
    <t>2023. 4. 16 오후 3:30:00</t>
  </si>
  <si>
    <t>2023. 4. 17 오후 4:00:00</t>
  </si>
  <si>
    <t>2023. 4. 17 오후 3:30:00</t>
  </si>
  <si>
    <t>2023. 4. 18 오후 4:00:00</t>
  </si>
  <si>
    <t>2023. 4. 18 오후 3:30:00</t>
  </si>
  <si>
    <t>2023. 4. 19 오후 4:00:00</t>
  </si>
  <si>
    <t>2023. 4. 19 오후 3:30:00</t>
  </si>
  <si>
    <t>2023. 4. 20 오후 4:00:00</t>
  </si>
  <si>
    <t>2023. 4. 20 오후 3:30:00</t>
  </si>
  <si>
    <t>2023. 4. 21 오후 4:00:00</t>
  </si>
  <si>
    <t>2023. 4. 21 오후 3:30:00</t>
  </si>
  <si>
    <t>2023. 4. 22 오후 4:00:00</t>
  </si>
  <si>
    <t>2023. 4. 22 오후 3:30:00</t>
  </si>
  <si>
    <t>2023. 4. 23 오후 4:00:00</t>
  </si>
  <si>
    <t>2023. 4. 23 오후 3:30:00</t>
  </si>
  <si>
    <t>2023. 4. 24 오후 4:00:00</t>
  </si>
  <si>
    <t>2023. 4. 24 오후 3:30:00</t>
  </si>
  <si>
    <t>2023. 4. 25 오후 4:00:00</t>
  </si>
  <si>
    <t>2023. 4. 25 오후 3:30:00</t>
  </si>
  <si>
    <t>2023. 4. 26 오후 4:00:00</t>
  </si>
  <si>
    <t>2023. 4. 26 오후 3:30:00</t>
  </si>
  <si>
    <t>2023. 4. 27 오후 4:00:00</t>
  </si>
  <si>
    <t>2023. 4. 27 오후 3:30:00</t>
  </si>
  <si>
    <t>2023. 4. 28 오후 4:00:00</t>
  </si>
  <si>
    <t>2023. 4. 28 오후 3:30:00</t>
  </si>
  <si>
    <t>2023. 4. 29 오후 4:00:00</t>
  </si>
  <si>
    <t>2023. 4. 29 오후 3:30:00</t>
  </si>
  <si>
    <t>2023. 4. 30 오후 4:00:00</t>
  </si>
  <si>
    <t>2023. 4. 30 오후 3:30:00</t>
  </si>
  <si>
    <t>2023. 5. 1 오후 4:00:00</t>
  </si>
  <si>
    <t>2023. 5. 1 오후 3:30:00</t>
  </si>
  <si>
    <t>2023. 5. 2 오후 4:00:00</t>
  </si>
  <si>
    <t>2023. 5. 2 오후 3:30:00</t>
  </si>
  <si>
    <t>2023. 5. 3 오후 4:00:00</t>
  </si>
  <si>
    <t>2023. 5. 3 오후 3:30:00</t>
  </si>
  <si>
    <t>2023. 5. 4 오후 4:00:00</t>
  </si>
  <si>
    <t>2023. 5. 4 오후 3:30:00</t>
  </si>
  <si>
    <t>2023. 5. 5 오후 4:00:00</t>
  </si>
  <si>
    <t>2023. 5. 5 오후 3:30:00</t>
  </si>
  <si>
    <t>2023. 5. 6 오후 4:00:00</t>
  </si>
  <si>
    <t>2023. 5. 6 오후 3:30:00</t>
  </si>
  <si>
    <t>2023. 5. 7 오후 4:00:00</t>
  </si>
  <si>
    <t>2023. 5. 7 오후 3:30:00</t>
  </si>
  <si>
    <t>2023. 5. 8 오후 4:00:00</t>
  </si>
  <si>
    <t>2023. 5. 8 오후 3:30:00</t>
  </si>
  <si>
    <t>2023. 5. 9 오후 4:00:00</t>
  </si>
  <si>
    <t>2023. 5. 9 오후 3:30:00</t>
  </si>
  <si>
    <t>2023. 5. 10 오후 4:00:00</t>
  </si>
  <si>
    <t>2023. 5. 10 오후 3:30:00</t>
  </si>
  <si>
    <t>2023. 5. 11 오후 4:00:00</t>
  </si>
  <si>
    <t>2023. 5. 11 오후 3:30:00</t>
  </si>
  <si>
    <t>2023. 5. 12 오후 4:00:00</t>
  </si>
  <si>
    <t>2023. 5. 12 오후 3:30:00</t>
  </si>
  <si>
    <t>2023. 5. 13 오후 4:00:00</t>
  </si>
  <si>
    <t>2023. 5. 13 오후 3:30:00</t>
  </si>
  <si>
    <t>2023. 5. 14 오후 4:00:00</t>
  </si>
  <si>
    <t>2023. 5. 14 오후 3:30:00</t>
  </si>
  <si>
    <t>2023. 5. 15 오후 4:00:00</t>
  </si>
  <si>
    <t>2023. 5. 15 오후 3:30:00</t>
  </si>
  <si>
    <t>2023. 5. 16 오후 4:00:00</t>
  </si>
  <si>
    <t>2023. 5. 16 오후 3:30:00</t>
  </si>
  <si>
    <t>2023. 5. 17 오후 4:00:00</t>
  </si>
  <si>
    <t>2023. 5. 17 오후 3:30:00</t>
  </si>
  <si>
    <t>2023. 5. 18 오후 4:00:00</t>
  </si>
  <si>
    <t>2023. 5. 18 오후 3:30:00</t>
  </si>
  <si>
    <t>2023. 5. 19 오후 4:00:00</t>
  </si>
  <si>
    <t>2023. 5. 19 오후 3:30:00</t>
  </si>
  <si>
    <t>2023. 5. 20 오후 4:00:00</t>
  </si>
  <si>
    <t>2023. 5. 20 오후 3:30:00</t>
  </si>
  <si>
    <t>2023. 5. 21 오후 4:00:00</t>
  </si>
  <si>
    <t>2023. 5. 21 오후 3:30:00</t>
  </si>
  <si>
    <t>2023. 5. 22 오후 4:00:00</t>
  </si>
  <si>
    <t>2023. 5. 22 오후 3:30:00</t>
  </si>
  <si>
    <t>2023. 5. 23 오후 4:00:00</t>
  </si>
  <si>
    <t>2023. 5. 23 오후 3:30:00</t>
  </si>
  <si>
    <t>2023. 5. 24 오후 4:00:00</t>
  </si>
  <si>
    <t>2023. 5. 24 오후 3:30:00</t>
  </si>
  <si>
    <t>2023. 5. 25 오후 4:00:00</t>
  </si>
  <si>
    <t>2023. 5. 25 오후 3:30:00</t>
  </si>
  <si>
    <t>2023. 5. 26 오후 4:00:00</t>
  </si>
  <si>
    <t>2023. 5. 26 오후 3:30:00</t>
  </si>
  <si>
    <t>2023. 5. 27 오후 4:00:00</t>
  </si>
  <si>
    <t>2023. 5. 27 오후 3:30:00</t>
  </si>
  <si>
    <t>2023. 5. 28 오후 4:00:00</t>
  </si>
  <si>
    <t>2023. 5. 28 오후 3:30:00</t>
  </si>
  <si>
    <t>2023. 5. 29 오후 4:00:00</t>
  </si>
  <si>
    <t>2023. 5. 29 오후 3:30:00</t>
  </si>
  <si>
    <t>2023. 5. 30 오후 4:00:00</t>
  </si>
  <si>
    <t>2023. 5. 30 오후 3:30:00</t>
  </si>
  <si>
    <t>2023. 5. 31 오후 4:00:00</t>
  </si>
  <si>
    <t>2023. 5. 31 오후 3:30:00</t>
  </si>
  <si>
    <t>2023. 6. 1 오후 4:00:00</t>
  </si>
  <si>
    <t>2023. 6. 1 오후 3:30:00</t>
  </si>
  <si>
    <t>2023. 6. 2 오후 4:00:00</t>
  </si>
  <si>
    <t>2023. 6. 2 오후 3:30:00</t>
  </si>
  <si>
    <t>2023. 6. 3 오후 4:00:00</t>
  </si>
  <si>
    <t>2023. 6. 3 오후 3:30:00</t>
  </si>
  <si>
    <t>2023. 6. 4 오후 4:00:00</t>
  </si>
  <si>
    <t>2023. 6. 4 오후 3:30:00</t>
  </si>
  <si>
    <t>2023. 6. 5 오후 4:00:00</t>
  </si>
  <si>
    <t>2023. 6. 5 오후 3:30:00</t>
  </si>
  <si>
    <t>2023. 6. 6 오후 4:00:00</t>
  </si>
  <si>
    <t>2023. 6. 6 오후 3:30:00</t>
  </si>
  <si>
    <t>2023. 6. 7 오후 4:00:00</t>
  </si>
  <si>
    <t>2023. 6. 7 오후 3:30:00</t>
  </si>
  <si>
    <t>2023. 6. 8 오후 4:00:00</t>
  </si>
  <si>
    <t>2023. 6. 8 오후 3:30:00</t>
  </si>
  <si>
    <t>2023. 6. 9 오후 4:00:00</t>
  </si>
  <si>
    <t>2023. 6. 9 오후 3:30:00</t>
  </si>
  <si>
    <t>2023. 6. 10 오후 4:00:00</t>
  </si>
  <si>
    <t>2023. 6. 10 오후 3:30:00</t>
  </si>
  <si>
    <t>2023. 6. 11 오후 4:00:00</t>
  </si>
  <si>
    <t>2023. 6. 11 오후 3:30:00</t>
  </si>
  <si>
    <t>2023. 6. 12 오후 4:00:00</t>
  </si>
  <si>
    <t>2023. 6. 12 오후 3:30:00</t>
  </si>
  <si>
    <t>2023. 6. 13 오후 4:00:00</t>
  </si>
  <si>
    <t>2023. 6. 13 오후 3:30:00</t>
  </si>
  <si>
    <t>2023. 6. 14 오후 4:00:00</t>
  </si>
  <si>
    <t>2023. 6. 14 오후 3:30:00</t>
  </si>
  <si>
    <t>2023. 6. 15 오후 4:00:00</t>
  </si>
  <si>
    <t>2023. 6. 15 오후 3:30:00</t>
  </si>
  <si>
    <t>2023. 6. 16 오후 4:00:00</t>
  </si>
  <si>
    <t>2023. 6. 16 오후 3:30:00</t>
  </si>
  <si>
    <t>2023. 6. 17 오후 4:00:00</t>
  </si>
  <si>
    <t>2023. 6. 17 오후 3:30:00</t>
  </si>
  <si>
    <t>2023. 6. 18 오후 4:00:00</t>
  </si>
  <si>
    <t>2023. 6. 18 오후 3:30:00</t>
  </si>
  <si>
    <t>2023. 6. 19 오후 4:00:00</t>
  </si>
  <si>
    <t>2023. 6. 19 오후 3:30:00</t>
  </si>
  <si>
    <t>2023. 6. 20 오후 4:00:00</t>
  </si>
  <si>
    <t>2023. 6. 20 오후 3:30:00</t>
  </si>
  <si>
    <t>2023. 6. 21 오후 4:00:00</t>
  </si>
  <si>
    <t>2023. 6. 21 오후 3:30:00</t>
  </si>
  <si>
    <t>2023. 6. 22 오후 4:00:00</t>
  </si>
  <si>
    <t>2023. 6. 22 오후 3:30:00</t>
  </si>
  <si>
    <t>2023. 6. 23 오후 4:00:00</t>
  </si>
  <si>
    <t>2023. 6. 23 오후 3:30:00</t>
  </si>
  <si>
    <t>2023. 6. 24 오후 4:00:00</t>
  </si>
  <si>
    <t>2023. 6. 24 오후 3:30:00</t>
  </si>
  <si>
    <t>2023. 6. 25 오후 4:00:00</t>
  </si>
  <si>
    <t>2023. 6. 25 오후 3:30:00</t>
  </si>
  <si>
    <t>2023. 6. 26 오후 4:00:00</t>
  </si>
  <si>
    <t>2023. 6. 26 오후 3:30:00</t>
  </si>
  <si>
    <t>2023. 6. 27 오후 4:00:00</t>
  </si>
  <si>
    <t>2023. 6. 27 오후 3:30:00</t>
  </si>
  <si>
    <t>2023. 6. 28 오후 4:00:00</t>
  </si>
  <si>
    <t>2023. 6. 28 오후 3:30:00</t>
  </si>
  <si>
    <t>2023. 6. 29 오후 4:00:00</t>
  </si>
  <si>
    <t>2023. 6. 29 오후 3:30:00</t>
  </si>
  <si>
    <t>2023. 6. 30 오후 4:00:00</t>
  </si>
  <si>
    <t>2023. 6. 30 오후 3:30:00</t>
  </si>
  <si>
    <t>2023. 7. 1 오후 4:00:00</t>
  </si>
  <si>
    <t>2023. 7. 1 오후 3:30:00</t>
  </si>
  <si>
    <t>2023. 7. 2 오후 4:00:00</t>
  </si>
  <si>
    <t>2023. 7. 2 오후 3:30:00</t>
  </si>
  <si>
    <t>2023. 7. 3 오후 4:00:00</t>
  </si>
  <si>
    <t>2023. 7. 3 오후 3:30:00</t>
  </si>
  <si>
    <t>2023. 7. 4 오후 4:00:00</t>
  </si>
  <si>
    <t>2023. 7. 4 오후 3:30:00</t>
  </si>
  <si>
    <t>2023. 7. 5 오후 4:00:00</t>
  </si>
  <si>
    <t>2023. 7. 5 오후 3:30:00</t>
  </si>
  <si>
    <t>2023. 7. 6 오후 4:00:00</t>
  </si>
  <si>
    <t>2023. 7. 6 오후 3:30:00</t>
  </si>
  <si>
    <t>2023. 7. 7 오후 4:00:00</t>
  </si>
  <si>
    <t>2023. 7. 7 오후 3:30:00</t>
  </si>
  <si>
    <t>2023. 7. 8 오후 4:00:00</t>
  </si>
  <si>
    <t>2023. 7. 8 오후 3:30:00</t>
  </si>
  <si>
    <t>2023. 7. 9 오후 4:00:00</t>
  </si>
  <si>
    <t>2023. 7. 9 오후 3:30:00</t>
  </si>
  <si>
    <t>2023. 7. 10 오후 4:00:00</t>
  </si>
  <si>
    <t>2023. 7. 10 오후 3:30:00</t>
  </si>
  <si>
    <t>2023. 7. 11 오후 4:00:00</t>
  </si>
  <si>
    <t>2023. 7. 11 오후 3:30:00</t>
  </si>
  <si>
    <t>2023. 7. 12 오후 4:00:00</t>
  </si>
  <si>
    <t>2023. 7. 12 오후 3:30:00</t>
  </si>
  <si>
    <t>2023. 7. 13 오후 4:00:00</t>
  </si>
  <si>
    <t>2023. 7. 13 오후 3:30:00</t>
  </si>
  <si>
    <t>2023. 7. 14 오후 4:00:00</t>
  </si>
  <si>
    <t>2023. 7. 14 오후 3:30:00</t>
  </si>
  <si>
    <t>2023. 7. 15 오후 4:00:00</t>
  </si>
  <si>
    <t>2023. 7. 15 오후 3:30:00</t>
  </si>
  <si>
    <t>2023. 7. 16 오후 4:00:00</t>
  </si>
  <si>
    <t>2023. 7. 16 오후 3:30:00</t>
  </si>
  <si>
    <t>2023. 7. 17 오후 4:00:00</t>
  </si>
  <si>
    <t>2023. 7. 17 오후 3:30:00</t>
  </si>
  <si>
    <t>2023. 7. 18 오후 4:00:00</t>
  </si>
  <si>
    <t>2023. 7. 18 오후 3:30:00</t>
  </si>
  <si>
    <t>2023. 7. 19 오후 4:00:00</t>
  </si>
  <si>
    <t>2023. 7. 19 오후 3:30:00</t>
  </si>
  <si>
    <t>2023. 7. 20 오후 4:00:00</t>
  </si>
  <si>
    <t>2023. 7. 20 오후 3:30:00</t>
  </si>
  <si>
    <t>2023. 7. 21 오후 4:00:00</t>
  </si>
  <si>
    <t>2023. 7. 21 오후 3:30:00</t>
  </si>
  <si>
    <t>2023. 7. 22 오후 4:00:00</t>
  </si>
  <si>
    <t>2023. 7. 22 오후 3:30:00</t>
  </si>
  <si>
    <t>2023. 7. 23 오후 4:00:00</t>
  </si>
  <si>
    <t>2023. 7. 23 오후 3:30:00</t>
  </si>
  <si>
    <t>2023. 7. 24 오후 4:00:00</t>
  </si>
  <si>
    <t>2023. 7. 24 오후 3:30:00</t>
  </si>
  <si>
    <t>2023. 7. 25 오후 4:00:00</t>
  </si>
  <si>
    <t>2023. 7. 25 오후 3:30:00</t>
  </si>
  <si>
    <t>2023. 7. 26 오후 4:00:00</t>
  </si>
  <si>
    <t>2023. 7. 26 오후 3:30:00</t>
  </si>
  <si>
    <t>2023. 7. 27 오후 4:00:00</t>
  </si>
  <si>
    <t>2023. 7. 27 오후 3:30:00</t>
  </si>
  <si>
    <t>2023. 7. 28 오후 4:00:00</t>
  </si>
  <si>
    <t>2023. 7. 28 오후 3:30:00</t>
  </si>
  <si>
    <t>2023. 7. 29 오후 4:00:00</t>
  </si>
  <si>
    <t>2023. 7. 29 오후 3:30:00</t>
  </si>
  <si>
    <t>2023. 7. 30 오후 4:00:00</t>
  </si>
  <si>
    <t>2023. 7. 30 오후 3:30:00</t>
  </si>
  <si>
    <t>2023. 7. 31 오후 4:00:00</t>
  </si>
  <si>
    <t>2023. 7. 31 오후 3:30:00</t>
  </si>
  <si>
    <t>2023. 8. 1 오후 4:00:00</t>
  </si>
  <si>
    <t>2023. 8. 1 오후 3:30:00</t>
  </si>
  <si>
    <t>2023. 8. 2 오후 4:00:00</t>
  </si>
  <si>
    <t>2023. 8. 2 오후 3:30:00</t>
  </si>
  <si>
    <t>2023. 8. 3 오후 4:00:00</t>
  </si>
  <si>
    <t>2023. 8. 3 오후 3:30:00</t>
  </si>
  <si>
    <t>2023. 8. 4 오후 4:00:00</t>
  </si>
  <si>
    <t>2023. 8. 4 오후 3:30:00</t>
  </si>
  <si>
    <t>2023. 8. 5 오후 4:00:00</t>
  </si>
  <si>
    <t>2023. 8. 5 오후 3:30:00</t>
  </si>
  <si>
    <t>2023. 8. 6 오후 4:00:00</t>
  </si>
  <si>
    <t>2023. 8. 6 오후 3:30:00</t>
  </si>
  <si>
    <t>2023. 8. 7 오후 4:00:00</t>
  </si>
  <si>
    <t>2023. 8. 7 오후 3:30:00</t>
  </si>
  <si>
    <t>2023. 8. 8 오후 4:00:00</t>
  </si>
  <si>
    <t>2023. 8. 8 오후 3:30:00</t>
  </si>
  <si>
    <t>2023. 8. 9 오후 4:00:00</t>
  </si>
  <si>
    <t>2023. 8. 9 오후 3:30:00</t>
  </si>
  <si>
    <t>2023. 8. 10 오후 4:00:00</t>
  </si>
  <si>
    <t>2023. 8. 10 오후 3:30:00</t>
  </si>
  <si>
    <t>2023. 8. 11 오후 4:00:00</t>
  </si>
  <si>
    <t>2023. 8. 11 오후 3:30:00</t>
  </si>
  <si>
    <t>2023. 8. 12 오후 4:00:00</t>
  </si>
  <si>
    <t>2023. 8. 12 오후 3:30:00</t>
  </si>
  <si>
    <t>2023. 8. 13 오후 4:00:00</t>
  </si>
  <si>
    <t>2023. 8. 13 오후 3:30:00</t>
  </si>
  <si>
    <t>2023. 8. 14 오후 4:00:00</t>
  </si>
  <si>
    <t>2023. 8. 14 오후 3:30:00</t>
  </si>
  <si>
    <t>2023. 8. 15 오후 4:00:00</t>
  </si>
  <si>
    <t>2023. 8. 15 오후 3:30:00</t>
  </si>
  <si>
    <t>2023. 8. 16 오후 4:00:00</t>
  </si>
  <si>
    <t>2023. 8. 16 오후 3:30:00</t>
  </si>
  <si>
    <t>2023. 8. 17 오후 4:00:00</t>
  </si>
  <si>
    <t>2023. 8. 17 오후 3:30:00</t>
  </si>
  <si>
    <t>2023. 8. 18 오후 4:00:00</t>
  </si>
  <si>
    <t>2023. 8. 18 오후 3:30:00</t>
  </si>
  <si>
    <t>2023. 8. 19 오후 4:00:00</t>
  </si>
  <si>
    <t>2023. 8. 19 오후 3:30:00</t>
  </si>
  <si>
    <t>2023. 8. 20 오후 4:00:00</t>
  </si>
  <si>
    <t>2023. 8. 20 오후 3:30:00</t>
  </si>
  <si>
    <t>2023. 8. 21 오후 4:00:00</t>
  </si>
  <si>
    <t>2023. 8. 21 오후 3:30:00</t>
  </si>
  <si>
    <t>2023. 8. 22 오후 4:00:00</t>
  </si>
  <si>
    <t>2023. 8. 22 오후 3:30:00</t>
  </si>
  <si>
    <t>2023. 8. 23 오후 4:00:00</t>
  </si>
  <si>
    <t>2023. 8. 23 오후 3:30:00</t>
  </si>
  <si>
    <t>2023. 8. 24 오후 4:00:00</t>
  </si>
  <si>
    <t>2023. 8. 24 오후 3:30:00</t>
  </si>
  <si>
    <t>2023. 8. 25 오후 4:00:00</t>
  </si>
  <si>
    <t>2023. 8. 25 오후 3:30:00</t>
  </si>
  <si>
    <t>2023. 8. 26 오후 4:00:00</t>
  </si>
  <si>
    <t>2023. 8. 26 오후 3:30:00</t>
  </si>
  <si>
    <t>2023. 8. 27 오후 4:00:00</t>
  </si>
  <si>
    <t>2023. 8. 27 오후 3:30:00</t>
  </si>
  <si>
    <t>2023. 8. 28 오후 4:00:00</t>
  </si>
  <si>
    <t>2023. 8. 28 오후 3:30:00</t>
  </si>
  <si>
    <t>2023. 8. 29 오후 4:00:00</t>
  </si>
  <si>
    <t>2023. 8. 29 오후 3:30:00</t>
  </si>
  <si>
    <t>2023. 8. 30 오후 4:00:00</t>
  </si>
  <si>
    <t>2023. 8. 30 오후 3:30:00</t>
  </si>
  <si>
    <t>2023. 8. 31 오후 4:00:00</t>
  </si>
  <si>
    <t>2023. 8. 31 오후 3:30:00</t>
  </si>
  <si>
    <t>2023. 9. 1 오후 4:00:00</t>
  </si>
  <si>
    <t>2023. 9. 1 오후 3:30:00</t>
  </si>
  <si>
    <t>2023. 9. 2 오후 4:00:00</t>
  </si>
  <si>
    <t>2023. 9. 2 오후 3:30:00</t>
  </si>
  <si>
    <t>2023. 9. 3 오후 4:00:00</t>
  </si>
  <si>
    <t>2023. 9. 3 오후 3:30:00</t>
  </si>
  <si>
    <t>2023. 9. 4 오후 4:00:00</t>
  </si>
  <si>
    <t>2023. 9. 4 오후 3:30:00</t>
  </si>
  <si>
    <t>2023. 9. 5 오후 4:00:00</t>
  </si>
  <si>
    <t>2023. 9. 5 오후 3:30:00</t>
  </si>
  <si>
    <t>2023. 9. 6 오후 4:00:00</t>
  </si>
  <si>
    <t>2023. 9. 6 오후 3:30:00</t>
  </si>
  <si>
    <t>2023. 9. 7 오후 4:00:00</t>
  </si>
  <si>
    <t>2023. 9. 7 오후 3:30:00</t>
  </si>
  <si>
    <t>2023. 9. 8 오후 4:00:00</t>
  </si>
  <si>
    <t>2023. 9. 8 오후 3:30:00</t>
  </si>
  <si>
    <t>2023. 9. 9 오후 4:00:00</t>
  </si>
  <si>
    <t>2023. 9. 9 오후 3:30:00</t>
  </si>
  <si>
    <t>2023. 9. 10 오후 4:00:00</t>
  </si>
  <si>
    <t>2023. 9. 10 오후 3:30:00</t>
  </si>
  <si>
    <t>2023. 9. 11 오후 4:00:00</t>
  </si>
  <si>
    <t>2023. 9. 11 오후 3:30:00</t>
  </si>
  <si>
    <t>2023. 9. 12 오후 4:00:00</t>
  </si>
  <si>
    <t>2023. 9. 12 오후 3:30:00</t>
  </si>
  <si>
    <t>2023. 9. 13 오후 4:00:00</t>
  </si>
  <si>
    <t>2023. 9. 13 오후 3:30:00</t>
  </si>
  <si>
    <t>2023. 9. 14 오후 4:00:00</t>
  </si>
  <si>
    <t>2023. 9. 14 오후 3:30:00</t>
  </si>
  <si>
    <t>2023. 9. 15 오후 4:00:00</t>
  </si>
  <si>
    <t>2023. 9. 15 오후 3:30:00</t>
  </si>
  <si>
    <t>2023. 9. 16 오후 4:00:00</t>
  </si>
  <si>
    <t>2023. 9. 16 오후 3:30:00</t>
  </si>
  <si>
    <t>2023. 9. 17 오후 4:00:00</t>
  </si>
  <si>
    <t>2023. 9. 17 오후 3:30:00</t>
  </si>
  <si>
    <t>2023. 9. 18 오후 4:00:00</t>
  </si>
  <si>
    <t>2023. 9. 18 오후 3:30:00</t>
  </si>
  <si>
    <t>2023. 9. 19 오후 4:00:00</t>
  </si>
  <si>
    <t>2023. 9. 19 오후 3:30:00</t>
  </si>
  <si>
    <t>2023. 9. 20 오후 4:00:00</t>
  </si>
  <si>
    <t>2023. 9. 20 오후 3:30:00</t>
  </si>
  <si>
    <t>2023. 9. 21 오후 4:00:00</t>
  </si>
  <si>
    <t>2023. 9. 21 오후 3:30:00</t>
  </si>
  <si>
    <t>2023. 9. 22 오후 4:00:00</t>
  </si>
  <si>
    <t>2023. 9. 22 오후 3:30:00</t>
  </si>
  <si>
    <t>2023. 9. 23 오후 4:00:00</t>
  </si>
  <si>
    <t>2023. 9. 23 오후 3:30:00</t>
  </si>
  <si>
    <t>2023. 9. 24 오후 4:00:00</t>
  </si>
  <si>
    <t>2023. 9. 24 오후 3:30:00</t>
  </si>
  <si>
    <t>2023. 9. 25 오후 4:00:00</t>
  </si>
  <si>
    <t>2023. 9. 25 오후 3:30:00</t>
  </si>
  <si>
    <t>2023. 9. 26 오후 4:00:00</t>
  </si>
  <si>
    <t>2023. 9. 26 오후 3:30:00</t>
  </si>
  <si>
    <t>2023. 9. 27 오후 4:00:00</t>
  </si>
  <si>
    <t>2023. 9. 27 오후 3:30:00</t>
  </si>
  <si>
    <t>2023. 9. 28 오후 4:00:00</t>
  </si>
  <si>
    <t>2023. 9. 28 오후 3:30:00</t>
  </si>
  <si>
    <t>2023. 9. 29 오후 4:00:00</t>
  </si>
  <si>
    <t>2023. 9. 29 오후 3:30:00</t>
  </si>
  <si>
    <t>2023. 9. 30 오후 4:00:00</t>
  </si>
  <si>
    <t>2023. 9. 30 오후 3:30:00</t>
  </si>
  <si>
    <t>2023. 10. 1 오후 4:00:00</t>
  </si>
  <si>
    <t>2023. 10. 1 오후 3:30:00</t>
  </si>
  <si>
    <t>2023. 10. 2 오후 4:00:00</t>
  </si>
  <si>
    <t>2023. 10. 2 오후 3:30:00</t>
  </si>
  <si>
    <t>2023. 10. 3 오후 4:00:00</t>
  </si>
  <si>
    <t>2023. 10. 3 오후 3:30:00</t>
  </si>
  <si>
    <t>2023. 10. 4 오후 4:00:00</t>
  </si>
  <si>
    <t>2023. 10. 4 오후 3:30:00</t>
  </si>
  <si>
    <t>2023. 10. 5 오후 4:00:00</t>
  </si>
  <si>
    <t>2023. 10. 5 오후 3:30:00</t>
  </si>
  <si>
    <t>2023. 10. 6 오후 4:00:00</t>
  </si>
  <si>
    <t>2023. 10. 6 오후 3:30:00</t>
  </si>
  <si>
    <t>2023. 10. 7 오후 4:00:00</t>
  </si>
  <si>
    <t>2023. 10. 7 오후 3:30:00</t>
  </si>
  <si>
    <t>2023. 10. 8 오후 4:00:00</t>
  </si>
  <si>
    <t>2023. 10. 8 오후 3:30:00</t>
  </si>
  <si>
    <t>2023. 10. 9 오후 4:00:00</t>
  </si>
  <si>
    <t>2023. 10. 9 오후 3:30:00</t>
  </si>
  <si>
    <t>2023. 10. 10 오후 4:00:00</t>
  </si>
  <si>
    <t>2023. 10. 10 오후 3:30:00</t>
  </si>
  <si>
    <t>2023. 10. 11 오후 4:00:00</t>
  </si>
  <si>
    <t>2023. 10. 11 오후 3:30:00</t>
  </si>
  <si>
    <t>2023. 10. 12 오후 4:00:00</t>
  </si>
  <si>
    <t>2023. 10. 12 오후 3:30:00</t>
  </si>
  <si>
    <t>2023. 10. 13 오후 4:00:00</t>
  </si>
  <si>
    <t>2023. 10. 13 오후 3:30:00</t>
  </si>
  <si>
    <t>2023. 10. 14 오후 4:00:00</t>
  </si>
  <si>
    <t>2023. 10. 14 오후 3:30:00</t>
  </si>
  <si>
    <t>2023. 10. 15 오후 4:00:00</t>
  </si>
  <si>
    <t>2023. 10. 15 오후 3:30:00</t>
  </si>
  <si>
    <t>2023. 10. 16 오후 4:00:00</t>
  </si>
  <si>
    <t>2023. 10. 16 오후 3:30:00</t>
  </si>
  <si>
    <t>2023. 10. 17 오후 4:00:00</t>
  </si>
  <si>
    <t>2023. 10. 17 오후 3:30:00</t>
  </si>
  <si>
    <t>2023. 10. 18 오후 4:00:00</t>
  </si>
  <si>
    <t>2023. 10. 18 오후 3:30:00</t>
  </si>
  <si>
    <t>2023. 10. 19 오후 4:00:00</t>
  </si>
  <si>
    <t>2023. 10. 19 오후 3:30:00</t>
  </si>
  <si>
    <t>2023. 10. 20 오후 4:00:00</t>
  </si>
  <si>
    <t>2023. 10. 20 오후 3:30:00</t>
  </si>
  <si>
    <t>2023. 10. 21 오후 4:00:00</t>
  </si>
  <si>
    <t>2023. 10. 21 오후 3:30:00</t>
  </si>
  <si>
    <t>2023. 10. 22 오후 4:00:00</t>
  </si>
  <si>
    <t>2023. 10. 22 오후 3:30:00</t>
  </si>
  <si>
    <t>2023. 10. 23 오후 4:00:00</t>
  </si>
  <si>
    <t>2023. 10. 23 오후 3:30:00</t>
  </si>
  <si>
    <t>2023. 10. 24 오후 4:00:00</t>
  </si>
  <si>
    <t>2023. 10. 24 오후 3:30:00</t>
  </si>
  <si>
    <t>2023. 10. 25 오후 4:00:00</t>
  </si>
  <si>
    <t>2023. 10. 25 오후 3:30:00</t>
  </si>
  <si>
    <t>2023. 10. 26 오후 4:00:00</t>
  </si>
  <si>
    <t>2023. 10. 26 오후 3:30:00</t>
  </si>
  <si>
    <t>2023. 10. 27 오후 4:00:00</t>
  </si>
  <si>
    <t>2023. 10. 27 오후 3:30:00</t>
  </si>
  <si>
    <t>2023. 10. 28 오후 4:00:00</t>
  </si>
  <si>
    <t>2023. 10. 28 오후 3:30:00</t>
  </si>
  <si>
    <t>2023. 10. 29 오후 4:00:00</t>
  </si>
  <si>
    <t>2023. 10. 29 오후 3:30:00</t>
  </si>
  <si>
    <t>2023. 10. 30 오후 4:00:00</t>
  </si>
  <si>
    <t>2023. 10. 30 오후 3:30:00</t>
  </si>
  <si>
    <t>2023. 10. 31 오후 4:00:00</t>
  </si>
  <si>
    <t>2023. 10. 31 오후 3:30:00</t>
  </si>
  <si>
    <t>2023. 11. 1 오후 4:00:00</t>
  </si>
  <si>
    <t>2023. 11. 1 오후 3:30:00</t>
  </si>
  <si>
    <t>2023. 11. 2 오후 4:00:00</t>
  </si>
  <si>
    <t>2023. 11. 2 오후 3:30:00</t>
  </si>
  <si>
    <t>2023. 11. 3 오후 4:00:00</t>
  </si>
  <si>
    <t>2023. 11. 3 오후 3:30:00</t>
  </si>
  <si>
    <t>2023. 11. 4 오후 4:00:00</t>
  </si>
  <si>
    <t>2023. 11. 4 오후 3:30:00</t>
  </si>
  <si>
    <t>2023. 11. 5 오후 4:00:00</t>
  </si>
  <si>
    <t>2023. 11. 5 오후 3:30:00</t>
  </si>
  <si>
    <t>2023. 11. 6 오후 4:00:00</t>
  </si>
  <si>
    <t>2023. 11. 6 오후 3:30:00</t>
  </si>
  <si>
    <t>2023. 11. 7 오후 4:00:00</t>
  </si>
  <si>
    <t>2023. 11. 7 오후 3:30:00</t>
  </si>
  <si>
    <t>2023. 11. 8 오후 4:00:00</t>
  </si>
  <si>
    <t>2023. 11. 8 오후 3:30:00</t>
  </si>
  <si>
    <t>2023. 11. 9 오후 4:00:00</t>
  </si>
  <si>
    <t>2023. 11. 9 오후 3:30:00</t>
  </si>
  <si>
    <t>2023. 11. 10 오후 4:00:00</t>
  </si>
  <si>
    <t>2023. 11. 10 오후 3:30:00</t>
  </si>
  <si>
    <t>2023. 11. 11 오후 4:00:00</t>
  </si>
  <si>
    <t>2023. 11. 11 오후 3:30:00</t>
  </si>
  <si>
    <t>2023. 11. 12 오후 4:00:00</t>
  </si>
  <si>
    <t>2023. 11. 12 오후 3:30:00</t>
  </si>
  <si>
    <t>2023. 11. 13 오후 4:00:00</t>
  </si>
  <si>
    <t>2023. 11. 13 오후 3:30:00</t>
  </si>
  <si>
    <t>2023. 11. 14 오후 4:00:00</t>
  </si>
  <si>
    <t>2023. 11. 14 오후 3:30:00</t>
  </si>
  <si>
    <t>2023. 11. 15 오후 4:00:00</t>
  </si>
  <si>
    <t>2023. 11. 15 오후 3:30:00</t>
  </si>
  <si>
    <t>2023. 11. 16 오후 4:00:00</t>
  </si>
  <si>
    <t>2023. 11. 16 오후 3:30:00</t>
  </si>
  <si>
    <t>2023. 11. 17 오후 4:00:00</t>
  </si>
  <si>
    <t>2023. 11. 17 오후 3:30:00</t>
  </si>
  <si>
    <t>2023. 11. 18 오후 4:00:00</t>
  </si>
  <si>
    <t>2023. 11. 18 오후 3:30:00</t>
  </si>
  <si>
    <t>2023. 11. 19 오후 4:00:00</t>
  </si>
  <si>
    <t>2023. 11. 19 오후 3:30:00</t>
  </si>
  <si>
    <t>2023. 11. 20 오후 4:00:00</t>
  </si>
  <si>
    <t>2023. 11. 20 오후 3:30:00</t>
  </si>
  <si>
    <t>2023. 11. 21 오후 4:00:00</t>
  </si>
  <si>
    <t>2023. 11. 21 오후 3:30:00</t>
  </si>
  <si>
    <t>2023. 11. 22 오후 4:00:00</t>
  </si>
  <si>
    <t>2023. 11. 22 오후 3:30:00</t>
  </si>
  <si>
    <t>2023. 11. 23 오후 4:00:00</t>
  </si>
  <si>
    <t>2023. 11. 23 오후 3:30:00</t>
  </si>
  <si>
    <t>2023. 11. 24 오후 4:00:00</t>
  </si>
  <si>
    <t>2023. 11. 24 오후 3:30:00</t>
  </si>
  <si>
    <t>2023. 11. 25 오후 4:00:00</t>
  </si>
  <si>
    <t>2023. 11. 25 오후 3:30:00</t>
  </si>
  <si>
    <t>2023. 11. 26 오후 4:00:00</t>
  </si>
  <si>
    <t>2023. 11. 26 오후 3:30:00</t>
  </si>
  <si>
    <t>2023. 11. 27 오후 4:00:00</t>
  </si>
  <si>
    <t>2023. 11. 27 오후 3:30:00</t>
  </si>
  <si>
    <t>2023. 11. 28 오후 4:00:00</t>
  </si>
  <si>
    <t>2023. 11. 28 오후 3:30:00</t>
  </si>
  <si>
    <t>2023. 11. 29 오후 4:00:00</t>
  </si>
  <si>
    <t>2023. 11. 29 오후 3:30:00</t>
  </si>
  <si>
    <t>2023. 11. 30 오후 4:00:00</t>
  </si>
  <si>
    <t>2023. 11. 30 오후 3:30:00</t>
  </si>
  <si>
    <t>2023. 12. 1 오후 4:00:00</t>
  </si>
  <si>
    <t>2023. 12. 1 오후 3:30:00</t>
  </si>
  <si>
    <t>2023. 12. 2 오후 4:00:00</t>
  </si>
  <si>
    <t>2023. 12. 2 오후 3:30:00</t>
  </si>
  <si>
    <t>2023. 12. 3 오후 4:00:00</t>
  </si>
  <si>
    <t>2023. 12. 3 오후 3:30:00</t>
  </si>
  <si>
    <t>2023. 12. 4 오후 4:00:00</t>
  </si>
  <si>
    <t>2023. 12. 4 오후 3:30:00</t>
  </si>
  <si>
    <t>2023. 12. 5 오후 4:00:00</t>
  </si>
  <si>
    <t>2023. 12. 5 오후 3:30:00</t>
  </si>
  <si>
    <t>2023. 12. 6 오후 4:00:00</t>
  </si>
  <si>
    <t>2023. 12. 6 오후 3:30:00</t>
  </si>
  <si>
    <t>2023. 12. 7 오후 4:00:00</t>
  </si>
  <si>
    <t>2023. 12. 7 오후 3:30:00</t>
  </si>
  <si>
    <t>2023. 12. 8 오후 4:00:00</t>
  </si>
  <si>
    <t>2023. 12. 8 오후 3:30:00</t>
  </si>
  <si>
    <t>2023. 12. 9 오후 4:00:00</t>
  </si>
  <si>
    <t>2023. 12. 9 오후 3:30:00</t>
  </si>
  <si>
    <t>2023. 12. 10 오후 4:00:00</t>
  </si>
  <si>
    <t>2023. 12. 10 오후 3:30:00</t>
  </si>
  <si>
    <t>2023. 12. 11 오후 4:00:00</t>
  </si>
  <si>
    <t>2023. 12. 11 오후 3:30:00</t>
  </si>
  <si>
    <t>2023. 12. 12 오후 4:00:00</t>
  </si>
  <si>
    <t>2023. 12. 12 오후 3:30:00</t>
  </si>
  <si>
    <t>2023. 12. 13 오후 4:00:00</t>
  </si>
  <si>
    <t>2023. 12. 13 오후 3:30:00</t>
  </si>
  <si>
    <t>2023. 12. 14 오후 4:00:00</t>
  </si>
  <si>
    <t>2023. 12. 14 오후 3:30:00</t>
  </si>
  <si>
    <t>2023. 12. 15 오후 4:00:00</t>
  </si>
  <si>
    <t>2023. 12. 15 오후 3:30:00</t>
  </si>
  <si>
    <t>2023. 12. 16 오후 4:00:00</t>
  </si>
  <si>
    <t>2023. 12. 16 오후 3:30:00</t>
  </si>
  <si>
    <t>2023. 12. 17 오후 4:00:00</t>
  </si>
  <si>
    <t>2023. 12. 17 오후 3:30:00</t>
  </si>
  <si>
    <t>2023. 12. 18 오후 4:00:00</t>
  </si>
  <si>
    <t>2023. 12. 18 오후 3:30:00</t>
  </si>
  <si>
    <t>2023. 12. 19 오후 4:00:00</t>
  </si>
  <si>
    <t>2023. 12. 19 오후 3:30:00</t>
  </si>
  <si>
    <t>2023. 12. 20 오후 4:00:00</t>
  </si>
  <si>
    <t>2023. 12. 20 오후 3:30:00</t>
  </si>
  <si>
    <t>2023. 12. 21 오후 4:00:00</t>
  </si>
  <si>
    <t>2023. 12. 21 오후 3:30:00</t>
  </si>
  <si>
    <t>2023. 12. 22 오후 4:00:00</t>
  </si>
  <si>
    <t>2023. 12. 22 오후 3:30:00</t>
  </si>
  <si>
    <t>2023. 12. 23 오후 4:00:00</t>
  </si>
  <si>
    <t>2023. 12. 23 오후 3:30:00</t>
  </si>
  <si>
    <t>2023. 12. 24 오후 4:00:00</t>
  </si>
  <si>
    <t>2023. 12. 24 오후 3:30:00</t>
  </si>
  <si>
    <t>2023. 12. 25 오후 4:00:00</t>
  </si>
  <si>
    <t>2023. 12. 25 오후 3:30:00</t>
  </si>
  <si>
    <t>2023. 12. 26 오후 4:00:00</t>
  </si>
  <si>
    <t>2023. 12. 26 오후 3:30:00</t>
  </si>
  <si>
    <t>2023. 12. 27 오후 4:00:00</t>
  </si>
  <si>
    <t>2023. 12. 27 오후 3:30:00</t>
  </si>
  <si>
    <t>2023. 12. 28 오후 4:00:00</t>
  </si>
  <si>
    <t>2023. 12. 28 오후 3:30:00</t>
  </si>
  <si>
    <t>2023. 12. 29 오후 4:00:00</t>
  </si>
  <si>
    <t>2023. 12. 29 오후 3:30:00</t>
  </si>
  <si>
    <t>2023. 12. 30 오후 4:00:00</t>
  </si>
  <si>
    <t>2023. 12. 30 오후 3:30:00</t>
  </si>
  <si>
    <t>2023. 12. 31 오후 4:00:00</t>
  </si>
  <si>
    <t>2023. 12. 31 오후 3:30:00</t>
  </si>
  <si>
    <t>2024. 1. 1 오후 4:00:00</t>
  </si>
  <si>
    <t>2024. 1. 1 오후 3:30:00</t>
  </si>
  <si>
    <t>2024. 1. 2 오후 4:00:00</t>
  </si>
  <si>
    <t>2024. 1. 2 오후 3:30:00</t>
  </si>
  <si>
    <t>2024. 1. 3 오후 4:00:00</t>
  </si>
  <si>
    <t>2024. 1. 3 오후 3:30:00</t>
  </si>
  <si>
    <t>2024. 1. 4 오후 4:00:00</t>
  </si>
  <si>
    <t>2024. 1. 4 오후 3:30:00</t>
  </si>
  <si>
    <t>2024. 1. 5 오후 4:00:00</t>
  </si>
  <si>
    <t>2024. 1. 5 오후 3:30:00</t>
  </si>
  <si>
    <t>2024. 1. 6 오후 4:00:00</t>
  </si>
  <si>
    <t>2024. 1. 6 오후 3:30:00</t>
  </si>
  <si>
    <t>2024. 1. 7 오후 4:00:00</t>
  </si>
  <si>
    <t>2024. 1. 7 오후 3:30:00</t>
  </si>
  <si>
    <t>2024. 1. 8 오후 4:00:00</t>
  </si>
  <si>
    <t>2024. 1. 8 오후 3:30:00</t>
  </si>
  <si>
    <t>2024. 1. 9 오후 4:00:00</t>
  </si>
  <si>
    <t>2024. 1. 9 오후 3:30:00</t>
  </si>
  <si>
    <t>2024. 1. 10 오후 4:00:00</t>
  </si>
  <si>
    <t>2024. 1. 10 오후 3:30:00</t>
  </si>
  <si>
    <t>2024. 1. 11 오후 4:00:00</t>
  </si>
  <si>
    <t>2024. 1. 11 오후 3:30:00</t>
  </si>
  <si>
    <t>2024. 1. 12 오후 4:00:00</t>
  </si>
  <si>
    <t>2024. 1. 12 오후 3:30:00</t>
  </si>
  <si>
    <t>2024. 1. 13 오후 4:00:00</t>
  </si>
  <si>
    <t>2024. 1. 13 오후 3:30:00</t>
  </si>
  <si>
    <t>2024. 1. 14 오후 4:00:00</t>
  </si>
  <si>
    <t>2024. 1. 14 오후 3:30:00</t>
  </si>
  <si>
    <t>2024. 1. 15 오후 4:00:00</t>
  </si>
  <si>
    <t>2024. 1. 15 오후 3:30:00</t>
  </si>
  <si>
    <t>2024. 1. 16 오후 4:00:00</t>
  </si>
  <si>
    <t>2024. 1. 16 오후 3:30:00</t>
  </si>
  <si>
    <t>2024. 1. 17 오후 4:00:00</t>
  </si>
  <si>
    <t>2024. 1. 17 오후 3:30:00</t>
  </si>
  <si>
    <t>2024. 1. 18 오후 4:00:00</t>
  </si>
  <si>
    <t>2024. 1. 18 오후 3:30:00</t>
  </si>
  <si>
    <t>2024. 1. 19 오후 4:00:00</t>
  </si>
  <si>
    <t>2024. 1. 19 오후 3:30:00</t>
  </si>
  <si>
    <t>2024. 1. 20 오후 4:00:00</t>
  </si>
  <si>
    <t>2024. 1. 20 오후 3:30:00</t>
  </si>
  <si>
    <t>2024. 1. 21 오후 4:00:00</t>
  </si>
  <si>
    <t>2024. 1. 21 오후 3:30:00</t>
  </si>
  <si>
    <t>2024. 1. 22 오후 4:00:00</t>
  </si>
  <si>
    <t>2024. 1. 22 오후 3:30:00</t>
  </si>
  <si>
    <t>2024. 1. 23 오후 4:00:00</t>
  </si>
  <si>
    <t>2024. 1. 23 오후 3:30:00</t>
  </si>
  <si>
    <t>2024. 1. 24 오후 4:00:00</t>
  </si>
  <si>
    <t>2024. 1. 24 오후 3:30:00</t>
  </si>
  <si>
    <t>2024. 1. 25 오후 4:00:00</t>
  </si>
  <si>
    <t>2024. 1. 25 오후 3:30:00</t>
  </si>
  <si>
    <t>2024. 1. 26 오후 4:00:00</t>
  </si>
  <si>
    <t>2024. 1. 26 오후 3:30:00</t>
  </si>
  <si>
    <t>2024. 1. 27 오후 4:00:00</t>
  </si>
  <si>
    <t>2024. 1. 27 오후 3:30:00</t>
  </si>
  <si>
    <t>2024. 1. 28 오후 4:00:00</t>
  </si>
  <si>
    <t>2024. 1. 28 오후 3:30:00</t>
  </si>
  <si>
    <t>2024. 1. 29 오후 4:00:00</t>
  </si>
  <si>
    <t>2024. 1. 29 오후 3:30:00</t>
  </si>
  <si>
    <t>2024. 1. 30 오후 4:00:00</t>
  </si>
  <si>
    <t>2024. 1. 30 오후 3:30:00</t>
  </si>
  <si>
    <t>2024. 1. 31 오후 4:00:00</t>
  </si>
  <si>
    <t>2024. 1. 31 오후 3:30:00</t>
  </si>
  <si>
    <t>2024. 2. 1 오후 4:00:00</t>
  </si>
  <si>
    <t>2024. 2. 1 오후 3:30:00</t>
  </si>
  <si>
    <t>2024. 2. 2 오후 4:00:00</t>
  </si>
  <si>
    <t>2024. 2. 2 오후 3:30:00</t>
  </si>
  <si>
    <t>2024. 2. 3 오후 4:00:00</t>
  </si>
  <si>
    <t>2024. 2. 3 오후 3:30:00</t>
  </si>
  <si>
    <t>2024. 2. 4 오후 4:00:00</t>
  </si>
  <si>
    <t>2024. 2. 4 오후 3:30:00</t>
  </si>
  <si>
    <t>2024. 2. 5 오후 4:00:00</t>
  </si>
  <si>
    <t>2024. 2. 5 오후 3:30:00</t>
  </si>
  <si>
    <t>2024. 2. 6 오후 4:00:00</t>
  </si>
  <si>
    <t>2024. 2. 6 오후 3:30:00</t>
  </si>
  <si>
    <t>2024. 2. 7 오후 4:00:00</t>
  </si>
  <si>
    <t>2024. 2. 7 오후 3:30:00</t>
  </si>
  <si>
    <t>2024. 2. 8 오후 4:00:00</t>
  </si>
  <si>
    <t>2024. 2. 8 오후 3:30:00</t>
  </si>
  <si>
    <t>2024. 2. 9 오후 4:00:00</t>
  </si>
  <si>
    <t>2024. 2. 9 오후 3:30:00</t>
  </si>
  <si>
    <t>2024. 2. 10 오후 4:00:00</t>
  </si>
  <si>
    <t>2024. 2. 10 오후 3:30:00</t>
  </si>
  <si>
    <t>2024. 2. 11 오후 4:00:00</t>
  </si>
  <si>
    <t>2024. 2. 11 오후 3:30:00</t>
  </si>
  <si>
    <t>2024. 2. 12 오후 4:00:00</t>
  </si>
  <si>
    <t>2024. 2. 12 오후 3:30:00</t>
  </si>
  <si>
    <t>2024. 2. 13 오후 4:00:00</t>
  </si>
  <si>
    <t>2024. 2. 13 오후 3:30:00</t>
  </si>
  <si>
    <t>2024. 2. 14 오후 4:00:00</t>
  </si>
  <si>
    <t>2024. 2. 14 오후 3:30:00</t>
  </si>
  <si>
    <t>2024. 2. 15 오후 4:00:00</t>
  </si>
  <si>
    <t>2024. 2. 15 오후 3:30:00</t>
  </si>
  <si>
    <t>2024. 2. 16 오후 4:00:00</t>
  </si>
  <si>
    <t>2024. 2. 16 오후 3:30:00</t>
  </si>
  <si>
    <t>2024. 2. 17 오후 4:00:00</t>
  </si>
  <si>
    <t>2024. 2. 17 오후 3:30:00</t>
  </si>
  <si>
    <t>2024. 2. 18 오후 4:00:00</t>
  </si>
  <si>
    <t>2024. 2. 18 오후 3:30:00</t>
  </si>
  <si>
    <t>2024. 2. 19 오후 4:00:00</t>
  </si>
  <si>
    <t>2024. 2. 19 오후 3:30:00</t>
  </si>
  <si>
    <t>2024. 2. 20 오후 4:00:00</t>
  </si>
  <si>
    <t>2024. 2. 20 오후 3:30:00</t>
  </si>
  <si>
    <t>2024. 2. 21 오후 4:00:00</t>
  </si>
  <si>
    <t>2024. 2. 21 오후 3:30:00</t>
  </si>
  <si>
    <t>2024. 2. 22 오후 4:00:00</t>
  </si>
  <si>
    <t>2024. 2. 22 오후 3:30:00</t>
  </si>
  <si>
    <t>2024. 2. 23 오후 4:00:00</t>
  </si>
  <si>
    <t>2024. 2. 23 오후 3:30:00</t>
  </si>
  <si>
    <t>2024. 2. 24 오후 4:00:00</t>
  </si>
  <si>
    <t>2024. 2. 24 오후 3:30:00</t>
  </si>
  <si>
    <t>2024. 2. 25 오후 4:00:00</t>
  </si>
  <si>
    <t>2024. 2. 25 오후 3:30:00</t>
  </si>
  <si>
    <t>2024. 2. 26 오후 4:00:00</t>
  </si>
  <si>
    <t>2024. 2. 26 오후 3:30:00</t>
  </si>
  <si>
    <t>2024. 2. 27 오후 4:00:00</t>
  </si>
  <si>
    <t>2024. 2. 27 오후 3:30:00</t>
  </si>
  <si>
    <t>2024. 2. 28 오후 4:00:00</t>
  </si>
  <si>
    <t>2024. 2. 28 오후 3:30:00</t>
  </si>
  <si>
    <t>2024. 2. 29 오후 4:00:00</t>
  </si>
  <si>
    <t>2024. 2. 29 오후 3:30:00</t>
  </si>
  <si>
    <t>2024. 3. 1 오후 4:00:00</t>
  </si>
  <si>
    <t>2024. 3. 1 오후 3:30:00</t>
  </si>
  <si>
    <t>2024. 3. 2 오후 4:00:00</t>
  </si>
  <si>
    <t>2024. 3. 2 오후 3:30:00</t>
  </si>
  <si>
    <t>2024. 3. 3 오후 4:00:00</t>
  </si>
  <si>
    <t>2024. 3. 3 오후 3:30:00</t>
  </si>
  <si>
    <t>2024. 3. 4 오후 4:00:00</t>
  </si>
  <si>
    <t>2024. 3. 4 오후 3:30:00</t>
  </si>
  <si>
    <t>2024. 3. 5 오후 4:00:00</t>
  </si>
  <si>
    <t>2024. 3. 5 오후 3:30:00</t>
  </si>
  <si>
    <t>2024. 3. 6 오후 4:00:00</t>
  </si>
  <si>
    <t>2024. 3. 6 오후 3:30:00</t>
  </si>
  <si>
    <t>2024. 3. 7 오후 4:00:00</t>
  </si>
  <si>
    <t>2024. 3. 7 오후 3:30:00</t>
  </si>
  <si>
    <t>2024. 3. 8 오후 4:00:00</t>
  </si>
  <si>
    <t>2024. 3. 8 오후 3:30:00</t>
  </si>
  <si>
    <t>2024. 3. 9 오후 4:00:00</t>
  </si>
  <si>
    <t>2024. 3. 9 오후 3:30:00</t>
  </si>
  <si>
    <t>2024. 3. 10 오후 4:00:00</t>
  </si>
  <si>
    <t>2024. 3. 10 오후 3:30:00</t>
  </si>
  <si>
    <t>2024. 3. 11 오후 4:00:00</t>
  </si>
  <si>
    <t>2024. 3. 11 오후 3:30:00</t>
  </si>
  <si>
    <t>2024. 3. 12 오후 4:00:00</t>
  </si>
  <si>
    <t>2024. 3. 12 오후 3:30:00</t>
  </si>
  <si>
    <t>2024. 3. 13 오후 4:00:00</t>
  </si>
  <si>
    <t>2024. 3. 13 오후 3:30:00</t>
  </si>
  <si>
    <t>2024. 3. 14 오후 4:00:00</t>
  </si>
  <si>
    <t>2024. 3. 14 오후 3:30:00</t>
  </si>
  <si>
    <t>2024. 3. 15 오후 4:00:00</t>
  </si>
  <si>
    <t>2024. 3. 15 오후 3:30:00</t>
  </si>
  <si>
    <t>2024. 3. 16 오후 4:00:00</t>
  </si>
  <si>
    <t>2024. 3. 16 오후 3:30:00</t>
  </si>
  <si>
    <t>2024. 3. 17 오후 4:00:00</t>
  </si>
  <si>
    <t>2024. 3. 17 오후 3:30:00</t>
  </si>
  <si>
    <t>2024. 3. 18 오후 4:00:00</t>
  </si>
  <si>
    <t>2024. 3. 18 오후 3:30:00</t>
  </si>
  <si>
    <t>2024. 3. 19 오후 4:00:00</t>
  </si>
  <si>
    <t>2024. 3. 19 오후 3:30:00</t>
  </si>
  <si>
    <t>2024. 3. 20 오후 4:00:00</t>
  </si>
  <si>
    <t>2024. 3. 20 오후 3:30:00</t>
  </si>
  <si>
    <t>2024. 3. 21 오후 4:00:00</t>
  </si>
  <si>
    <t>2024. 3. 21 오후 3:30:00</t>
  </si>
  <si>
    <t>2024. 3. 22 오후 4:00:00</t>
  </si>
  <si>
    <t>2024. 3. 22 오후 3:30:00</t>
  </si>
  <si>
    <t>2024. 3. 23 오후 4:00:00</t>
  </si>
  <si>
    <t>2024. 3. 23 오후 3:30:00</t>
  </si>
  <si>
    <t>2024. 3. 24 오후 4:00:00</t>
  </si>
  <si>
    <t>2024. 3. 24 오후 3:30:00</t>
  </si>
  <si>
    <t>2024. 3. 25 오후 4:00:00</t>
  </si>
  <si>
    <t>2024. 3. 25 오후 3:30:00</t>
  </si>
  <si>
    <t>2024. 3. 26 오후 4:00:00</t>
  </si>
  <si>
    <t>2024. 3. 26 오후 3:30:00</t>
  </si>
  <si>
    <t>2024. 3. 27 오후 4:00:00</t>
  </si>
  <si>
    <t>2024. 3. 27 오후 3:30:00</t>
  </si>
  <si>
    <t>2024. 3. 28 오후 4:00:00</t>
  </si>
  <si>
    <t>2024. 3. 28 오후 3:30:00</t>
  </si>
  <si>
    <t>2024. 3. 29 오후 4:00:00</t>
  </si>
  <si>
    <t>2024. 3. 29 오후 3:30:00</t>
  </si>
  <si>
    <t>2024. 3. 30 오후 4:00:00</t>
  </si>
  <si>
    <t>2024. 3. 30 오후 3:30:00</t>
  </si>
  <si>
    <t>2024. 3. 31 오후 4:00:00</t>
  </si>
  <si>
    <t>2024. 3. 31 오후 3:30:00</t>
  </si>
  <si>
    <t>2024. 4. 1 오후 4:00:00</t>
  </si>
  <si>
    <t>2024. 4. 1 오후 3:30:00</t>
  </si>
  <si>
    <t>2024. 4. 2 오후 4:00:00</t>
  </si>
  <si>
    <t>2024. 4. 2 오후 3:30:00</t>
  </si>
  <si>
    <t>2024. 4. 3 오후 4:00:00</t>
  </si>
  <si>
    <t>2024. 4. 3 오후 3:30:00</t>
  </si>
  <si>
    <t>2024. 4. 4 오후 4:00:00</t>
  </si>
  <si>
    <t>2024. 4. 4 오후 3:30:00</t>
  </si>
  <si>
    <t>2024. 4. 5 오후 4:00:00</t>
  </si>
  <si>
    <t>2024. 4. 5 오후 3:30:00</t>
  </si>
  <si>
    <t>2024. 4. 6 오후 4:00:00</t>
  </si>
  <si>
    <t>2024. 4. 6 오후 3:30:00</t>
  </si>
  <si>
    <t>2024. 4. 7 오후 4:00:00</t>
  </si>
  <si>
    <t>2024. 4. 7 오후 3:30:00</t>
  </si>
  <si>
    <t>2024. 4. 8 오후 4:00:00</t>
  </si>
  <si>
    <t>2024. 4. 8 오후 3:30:00</t>
  </si>
  <si>
    <t>2024. 4. 9 오후 4:00:00</t>
  </si>
  <si>
    <t>2024. 4. 9 오후 3:30:00</t>
  </si>
  <si>
    <t>2024. 4. 10 오후 4:00:00</t>
  </si>
  <si>
    <t>2024. 4. 10 오후 3:30:00</t>
  </si>
  <si>
    <t>2024. 4. 11 오후 4:00:00</t>
  </si>
  <si>
    <t>2024. 4. 11 오후 3:30:00</t>
  </si>
  <si>
    <t>2024. 4. 12 오후 4:00:00</t>
  </si>
  <si>
    <t>2024. 4. 12 오후 3:30:00</t>
  </si>
  <si>
    <t>2024. 4. 13 오후 4:00:00</t>
  </si>
  <si>
    <t>2024. 4. 13 오후 3:30:00</t>
  </si>
  <si>
    <t>2024. 4. 14 오후 4:00:00</t>
  </si>
  <si>
    <t>2024. 4. 14 오후 3:30:00</t>
  </si>
  <si>
    <t>2024. 4. 15 오후 4:00:00</t>
  </si>
  <si>
    <t>2024. 4. 15 오후 3:30:00</t>
  </si>
  <si>
    <t>2024. 4. 16 오후 4:00:00</t>
  </si>
  <si>
    <t>2024. 4. 16 오후 3:30:00</t>
  </si>
  <si>
    <t>2024. 4. 17 오후 4:00:00</t>
  </si>
  <si>
    <t>2024. 4. 17 오후 3:30:00</t>
  </si>
  <si>
    <t>2024. 4. 18 오후 4:00:00</t>
  </si>
  <si>
    <t>2024. 4. 18 오후 3:30:00</t>
  </si>
  <si>
    <t>2024. 4. 19 오후 4:00:00</t>
  </si>
  <si>
    <t>2024. 4. 19 오후 3:30:00</t>
  </si>
  <si>
    <t>2024. 4. 20 오후 4:00:00</t>
  </si>
  <si>
    <t>2024. 4. 20 오후 3:30:00</t>
  </si>
  <si>
    <t>2024. 4. 21 오후 4:00:00</t>
  </si>
  <si>
    <t>2024. 4. 21 오후 3:30:00</t>
  </si>
  <si>
    <t>2024. 4. 22 오후 4:00:00</t>
  </si>
  <si>
    <t>2024. 4. 22 오후 3:30:00</t>
  </si>
  <si>
    <t>2024. 4. 23 오후 4:00:00</t>
  </si>
  <si>
    <t>2024. 4. 23 오후 3:30:00</t>
  </si>
  <si>
    <t>2024. 4. 24 오후 4:00:00</t>
  </si>
  <si>
    <t>2024. 4. 24 오후 3:30:00</t>
  </si>
  <si>
    <t>2024. 4. 25 오후 4:00:00</t>
  </si>
  <si>
    <t>2024. 4. 25 오후 3:30:00</t>
  </si>
  <si>
    <t>2024. 4. 26 오후 4:00:00</t>
  </si>
  <si>
    <t>2024. 4. 26 오후 3:30:00</t>
  </si>
  <si>
    <t>2024. 4. 27 오후 4:00:00</t>
  </si>
  <si>
    <t>2024. 4. 27 오후 3:30:00</t>
  </si>
  <si>
    <t>2024. 4. 28 오후 4:00:00</t>
  </si>
  <si>
    <t>2024. 4. 28 오후 3:30:00</t>
  </si>
  <si>
    <t>2024. 4. 29 오후 4:00:00</t>
  </si>
  <si>
    <t>2024. 4. 29 오후 3:30:00</t>
  </si>
  <si>
    <t>2024. 4. 30 오후 4:00:00</t>
  </si>
  <si>
    <t>2024. 4. 30 오후 3:30:00</t>
  </si>
  <si>
    <t>2024. 5. 1 오후 4:00:00</t>
  </si>
  <si>
    <t>2024. 5. 1 오후 3:30:00</t>
  </si>
  <si>
    <t>2024. 5. 2 오후 4:00:00</t>
  </si>
  <si>
    <t>2024. 5. 2 오후 3:30:00</t>
  </si>
  <si>
    <t>2024. 5. 3 오후 4:00:00</t>
  </si>
  <si>
    <t>2024. 5. 3 오후 3:30:00</t>
  </si>
  <si>
    <t>2024. 5. 4 오후 4:00:00</t>
  </si>
  <si>
    <t>2024. 5. 4 오후 3:30:00</t>
  </si>
  <si>
    <t>2024. 5. 5 오후 4:00:00</t>
  </si>
  <si>
    <t>2024. 5. 5 오후 3:30:00</t>
  </si>
  <si>
    <t>2024. 5. 6 오후 4:00:00</t>
  </si>
  <si>
    <t>2024. 5. 6 오후 3:30:00</t>
  </si>
  <si>
    <t>2024. 5. 7 오후 4:00:00</t>
  </si>
  <si>
    <t>2024. 5. 7 오후 3:30:00</t>
  </si>
  <si>
    <t>2024. 5. 8 오후 4:00:00</t>
  </si>
  <si>
    <t>2024. 5. 8 오후 3:30:00</t>
  </si>
  <si>
    <t>2024. 5. 9 오후 4:00:00</t>
  </si>
  <si>
    <t>2024. 5. 9 오후 3:30:00</t>
  </si>
  <si>
    <t>2024. 5. 10 오후 4:00:00</t>
  </si>
  <si>
    <t>2024. 5. 10 오후 3:30:00</t>
  </si>
  <si>
    <t>2024. 5. 11 오후 4:00:00</t>
  </si>
  <si>
    <t>2024. 5. 11 오후 3:30:00</t>
  </si>
  <si>
    <t>2024. 5. 12 오후 4:00:00</t>
  </si>
  <si>
    <t>2024. 5. 12 오후 3:30:00</t>
  </si>
  <si>
    <t>2024. 5. 13 오후 4:00:00</t>
  </si>
  <si>
    <t>2024. 5. 13 오후 3:30:00</t>
  </si>
  <si>
    <t>2024. 5. 14 오후 4:00:00</t>
  </si>
  <si>
    <t>2024. 5. 14 오후 3:30:00</t>
  </si>
  <si>
    <t>2024. 5. 15 오후 4:00:00</t>
  </si>
  <si>
    <t>2024. 5. 15 오후 3:30:00</t>
  </si>
  <si>
    <t>2024. 5. 16 오후 4:00:00</t>
  </si>
  <si>
    <t>2024. 5. 16 오후 3:30:00</t>
  </si>
  <si>
    <t>2024. 5. 17 오후 4:00:00</t>
  </si>
  <si>
    <t>2024. 5. 17 오후 3:30:00</t>
  </si>
  <si>
    <t>2024. 5. 18 오후 4:00:00</t>
  </si>
  <si>
    <t>2024. 5. 18 오후 3:30:00</t>
  </si>
  <si>
    <t>2024. 5. 19 오후 4:00:00</t>
  </si>
  <si>
    <t>2024. 5. 19 오후 3:30:00</t>
  </si>
  <si>
    <t>2024. 5. 20 오후 4:00:00</t>
  </si>
  <si>
    <t>2024. 5. 20 오후 3:30:00</t>
  </si>
  <si>
    <t>2024. 5. 21 오후 4:00:00</t>
  </si>
  <si>
    <t>2024. 5. 21 오후 3:30:00</t>
  </si>
  <si>
    <t>2024. 5. 22 오후 4:00:00</t>
  </si>
  <si>
    <t>2024. 5. 22 오후 3:30:00</t>
  </si>
  <si>
    <t>2024. 5. 23 오후 4:00:00</t>
  </si>
  <si>
    <t>2024. 5. 23 오후 3:30:00</t>
  </si>
  <si>
    <t>2024. 5. 24 오후 4:00:00</t>
  </si>
  <si>
    <t>2024. 5. 24 오후 3:30:00</t>
  </si>
  <si>
    <t>2024. 5. 25 오후 4:00:00</t>
  </si>
  <si>
    <t>2024. 5. 25 오후 3:30:00</t>
  </si>
  <si>
    <t>2024. 5. 26 오후 4:00:00</t>
  </si>
  <si>
    <t>2024. 5. 26 오후 3:30:00</t>
  </si>
  <si>
    <t>2024. 5. 27 오후 4:00:00</t>
  </si>
  <si>
    <t>2024. 5. 27 오후 3:30:00</t>
  </si>
  <si>
    <t>2024. 5. 28 오후 4:00:00</t>
  </si>
  <si>
    <t>2024. 5. 28 오후 3:30:00</t>
  </si>
  <si>
    <t>2024. 5. 29 오후 4:00:00</t>
  </si>
  <si>
    <t>2024. 5. 29 오후 3:30:00</t>
  </si>
  <si>
    <t>2024. 5. 30 오후 4:00:00</t>
  </si>
  <si>
    <t>2024. 5. 30 오후 3:30:00</t>
  </si>
  <si>
    <t>2024. 5. 31 오후 4:00:00</t>
  </si>
  <si>
    <t>2024. 5. 31 오후 3:30:00</t>
  </si>
  <si>
    <t>2024. 6. 1 오후 4:00:00</t>
  </si>
  <si>
    <t>2024. 6. 1 오후 3:30:00</t>
  </si>
  <si>
    <t>2024. 6. 2 오후 4:00:00</t>
  </si>
  <si>
    <t>2024. 6. 2 오후 3:30:00</t>
  </si>
  <si>
    <t>2024. 6. 3 오후 4:00:00</t>
  </si>
  <si>
    <t>2024. 6. 3 오후 3:30:00</t>
  </si>
  <si>
    <t>2024. 6. 4 오후 4:00:00</t>
  </si>
  <si>
    <t>2024. 6. 4 오후 3:30:00</t>
  </si>
  <si>
    <t>2024. 6. 5 오후 4:00:00</t>
  </si>
  <si>
    <t>2024. 6. 5 오후 3:30:00</t>
  </si>
  <si>
    <t>2024. 6. 6 오후 4:00:00</t>
  </si>
  <si>
    <t>2024. 6. 6 오후 3:30:00</t>
  </si>
  <si>
    <t>2024. 6. 7 오후 4:00:00</t>
  </si>
  <si>
    <t>2024. 6. 7 오후 3:30:00</t>
  </si>
  <si>
    <t>2024. 6. 8 오후 4:00:00</t>
  </si>
  <si>
    <t>2024. 6. 8 오후 3:30:00</t>
  </si>
  <si>
    <t>2024. 6. 9 오후 4:00:00</t>
  </si>
  <si>
    <t>2024. 6. 9 오후 3:30:00</t>
  </si>
  <si>
    <t>2024. 6. 10 오후 4:00:00</t>
  </si>
  <si>
    <t>2024. 6. 10 오후 3:30:00</t>
  </si>
  <si>
    <t>2024. 6. 11 오후 4:00:00</t>
  </si>
  <si>
    <t>2024. 6. 11 오후 3:30:00</t>
  </si>
  <si>
    <t>2024. 6. 12 오후 4:00:00</t>
  </si>
  <si>
    <t>2024. 6. 12 오후 3:30:00</t>
  </si>
  <si>
    <t>2024. 6. 13 오후 4:00:00</t>
  </si>
  <si>
    <t>2024. 6. 13 오후 3:30:00</t>
  </si>
  <si>
    <t>2024. 6. 14 오후 4:00:00</t>
  </si>
  <si>
    <t>2024. 6. 14 오후 3:30:00</t>
  </si>
  <si>
    <t>2024. 6. 15 오후 4:00:00</t>
  </si>
  <si>
    <t>2024. 6. 15 오후 3:30:00</t>
  </si>
  <si>
    <t>2024. 6. 16 오후 4:00:00</t>
  </si>
  <si>
    <t>2024. 6. 16 오후 3:30:00</t>
  </si>
  <si>
    <t>2024. 6. 17 오후 4:00:00</t>
  </si>
  <si>
    <t>2024. 6. 17 오후 3:30:00</t>
  </si>
  <si>
    <t>2024. 6. 18 오후 4:00:00</t>
  </si>
  <si>
    <t>2024. 6. 18 오후 3:30:00</t>
  </si>
  <si>
    <t>2024. 6. 19 오후 4:00:00</t>
  </si>
  <si>
    <t>2024. 6. 19 오후 3:30:00</t>
  </si>
  <si>
    <t>2024. 6. 20 오후 4:00:00</t>
  </si>
  <si>
    <t>2024. 6. 20 오후 3:30:00</t>
  </si>
  <si>
    <t>2024. 6. 21 오후 4:00:00</t>
  </si>
  <si>
    <t>2024. 6. 21 오후 3:30:00</t>
  </si>
  <si>
    <t>2024. 6. 22 오후 4:00:00</t>
  </si>
  <si>
    <t>2024. 6. 22 오후 3:30:00</t>
  </si>
  <si>
    <t>2024. 6. 23 오후 4:00:00</t>
  </si>
  <si>
    <t>2024. 6. 23 오후 3:30:00</t>
  </si>
  <si>
    <t>2024. 6. 24 오후 4:00:00</t>
  </si>
  <si>
    <t>2024. 6. 24 오후 3:30:00</t>
  </si>
  <si>
    <t>2024. 6. 25 오후 4:00:00</t>
  </si>
  <si>
    <t>2024. 6. 25 오후 3:30:00</t>
  </si>
  <si>
    <t>2024. 6. 26 오후 4:00:00</t>
  </si>
  <si>
    <t>2024. 6. 26 오후 3:30:00</t>
  </si>
  <si>
    <t>2024. 6. 27 오후 4:00:00</t>
  </si>
  <si>
    <t>2024. 6. 27 오후 3:30:00</t>
  </si>
  <si>
    <t>2024. 6. 28 오후 4:00:00</t>
  </si>
  <si>
    <t>2024. 6. 28 오후 3:30:00</t>
  </si>
  <si>
    <t>2024. 6. 29 오후 4:00:00</t>
  </si>
  <si>
    <t>2024. 6. 29 오후 3:30:00</t>
  </si>
  <si>
    <t>2024. 6. 30 오후 4:00:00</t>
  </si>
  <si>
    <t>2024. 6. 30 오후 3:30:00</t>
  </si>
  <si>
    <t>2024. 7. 1 오후 4:00:00</t>
  </si>
  <si>
    <t>2024. 7. 1 오후 3:30:00</t>
  </si>
  <si>
    <t>2024. 7. 2 오후 4:00:00</t>
  </si>
  <si>
    <t>2024. 7. 2 오후 3:30:00</t>
  </si>
  <si>
    <t>2024. 7. 3 오후 4:00:00</t>
  </si>
  <si>
    <t>2024. 7. 3 오후 3:30:00</t>
  </si>
  <si>
    <t>2024. 7. 4 오후 4:00:00</t>
  </si>
  <si>
    <t>2024. 7. 4 오후 3:30:00</t>
  </si>
  <si>
    <t>2024. 7. 5 오후 4:00:00</t>
  </si>
  <si>
    <t>2024. 7. 5 오후 3:30:00</t>
  </si>
  <si>
    <t>2024. 7. 6 오후 4:00:00</t>
  </si>
  <si>
    <t>2024. 7. 6 오후 3:30:00</t>
  </si>
  <si>
    <t>2024. 7. 7 오후 4:00:00</t>
  </si>
  <si>
    <t>2024. 7. 7 오후 3:30:00</t>
  </si>
  <si>
    <t>2024. 7. 8 오후 4:00:00</t>
  </si>
  <si>
    <t>2024. 7. 8 오후 3:30:00</t>
  </si>
  <si>
    <t>2024. 7. 9 오후 4:00:00</t>
  </si>
  <si>
    <t>2024. 7. 9 오후 3:30:00</t>
  </si>
  <si>
    <t>2024. 7. 10 오후 4:00:00</t>
  </si>
  <si>
    <t>2024. 7. 10 오후 3:30:00</t>
  </si>
  <si>
    <t>2024. 7. 11 오후 4:00:00</t>
  </si>
  <si>
    <t>2024. 7. 11 오후 3:30:00</t>
  </si>
  <si>
    <t>2024. 7. 12 오후 4:00:00</t>
  </si>
  <si>
    <t>2024. 7. 12 오후 3:30:00</t>
  </si>
  <si>
    <t>2024. 7. 13 오후 4:00:00</t>
  </si>
  <si>
    <t>2024. 7. 13 오후 3:30:00</t>
  </si>
  <si>
    <t>2024. 7. 14 오후 4:00:00</t>
  </si>
  <si>
    <t>2024. 7. 14 오후 3:30:00</t>
  </si>
  <si>
    <t>2024. 7. 15 오후 4:00:00</t>
  </si>
  <si>
    <t>2024. 7. 15 오후 3:30:00</t>
  </si>
  <si>
    <t>2024. 7. 16 오후 4:00:00</t>
  </si>
  <si>
    <t>2024. 7. 16 오후 3:30:00</t>
  </si>
  <si>
    <t>2024. 7. 17 오후 4:00:00</t>
  </si>
  <si>
    <t>2024. 7. 17 오후 3:30:00</t>
  </si>
  <si>
    <t>2024. 7. 18 오후 4:00:00</t>
  </si>
  <si>
    <t>2024. 7. 18 오후 3:30:00</t>
  </si>
  <si>
    <t>2024. 7. 19 오후 4:00:00</t>
  </si>
  <si>
    <t>2024. 7. 19 오후 3:30:00</t>
  </si>
  <si>
    <t>2024. 7. 20 오후 4:00:00</t>
  </si>
  <si>
    <t>2024. 7. 20 오후 3:30:00</t>
  </si>
  <si>
    <t>2024. 7. 21 오후 4:00:00</t>
  </si>
  <si>
    <t>2024. 7. 21 오후 3:30:00</t>
  </si>
  <si>
    <t>2024. 7. 22 오후 4:00:00</t>
  </si>
  <si>
    <t>2024. 7. 22 오후 3:30:00</t>
  </si>
  <si>
    <t>2024. 7. 23 오후 4:00:00</t>
  </si>
  <si>
    <t>2024. 7. 23 오후 3:30:00</t>
  </si>
  <si>
    <t>2024. 7. 24 오후 4:00:00</t>
  </si>
  <si>
    <t>2024. 7. 24 오후 3:30:00</t>
  </si>
  <si>
    <t>2024. 7. 25 오후 4:00:00</t>
  </si>
  <si>
    <t>2024. 7. 25 오후 3:30:00</t>
  </si>
  <si>
    <t>2024. 7. 26 오후 4:00:00</t>
  </si>
  <si>
    <t>2024. 7. 26 오후 3:30:00</t>
  </si>
  <si>
    <t>2024. 7. 27 오후 4:00:00</t>
  </si>
  <si>
    <t>2024. 7. 27 오후 3:30:00</t>
  </si>
  <si>
    <t>2024. 7. 28 오후 4:00:00</t>
  </si>
  <si>
    <t>2024. 7. 28 오후 3:30:00</t>
  </si>
  <si>
    <t>2024. 7. 29 오후 4:00:00</t>
  </si>
  <si>
    <t>2024. 7. 29 오후 3:30:00</t>
  </si>
  <si>
    <t>2024. 7. 30 오후 4:00:00</t>
  </si>
  <si>
    <t>2024. 7. 30 오후 3:30:00</t>
  </si>
  <si>
    <t>2024. 7. 31 오후 4:00:00</t>
  </si>
  <si>
    <t>2024. 7. 31 오후 3:30:00</t>
  </si>
  <si>
    <t>2024. 8. 1 오후 4:00:00</t>
  </si>
  <si>
    <t>2024. 8. 1 오후 3:30:00</t>
  </si>
  <si>
    <t>2024. 8. 2 오후 4:00:00</t>
  </si>
  <si>
    <t>2024. 8. 2 오후 3:30:00</t>
  </si>
  <si>
    <t>2024. 8. 3 오후 4:00:00</t>
  </si>
  <si>
    <t>2024. 8. 3 오후 3:30:00</t>
  </si>
  <si>
    <t>2024. 8. 4 오후 4:00:00</t>
  </si>
  <si>
    <t>2024. 8. 4 오후 3:30:00</t>
  </si>
  <si>
    <t>시작</t>
  </si>
  <si>
    <t>종료</t>
  </si>
  <si>
    <t>S&amp;P500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</si>
</sst>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yyyy. m. d"/>
    <numFmt numFmtId="166" formatCode="yyyy/m/d"/>
    <numFmt numFmtId="167" formatCode="yyyy/mm/d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&quot;Google Sans Mono&quot;"/>
    </font>
    <font>
      <sz val="9.0"/>
      <color rgb="FF777777"/>
      <name val="&quot;Google Sans Mono&quot;"/>
    </font>
    <font>
      <sz val="10.0"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Fill="1" applyFont="1"/>
    <xf borderId="0" fillId="0" fontId="1" numFmtId="165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2" fontId="3" numFmtId="0" xfId="0" applyFont="1"/>
    <xf borderId="0" fillId="0" fontId="1" numFmtId="164" xfId="0" applyFont="1" applyNumberFormat="1"/>
    <xf borderId="0" fillId="0" fontId="4" numFmtId="0" xfId="0" applyFont="1"/>
    <xf borderId="1" fillId="0" fontId="5" numFmtId="0" xfId="0" applyAlignment="1" applyBorder="1" applyFont="1">
      <alignment horizontal="right" readingOrder="0" shrinkToFit="0" wrapText="0"/>
    </xf>
    <xf borderId="2" fillId="0" fontId="5" numFmtId="0" xfId="0" applyAlignment="1" applyBorder="1" applyFont="1">
      <alignment horizontal="right" readingOrder="0" shrinkToFit="0" wrapText="0"/>
    </xf>
    <xf borderId="1" fillId="0" fontId="5" numFmtId="4" xfId="0" applyAlignment="1" applyBorder="1" applyFont="1" applyNumberFormat="1">
      <alignment horizontal="right" readingOrder="0" shrinkToFit="0" wrapText="0"/>
    </xf>
    <xf borderId="2" fillId="0" fontId="5" numFmtId="4" xfId="0" applyAlignment="1" applyBorder="1" applyFont="1" applyNumberFormat="1">
      <alignment horizontal="right" readingOrder="0" shrinkToFit="0" wrapText="0"/>
    </xf>
    <xf borderId="3" fillId="0" fontId="5" numFmtId="166" xfId="0" applyAlignment="1" applyBorder="1" applyFont="1" applyNumberFormat="1">
      <alignment horizontal="center" readingOrder="0" shrinkToFit="0" wrapText="0"/>
    </xf>
    <xf borderId="4" fillId="0" fontId="5" numFmtId="166" xfId="0" applyAlignment="1" applyBorder="1" applyFont="1" applyNumberFormat="1">
      <alignment horizontal="center" readingOrder="0" shrinkToFit="0" wrapText="0"/>
    </xf>
    <xf borderId="4" fillId="0" fontId="5" numFmtId="167" xfId="0" applyAlignment="1" applyBorder="1" applyFont="1" applyNumberFormat="1">
      <alignment horizontal="center" readingOrder="0" shrinkToFit="0" wrapText="0"/>
    </xf>
    <xf borderId="3" fillId="0" fontId="5" numFmtId="167" xfId="0" applyAlignment="1" applyBorder="1" applyFont="1" applyNumberForma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7" max="7" width="19.25"/>
  </cols>
  <sheetData>
    <row r="1">
      <c r="A1" s="1"/>
      <c r="G1" s="1"/>
      <c r="H1" s="2" t="s">
        <v>0</v>
      </c>
    </row>
    <row r="2">
      <c r="A2" s="1"/>
      <c r="G2" s="1"/>
      <c r="H2" s="2" t="s">
        <v>0</v>
      </c>
    </row>
    <row r="3">
      <c r="A3" s="1"/>
      <c r="G3" s="1"/>
      <c r="H3" s="2" t="s">
        <v>0</v>
      </c>
    </row>
    <row r="4">
      <c r="A4" s="1"/>
      <c r="G4" s="1"/>
      <c r="H4" s="2" t="s">
        <v>0</v>
      </c>
    </row>
    <row r="5">
      <c r="A5" s="1"/>
      <c r="C5" s="3" t="s">
        <v>1</v>
      </c>
      <c r="E5" s="3" t="s">
        <v>2</v>
      </c>
      <c r="G5" s="1"/>
      <c r="I5" s="3" t="s">
        <v>3</v>
      </c>
    </row>
    <row r="6">
      <c r="A6" s="4" t="s">
        <v>4</v>
      </c>
      <c r="B6" s="2">
        <v>1108.49</v>
      </c>
      <c r="C6" s="2">
        <v>1108.49</v>
      </c>
      <c r="D6" s="2">
        <v>2006.68</v>
      </c>
      <c r="E6" s="2">
        <v>2006.68</v>
      </c>
      <c r="F6" s="5"/>
      <c r="G6" s="4" t="s">
        <v>5</v>
      </c>
      <c r="H6" s="2">
        <v>821.26</v>
      </c>
      <c r="I6" s="2">
        <v>821.26</v>
      </c>
    </row>
    <row r="7">
      <c r="A7" s="1" t="s">
        <v>6</v>
      </c>
      <c r="B7" s="2" t="s">
        <v>0</v>
      </c>
      <c r="C7" s="2">
        <v>1108.49</v>
      </c>
      <c r="D7" s="2" t="s">
        <v>0</v>
      </c>
      <c r="E7" s="2">
        <v>2006.68</v>
      </c>
      <c r="G7" s="1" t="s">
        <v>7</v>
      </c>
      <c r="H7" s="2" t="s">
        <v>0</v>
      </c>
      <c r="I7" s="2">
        <v>821.26</v>
      </c>
    </row>
    <row r="8">
      <c r="A8" s="1" t="s">
        <v>8</v>
      </c>
      <c r="B8" s="2" t="s">
        <v>0</v>
      </c>
      <c r="C8" s="2">
        <v>1108.49</v>
      </c>
      <c r="D8" s="2" t="s">
        <v>0</v>
      </c>
      <c r="E8" s="2">
        <v>2006.68</v>
      </c>
      <c r="G8" s="1" t="s">
        <v>9</v>
      </c>
      <c r="H8" s="2" t="s">
        <v>0</v>
      </c>
      <c r="I8" s="2">
        <v>821.26</v>
      </c>
    </row>
    <row r="9">
      <c r="A9" s="1" t="s">
        <v>10</v>
      </c>
      <c r="B9" s="2">
        <v>1122.21</v>
      </c>
      <c r="C9" s="2">
        <v>1122.21</v>
      </c>
      <c r="D9" s="2">
        <v>2047.36</v>
      </c>
      <c r="E9" s="2">
        <v>2047.36</v>
      </c>
      <c r="G9" s="1" t="s">
        <v>11</v>
      </c>
      <c r="H9" s="2">
        <v>824.1</v>
      </c>
      <c r="I9" s="2">
        <v>824.1</v>
      </c>
    </row>
    <row r="10">
      <c r="A10" s="1" t="s">
        <v>12</v>
      </c>
      <c r="B10" s="2">
        <v>1123.67</v>
      </c>
      <c r="C10" s="2">
        <v>1123.67</v>
      </c>
      <c r="D10" s="2">
        <v>2057.37</v>
      </c>
      <c r="E10" s="2">
        <v>2057.37</v>
      </c>
      <c r="G10" s="1" t="s">
        <v>13</v>
      </c>
      <c r="H10" s="2">
        <v>823.43</v>
      </c>
      <c r="I10" s="2">
        <v>823.43</v>
      </c>
    </row>
    <row r="11">
      <c r="A11" s="1" t="s">
        <v>14</v>
      </c>
      <c r="B11" s="2">
        <v>1126.33</v>
      </c>
      <c r="C11" s="2">
        <v>1126.33</v>
      </c>
      <c r="D11" s="2">
        <v>2077.68</v>
      </c>
      <c r="E11" s="2">
        <v>2077.68</v>
      </c>
      <c r="G11" s="1" t="s">
        <v>15</v>
      </c>
      <c r="H11" s="2">
        <v>827.07</v>
      </c>
      <c r="I11" s="2">
        <v>827.07</v>
      </c>
    </row>
    <row r="12">
      <c r="A12" s="1" t="s">
        <v>16</v>
      </c>
      <c r="B12" s="2">
        <v>1131.91</v>
      </c>
      <c r="C12" s="2">
        <v>1131.91</v>
      </c>
      <c r="D12" s="2">
        <v>2100.25</v>
      </c>
      <c r="E12" s="2">
        <v>2100.25</v>
      </c>
      <c r="G12" s="1" t="s">
        <v>17</v>
      </c>
      <c r="H12" s="2">
        <v>824.15</v>
      </c>
      <c r="I12" s="2">
        <v>824.15</v>
      </c>
    </row>
    <row r="13">
      <c r="A13" s="1" t="s">
        <v>18</v>
      </c>
      <c r="B13" s="2">
        <v>1121.86</v>
      </c>
      <c r="C13" s="2">
        <v>1121.86</v>
      </c>
      <c r="D13" s="2">
        <v>2086.92</v>
      </c>
      <c r="E13" s="2">
        <v>2086.92</v>
      </c>
      <c r="G13" s="1" t="s">
        <v>19</v>
      </c>
      <c r="H13" s="2">
        <v>845.27</v>
      </c>
      <c r="I13" s="2">
        <v>845.27</v>
      </c>
    </row>
    <row r="14">
      <c r="A14" s="1" t="s">
        <v>20</v>
      </c>
      <c r="B14" s="2" t="s">
        <v>0</v>
      </c>
      <c r="C14" s="2">
        <v>1121.86</v>
      </c>
      <c r="D14" s="2" t="s">
        <v>0</v>
      </c>
      <c r="E14" s="2">
        <v>2086.92</v>
      </c>
      <c r="G14" s="1" t="s">
        <v>21</v>
      </c>
      <c r="H14" s="2" t="s">
        <v>0</v>
      </c>
      <c r="I14" s="2">
        <v>845.27</v>
      </c>
    </row>
    <row r="15">
      <c r="A15" s="1" t="s">
        <v>22</v>
      </c>
      <c r="B15" s="2" t="s">
        <v>0</v>
      </c>
      <c r="C15" s="2">
        <v>1121.86</v>
      </c>
      <c r="D15" s="2" t="s">
        <v>0</v>
      </c>
      <c r="E15" s="2">
        <v>2086.92</v>
      </c>
      <c r="G15" s="1" t="s">
        <v>23</v>
      </c>
      <c r="H15" s="2" t="s">
        <v>0</v>
      </c>
      <c r="I15" s="2">
        <v>845.27</v>
      </c>
    </row>
    <row r="16">
      <c r="A16" s="1" t="s">
        <v>24</v>
      </c>
      <c r="B16" s="2">
        <v>1127.23</v>
      </c>
      <c r="C16" s="2">
        <v>1127.23</v>
      </c>
      <c r="D16" s="2">
        <v>2111.78</v>
      </c>
      <c r="E16" s="2">
        <v>2111.78</v>
      </c>
      <c r="G16" s="1" t="s">
        <v>25</v>
      </c>
      <c r="H16" s="2">
        <v>850.79</v>
      </c>
      <c r="I16" s="2">
        <v>850.79</v>
      </c>
    </row>
    <row r="17">
      <c r="A17" s="1" t="s">
        <v>26</v>
      </c>
      <c r="B17" s="2">
        <v>1121.22</v>
      </c>
      <c r="C17" s="2">
        <v>1121.22</v>
      </c>
      <c r="D17" s="2">
        <v>2096.44</v>
      </c>
      <c r="E17" s="2">
        <v>2096.44</v>
      </c>
      <c r="G17" s="1" t="s">
        <v>27</v>
      </c>
      <c r="H17" s="2">
        <v>848.43</v>
      </c>
      <c r="I17" s="2">
        <v>848.43</v>
      </c>
    </row>
    <row r="18">
      <c r="A18" s="1" t="s">
        <v>28</v>
      </c>
      <c r="B18" s="2">
        <v>1130.52</v>
      </c>
      <c r="C18" s="2">
        <v>1130.52</v>
      </c>
      <c r="D18" s="2">
        <v>2111.13</v>
      </c>
      <c r="E18" s="2">
        <v>2111.13</v>
      </c>
      <c r="G18" s="1" t="s">
        <v>29</v>
      </c>
      <c r="H18" s="2">
        <v>849.62</v>
      </c>
      <c r="I18" s="2">
        <v>849.62</v>
      </c>
    </row>
    <row r="19">
      <c r="A19" s="1" t="s">
        <v>30</v>
      </c>
      <c r="B19" s="2">
        <v>1132.05</v>
      </c>
      <c r="C19" s="2">
        <v>1132.05</v>
      </c>
      <c r="D19" s="2">
        <v>2109.08</v>
      </c>
      <c r="E19" s="2">
        <v>2109.08</v>
      </c>
      <c r="G19" s="1" t="s">
        <v>31</v>
      </c>
      <c r="H19" s="2">
        <v>845.66</v>
      </c>
      <c r="I19" s="2">
        <v>845.66</v>
      </c>
    </row>
    <row r="20">
      <c r="A20" s="1" t="s">
        <v>32</v>
      </c>
      <c r="B20" s="2">
        <v>1139.82</v>
      </c>
      <c r="C20" s="2">
        <v>1139.82</v>
      </c>
      <c r="D20" s="2">
        <v>2140.46</v>
      </c>
      <c r="E20" s="2">
        <v>2140.46</v>
      </c>
      <c r="G20" s="1" t="s">
        <v>33</v>
      </c>
      <c r="H20" s="2">
        <v>847.95</v>
      </c>
      <c r="I20" s="2">
        <v>847.95</v>
      </c>
    </row>
    <row r="21">
      <c r="A21" s="1" t="s">
        <v>34</v>
      </c>
      <c r="B21" s="2" t="s">
        <v>0</v>
      </c>
      <c r="C21" s="2">
        <v>1139.82</v>
      </c>
      <c r="D21" s="2" t="s">
        <v>0</v>
      </c>
      <c r="E21" s="2">
        <v>2140.46</v>
      </c>
      <c r="G21" s="1" t="s">
        <v>35</v>
      </c>
      <c r="H21" s="2" t="s">
        <v>0</v>
      </c>
      <c r="I21" s="2">
        <v>847.95</v>
      </c>
    </row>
    <row r="22">
      <c r="A22" s="1" t="s">
        <v>36</v>
      </c>
      <c r="B22" s="2" t="s">
        <v>0</v>
      </c>
      <c r="C22" s="2">
        <v>1139.82</v>
      </c>
      <c r="D22" s="2" t="s">
        <v>0</v>
      </c>
      <c r="E22" s="2">
        <v>2140.46</v>
      </c>
      <c r="G22" s="1" t="s">
        <v>37</v>
      </c>
      <c r="H22" s="2" t="s">
        <v>0</v>
      </c>
      <c r="I22" s="2">
        <v>847.95</v>
      </c>
    </row>
    <row r="23">
      <c r="A23" s="1" t="s">
        <v>38</v>
      </c>
      <c r="B23" s="2" t="s">
        <v>0</v>
      </c>
      <c r="C23" s="2">
        <v>1139.82</v>
      </c>
      <c r="D23" s="2" t="s">
        <v>0</v>
      </c>
      <c r="E23" s="2">
        <v>2140.46</v>
      </c>
      <c r="G23" s="1" t="s">
        <v>39</v>
      </c>
      <c r="H23" s="2">
        <v>856.8</v>
      </c>
      <c r="I23" s="2">
        <v>856.8</v>
      </c>
    </row>
    <row r="24">
      <c r="A24" s="1" t="s">
        <v>40</v>
      </c>
      <c r="B24" s="2">
        <v>1138.77</v>
      </c>
      <c r="C24" s="2">
        <v>1138.77</v>
      </c>
      <c r="D24" s="2">
        <v>2147.98</v>
      </c>
      <c r="E24" s="2">
        <v>2147.98</v>
      </c>
      <c r="G24" s="1" t="s">
        <v>41</v>
      </c>
      <c r="H24" s="2">
        <v>861.37</v>
      </c>
      <c r="I24" s="2">
        <v>861.37</v>
      </c>
    </row>
    <row r="25">
      <c r="A25" s="1" t="s">
        <v>42</v>
      </c>
      <c r="B25" s="2">
        <v>1147.62</v>
      </c>
      <c r="C25" s="2">
        <v>1147.62</v>
      </c>
      <c r="D25" s="2">
        <v>2142.45</v>
      </c>
      <c r="E25" s="2">
        <v>2142.45</v>
      </c>
      <c r="G25" s="1" t="s">
        <v>43</v>
      </c>
      <c r="H25" s="2" t="s">
        <v>0</v>
      </c>
      <c r="I25" s="2">
        <v>861.37</v>
      </c>
    </row>
    <row r="26">
      <c r="A26" s="1" t="s">
        <v>44</v>
      </c>
      <c r="B26" s="2">
        <v>1143.94</v>
      </c>
      <c r="C26" s="2">
        <v>1143.94</v>
      </c>
      <c r="D26" s="2">
        <v>2119.01</v>
      </c>
      <c r="E26" s="2">
        <v>2119.01</v>
      </c>
      <c r="G26" s="1" t="s">
        <v>45</v>
      </c>
      <c r="H26" s="2" t="s">
        <v>0</v>
      </c>
      <c r="I26" s="2">
        <v>861.37</v>
      </c>
    </row>
    <row r="27">
      <c r="A27" s="1" t="s">
        <v>46</v>
      </c>
      <c r="B27" s="2">
        <v>1141.55</v>
      </c>
      <c r="C27" s="2">
        <v>1141.55</v>
      </c>
      <c r="D27" s="2">
        <v>2123.87</v>
      </c>
      <c r="E27" s="2">
        <v>2123.87</v>
      </c>
      <c r="G27" s="1" t="s">
        <v>47</v>
      </c>
      <c r="H27" s="2" t="s">
        <v>0</v>
      </c>
      <c r="I27" s="2">
        <v>861.37</v>
      </c>
    </row>
    <row r="28">
      <c r="A28" s="1" t="s">
        <v>48</v>
      </c>
      <c r="B28" s="2" t="s">
        <v>0</v>
      </c>
      <c r="C28" s="2">
        <v>1141.55</v>
      </c>
      <c r="D28" s="2" t="s">
        <v>0</v>
      </c>
      <c r="E28" s="2">
        <v>2123.87</v>
      </c>
      <c r="G28" s="1" t="s">
        <v>49</v>
      </c>
      <c r="H28" s="2" t="s">
        <v>0</v>
      </c>
      <c r="I28" s="2">
        <v>861.37</v>
      </c>
    </row>
    <row r="29">
      <c r="A29" s="1" t="s">
        <v>50</v>
      </c>
      <c r="B29" s="2" t="s">
        <v>0</v>
      </c>
      <c r="C29" s="2">
        <v>1141.55</v>
      </c>
      <c r="D29" s="2" t="s">
        <v>0</v>
      </c>
      <c r="E29" s="2">
        <v>2123.87</v>
      </c>
      <c r="G29" s="1" t="s">
        <v>51</v>
      </c>
      <c r="H29" s="2" t="s">
        <v>0</v>
      </c>
      <c r="I29" s="2">
        <v>861.37</v>
      </c>
    </row>
    <row r="30">
      <c r="A30" s="1" t="s">
        <v>52</v>
      </c>
      <c r="B30" s="2">
        <v>1155.37</v>
      </c>
      <c r="C30" s="2">
        <v>1155.37</v>
      </c>
      <c r="D30" s="2">
        <v>2153.83</v>
      </c>
      <c r="E30" s="2">
        <v>2153.83</v>
      </c>
      <c r="G30" s="1" t="s">
        <v>53</v>
      </c>
      <c r="H30" s="2">
        <v>869.04</v>
      </c>
      <c r="I30" s="2">
        <v>869.04</v>
      </c>
    </row>
    <row r="31">
      <c r="A31" s="1" t="s">
        <v>54</v>
      </c>
      <c r="B31" s="2">
        <v>1144.06</v>
      </c>
      <c r="C31" s="2">
        <v>1144.06</v>
      </c>
      <c r="D31" s="2">
        <v>2116.04</v>
      </c>
      <c r="E31" s="2">
        <v>2116.04</v>
      </c>
      <c r="G31" s="1" t="s">
        <v>55</v>
      </c>
      <c r="H31" s="2">
        <v>863.03</v>
      </c>
      <c r="I31" s="2">
        <v>863.03</v>
      </c>
    </row>
    <row r="32">
      <c r="A32" s="1" t="s">
        <v>56</v>
      </c>
      <c r="B32" s="2">
        <v>1128.48</v>
      </c>
      <c r="C32" s="2">
        <v>1128.48</v>
      </c>
      <c r="D32" s="2">
        <v>2077.37</v>
      </c>
      <c r="E32" s="2">
        <v>2077.37</v>
      </c>
      <c r="G32" s="1" t="s">
        <v>57</v>
      </c>
      <c r="H32" s="2">
        <v>859.59</v>
      </c>
      <c r="I32" s="2">
        <v>859.59</v>
      </c>
    </row>
    <row r="33">
      <c r="A33" s="1" t="s">
        <v>58</v>
      </c>
      <c r="B33" s="2">
        <v>1134.11</v>
      </c>
      <c r="C33" s="2">
        <v>1134.11</v>
      </c>
      <c r="D33" s="2">
        <v>2068.23</v>
      </c>
      <c r="E33" s="2">
        <v>2068.23</v>
      </c>
      <c r="G33" s="1" t="s">
        <v>59</v>
      </c>
      <c r="H33" s="2">
        <v>853.47</v>
      </c>
      <c r="I33" s="2">
        <v>853.47</v>
      </c>
    </row>
    <row r="34">
      <c r="A34" s="1" t="s">
        <v>60</v>
      </c>
      <c r="B34" s="2">
        <v>1131.12</v>
      </c>
      <c r="C34" s="2">
        <v>1131.12</v>
      </c>
      <c r="D34" s="2">
        <v>2066.15</v>
      </c>
      <c r="E34" s="2">
        <v>2066.15</v>
      </c>
      <c r="G34" s="1" t="s">
        <v>61</v>
      </c>
      <c r="H34" s="2">
        <v>848.5</v>
      </c>
      <c r="I34" s="2">
        <v>848.5</v>
      </c>
    </row>
    <row r="35">
      <c r="A35" s="1" t="s">
        <v>62</v>
      </c>
      <c r="B35" s="2" t="s">
        <v>0</v>
      </c>
      <c r="C35" s="2">
        <v>1131.12</v>
      </c>
      <c r="D35" s="2" t="s">
        <v>0</v>
      </c>
      <c r="E35" s="2">
        <v>2066.15</v>
      </c>
      <c r="G35" s="1" t="s">
        <v>63</v>
      </c>
      <c r="H35" s="2" t="s">
        <v>0</v>
      </c>
      <c r="I35" s="2">
        <v>848.5</v>
      </c>
    </row>
    <row r="36">
      <c r="A36" s="1" t="s">
        <v>64</v>
      </c>
      <c r="B36" s="2" t="s">
        <v>0</v>
      </c>
      <c r="C36" s="2">
        <v>1131.12</v>
      </c>
      <c r="D36" s="2" t="s">
        <v>0</v>
      </c>
      <c r="E36" s="2">
        <v>2066.15</v>
      </c>
      <c r="G36" s="1" t="s">
        <v>65</v>
      </c>
      <c r="H36" s="2" t="s">
        <v>0</v>
      </c>
      <c r="I36" s="2">
        <v>848.5</v>
      </c>
    </row>
    <row r="37">
      <c r="A37" s="1" t="s">
        <v>66</v>
      </c>
      <c r="B37" s="2">
        <v>1135.26</v>
      </c>
      <c r="C37" s="2">
        <v>1135.26</v>
      </c>
      <c r="D37" s="2">
        <v>2063.15</v>
      </c>
      <c r="E37" s="2">
        <v>2063.15</v>
      </c>
      <c r="G37" s="1" t="s">
        <v>67</v>
      </c>
      <c r="H37" s="2">
        <v>854.89</v>
      </c>
      <c r="I37" s="2">
        <v>854.89</v>
      </c>
    </row>
    <row r="38">
      <c r="A38" s="1" t="s">
        <v>68</v>
      </c>
      <c r="B38" s="2">
        <v>1136.03</v>
      </c>
      <c r="C38" s="2">
        <v>1136.03</v>
      </c>
      <c r="D38" s="2">
        <v>2066.21</v>
      </c>
      <c r="E38" s="2">
        <v>2066.21</v>
      </c>
      <c r="G38" s="1" t="s">
        <v>69</v>
      </c>
      <c r="H38" s="2">
        <v>839.87</v>
      </c>
      <c r="I38" s="2">
        <v>839.87</v>
      </c>
    </row>
    <row r="39">
      <c r="A39" s="1" t="s">
        <v>70</v>
      </c>
      <c r="B39" s="2">
        <v>1126.53</v>
      </c>
      <c r="C39" s="2">
        <v>1126.53</v>
      </c>
      <c r="D39" s="2">
        <v>2014.14</v>
      </c>
      <c r="E39" s="2">
        <v>2014.14</v>
      </c>
      <c r="G39" s="1" t="s">
        <v>71</v>
      </c>
      <c r="H39" s="2">
        <v>835.5</v>
      </c>
      <c r="I39" s="2">
        <v>835.5</v>
      </c>
    </row>
    <row r="40">
      <c r="A40" s="1" t="s">
        <v>72</v>
      </c>
      <c r="B40" s="2">
        <v>1128.61</v>
      </c>
      <c r="C40" s="2">
        <v>1128.61</v>
      </c>
      <c r="D40" s="2">
        <v>2019.56</v>
      </c>
      <c r="E40" s="2">
        <v>2019.56</v>
      </c>
      <c r="G40" s="1" t="s">
        <v>73</v>
      </c>
      <c r="H40" s="2">
        <v>840.92</v>
      </c>
      <c r="I40" s="2">
        <v>840.92</v>
      </c>
    </row>
    <row r="41">
      <c r="A41" s="1" t="s">
        <v>74</v>
      </c>
      <c r="B41" s="2">
        <v>1142.76</v>
      </c>
      <c r="C41" s="2">
        <v>1142.76</v>
      </c>
      <c r="D41" s="2">
        <v>2064.01</v>
      </c>
      <c r="E41" s="2">
        <v>2064.01</v>
      </c>
      <c r="G41" s="1" t="s">
        <v>75</v>
      </c>
      <c r="H41" s="2">
        <v>850.23</v>
      </c>
      <c r="I41" s="2">
        <v>850.23</v>
      </c>
    </row>
    <row r="42">
      <c r="A42" s="1" t="s">
        <v>76</v>
      </c>
      <c r="B42" s="2" t="s">
        <v>0</v>
      </c>
      <c r="C42" s="2">
        <v>1142.76</v>
      </c>
      <c r="D42" s="2" t="s">
        <v>0</v>
      </c>
      <c r="E42" s="2">
        <v>2064.01</v>
      </c>
      <c r="G42" s="1" t="s">
        <v>77</v>
      </c>
      <c r="H42" s="2" t="s">
        <v>0</v>
      </c>
      <c r="I42" s="2">
        <v>850.23</v>
      </c>
    </row>
    <row r="43">
      <c r="A43" s="1" t="s">
        <v>78</v>
      </c>
      <c r="B43" s="2" t="s">
        <v>0</v>
      </c>
      <c r="C43" s="2">
        <v>1142.76</v>
      </c>
      <c r="D43" s="2" t="s">
        <v>0</v>
      </c>
      <c r="E43" s="2">
        <v>2064.01</v>
      </c>
      <c r="G43" s="1" t="s">
        <v>79</v>
      </c>
      <c r="H43" s="2" t="s">
        <v>0</v>
      </c>
      <c r="I43" s="2">
        <v>850.23</v>
      </c>
    </row>
    <row r="44">
      <c r="A44" s="1" t="s">
        <v>80</v>
      </c>
      <c r="B44" s="2">
        <v>1139.81</v>
      </c>
      <c r="C44" s="2">
        <v>1139.81</v>
      </c>
      <c r="D44" s="2">
        <v>2060.57</v>
      </c>
      <c r="E44" s="2">
        <v>2060.57</v>
      </c>
      <c r="G44" s="1" t="s">
        <v>81</v>
      </c>
      <c r="H44" s="2">
        <v>864.77</v>
      </c>
      <c r="I44" s="2">
        <v>864.77</v>
      </c>
    </row>
    <row r="45">
      <c r="A45" s="1" t="s">
        <v>82</v>
      </c>
      <c r="B45" s="2">
        <v>1145.54</v>
      </c>
      <c r="C45" s="2">
        <v>1145.54</v>
      </c>
      <c r="D45" s="2">
        <v>2075.33</v>
      </c>
      <c r="E45" s="2">
        <v>2075.33</v>
      </c>
      <c r="G45" s="1" t="s">
        <v>83</v>
      </c>
      <c r="H45" s="2">
        <v>866.8</v>
      </c>
      <c r="I45" s="2">
        <v>866.8</v>
      </c>
    </row>
    <row r="46">
      <c r="A46" s="1" t="s">
        <v>84</v>
      </c>
      <c r="B46" s="2">
        <v>1157.76</v>
      </c>
      <c r="C46" s="2">
        <v>1157.76</v>
      </c>
      <c r="D46" s="2">
        <v>2089.66</v>
      </c>
      <c r="E46" s="2">
        <v>2089.66</v>
      </c>
      <c r="G46" s="1" t="s">
        <v>85</v>
      </c>
      <c r="H46" s="2">
        <v>876.34</v>
      </c>
      <c r="I46" s="2">
        <v>876.34</v>
      </c>
    </row>
    <row r="47">
      <c r="A47" s="1" t="s">
        <v>86</v>
      </c>
      <c r="B47" s="2">
        <v>1152.11</v>
      </c>
      <c r="C47" s="2">
        <v>1152.11</v>
      </c>
      <c r="D47" s="2">
        <v>2073.61</v>
      </c>
      <c r="E47" s="2">
        <v>2073.61</v>
      </c>
      <c r="G47" s="1" t="s">
        <v>87</v>
      </c>
      <c r="H47" s="2">
        <v>877.95</v>
      </c>
      <c r="I47" s="2">
        <v>877.95</v>
      </c>
    </row>
    <row r="48">
      <c r="A48" s="1" t="s">
        <v>88</v>
      </c>
      <c r="B48" s="2">
        <v>1145.81</v>
      </c>
      <c r="C48" s="2">
        <v>1145.81</v>
      </c>
      <c r="D48" s="2">
        <v>2053.56</v>
      </c>
      <c r="E48" s="2">
        <v>2053.56</v>
      </c>
      <c r="G48" s="1" t="s">
        <v>89</v>
      </c>
      <c r="H48" s="2">
        <v>882.18</v>
      </c>
      <c r="I48" s="2">
        <v>882.18</v>
      </c>
    </row>
    <row r="49">
      <c r="A49" s="1" t="s">
        <v>90</v>
      </c>
      <c r="B49" s="2" t="s">
        <v>0</v>
      </c>
      <c r="C49" s="2">
        <v>1145.81</v>
      </c>
      <c r="D49" s="2" t="s">
        <v>0</v>
      </c>
      <c r="E49" s="2">
        <v>2053.56</v>
      </c>
      <c r="G49" s="1" t="s">
        <v>91</v>
      </c>
      <c r="H49" s="2" t="s">
        <v>0</v>
      </c>
      <c r="I49" s="2">
        <v>882.18</v>
      </c>
    </row>
    <row r="50">
      <c r="A50" s="1" t="s">
        <v>92</v>
      </c>
      <c r="B50" s="2" t="s">
        <v>0</v>
      </c>
      <c r="C50" s="2">
        <v>1145.81</v>
      </c>
      <c r="D50" s="2" t="s">
        <v>0</v>
      </c>
      <c r="E50" s="2">
        <v>2053.56</v>
      </c>
      <c r="G50" s="1" t="s">
        <v>93</v>
      </c>
      <c r="H50" s="2" t="s">
        <v>0</v>
      </c>
      <c r="I50" s="2">
        <v>882.18</v>
      </c>
    </row>
    <row r="51">
      <c r="A51" s="1" t="s">
        <v>94</v>
      </c>
      <c r="B51" s="2" t="s">
        <v>0</v>
      </c>
      <c r="C51" s="2">
        <v>1145.81</v>
      </c>
      <c r="D51" s="2" t="s">
        <v>0</v>
      </c>
      <c r="E51" s="2">
        <v>2053.56</v>
      </c>
      <c r="G51" s="1" t="s">
        <v>95</v>
      </c>
      <c r="H51" s="2">
        <v>881.28</v>
      </c>
      <c r="I51" s="2">
        <v>881.28</v>
      </c>
    </row>
    <row r="52">
      <c r="A52" s="1" t="s">
        <v>96</v>
      </c>
      <c r="B52" s="2">
        <v>1156.99</v>
      </c>
      <c r="C52" s="2">
        <v>1156.99</v>
      </c>
      <c r="D52" s="2">
        <v>2080.35</v>
      </c>
      <c r="E52" s="2">
        <v>2080.35</v>
      </c>
      <c r="G52" s="1" t="s">
        <v>97</v>
      </c>
      <c r="H52" s="2">
        <v>884.8</v>
      </c>
      <c r="I52" s="2">
        <v>884.8</v>
      </c>
    </row>
    <row r="53">
      <c r="A53" s="1" t="s">
        <v>98</v>
      </c>
      <c r="B53" s="2">
        <v>1151.82</v>
      </c>
      <c r="C53" s="2">
        <v>1151.82</v>
      </c>
      <c r="D53" s="2">
        <v>2076.47</v>
      </c>
      <c r="E53" s="2">
        <v>2076.47</v>
      </c>
      <c r="G53" s="1" t="s">
        <v>99</v>
      </c>
      <c r="H53" s="2">
        <v>877.1</v>
      </c>
      <c r="I53" s="2">
        <v>877.1</v>
      </c>
    </row>
    <row r="54">
      <c r="A54" s="1" t="s">
        <v>100</v>
      </c>
      <c r="B54" s="2">
        <v>1147.06</v>
      </c>
      <c r="C54" s="2">
        <v>1147.06</v>
      </c>
      <c r="D54" s="2">
        <v>2045.96</v>
      </c>
      <c r="E54" s="2">
        <v>2045.96</v>
      </c>
      <c r="G54" s="1" t="s">
        <v>101</v>
      </c>
      <c r="H54" s="2">
        <v>881.65</v>
      </c>
      <c r="I54" s="2">
        <v>881.65</v>
      </c>
    </row>
    <row r="55">
      <c r="A55" s="1" t="s">
        <v>102</v>
      </c>
      <c r="B55" s="2">
        <v>1144.11</v>
      </c>
      <c r="C55" s="2">
        <v>1144.11</v>
      </c>
      <c r="D55" s="2">
        <v>2037.93</v>
      </c>
      <c r="E55" s="2">
        <v>2037.93</v>
      </c>
      <c r="G55" s="1" t="s">
        <v>103</v>
      </c>
      <c r="H55" s="2">
        <v>877.49</v>
      </c>
      <c r="I55" s="2">
        <v>877.49</v>
      </c>
    </row>
    <row r="56">
      <c r="A56" s="1" t="s">
        <v>104</v>
      </c>
      <c r="B56" s="2" t="s">
        <v>0</v>
      </c>
      <c r="C56" s="2">
        <v>1144.11</v>
      </c>
      <c r="D56" s="2" t="s">
        <v>0</v>
      </c>
      <c r="E56" s="2">
        <v>2037.93</v>
      </c>
      <c r="G56" s="1" t="s">
        <v>105</v>
      </c>
      <c r="H56" s="2" t="s">
        <v>0</v>
      </c>
      <c r="I56" s="2">
        <v>877.49</v>
      </c>
    </row>
    <row r="57">
      <c r="A57" s="1" t="s">
        <v>106</v>
      </c>
      <c r="B57" s="2" t="s">
        <v>0</v>
      </c>
      <c r="C57" s="2">
        <v>1144.11</v>
      </c>
      <c r="D57" s="2" t="s">
        <v>0</v>
      </c>
      <c r="E57" s="2">
        <v>2037.93</v>
      </c>
      <c r="G57" s="1" t="s">
        <v>107</v>
      </c>
      <c r="H57" s="2" t="s">
        <v>0</v>
      </c>
      <c r="I57" s="2">
        <v>877.49</v>
      </c>
    </row>
    <row r="58">
      <c r="A58" s="1" t="s">
        <v>108</v>
      </c>
      <c r="B58" s="2">
        <v>1140.99</v>
      </c>
      <c r="C58" s="2">
        <v>1140.99</v>
      </c>
      <c r="D58" s="2">
        <v>2007.52</v>
      </c>
      <c r="E58" s="2">
        <v>2007.52</v>
      </c>
      <c r="G58" s="1" t="s">
        <v>109</v>
      </c>
      <c r="H58" s="2">
        <v>877.52</v>
      </c>
      <c r="I58" s="2">
        <v>877.52</v>
      </c>
    </row>
    <row r="59">
      <c r="A59" s="1" t="s">
        <v>110</v>
      </c>
      <c r="B59" s="2">
        <v>1139.1</v>
      </c>
      <c r="C59" s="2">
        <v>1139.1</v>
      </c>
      <c r="D59" s="2">
        <v>2005.44</v>
      </c>
      <c r="E59" s="2">
        <v>2005.44</v>
      </c>
      <c r="G59" s="1" t="s">
        <v>111</v>
      </c>
      <c r="H59" s="2">
        <v>864.59</v>
      </c>
      <c r="I59" s="2">
        <v>864.59</v>
      </c>
    </row>
    <row r="60">
      <c r="A60" s="1" t="s">
        <v>112</v>
      </c>
      <c r="B60" s="2">
        <v>1143.67</v>
      </c>
      <c r="C60" s="2">
        <v>1143.67</v>
      </c>
      <c r="D60" s="2">
        <v>2022.98</v>
      </c>
      <c r="E60" s="2">
        <v>2022.98</v>
      </c>
      <c r="G60" s="1" t="s">
        <v>113</v>
      </c>
      <c r="H60" s="2">
        <v>866.87</v>
      </c>
      <c r="I60" s="2">
        <v>866.87</v>
      </c>
    </row>
    <row r="61">
      <c r="A61" s="1" t="s">
        <v>114</v>
      </c>
      <c r="B61" s="2">
        <v>1144.91</v>
      </c>
      <c r="C61" s="2">
        <v>1144.91</v>
      </c>
      <c r="D61" s="2">
        <v>2032.57</v>
      </c>
      <c r="E61" s="2">
        <v>2032.57</v>
      </c>
      <c r="G61" s="1" t="s">
        <v>115</v>
      </c>
      <c r="H61" s="2">
        <v>864.86</v>
      </c>
      <c r="I61" s="2">
        <v>864.86</v>
      </c>
    </row>
    <row r="62">
      <c r="A62" s="1" t="s">
        <v>116</v>
      </c>
      <c r="B62" s="2">
        <v>1144.94</v>
      </c>
      <c r="C62" s="2">
        <v>1144.94</v>
      </c>
      <c r="D62" s="2">
        <v>2029.82</v>
      </c>
      <c r="E62" s="2">
        <v>2029.82</v>
      </c>
      <c r="G62" s="1" t="s">
        <v>117</v>
      </c>
      <c r="H62" s="2">
        <v>883.42</v>
      </c>
      <c r="I62" s="2">
        <v>883.42</v>
      </c>
    </row>
    <row r="63">
      <c r="A63" s="1" t="s">
        <v>118</v>
      </c>
      <c r="B63" s="2" t="s">
        <v>0</v>
      </c>
      <c r="C63" s="2">
        <v>1144.94</v>
      </c>
      <c r="D63" s="2" t="s">
        <v>0</v>
      </c>
      <c r="E63" s="2">
        <v>2029.82</v>
      </c>
      <c r="G63" s="1" t="s">
        <v>119</v>
      </c>
      <c r="H63" s="2" t="s">
        <v>0</v>
      </c>
      <c r="I63" s="2">
        <v>883.42</v>
      </c>
    </row>
    <row r="64">
      <c r="A64" s="1" t="s">
        <v>120</v>
      </c>
      <c r="B64" s="2" t="s">
        <v>0</v>
      </c>
      <c r="C64" s="2">
        <v>1144.94</v>
      </c>
      <c r="D64" s="2" t="s">
        <v>0</v>
      </c>
      <c r="E64" s="2">
        <v>2029.82</v>
      </c>
      <c r="G64" s="1" t="s">
        <v>121</v>
      </c>
      <c r="H64" s="2" t="s">
        <v>0</v>
      </c>
      <c r="I64" s="2">
        <v>883.42</v>
      </c>
    </row>
    <row r="65">
      <c r="A65" s="1" t="s">
        <v>122</v>
      </c>
      <c r="B65" s="2">
        <v>1155.97</v>
      </c>
      <c r="C65" s="2">
        <v>1155.97</v>
      </c>
      <c r="D65" s="2">
        <v>2057.8</v>
      </c>
      <c r="E65" s="2">
        <v>2057.8</v>
      </c>
      <c r="G65" s="1" t="s">
        <v>123</v>
      </c>
      <c r="H65" s="2" t="s">
        <v>0</v>
      </c>
      <c r="I65" s="2">
        <v>883.42</v>
      </c>
    </row>
    <row r="66">
      <c r="A66" s="1" t="s">
        <v>124</v>
      </c>
      <c r="B66" s="2">
        <v>1149.1</v>
      </c>
      <c r="C66" s="2">
        <v>1149.1</v>
      </c>
      <c r="D66" s="2">
        <v>2039.65</v>
      </c>
      <c r="E66" s="2">
        <v>2039.65</v>
      </c>
      <c r="G66" s="1" t="s">
        <v>125</v>
      </c>
      <c r="H66" s="2">
        <v>899.21</v>
      </c>
      <c r="I66" s="2">
        <v>899.21</v>
      </c>
    </row>
    <row r="67">
      <c r="A67" s="1" t="s">
        <v>126</v>
      </c>
      <c r="B67" s="2">
        <v>1145.98</v>
      </c>
      <c r="C67" s="2">
        <v>1145.98</v>
      </c>
      <c r="D67" s="2">
        <v>2033.36</v>
      </c>
      <c r="E67" s="2">
        <v>2033.36</v>
      </c>
      <c r="G67" s="1" t="s">
        <v>127</v>
      </c>
      <c r="H67" s="2">
        <v>895.81</v>
      </c>
      <c r="I67" s="2">
        <v>895.81</v>
      </c>
    </row>
    <row r="68">
      <c r="A68" s="1" t="s">
        <v>128</v>
      </c>
      <c r="B68" s="2">
        <v>1154.87</v>
      </c>
      <c r="C68" s="2">
        <v>1154.87</v>
      </c>
      <c r="D68" s="2">
        <v>2055.11</v>
      </c>
      <c r="E68" s="2">
        <v>2055.11</v>
      </c>
      <c r="G68" s="1" t="s">
        <v>129</v>
      </c>
      <c r="H68" s="2">
        <v>907.43</v>
      </c>
      <c r="I68" s="2">
        <v>907.43</v>
      </c>
    </row>
    <row r="69">
      <c r="A69" s="1" t="s">
        <v>130</v>
      </c>
      <c r="B69" s="2">
        <v>1156.86</v>
      </c>
      <c r="C69" s="2">
        <v>1156.86</v>
      </c>
      <c r="D69" s="2">
        <v>2047.63</v>
      </c>
      <c r="E69" s="2">
        <v>2047.63</v>
      </c>
      <c r="G69" s="1" t="s">
        <v>131</v>
      </c>
      <c r="H69" s="2">
        <v>905.38</v>
      </c>
      <c r="I69" s="2">
        <v>905.38</v>
      </c>
    </row>
    <row r="70">
      <c r="A70" s="1" t="s">
        <v>132</v>
      </c>
      <c r="B70" s="2" t="s">
        <v>0</v>
      </c>
      <c r="C70" s="2">
        <v>1156.86</v>
      </c>
      <c r="D70" s="2" t="s">
        <v>0</v>
      </c>
      <c r="E70" s="2">
        <v>2047.63</v>
      </c>
      <c r="G70" s="1" t="s">
        <v>133</v>
      </c>
      <c r="H70" s="2" t="s">
        <v>0</v>
      </c>
      <c r="I70" s="2">
        <v>905.38</v>
      </c>
    </row>
    <row r="71">
      <c r="A71" s="1" t="s">
        <v>134</v>
      </c>
      <c r="B71" s="2" t="s">
        <v>0</v>
      </c>
      <c r="C71" s="2">
        <v>1156.86</v>
      </c>
      <c r="D71" s="2" t="s">
        <v>0</v>
      </c>
      <c r="E71" s="2">
        <v>2047.63</v>
      </c>
      <c r="G71" s="1" t="s">
        <v>135</v>
      </c>
      <c r="H71" s="2" t="s">
        <v>0</v>
      </c>
      <c r="I71" s="2">
        <v>905.38</v>
      </c>
    </row>
    <row r="72">
      <c r="A72" s="1" t="s">
        <v>136</v>
      </c>
      <c r="B72" s="2">
        <v>1147.2</v>
      </c>
      <c r="C72" s="2">
        <v>1147.2</v>
      </c>
      <c r="D72" s="2">
        <v>2008.78</v>
      </c>
      <c r="E72" s="2">
        <v>2008.78</v>
      </c>
      <c r="G72" s="1" t="s">
        <v>137</v>
      </c>
      <c r="H72" s="2">
        <v>900.1</v>
      </c>
      <c r="I72" s="2">
        <v>900.1</v>
      </c>
    </row>
    <row r="73">
      <c r="A73" s="1" t="s">
        <v>138</v>
      </c>
      <c r="B73" s="2">
        <v>1140.57</v>
      </c>
      <c r="C73" s="2">
        <v>1140.57</v>
      </c>
      <c r="D73" s="2">
        <v>1995.16</v>
      </c>
      <c r="E73" s="2">
        <v>1995.16</v>
      </c>
      <c r="G73" s="1" t="s">
        <v>139</v>
      </c>
      <c r="H73" s="2">
        <v>891.58</v>
      </c>
      <c r="I73" s="2">
        <v>891.58</v>
      </c>
    </row>
    <row r="74">
      <c r="A74" s="1" t="s">
        <v>140</v>
      </c>
      <c r="B74" s="2">
        <v>1123.91</v>
      </c>
      <c r="C74" s="2">
        <v>1123.91</v>
      </c>
      <c r="D74" s="2">
        <v>1964.15</v>
      </c>
      <c r="E74" s="2">
        <v>1964.15</v>
      </c>
      <c r="G74" s="1" t="s">
        <v>141</v>
      </c>
      <c r="H74" s="2">
        <v>876.02</v>
      </c>
      <c r="I74" s="2">
        <v>876.02</v>
      </c>
    </row>
    <row r="75">
      <c r="A75" s="1" t="s">
        <v>142</v>
      </c>
      <c r="B75" s="2">
        <v>1106.79</v>
      </c>
      <c r="C75" s="2">
        <v>1106.79</v>
      </c>
      <c r="D75" s="2">
        <v>1943.89</v>
      </c>
      <c r="E75" s="2">
        <v>1943.89</v>
      </c>
      <c r="G75" s="1" t="s">
        <v>143</v>
      </c>
      <c r="H75" s="2">
        <v>869.93</v>
      </c>
      <c r="I75" s="2">
        <v>869.93</v>
      </c>
    </row>
    <row r="76">
      <c r="A76" s="1" t="s">
        <v>144</v>
      </c>
      <c r="B76" s="2">
        <v>1120.6</v>
      </c>
      <c r="C76" s="2">
        <v>1120.6</v>
      </c>
      <c r="D76" s="2">
        <v>1984.73</v>
      </c>
      <c r="E76" s="2">
        <v>1984.73</v>
      </c>
      <c r="G76" s="1" t="s">
        <v>145</v>
      </c>
      <c r="H76" s="2">
        <v>848.8</v>
      </c>
      <c r="I76" s="2">
        <v>848.8</v>
      </c>
    </row>
    <row r="77">
      <c r="A77" s="1" t="s">
        <v>146</v>
      </c>
      <c r="B77" s="2" t="s">
        <v>0</v>
      </c>
      <c r="C77" s="2">
        <v>1120.6</v>
      </c>
      <c r="D77" s="2" t="s">
        <v>0</v>
      </c>
      <c r="E77" s="2">
        <v>1984.73</v>
      </c>
      <c r="G77" s="1" t="s">
        <v>147</v>
      </c>
      <c r="H77" s="2" t="s">
        <v>0</v>
      </c>
      <c r="I77" s="2">
        <v>848.8</v>
      </c>
    </row>
    <row r="78">
      <c r="A78" s="1" t="s">
        <v>148</v>
      </c>
      <c r="B78" s="2" t="s">
        <v>0</v>
      </c>
      <c r="C78" s="2">
        <v>1120.6</v>
      </c>
      <c r="D78" s="2" t="s">
        <v>0</v>
      </c>
      <c r="E78" s="2">
        <v>1984.73</v>
      </c>
      <c r="G78" s="1" t="s">
        <v>149</v>
      </c>
      <c r="H78" s="2" t="s">
        <v>0</v>
      </c>
      <c r="I78" s="2">
        <v>848.8</v>
      </c>
    </row>
    <row r="79">
      <c r="A79" s="1" t="s">
        <v>150</v>
      </c>
      <c r="B79" s="2">
        <v>1104.43</v>
      </c>
      <c r="C79" s="2">
        <v>1104.43</v>
      </c>
      <c r="D79" s="2">
        <v>1939.2</v>
      </c>
      <c r="E79" s="2">
        <v>1939.2</v>
      </c>
      <c r="G79" s="1" t="s">
        <v>151</v>
      </c>
      <c r="H79" s="2">
        <v>852.26</v>
      </c>
      <c r="I79" s="2">
        <v>852.26</v>
      </c>
    </row>
    <row r="80">
      <c r="A80" s="1" t="s">
        <v>152</v>
      </c>
      <c r="B80" s="2">
        <v>1110.7</v>
      </c>
      <c r="C80" s="2">
        <v>1110.7</v>
      </c>
      <c r="D80" s="2">
        <v>1943.09</v>
      </c>
      <c r="E80" s="2">
        <v>1943.09</v>
      </c>
      <c r="G80" s="1" t="s">
        <v>153</v>
      </c>
      <c r="H80" s="2">
        <v>850.13</v>
      </c>
      <c r="I80" s="2">
        <v>850.13</v>
      </c>
    </row>
    <row r="81">
      <c r="A81" s="1" t="s">
        <v>154</v>
      </c>
      <c r="B81" s="2">
        <v>1123.78</v>
      </c>
      <c r="C81" s="2">
        <v>1123.78</v>
      </c>
      <c r="D81" s="2">
        <v>1976.76</v>
      </c>
      <c r="E81" s="2">
        <v>1976.76</v>
      </c>
      <c r="G81" s="1" t="s">
        <v>155</v>
      </c>
      <c r="H81" s="2">
        <v>872.38</v>
      </c>
      <c r="I81" s="2">
        <v>872.38</v>
      </c>
    </row>
    <row r="82">
      <c r="A82" s="1" t="s">
        <v>156</v>
      </c>
      <c r="B82" s="2">
        <v>1122.31</v>
      </c>
      <c r="C82" s="2">
        <v>1122.31</v>
      </c>
      <c r="D82" s="2">
        <v>1962.44</v>
      </c>
      <c r="E82" s="2">
        <v>1962.44</v>
      </c>
      <c r="G82" s="1" t="s">
        <v>157</v>
      </c>
      <c r="H82" s="2">
        <v>872.82</v>
      </c>
      <c r="I82" s="2">
        <v>872.82</v>
      </c>
    </row>
    <row r="83">
      <c r="A83" s="1" t="s">
        <v>158</v>
      </c>
      <c r="B83" s="2">
        <v>1109.74</v>
      </c>
      <c r="C83" s="2">
        <v>1109.74</v>
      </c>
      <c r="D83" s="2">
        <v>1940.47</v>
      </c>
      <c r="E83" s="2">
        <v>1940.47</v>
      </c>
      <c r="G83" s="1" t="s">
        <v>159</v>
      </c>
      <c r="H83" s="2">
        <v>883.33</v>
      </c>
      <c r="I83" s="2">
        <v>883.33</v>
      </c>
    </row>
    <row r="84">
      <c r="A84" s="1" t="s">
        <v>160</v>
      </c>
      <c r="B84" s="2" t="s">
        <v>0</v>
      </c>
      <c r="C84" s="2">
        <v>1109.74</v>
      </c>
      <c r="D84" s="2" t="s">
        <v>0</v>
      </c>
      <c r="E84" s="2">
        <v>1940.47</v>
      </c>
      <c r="G84" s="1" t="s">
        <v>161</v>
      </c>
      <c r="H84" s="2" t="s">
        <v>0</v>
      </c>
      <c r="I84" s="2">
        <v>883.33</v>
      </c>
    </row>
    <row r="85">
      <c r="A85" s="1" t="s">
        <v>162</v>
      </c>
      <c r="B85" s="2" t="s">
        <v>0</v>
      </c>
      <c r="C85" s="2">
        <v>1109.74</v>
      </c>
      <c r="D85" s="2" t="s">
        <v>0</v>
      </c>
      <c r="E85" s="2">
        <v>1940.47</v>
      </c>
      <c r="G85" s="1" t="s">
        <v>163</v>
      </c>
      <c r="H85" s="2" t="s">
        <v>0</v>
      </c>
      <c r="I85" s="2">
        <v>883.33</v>
      </c>
    </row>
    <row r="86">
      <c r="A86" s="1" t="s">
        <v>164</v>
      </c>
      <c r="B86" s="2">
        <v>1095.44</v>
      </c>
      <c r="C86" s="2">
        <v>1095.44</v>
      </c>
      <c r="D86" s="2">
        <v>1909.9</v>
      </c>
      <c r="E86" s="2">
        <v>1909.9</v>
      </c>
      <c r="G86" s="1" t="s">
        <v>165</v>
      </c>
      <c r="H86" s="2">
        <v>863.69</v>
      </c>
      <c r="I86" s="2">
        <v>863.69</v>
      </c>
    </row>
    <row r="87">
      <c r="A87" s="1" t="s">
        <v>166</v>
      </c>
      <c r="B87" s="2">
        <v>1093.9</v>
      </c>
      <c r="C87" s="2">
        <v>1093.9</v>
      </c>
      <c r="D87" s="2">
        <v>1901.8</v>
      </c>
      <c r="E87" s="2">
        <v>1901.8</v>
      </c>
      <c r="G87" s="1" t="s">
        <v>167</v>
      </c>
      <c r="H87" s="2">
        <v>866.17</v>
      </c>
      <c r="I87" s="2">
        <v>866.17</v>
      </c>
    </row>
    <row r="88">
      <c r="A88" s="1" t="s">
        <v>168</v>
      </c>
      <c r="B88" s="2">
        <v>1091.32</v>
      </c>
      <c r="C88" s="2">
        <v>1091.32</v>
      </c>
      <c r="D88" s="2">
        <v>1909.48</v>
      </c>
      <c r="E88" s="2">
        <v>1909.48</v>
      </c>
      <c r="G88" s="1" t="s">
        <v>169</v>
      </c>
      <c r="H88" s="2">
        <v>861.72</v>
      </c>
      <c r="I88" s="2">
        <v>861.72</v>
      </c>
    </row>
    <row r="89">
      <c r="A89" s="1" t="s">
        <v>170</v>
      </c>
      <c r="B89" s="2">
        <v>1109.28</v>
      </c>
      <c r="C89" s="2">
        <v>1109.28</v>
      </c>
      <c r="D89" s="2">
        <v>1967.17</v>
      </c>
      <c r="E89" s="2">
        <v>1967.17</v>
      </c>
      <c r="G89" s="1" t="s">
        <v>171</v>
      </c>
      <c r="H89" s="2">
        <v>853.38</v>
      </c>
      <c r="I89" s="2">
        <v>853.38</v>
      </c>
    </row>
    <row r="90">
      <c r="A90" s="1" t="s">
        <v>172</v>
      </c>
      <c r="B90" s="2">
        <v>1108.02</v>
      </c>
      <c r="C90" s="2">
        <v>1108.02</v>
      </c>
      <c r="D90" s="2">
        <v>1960.02</v>
      </c>
      <c r="E90" s="2">
        <v>1960.02</v>
      </c>
      <c r="G90" s="1" t="s">
        <v>173</v>
      </c>
      <c r="H90" s="2">
        <v>863.95</v>
      </c>
      <c r="I90" s="2">
        <v>863.95</v>
      </c>
    </row>
    <row r="91">
      <c r="A91" s="1" t="s">
        <v>174</v>
      </c>
      <c r="B91" s="2" t="s">
        <v>0</v>
      </c>
      <c r="C91" s="2">
        <v>1108.02</v>
      </c>
      <c r="D91" s="2" t="s">
        <v>0</v>
      </c>
      <c r="E91" s="2">
        <v>1960.02</v>
      </c>
      <c r="G91" s="1" t="s">
        <v>175</v>
      </c>
      <c r="H91" s="2" t="s">
        <v>0</v>
      </c>
      <c r="I91" s="2">
        <v>863.95</v>
      </c>
    </row>
    <row r="92">
      <c r="A92" s="1" t="s">
        <v>176</v>
      </c>
      <c r="B92" s="2" t="s">
        <v>0</v>
      </c>
      <c r="C92" s="2">
        <v>1108.02</v>
      </c>
      <c r="D92" s="2" t="s">
        <v>0</v>
      </c>
      <c r="E92" s="2">
        <v>1960.02</v>
      </c>
      <c r="G92" s="1" t="s">
        <v>177</v>
      </c>
      <c r="H92" s="2" t="s">
        <v>0</v>
      </c>
      <c r="I92" s="2">
        <v>863.95</v>
      </c>
    </row>
    <row r="93">
      <c r="A93" s="1" t="s">
        <v>178</v>
      </c>
      <c r="B93" s="2">
        <v>1122.47</v>
      </c>
      <c r="C93" s="2">
        <v>1122.47</v>
      </c>
      <c r="D93" s="2">
        <v>1992.57</v>
      </c>
      <c r="E93" s="2">
        <v>1992.57</v>
      </c>
      <c r="G93" s="1" t="s">
        <v>179</v>
      </c>
      <c r="H93" s="2">
        <v>874.67</v>
      </c>
      <c r="I93" s="2">
        <v>874.67</v>
      </c>
    </row>
    <row r="94">
      <c r="A94" s="1" t="s">
        <v>180</v>
      </c>
      <c r="B94" s="2">
        <v>1127.0</v>
      </c>
      <c r="C94" s="2">
        <v>1127.0</v>
      </c>
      <c r="D94" s="2">
        <v>2000.63</v>
      </c>
      <c r="E94" s="2">
        <v>2000.63</v>
      </c>
      <c r="G94" s="1" t="s">
        <v>181</v>
      </c>
      <c r="H94" s="2">
        <v>873.46</v>
      </c>
      <c r="I94" s="2">
        <v>873.46</v>
      </c>
    </row>
    <row r="95">
      <c r="A95" s="1" t="s">
        <v>182</v>
      </c>
      <c r="B95" s="2">
        <v>1126.21</v>
      </c>
      <c r="C95" s="2">
        <v>1126.21</v>
      </c>
      <c r="D95" s="2">
        <v>1994.22</v>
      </c>
      <c r="E95" s="2">
        <v>1994.22</v>
      </c>
      <c r="G95" s="1" t="s">
        <v>183</v>
      </c>
      <c r="H95" s="2">
        <v>880.5</v>
      </c>
      <c r="I95" s="2">
        <v>880.5</v>
      </c>
    </row>
    <row r="96">
      <c r="A96" s="1" t="s">
        <v>184</v>
      </c>
      <c r="B96" s="2">
        <v>1132.17</v>
      </c>
      <c r="C96" s="2">
        <v>1132.17</v>
      </c>
      <c r="D96" s="2">
        <v>2015.01</v>
      </c>
      <c r="E96" s="2">
        <v>2015.01</v>
      </c>
      <c r="G96" s="1" t="s">
        <v>185</v>
      </c>
      <c r="H96" s="2">
        <v>882.75</v>
      </c>
      <c r="I96" s="2">
        <v>882.75</v>
      </c>
    </row>
    <row r="97">
      <c r="A97" s="1" t="s">
        <v>186</v>
      </c>
      <c r="B97" s="2">
        <v>1141.8</v>
      </c>
      <c r="C97" s="2">
        <v>1141.8</v>
      </c>
      <c r="D97" s="2">
        <v>2057.17</v>
      </c>
      <c r="E97" s="2">
        <v>2057.17</v>
      </c>
      <c r="G97" s="1" t="s">
        <v>187</v>
      </c>
      <c r="H97" s="2">
        <v>883.69</v>
      </c>
      <c r="I97" s="2">
        <v>883.69</v>
      </c>
    </row>
    <row r="98">
      <c r="A98" s="1" t="s">
        <v>188</v>
      </c>
      <c r="B98" s="2" t="s">
        <v>0</v>
      </c>
      <c r="C98" s="2">
        <v>1141.8</v>
      </c>
      <c r="D98" s="2" t="s">
        <v>0</v>
      </c>
      <c r="E98" s="2">
        <v>2057.17</v>
      </c>
      <c r="G98" s="1" t="s">
        <v>189</v>
      </c>
      <c r="H98" s="2" t="s">
        <v>0</v>
      </c>
      <c r="I98" s="2">
        <v>883.69</v>
      </c>
    </row>
    <row r="99">
      <c r="A99" s="1" t="s">
        <v>190</v>
      </c>
      <c r="B99" s="2" t="s">
        <v>0</v>
      </c>
      <c r="C99" s="2">
        <v>1141.8</v>
      </c>
      <c r="D99" s="2" t="s">
        <v>0</v>
      </c>
      <c r="E99" s="2">
        <v>2057.17</v>
      </c>
      <c r="G99" s="1" t="s">
        <v>191</v>
      </c>
      <c r="H99" s="2" t="s">
        <v>0</v>
      </c>
      <c r="I99" s="2">
        <v>883.69</v>
      </c>
    </row>
    <row r="100">
      <c r="A100" s="1" t="s">
        <v>192</v>
      </c>
      <c r="B100" s="2">
        <v>1150.54</v>
      </c>
      <c r="C100" s="2">
        <v>1150.54</v>
      </c>
      <c r="D100" s="2">
        <v>2079.12</v>
      </c>
      <c r="E100" s="2">
        <v>2079.12</v>
      </c>
      <c r="G100" s="1" t="s">
        <v>193</v>
      </c>
      <c r="H100" s="2" t="s">
        <v>0</v>
      </c>
      <c r="I100" s="2">
        <v>883.69</v>
      </c>
    </row>
    <row r="101">
      <c r="A101" s="1" t="s">
        <v>194</v>
      </c>
      <c r="B101" s="2">
        <v>1148.17</v>
      </c>
      <c r="C101" s="2">
        <v>1148.17</v>
      </c>
      <c r="D101" s="2">
        <v>2059.9</v>
      </c>
      <c r="E101" s="2">
        <v>2059.9</v>
      </c>
      <c r="G101" s="1" t="s">
        <v>195</v>
      </c>
      <c r="H101" s="2">
        <v>906.19</v>
      </c>
      <c r="I101" s="2">
        <v>906.19</v>
      </c>
    </row>
    <row r="102">
      <c r="A102" s="1" t="s">
        <v>196</v>
      </c>
      <c r="B102" s="2">
        <v>1140.48</v>
      </c>
      <c r="C102" s="2">
        <v>1140.48</v>
      </c>
      <c r="D102" s="2">
        <v>2050.24</v>
      </c>
      <c r="E102" s="2">
        <v>2050.24</v>
      </c>
      <c r="G102" s="1" t="s">
        <v>197</v>
      </c>
      <c r="H102" s="2">
        <v>909.93</v>
      </c>
      <c r="I102" s="2">
        <v>909.93</v>
      </c>
    </row>
    <row r="103">
      <c r="A103" s="1" t="s">
        <v>198</v>
      </c>
      <c r="B103" s="2">
        <v>1139.33</v>
      </c>
      <c r="C103" s="2">
        <v>1139.33</v>
      </c>
      <c r="D103" s="2">
        <v>2052.88</v>
      </c>
      <c r="E103" s="2">
        <v>2052.88</v>
      </c>
      <c r="G103" s="1" t="s">
        <v>199</v>
      </c>
      <c r="H103" s="2">
        <v>916.86</v>
      </c>
      <c r="I103" s="2">
        <v>916.86</v>
      </c>
    </row>
    <row r="104">
      <c r="A104" s="1" t="s">
        <v>200</v>
      </c>
      <c r="B104" s="2" t="s">
        <v>0</v>
      </c>
      <c r="C104" s="2">
        <v>1139.33</v>
      </c>
      <c r="D104" s="2" t="s">
        <v>0</v>
      </c>
      <c r="E104" s="2">
        <v>2052.88</v>
      </c>
      <c r="G104" s="1" t="s">
        <v>201</v>
      </c>
      <c r="H104" s="2">
        <v>905.44</v>
      </c>
      <c r="I104" s="2">
        <v>905.44</v>
      </c>
    </row>
    <row r="105">
      <c r="A105" s="1" t="s">
        <v>202</v>
      </c>
      <c r="B105" s="2" t="s">
        <v>0</v>
      </c>
      <c r="C105" s="2">
        <v>1139.33</v>
      </c>
      <c r="D105" s="2" t="s">
        <v>0</v>
      </c>
      <c r="E105" s="2">
        <v>2052.88</v>
      </c>
      <c r="G105" s="1" t="s">
        <v>203</v>
      </c>
      <c r="H105" s="2" t="s">
        <v>0</v>
      </c>
      <c r="I105" s="2">
        <v>905.44</v>
      </c>
    </row>
    <row r="106">
      <c r="A106" s="1" t="s">
        <v>204</v>
      </c>
      <c r="B106" s="2" t="s">
        <v>0</v>
      </c>
      <c r="C106" s="2">
        <v>1139.33</v>
      </c>
      <c r="D106" s="2" t="s">
        <v>0</v>
      </c>
      <c r="E106" s="2">
        <v>2052.88</v>
      </c>
      <c r="G106" s="1" t="s">
        <v>205</v>
      </c>
      <c r="H106" s="2" t="s">
        <v>0</v>
      </c>
      <c r="I106" s="2">
        <v>905.44</v>
      </c>
    </row>
    <row r="107">
      <c r="A107" s="1" t="s">
        <v>206</v>
      </c>
      <c r="B107" s="2">
        <v>1145.22</v>
      </c>
      <c r="C107" s="2">
        <v>1145.22</v>
      </c>
      <c r="D107" s="2">
        <v>2065.48</v>
      </c>
      <c r="E107" s="2">
        <v>2065.48</v>
      </c>
      <c r="G107" s="1" t="s">
        <v>207</v>
      </c>
      <c r="H107" s="2">
        <v>918.86</v>
      </c>
      <c r="I107" s="2">
        <v>918.86</v>
      </c>
    </row>
    <row r="108">
      <c r="A108" s="1" t="s">
        <v>208</v>
      </c>
      <c r="B108" s="2">
        <v>1129.42</v>
      </c>
      <c r="C108" s="2">
        <v>1129.42</v>
      </c>
      <c r="D108" s="2">
        <v>2030.08</v>
      </c>
      <c r="E108" s="2">
        <v>2030.08</v>
      </c>
      <c r="G108" s="1" t="s">
        <v>209</v>
      </c>
      <c r="H108" s="2">
        <v>917.63</v>
      </c>
      <c r="I108" s="2">
        <v>917.63</v>
      </c>
    </row>
    <row r="109">
      <c r="A109" s="1" t="s">
        <v>210</v>
      </c>
      <c r="B109" s="2">
        <v>1128.17</v>
      </c>
      <c r="C109" s="2">
        <v>1128.17</v>
      </c>
      <c r="D109" s="2">
        <v>2024.85</v>
      </c>
      <c r="E109" s="2">
        <v>2024.85</v>
      </c>
      <c r="G109" s="1" t="s">
        <v>211</v>
      </c>
      <c r="H109" s="2">
        <v>916.31</v>
      </c>
      <c r="I109" s="2">
        <v>916.31</v>
      </c>
    </row>
    <row r="110">
      <c r="A110" s="1" t="s">
        <v>212</v>
      </c>
      <c r="B110" s="2">
        <v>1128.84</v>
      </c>
      <c r="C110" s="2">
        <v>1128.84</v>
      </c>
      <c r="D110" s="2">
        <v>2002.17</v>
      </c>
      <c r="E110" s="2">
        <v>2002.17</v>
      </c>
      <c r="G110" s="1" t="s">
        <v>213</v>
      </c>
      <c r="H110" s="2" t="s">
        <v>0</v>
      </c>
      <c r="I110" s="2">
        <v>916.31</v>
      </c>
    </row>
    <row r="111">
      <c r="A111" s="1" t="s">
        <v>214</v>
      </c>
      <c r="B111" s="2">
        <v>1134.56</v>
      </c>
      <c r="C111" s="2">
        <v>1134.56</v>
      </c>
      <c r="D111" s="2">
        <v>1995.74</v>
      </c>
      <c r="E111" s="2">
        <v>1995.74</v>
      </c>
      <c r="G111" s="1" t="s">
        <v>215</v>
      </c>
      <c r="H111" s="2">
        <v>898.88</v>
      </c>
      <c r="I111" s="2">
        <v>898.88</v>
      </c>
    </row>
    <row r="112">
      <c r="A112" s="1" t="s">
        <v>216</v>
      </c>
      <c r="B112" s="2" t="s">
        <v>0</v>
      </c>
      <c r="C112" s="2">
        <v>1134.56</v>
      </c>
      <c r="D112" s="2" t="s">
        <v>0</v>
      </c>
      <c r="E112" s="2">
        <v>1995.74</v>
      </c>
      <c r="G112" s="1" t="s">
        <v>217</v>
      </c>
      <c r="H112" s="2" t="s">
        <v>0</v>
      </c>
      <c r="I112" s="2">
        <v>898.88</v>
      </c>
    </row>
    <row r="113">
      <c r="A113" s="1" t="s">
        <v>218</v>
      </c>
      <c r="B113" s="2" t="s">
        <v>0</v>
      </c>
      <c r="C113" s="2">
        <v>1134.56</v>
      </c>
      <c r="D113" s="2" t="s">
        <v>0</v>
      </c>
      <c r="E113" s="2">
        <v>1995.74</v>
      </c>
      <c r="G113" s="1" t="s">
        <v>219</v>
      </c>
      <c r="H113" s="2" t="s">
        <v>0</v>
      </c>
      <c r="I113" s="2">
        <v>898.88</v>
      </c>
    </row>
    <row r="114">
      <c r="A114" s="1" t="s">
        <v>220</v>
      </c>
      <c r="B114" s="2">
        <v>1135.84</v>
      </c>
      <c r="C114" s="2">
        <v>1135.84</v>
      </c>
      <c r="D114" s="2">
        <v>2020.43</v>
      </c>
      <c r="E114" s="2">
        <v>2020.43</v>
      </c>
      <c r="G114" s="1" t="s">
        <v>221</v>
      </c>
      <c r="H114" s="2">
        <v>902.1</v>
      </c>
      <c r="I114" s="2">
        <v>902.1</v>
      </c>
    </row>
    <row r="115">
      <c r="A115" s="1" t="s">
        <v>222</v>
      </c>
      <c r="B115" s="2">
        <v>1118.09</v>
      </c>
      <c r="C115" s="2">
        <v>1118.09</v>
      </c>
      <c r="D115" s="2">
        <v>1978.63</v>
      </c>
      <c r="E115" s="2">
        <v>1978.63</v>
      </c>
      <c r="G115" s="1" t="s">
        <v>223</v>
      </c>
      <c r="H115" s="2">
        <v>918.9</v>
      </c>
      <c r="I115" s="2">
        <v>918.9</v>
      </c>
    </row>
    <row r="116">
      <c r="A116" s="1" t="s">
        <v>224</v>
      </c>
      <c r="B116" s="2">
        <v>1124.12</v>
      </c>
      <c r="C116" s="2">
        <v>1124.12</v>
      </c>
      <c r="D116" s="2">
        <v>1995.63</v>
      </c>
      <c r="E116" s="2">
        <v>1995.63</v>
      </c>
      <c r="G116" s="1" t="s">
        <v>225</v>
      </c>
      <c r="H116" s="2">
        <v>929.95</v>
      </c>
      <c r="I116" s="2">
        <v>929.95</v>
      </c>
    </row>
    <row r="117">
      <c r="A117" s="1" t="s">
        <v>226</v>
      </c>
      <c r="B117" s="2">
        <v>1139.95</v>
      </c>
      <c r="C117" s="2">
        <v>1139.95</v>
      </c>
      <c r="D117" s="2">
        <v>2032.91</v>
      </c>
      <c r="E117" s="2">
        <v>2032.91</v>
      </c>
      <c r="G117" s="1" t="s">
        <v>227</v>
      </c>
      <c r="H117" s="2">
        <v>924.01</v>
      </c>
      <c r="I117" s="2">
        <v>924.01</v>
      </c>
    </row>
    <row r="118">
      <c r="A118" s="1" t="s">
        <v>228</v>
      </c>
      <c r="B118" s="2">
        <v>1140.6</v>
      </c>
      <c r="C118" s="2">
        <v>1140.6</v>
      </c>
      <c r="D118" s="2">
        <v>2049.77</v>
      </c>
      <c r="E118" s="2">
        <v>2049.77</v>
      </c>
      <c r="G118" s="1" t="s">
        <v>229</v>
      </c>
      <c r="H118" s="2">
        <v>936.06</v>
      </c>
      <c r="I118" s="2">
        <v>936.06</v>
      </c>
    </row>
    <row r="119">
      <c r="A119" s="1" t="s">
        <v>230</v>
      </c>
      <c r="B119" s="2" t="s">
        <v>0</v>
      </c>
      <c r="C119" s="2">
        <v>1140.6</v>
      </c>
      <c r="D119" s="2" t="s">
        <v>0</v>
      </c>
      <c r="E119" s="2">
        <v>2049.77</v>
      </c>
      <c r="G119" s="1" t="s">
        <v>231</v>
      </c>
      <c r="H119" s="2" t="s">
        <v>0</v>
      </c>
      <c r="I119" s="2">
        <v>936.06</v>
      </c>
    </row>
    <row r="120">
      <c r="A120" s="1" t="s">
        <v>232</v>
      </c>
      <c r="B120" s="2" t="s">
        <v>0</v>
      </c>
      <c r="C120" s="2">
        <v>1140.6</v>
      </c>
      <c r="D120" s="2" t="s">
        <v>0</v>
      </c>
      <c r="E120" s="2">
        <v>2049.77</v>
      </c>
      <c r="G120" s="1" t="s">
        <v>233</v>
      </c>
      <c r="H120" s="2" t="s">
        <v>0</v>
      </c>
      <c r="I120" s="2">
        <v>936.06</v>
      </c>
    </row>
    <row r="121">
      <c r="A121" s="1" t="s">
        <v>234</v>
      </c>
      <c r="B121" s="2">
        <v>1135.5</v>
      </c>
      <c r="C121" s="2">
        <v>1135.5</v>
      </c>
      <c r="D121" s="2">
        <v>2036.77</v>
      </c>
      <c r="E121" s="2">
        <v>2036.77</v>
      </c>
      <c r="G121" s="1" t="s">
        <v>235</v>
      </c>
      <c r="H121" s="2">
        <v>919.74</v>
      </c>
      <c r="I121" s="2">
        <v>919.74</v>
      </c>
    </row>
    <row r="122">
      <c r="A122" s="1" t="s">
        <v>236</v>
      </c>
      <c r="B122" s="2">
        <v>1138.12</v>
      </c>
      <c r="C122" s="2">
        <v>1138.12</v>
      </c>
      <c r="D122" s="2">
        <v>2032.53</v>
      </c>
      <c r="E122" s="2">
        <v>2032.53</v>
      </c>
      <c r="G122" s="1" t="s">
        <v>237</v>
      </c>
      <c r="H122" s="2">
        <v>915.47</v>
      </c>
      <c r="I122" s="2">
        <v>915.47</v>
      </c>
    </row>
    <row r="123">
      <c r="A123" s="1" t="s">
        <v>238</v>
      </c>
      <c r="B123" s="2">
        <v>1122.41</v>
      </c>
      <c r="C123" s="2">
        <v>1122.41</v>
      </c>
      <c r="D123" s="2">
        <v>1989.54</v>
      </c>
      <c r="E123" s="2">
        <v>1989.54</v>
      </c>
      <c r="G123" s="1" t="s">
        <v>239</v>
      </c>
      <c r="H123" s="2">
        <v>901.83</v>
      </c>
      <c r="I123" s="2">
        <v>901.83</v>
      </c>
    </row>
    <row r="124">
      <c r="A124" s="1" t="s">
        <v>240</v>
      </c>
      <c r="B124" s="2">
        <v>1113.88</v>
      </c>
      <c r="C124" s="2">
        <v>1113.88</v>
      </c>
      <c r="D124" s="2">
        <v>1958.78</v>
      </c>
      <c r="E124" s="2">
        <v>1958.78</v>
      </c>
      <c r="G124" s="1" t="s">
        <v>241</v>
      </c>
      <c r="H124" s="2">
        <v>875.41</v>
      </c>
      <c r="I124" s="2">
        <v>875.41</v>
      </c>
    </row>
    <row r="125">
      <c r="A125" s="1" t="s">
        <v>242</v>
      </c>
      <c r="B125" s="2">
        <v>1107.24</v>
      </c>
      <c r="C125" s="2">
        <v>1107.24</v>
      </c>
      <c r="D125" s="2">
        <v>1920.15</v>
      </c>
      <c r="E125" s="2">
        <v>1920.15</v>
      </c>
      <c r="G125" s="1" t="s">
        <v>243</v>
      </c>
      <c r="H125" s="2">
        <v>862.84</v>
      </c>
      <c r="I125" s="2">
        <v>862.84</v>
      </c>
    </row>
    <row r="126">
      <c r="A126" s="1" t="s">
        <v>244</v>
      </c>
      <c r="B126" s="2" t="s">
        <v>0</v>
      </c>
      <c r="C126" s="2">
        <v>1107.24</v>
      </c>
      <c r="D126" s="2" t="s">
        <v>0</v>
      </c>
      <c r="E126" s="2">
        <v>1920.15</v>
      </c>
      <c r="G126" s="1" t="s">
        <v>245</v>
      </c>
      <c r="H126" s="2" t="s">
        <v>0</v>
      </c>
      <c r="I126" s="2">
        <v>862.84</v>
      </c>
    </row>
    <row r="127">
      <c r="A127" s="1" t="s">
        <v>246</v>
      </c>
      <c r="B127" s="2" t="s">
        <v>0</v>
      </c>
      <c r="C127" s="2">
        <v>1107.24</v>
      </c>
      <c r="D127" s="2" t="s">
        <v>0</v>
      </c>
      <c r="E127" s="2">
        <v>1920.15</v>
      </c>
      <c r="G127" s="1" t="s">
        <v>247</v>
      </c>
      <c r="H127" s="2" t="s">
        <v>0</v>
      </c>
      <c r="I127" s="2">
        <v>862.84</v>
      </c>
    </row>
    <row r="128">
      <c r="A128" s="1" t="s">
        <v>248</v>
      </c>
      <c r="B128" s="2">
        <v>1117.56</v>
      </c>
      <c r="C128" s="2">
        <v>1117.56</v>
      </c>
      <c r="D128" s="2">
        <v>1938.72</v>
      </c>
      <c r="E128" s="2">
        <v>1938.72</v>
      </c>
      <c r="G128" s="1" t="s">
        <v>249</v>
      </c>
      <c r="H128" s="2">
        <v>866.11</v>
      </c>
      <c r="I128" s="2">
        <v>866.11</v>
      </c>
    </row>
    <row r="129">
      <c r="A129" s="1" t="s">
        <v>250</v>
      </c>
      <c r="B129" s="2">
        <v>1119.51</v>
      </c>
      <c r="C129" s="2">
        <v>1119.51</v>
      </c>
      <c r="D129" s="2">
        <v>1950.48</v>
      </c>
      <c r="E129" s="2">
        <v>1950.48</v>
      </c>
      <c r="G129" s="1" t="s">
        <v>251</v>
      </c>
      <c r="H129" s="2">
        <v>867.48</v>
      </c>
      <c r="I129" s="2">
        <v>867.48</v>
      </c>
    </row>
    <row r="130">
      <c r="A130" s="1" t="s">
        <v>252</v>
      </c>
      <c r="B130" s="2">
        <v>1121.58</v>
      </c>
      <c r="C130" s="2">
        <v>1121.58</v>
      </c>
      <c r="D130" s="2">
        <v>1957.26</v>
      </c>
      <c r="E130" s="2">
        <v>1957.26</v>
      </c>
      <c r="G130" s="1" t="s">
        <v>253</v>
      </c>
      <c r="H130" s="2" t="s">
        <v>0</v>
      </c>
      <c r="I130" s="2">
        <v>867.48</v>
      </c>
    </row>
    <row r="131">
      <c r="A131" s="1" t="s">
        <v>254</v>
      </c>
      <c r="B131" s="2">
        <v>1113.99</v>
      </c>
      <c r="C131" s="2">
        <v>1113.99</v>
      </c>
      <c r="D131" s="2">
        <v>1937.74</v>
      </c>
      <c r="E131" s="2">
        <v>1937.74</v>
      </c>
      <c r="G131" s="1" t="s">
        <v>255</v>
      </c>
      <c r="H131" s="2">
        <v>837.68</v>
      </c>
      <c r="I131" s="2">
        <v>837.68</v>
      </c>
    </row>
    <row r="132">
      <c r="A132" s="1" t="s">
        <v>256</v>
      </c>
      <c r="B132" s="2">
        <v>1098.7</v>
      </c>
      <c r="C132" s="2">
        <v>1098.7</v>
      </c>
      <c r="D132" s="2">
        <v>1917.96</v>
      </c>
      <c r="E132" s="2">
        <v>1917.96</v>
      </c>
      <c r="G132" s="1" t="s">
        <v>257</v>
      </c>
      <c r="H132" s="2">
        <v>838.74</v>
      </c>
      <c r="I132" s="2">
        <v>838.74</v>
      </c>
    </row>
    <row r="133">
      <c r="A133" s="1" t="s">
        <v>258</v>
      </c>
      <c r="B133" s="2" t="s">
        <v>0</v>
      </c>
      <c r="C133" s="2">
        <v>1098.7</v>
      </c>
      <c r="D133" s="2" t="s">
        <v>0</v>
      </c>
      <c r="E133" s="2">
        <v>1917.96</v>
      </c>
      <c r="G133" s="1" t="s">
        <v>259</v>
      </c>
      <c r="H133" s="2" t="s">
        <v>0</v>
      </c>
      <c r="I133" s="2">
        <v>838.74</v>
      </c>
    </row>
    <row r="134">
      <c r="A134" s="1" t="s">
        <v>260</v>
      </c>
      <c r="B134" s="2" t="s">
        <v>0</v>
      </c>
      <c r="C134" s="2">
        <v>1098.7</v>
      </c>
      <c r="D134" s="2" t="s">
        <v>0</v>
      </c>
      <c r="E134" s="2">
        <v>1917.96</v>
      </c>
      <c r="G134" s="1" t="s">
        <v>261</v>
      </c>
      <c r="H134" s="2" t="s">
        <v>0</v>
      </c>
      <c r="I134" s="2">
        <v>838.74</v>
      </c>
    </row>
    <row r="135">
      <c r="A135" s="1" t="s">
        <v>262</v>
      </c>
      <c r="B135" s="2">
        <v>1087.12</v>
      </c>
      <c r="C135" s="2">
        <v>1087.12</v>
      </c>
      <c r="D135" s="2">
        <v>1896.07</v>
      </c>
      <c r="E135" s="2">
        <v>1896.07</v>
      </c>
      <c r="G135" s="1" t="s">
        <v>263</v>
      </c>
      <c r="H135" s="2">
        <v>790.68</v>
      </c>
      <c r="I135" s="2">
        <v>790.68</v>
      </c>
    </row>
    <row r="136">
      <c r="A136" s="1" t="s">
        <v>264</v>
      </c>
      <c r="B136" s="2">
        <v>1095.45</v>
      </c>
      <c r="C136" s="2">
        <v>1095.45</v>
      </c>
      <c r="D136" s="2">
        <v>1931.35</v>
      </c>
      <c r="E136" s="2">
        <v>1931.35</v>
      </c>
      <c r="G136" s="1" t="s">
        <v>265</v>
      </c>
      <c r="H136" s="2">
        <v>791.02</v>
      </c>
      <c r="I136" s="2">
        <v>791.02</v>
      </c>
    </row>
    <row r="137">
      <c r="A137" s="1" t="s">
        <v>266</v>
      </c>
      <c r="B137" s="2">
        <v>1097.28</v>
      </c>
      <c r="C137" s="2">
        <v>1097.28</v>
      </c>
      <c r="D137" s="2">
        <v>1925.59</v>
      </c>
      <c r="E137" s="2">
        <v>1925.59</v>
      </c>
      <c r="G137" s="1" t="s">
        <v>267</v>
      </c>
      <c r="H137" s="2">
        <v>817.09</v>
      </c>
      <c r="I137" s="2">
        <v>817.09</v>
      </c>
    </row>
    <row r="138">
      <c r="A138" s="1" t="s">
        <v>268</v>
      </c>
      <c r="B138" s="2">
        <v>1096.44</v>
      </c>
      <c r="C138" s="2">
        <v>1096.44</v>
      </c>
      <c r="D138" s="2">
        <v>1926.03</v>
      </c>
      <c r="E138" s="2">
        <v>1926.03</v>
      </c>
      <c r="G138" s="1" t="s">
        <v>269</v>
      </c>
      <c r="H138" s="2">
        <v>790.13</v>
      </c>
      <c r="I138" s="2">
        <v>790.13</v>
      </c>
    </row>
    <row r="139">
      <c r="A139" s="1" t="s">
        <v>270</v>
      </c>
      <c r="B139" s="2">
        <v>1095.7</v>
      </c>
      <c r="C139" s="2">
        <v>1095.7</v>
      </c>
      <c r="D139" s="2">
        <v>1904.25</v>
      </c>
      <c r="E139" s="2">
        <v>1904.25</v>
      </c>
      <c r="G139" s="1" t="s">
        <v>271</v>
      </c>
      <c r="H139" s="2">
        <v>768.46</v>
      </c>
      <c r="I139" s="2">
        <v>768.46</v>
      </c>
    </row>
    <row r="140">
      <c r="A140" s="1" t="s">
        <v>272</v>
      </c>
      <c r="B140" s="2" t="s">
        <v>0</v>
      </c>
      <c r="C140" s="2">
        <v>1095.7</v>
      </c>
      <c r="D140" s="2" t="s">
        <v>0</v>
      </c>
      <c r="E140" s="2">
        <v>1904.25</v>
      </c>
      <c r="G140" s="1" t="s">
        <v>273</v>
      </c>
      <c r="H140" s="2" t="s">
        <v>0</v>
      </c>
      <c r="I140" s="2">
        <v>768.46</v>
      </c>
    </row>
    <row r="141">
      <c r="A141" s="1" t="s">
        <v>274</v>
      </c>
      <c r="B141" s="2" t="s">
        <v>0</v>
      </c>
      <c r="C141" s="2">
        <v>1095.7</v>
      </c>
      <c r="D141" s="2" t="s">
        <v>0</v>
      </c>
      <c r="E141" s="2">
        <v>1904.25</v>
      </c>
      <c r="G141" s="1" t="s">
        <v>275</v>
      </c>
      <c r="H141" s="2" t="s">
        <v>0</v>
      </c>
      <c r="I141" s="2">
        <v>768.46</v>
      </c>
    </row>
    <row r="142">
      <c r="A142" s="1" t="s">
        <v>276</v>
      </c>
      <c r="B142" s="2">
        <v>1084.1</v>
      </c>
      <c r="C142" s="2">
        <v>1084.1</v>
      </c>
      <c r="D142" s="2">
        <v>1876.64</v>
      </c>
      <c r="E142" s="2">
        <v>1876.64</v>
      </c>
      <c r="G142" s="1" t="s">
        <v>277</v>
      </c>
      <c r="H142" s="2">
        <v>728.98</v>
      </c>
      <c r="I142" s="2">
        <v>728.98</v>
      </c>
    </row>
    <row r="143">
      <c r="A143" s="1" t="s">
        <v>278</v>
      </c>
      <c r="B143" s="2">
        <v>1091.49</v>
      </c>
      <c r="C143" s="2">
        <v>1091.49</v>
      </c>
      <c r="D143" s="2">
        <v>1897.82</v>
      </c>
      <c r="E143" s="2">
        <v>1897.82</v>
      </c>
      <c r="G143" s="1" t="s">
        <v>279</v>
      </c>
      <c r="H143" s="2">
        <v>741.99</v>
      </c>
      <c r="I143" s="2">
        <v>741.99</v>
      </c>
    </row>
    <row r="144">
      <c r="A144" s="1" t="s">
        <v>280</v>
      </c>
      <c r="B144" s="2">
        <v>1088.68</v>
      </c>
      <c r="C144" s="2">
        <v>1088.68</v>
      </c>
      <c r="D144" s="2">
        <v>1898.17</v>
      </c>
      <c r="E144" s="2">
        <v>1898.17</v>
      </c>
      <c r="G144" s="1" t="s">
        <v>281</v>
      </c>
      <c r="H144" s="2">
        <v>777.95</v>
      </c>
      <c r="I144" s="2">
        <v>777.95</v>
      </c>
    </row>
    <row r="145">
      <c r="A145" s="1" t="s">
        <v>282</v>
      </c>
      <c r="B145" s="2">
        <v>1089.19</v>
      </c>
      <c r="C145" s="2">
        <v>1089.19</v>
      </c>
      <c r="D145" s="2">
        <v>1896.59</v>
      </c>
      <c r="E145" s="2">
        <v>1896.59</v>
      </c>
      <c r="G145" s="1" t="s">
        <v>283</v>
      </c>
      <c r="H145" s="2">
        <v>767.79</v>
      </c>
      <c r="I145" s="2">
        <v>767.79</v>
      </c>
    </row>
    <row r="146">
      <c r="A146" s="1" t="s">
        <v>284</v>
      </c>
      <c r="B146" s="2">
        <v>1093.56</v>
      </c>
      <c r="C146" s="2">
        <v>1093.56</v>
      </c>
      <c r="D146" s="2">
        <v>1912.09</v>
      </c>
      <c r="E146" s="2">
        <v>1912.09</v>
      </c>
      <c r="G146" s="1" t="s">
        <v>285</v>
      </c>
      <c r="H146" s="2">
        <v>786.36</v>
      </c>
      <c r="I146" s="2">
        <v>786.36</v>
      </c>
    </row>
    <row r="147">
      <c r="A147" s="1" t="s">
        <v>286</v>
      </c>
      <c r="B147" s="2" t="s">
        <v>0</v>
      </c>
      <c r="C147" s="2">
        <v>1093.56</v>
      </c>
      <c r="D147" s="2" t="s">
        <v>0</v>
      </c>
      <c r="E147" s="2">
        <v>1912.09</v>
      </c>
      <c r="G147" s="1" t="s">
        <v>287</v>
      </c>
      <c r="H147" s="2" t="s">
        <v>0</v>
      </c>
      <c r="I147" s="2">
        <v>786.36</v>
      </c>
    </row>
    <row r="148">
      <c r="A148" s="1" t="s">
        <v>288</v>
      </c>
      <c r="B148" s="2" t="s">
        <v>0</v>
      </c>
      <c r="C148" s="2">
        <v>1093.56</v>
      </c>
      <c r="D148" s="2" t="s">
        <v>0</v>
      </c>
      <c r="E148" s="2">
        <v>1912.09</v>
      </c>
      <c r="G148" s="1" t="s">
        <v>289</v>
      </c>
      <c r="H148" s="2" t="s">
        <v>0</v>
      </c>
      <c r="I148" s="2">
        <v>786.36</v>
      </c>
    </row>
    <row r="149">
      <c r="A149" s="1" t="s">
        <v>290</v>
      </c>
      <c r="B149" s="2">
        <v>1095.41</v>
      </c>
      <c r="C149" s="2">
        <v>1095.41</v>
      </c>
      <c r="D149" s="2">
        <v>1922.98</v>
      </c>
      <c r="E149" s="2">
        <v>1922.98</v>
      </c>
      <c r="G149" s="1" t="s">
        <v>291</v>
      </c>
      <c r="H149" s="2">
        <v>799.64</v>
      </c>
      <c r="I149" s="2">
        <v>799.64</v>
      </c>
    </row>
    <row r="150">
      <c r="A150" s="1" t="s">
        <v>292</v>
      </c>
      <c r="B150" s="2">
        <v>1113.05</v>
      </c>
      <c r="C150" s="2">
        <v>1113.05</v>
      </c>
      <c r="D150" s="2">
        <v>1964.65</v>
      </c>
      <c r="E150" s="2">
        <v>1964.65</v>
      </c>
      <c r="G150" s="1" t="s">
        <v>293</v>
      </c>
      <c r="H150" s="2">
        <v>784.06</v>
      </c>
      <c r="I150" s="2">
        <v>784.06</v>
      </c>
    </row>
    <row r="151">
      <c r="A151" s="1" t="s">
        <v>294</v>
      </c>
      <c r="B151" s="2">
        <v>1114.94</v>
      </c>
      <c r="C151" s="2">
        <v>1114.94</v>
      </c>
      <c r="D151" s="2">
        <v>1976.15</v>
      </c>
      <c r="E151" s="2">
        <v>1976.15</v>
      </c>
      <c r="G151" s="1" t="s">
        <v>295</v>
      </c>
      <c r="H151" s="2" t="s">
        <v>0</v>
      </c>
      <c r="I151" s="2">
        <v>784.06</v>
      </c>
    </row>
    <row r="152">
      <c r="A152" s="1" t="s">
        <v>296</v>
      </c>
      <c r="B152" s="2">
        <v>1121.28</v>
      </c>
      <c r="C152" s="2">
        <v>1121.28</v>
      </c>
      <c r="D152" s="2">
        <v>1984.5</v>
      </c>
      <c r="E152" s="2">
        <v>1984.5</v>
      </c>
      <c r="G152" s="1" t="s">
        <v>297</v>
      </c>
      <c r="H152" s="2">
        <v>802.46</v>
      </c>
      <c r="I152" s="2">
        <v>802.46</v>
      </c>
    </row>
    <row r="153">
      <c r="A153" s="1" t="s">
        <v>298</v>
      </c>
      <c r="B153" s="2">
        <v>1120.68</v>
      </c>
      <c r="C153" s="2">
        <v>1120.68</v>
      </c>
      <c r="D153" s="2">
        <v>1986.74</v>
      </c>
      <c r="E153" s="2">
        <v>1986.74</v>
      </c>
      <c r="G153" s="1" t="s">
        <v>299</v>
      </c>
      <c r="H153" s="2">
        <v>816.51</v>
      </c>
      <c r="I153" s="2">
        <v>816.51</v>
      </c>
    </row>
    <row r="154">
      <c r="A154" s="1" t="s">
        <v>300</v>
      </c>
      <c r="B154" s="2" t="s">
        <v>0</v>
      </c>
      <c r="C154" s="2">
        <v>1120.68</v>
      </c>
      <c r="D154" s="2" t="s">
        <v>0</v>
      </c>
      <c r="E154" s="2">
        <v>1986.74</v>
      </c>
      <c r="G154" s="1" t="s">
        <v>301</v>
      </c>
      <c r="H154" s="2" t="s">
        <v>0</v>
      </c>
      <c r="I154" s="2">
        <v>816.51</v>
      </c>
    </row>
    <row r="155">
      <c r="A155" s="1" t="s">
        <v>302</v>
      </c>
      <c r="B155" s="2" t="s">
        <v>0</v>
      </c>
      <c r="C155" s="2">
        <v>1120.68</v>
      </c>
      <c r="D155" s="2" t="s">
        <v>0</v>
      </c>
      <c r="E155" s="2">
        <v>1986.74</v>
      </c>
      <c r="G155" s="1" t="s">
        <v>303</v>
      </c>
      <c r="H155" s="2" t="s">
        <v>0</v>
      </c>
      <c r="I155" s="2">
        <v>816.51</v>
      </c>
    </row>
    <row r="156">
      <c r="A156" s="1" t="s">
        <v>304</v>
      </c>
      <c r="B156" s="2" t="s">
        <v>0</v>
      </c>
      <c r="C156" s="2">
        <v>1120.68</v>
      </c>
      <c r="D156" s="2" t="s">
        <v>0</v>
      </c>
      <c r="E156" s="2">
        <v>1986.74</v>
      </c>
      <c r="G156" s="1" t="s">
        <v>305</v>
      </c>
      <c r="H156" s="2">
        <v>803.84</v>
      </c>
      <c r="I156" s="2">
        <v>803.84</v>
      </c>
    </row>
    <row r="157">
      <c r="A157" s="1" t="s">
        <v>306</v>
      </c>
      <c r="B157" s="2">
        <v>1121.2</v>
      </c>
      <c r="C157" s="2">
        <v>1121.2</v>
      </c>
      <c r="D157" s="2">
        <v>1990.77</v>
      </c>
      <c r="E157" s="2">
        <v>1990.77</v>
      </c>
      <c r="G157" s="1" t="s">
        <v>307</v>
      </c>
      <c r="H157" s="2">
        <v>815.77</v>
      </c>
      <c r="I157" s="2">
        <v>815.77</v>
      </c>
    </row>
    <row r="158">
      <c r="A158" s="1" t="s">
        <v>308</v>
      </c>
      <c r="B158" s="2">
        <v>1124.99</v>
      </c>
      <c r="C158" s="2">
        <v>1124.99</v>
      </c>
      <c r="D158" s="2">
        <v>1988.98</v>
      </c>
      <c r="E158" s="2">
        <v>1988.98</v>
      </c>
      <c r="G158" s="1" t="s">
        <v>309</v>
      </c>
      <c r="H158" s="2">
        <v>804.39</v>
      </c>
      <c r="I158" s="2">
        <v>804.39</v>
      </c>
    </row>
    <row r="159">
      <c r="A159" s="1" t="s">
        <v>310</v>
      </c>
      <c r="B159" s="2">
        <v>1116.64</v>
      </c>
      <c r="C159" s="2">
        <v>1116.64</v>
      </c>
      <c r="D159" s="2">
        <v>1960.26</v>
      </c>
      <c r="E159" s="2">
        <v>1960.26</v>
      </c>
      <c r="G159" s="1" t="s">
        <v>311</v>
      </c>
      <c r="H159" s="2">
        <v>770.06</v>
      </c>
      <c r="I159" s="2">
        <v>770.06</v>
      </c>
    </row>
    <row r="160">
      <c r="A160" s="1" t="s">
        <v>312</v>
      </c>
      <c r="B160" s="2">
        <v>1122.5</v>
      </c>
      <c r="C160" s="2">
        <v>1122.5</v>
      </c>
      <c r="D160" s="2">
        <v>1978.62</v>
      </c>
      <c r="E160" s="2">
        <v>1978.62</v>
      </c>
      <c r="G160" s="1" t="s">
        <v>313</v>
      </c>
      <c r="H160" s="2">
        <v>780.74</v>
      </c>
      <c r="I160" s="2">
        <v>780.74</v>
      </c>
    </row>
    <row r="161">
      <c r="A161" s="1" t="s">
        <v>314</v>
      </c>
      <c r="B161" s="2" t="s">
        <v>0</v>
      </c>
      <c r="C161" s="2">
        <v>1122.5</v>
      </c>
      <c r="D161" s="2" t="s">
        <v>0</v>
      </c>
      <c r="E161" s="2">
        <v>1978.62</v>
      </c>
      <c r="G161" s="1" t="s">
        <v>315</v>
      </c>
      <c r="H161" s="2" t="s">
        <v>0</v>
      </c>
      <c r="I161" s="2">
        <v>780.74</v>
      </c>
    </row>
    <row r="162">
      <c r="A162" s="1" t="s">
        <v>316</v>
      </c>
      <c r="B162" s="2" t="s">
        <v>0</v>
      </c>
      <c r="C162" s="2">
        <v>1122.5</v>
      </c>
      <c r="D162" s="2" t="s">
        <v>0</v>
      </c>
      <c r="E162" s="2">
        <v>1978.62</v>
      </c>
      <c r="G162" s="1" t="s">
        <v>317</v>
      </c>
      <c r="H162" s="2" t="s">
        <v>0</v>
      </c>
      <c r="I162" s="2">
        <v>780.74</v>
      </c>
    </row>
    <row r="163">
      <c r="A163" s="1" t="s">
        <v>318</v>
      </c>
      <c r="B163" s="2">
        <v>1140.42</v>
      </c>
      <c r="C163" s="2">
        <v>1140.42</v>
      </c>
      <c r="D163" s="2">
        <v>2020.62</v>
      </c>
      <c r="E163" s="2">
        <v>2020.62</v>
      </c>
      <c r="G163" s="1" t="s">
        <v>319</v>
      </c>
      <c r="H163" s="2">
        <v>809.45</v>
      </c>
      <c r="I163" s="2">
        <v>809.45</v>
      </c>
    </row>
    <row r="164">
      <c r="A164" s="1" t="s">
        <v>320</v>
      </c>
      <c r="B164" s="2">
        <v>1142.18</v>
      </c>
      <c r="C164" s="2">
        <v>1142.18</v>
      </c>
      <c r="D164" s="2">
        <v>2023.53</v>
      </c>
      <c r="E164" s="2">
        <v>2023.53</v>
      </c>
      <c r="G164" s="1" t="s">
        <v>321</v>
      </c>
      <c r="H164" s="2">
        <v>809.31</v>
      </c>
      <c r="I164" s="2">
        <v>809.31</v>
      </c>
    </row>
    <row r="165">
      <c r="A165" s="1" t="s">
        <v>322</v>
      </c>
      <c r="B165" s="2">
        <v>1131.33</v>
      </c>
      <c r="C165" s="2">
        <v>1131.33</v>
      </c>
      <c r="D165" s="2">
        <v>1990.61</v>
      </c>
      <c r="E165" s="2">
        <v>1990.61</v>
      </c>
      <c r="G165" s="1" t="s">
        <v>323</v>
      </c>
      <c r="H165" s="2">
        <v>794.53</v>
      </c>
      <c r="I165" s="2">
        <v>794.53</v>
      </c>
    </row>
    <row r="166">
      <c r="A166" s="1" t="s">
        <v>324</v>
      </c>
      <c r="B166" s="2">
        <v>1136.47</v>
      </c>
      <c r="C166" s="2">
        <v>1136.47</v>
      </c>
      <c r="D166" s="2">
        <v>1999.87</v>
      </c>
      <c r="E166" s="2">
        <v>1999.87</v>
      </c>
      <c r="G166" s="1" t="s">
        <v>325</v>
      </c>
      <c r="H166" s="2">
        <v>782.3</v>
      </c>
      <c r="I166" s="2">
        <v>782.3</v>
      </c>
    </row>
    <row r="167">
      <c r="A167" s="1" t="s">
        <v>326</v>
      </c>
      <c r="B167" s="2" t="s">
        <v>0</v>
      </c>
      <c r="C167" s="2">
        <v>1136.47</v>
      </c>
      <c r="D167" s="2" t="s">
        <v>0</v>
      </c>
      <c r="E167" s="2">
        <v>1999.87</v>
      </c>
      <c r="G167" s="1" t="s">
        <v>327</v>
      </c>
      <c r="H167" s="2">
        <v>751.53</v>
      </c>
      <c r="I167" s="2">
        <v>751.53</v>
      </c>
    </row>
    <row r="168">
      <c r="A168" s="1" t="s">
        <v>328</v>
      </c>
      <c r="B168" s="2" t="s">
        <v>0</v>
      </c>
      <c r="C168" s="2">
        <v>1136.47</v>
      </c>
      <c r="D168" s="2" t="s">
        <v>0</v>
      </c>
      <c r="E168" s="2">
        <v>1999.87</v>
      </c>
      <c r="G168" s="1" t="s">
        <v>329</v>
      </c>
      <c r="H168" s="2" t="s">
        <v>0</v>
      </c>
      <c r="I168" s="2">
        <v>751.53</v>
      </c>
    </row>
    <row r="169">
      <c r="A169" s="1" t="s">
        <v>330</v>
      </c>
      <c r="B169" s="2" t="s">
        <v>0</v>
      </c>
      <c r="C169" s="2">
        <v>1136.47</v>
      </c>
      <c r="D169" s="2" t="s">
        <v>0</v>
      </c>
      <c r="E169" s="2">
        <v>1999.87</v>
      </c>
      <c r="G169" s="1" t="s">
        <v>331</v>
      </c>
      <c r="H169" s="2" t="s">
        <v>0</v>
      </c>
      <c r="I169" s="2">
        <v>751.53</v>
      </c>
    </row>
    <row r="170">
      <c r="A170" s="1" t="s">
        <v>332</v>
      </c>
      <c r="B170" s="2">
        <v>1125.29</v>
      </c>
      <c r="C170" s="2">
        <v>1125.29</v>
      </c>
      <c r="D170" s="2">
        <v>1969.99</v>
      </c>
      <c r="E170" s="2">
        <v>1969.99</v>
      </c>
      <c r="G170" s="1" t="s">
        <v>333</v>
      </c>
      <c r="H170" s="2">
        <v>738.79</v>
      </c>
      <c r="I170" s="2">
        <v>738.79</v>
      </c>
    </row>
    <row r="171">
      <c r="A171" s="1" t="s">
        <v>334</v>
      </c>
      <c r="B171" s="2">
        <v>1132.01</v>
      </c>
      <c r="C171" s="2">
        <v>1132.01</v>
      </c>
      <c r="D171" s="2">
        <v>1995.6</v>
      </c>
      <c r="E171" s="2">
        <v>1995.6</v>
      </c>
      <c r="G171" s="1" t="s">
        <v>335</v>
      </c>
      <c r="H171" s="2">
        <v>752.1</v>
      </c>
      <c r="I171" s="2">
        <v>752.1</v>
      </c>
    </row>
    <row r="172">
      <c r="A172" s="1" t="s">
        <v>336</v>
      </c>
      <c r="B172" s="2">
        <v>1133.56</v>
      </c>
      <c r="C172" s="2">
        <v>1133.56</v>
      </c>
      <c r="D172" s="2">
        <v>1998.23</v>
      </c>
      <c r="E172" s="2">
        <v>1998.23</v>
      </c>
      <c r="G172" s="1" t="s">
        <v>337</v>
      </c>
      <c r="H172" s="2">
        <v>752.34</v>
      </c>
      <c r="I172" s="2">
        <v>752.34</v>
      </c>
    </row>
    <row r="173">
      <c r="A173" s="1" t="s">
        <v>338</v>
      </c>
      <c r="B173" s="2">
        <v>1132.05</v>
      </c>
      <c r="C173" s="2">
        <v>1132.05</v>
      </c>
      <c r="D173" s="2">
        <v>1983.67</v>
      </c>
      <c r="E173" s="2">
        <v>1983.67</v>
      </c>
      <c r="G173" s="1" t="s">
        <v>339</v>
      </c>
      <c r="H173" s="2">
        <v>760.09</v>
      </c>
      <c r="I173" s="2">
        <v>760.09</v>
      </c>
    </row>
    <row r="174">
      <c r="A174" s="1" t="s">
        <v>340</v>
      </c>
      <c r="B174" s="2">
        <v>1136.85</v>
      </c>
      <c r="C174" s="2">
        <v>1136.85</v>
      </c>
      <c r="D174" s="2">
        <v>1986.73</v>
      </c>
      <c r="E174" s="2">
        <v>1986.73</v>
      </c>
      <c r="G174" s="1" t="s">
        <v>341</v>
      </c>
      <c r="H174" s="2">
        <v>741.73</v>
      </c>
      <c r="I174" s="2">
        <v>741.73</v>
      </c>
    </row>
    <row r="175">
      <c r="A175" s="1" t="s">
        <v>342</v>
      </c>
      <c r="B175" s="2" t="s">
        <v>0</v>
      </c>
      <c r="C175" s="2">
        <v>1136.85</v>
      </c>
      <c r="D175" s="2" t="s">
        <v>0</v>
      </c>
      <c r="E175" s="2">
        <v>1986.73</v>
      </c>
      <c r="G175" s="1" t="s">
        <v>343</v>
      </c>
      <c r="H175" s="2" t="s">
        <v>0</v>
      </c>
      <c r="I175" s="2">
        <v>741.73</v>
      </c>
    </row>
    <row r="176">
      <c r="A176" s="1" t="s">
        <v>344</v>
      </c>
      <c r="B176" s="2" t="s">
        <v>0</v>
      </c>
      <c r="C176" s="2">
        <v>1136.85</v>
      </c>
      <c r="D176" s="2" t="s">
        <v>0</v>
      </c>
      <c r="E176" s="2">
        <v>1986.73</v>
      </c>
      <c r="G176" s="1" t="s">
        <v>345</v>
      </c>
      <c r="H176" s="2" t="s">
        <v>0</v>
      </c>
      <c r="I176" s="2">
        <v>741.73</v>
      </c>
    </row>
    <row r="177">
      <c r="A177" s="1" t="s">
        <v>346</v>
      </c>
      <c r="B177" s="2">
        <v>1130.3</v>
      </c>
      <c r="C177" s="2">
        <v>1130.3</v>
      </c>
      <c r="D177" s="2">
        <v>1974.38</v>
      </c>
      <c r="E177" s="2">
        <v>1974.38</v>
      </c>
      <c r="G177" s="1" t="s">
        <v>347</v>
      </c>
      <c r="H177" s="2">
        <v>749.3</v>
      </c>
      <c r="I177" s="2">
        <v>749.3</v>
      </c>
    </row>
    <row r="178">
      <c r="A178" s="1" t="s">
        <v>348</v>
      </c>
      <c r="B178" s="2">
        <v>1134.41</v>
      </c>
      <c r="C178" s="2">
        <v>1134.41</v>
      </c>
      <c r="D178" s="2">
        <v>1994.15</v>
      </c>
      <c r="E178" s="2">
        <v>1994.15</v>
      </c>
      <c r="G178" s="1" t="s">
        <v>349</v>
      </c>
      <c r="H178" s="2">
        <v>746.48</v>
      </c>
      <c r="I178" s="2">
        <v>746.48</v>
      </c>
    </row>
    <row r="179">
      <c r="A179" s="1" t="s">
        <v>350</v>
      </c>
      <c r="B179" s="2">
        <v>1144.06</v>
      </c>
      <c r="C179" s="2">
        <v>1144.06</v>
      </c>
      <c r="D179" s="2">
        <v>2020.98</v>
      </c>
      <c r="E179" s="2">
        <v>2020.98</v>
      </c>
      <c r="G179" s="1" t="s">
        <v>351</v>
      </c>
      <c r="H179" s="2">
        <v>738.93</v>
      </c>
      <c r="I179" s="2">
        <v>738.93</v>
      </c>
    </row>
    <row r="180">
      <c r="A180" s="1" t="s">
        <v>352</v>
      </c>
      <c r="B180" s="2">
        <v>1140.65</v>
      </c>
      <c r="C180" s="2">
        <v>1140.65</v>
      </c>
      <c r="D180" s="2">
        <v>2015.57</v>
      </c>
      <c r="E180" s="2">
        <v>2015.57</v>
      </c>
      <c r="G180" s="1" t="s">
        <v>353</v>
      </c>
      <c r="H180" s="2">
        <v>763.13</v>
      </c>
      <c r="I180" s="2">
        <v>763.13</v>
      </c>
    </row>
    <row r="181">
      <c r="A181" s="1" t="s">
        <v>354</v>
      </c>
      <c r="B181" s="2">
        <v>1134.43</v>
      </c>
      <c r="C181" s="2">
        <v>1134.43</v>
      </c>
      <c r="D181" s="2">
        <v>2025.47</v>
      </c>
      <c r="E181" s="2">
        <v>2025.47</v>
      </c>
      <c r="G181" s="1" t="s">
        <v>355</v>
      </c>
      <c r="H181" s="2">
        <v>779.03</v>
      </c>
      <c r="I181" s="2">
        <v>779.03</v>
      </c>
    </row>
    <row r="182">
      <c r="A182" s="1" t="s">
        <v>356</v>
      </c>
      <c r="B182" s="2" t="s">
        <v>0</v>
      </c>
      <c r="C182" s="2">
        <v>1134.43</v>
      </c>
      <c r="D182" s="2" t="s">
        <v>0</v>
      </c>
      <c r="E182" s="2">
        <v>2025.47</v>
      </c>
      <c r="G182" s="1" t="s">
        <v>357</v>
      </c>
      <c r="H182" s="2" t="s">
        <v>0</v>
      </c>
      <c r="I182" s="2">
        <v>779.03</v>
      </c>
    </row>
    <row r="183">
      <c r="A183" s="1" t="s">
        <v>358</v>
      </c>
      <c r="B183" s="2" t="s">
        <v>0</v>
      </c>
      <c r="C183" s="2">
        <v>1134.43</v>
      </c>
      <c r="D183" s="2" t="s">
        <v>0</v>
      </c>
      <c r="E183" s="2">
        <v>2025.47</v>
      </c>
      <c r="G183" s="1" t="s">
        <v>359</v>
      </c>
      <c r="H183" s="2" t="s">
        <v>0</v>
      </c>
      <c r="I183" s="2">
        <v>779.03</v>
      </c>
    </row>
    <row r="184">
      <c r="A184" s="1" t="s">
        <v>360</v>
      </c>
      <c r="B184" s="2">
        <v>1133.35</v>
      </c>
      <c r="C184" s="2">
        <v>1133.35</v>
      </c>
      <c r="D184" s="2">
        <v>2019.82</v>
      </c>
      <c r="E184" s="2">
        <v>2019.82</v>
      </c>
      <c r="G184" s="1" t="s">
        <v>361</v>
      </c>
      <c r="H184" s="2">
        <v>770.95</v>
      </c>
      <c r="I184" s="2">
        <v>770.95</v>
      </c>
    </row>
    <row r="185">
      <c r="A185" s="1" t="s">
        <v>362</v>
      </c>
      <c r="B185" s="2">
        <v>1136.2</v>
      </c>
      <c r="C185" s="2">
        <v>1136.2</v>
      </c>
      <c r="D185" s="2">
        <v>2034.93</v>
      </c>
      <c r="E185" s="2">
        <v>2034.93</v>
      </c>
      <c r="G185" s="1" t="s">
        <v>363</v>
      </c>
      <c r="H185" s="2">
        <v>778.72</v>
      </c>
      <c r="I185" s="2">
        <v>778.72</v>
      </c>
    </row>
    <row r="186">
      <c r="A186" s="1" t="s">
        <v>364</v>
      </c>
      <c r="B186" s="2">
        <v>1140.84</v>
      </c>
      <c r="C186" s="2">
        <v>1140.84</v>
      </c>
      <c r="D186" s="2">
        <v>2047.79</v>
      </c>
      <c r="E186" s="2">
        <v>2047.79</v>
      </c>
      <c r="G186" s="1" t="s">
        <v>365</v>
      </c>
      <c r="H186" s="2">
        <v>785.79</v>
      </c>
      <c r="I186" s="2">
        <v>785.79</v>
      </c>
    </row>
    <row r="187">
      <c r="A187" s="1" t="s">
        <v>366</v>
      </c>
      <c r="B187" s="2">
        <v>1128.94</v>
      </c>
      <c r="C187" s="2">
        <v>1128.94</v>
      </c>
      <c r="D187" s="2">
        <v>2015.55</v>
      </c>
      <c r="E187" s="2">
        <v>2015.55</v>
      </c>
      <c r="G187" s="1" t="s">
        <v>367</v>
      </c>
      <c r="H187" s="2">
        <v>778.03</v>
      </c>
      <c r="I187" s="2">
        <v>778.03</v>
      </c>
    </row>
    <row r="188">
      <c r="A188" s="1" t="s">
        <v>368</v>
      </c>
      <c r="B188" s="2">
        <v>1125.38</v>
      </c>
      <c r="C188" s="2">
        <v>1125.38</v>
      </c>
      <c r="D188" s="2">
        <v>2006.66</v>
      </c>
      <c r="E188" s="2">
        <v>2006.66</v>
      </c>
      <c r="G188" s="1" t="s">
        <v>369</v>
      </c>
      <c r="H188" s="2">
        <v>755.42</v>
      </c>
      <c r="I188" s="2">
        <v>755.42</v>
      </c>
    </row>
    <row r="189">
      <c r="A189" s="1" t="s">
        <v>370</v>
      </c>
      <c r="B189" s="2" t="s">
        <v>0</v>
      </c>
      <c r="C189" s="2">
        <v>1125.38</v>
      </c>
      <c r="D189" s="2" t="s">
        <v>0</v>
      </c>
      <c r="E189" s="2">
        <v>2006.66</v>
      </c>
      <c r="G189" s="1" t="s">
        <v>371</v>
      </c>
      <c r="H189" s="2" t="s">
        <v>0</v>
      </c>
      <c r="I189" s="2">
        <v>755.42</v>
      </c>
    </row>
    <row r="190">
      <c r="A190" s="1" t="s">
        <v>372</v>
      </c>
      <c r="B190" s="2" t="s">
        <v>0</v>
      </c>
      <c r="C190" s="2">
        <v>1125.38</v>
      </c>
      <c r="D190" s="2" t="s">
        <v>0</v>
      </c>
      <c r="E190" s="2">
        <v>2006.66</v>
      </c>
      <c r="G190" s="1" t="s">
        <v>373</v>
      </c>
      <c r="H190" s="2" t="s">
        <v>0</v>
      </c>
      <c r="I190" s="2">
        <v>755.42</v>
      </c>
    </row>
    <row r="191">
      <c r="A191" s="1" t="s">
        <v>374</v>
      </c>
      <c r="B191" s="2" t="s">
        <v>0</v>
      </c>
      <c r="C191" s="2">
        <v>1125.38</v>
      </c>
      <c r="D191" s="2" t="s">
        <v>0</v>
      </c>
      <c r="E191" s="2">
        <v>2006.66</v>
      </c>
      <c r="G191" s="1" t="s">
        <v>375</v>
      </c>
      <c r="H191" s="2">
        <v>756.72</v>
      </c>
      <c r="I191" s="2">
        <v>756.72</v>
      </c>
    </row>
    <row r="192">
      <c r="A192" s="1" t="s">
        <v>376</v>
      </c>
      <c r="B192" s="2">
        <v>1116.21</v>
      </c>
      <c r="C192" s="2">
        <v>1116.21</v>
      </c>
      <c r="D192" s="2">
        <v>1963.43</v>
      </c>
      <c r="E192" s="2">
        <v>1963.43</v>
      </c>
      <c r="G192" s="1" t="s">
        <v>377</v>
      </c>
      <c r="H192" s="2">
        <v>758.47</v>
      </c>
      <c r="I192" s="2">
        <v>758.47</v>
      </c>
    </row>
    <row r="193">
      <c r="A193" s="1" t="s">
        <v>378</v>
      </c>
      <c r="B193" s="2">
        <v>1118.33</v>
      </c>
      <c r="C193" s="2">
        <v>1118.33</v>
      </c>
      <c r="D193" s="2">
        <v>1966.08</v>
      </c>
      <c r="E193" s="2">
        <v>1966.08</v>
      </c>
      <c r="G193" s="1" t="s">
        <v>379</v>
      </c>
      <c r="H193" s="2">
        <v>761.88</v>
      </c>
      <c r="I193" s="2">
        <v>761.88</v>
      </c>
    </row>
    <row r="194">
      <c r="A194" s="1" t="s">
        <v>380</v>
      </c>
      <c r="B194" s="2">
        <v>1109.11</v>
      </c>
      <c r="C194" s="2">
        <v>1109.11</v>
      </c>
      <c r="D194" s="2">
        <v>1935.32</v>
      </c>
      <c r="E194" s="2">
        <v>1935.32</v>
      </c>
      <c r="G194" s="1" t="s">
        <v>381</v>
      </c>
      <c r="H194" s="2">
        <v>743.64</v>
      </c>
      <c r="I194" s="2">
        <v>743.64</v>
      </c>
    </row>
    <row r="195">
      <c r="A195" s="1" t="s">
        <v>382</v>
      </c>
      <c r="B195" s="2">
        <v>1112.81</v>
      </c>
      <c r="C195" s="2">
        <v>1112.81</v>
      </c>
      <c r="D195" s="2">
        <v>1946.33</v>
      </c>
      <c r="E195" s="2">
        <v>1946.33</v>
      </c>
      <c r="G195" s="1" t="s">
        <v>383</v>
      </c>
      <c r="H195" s="2">
        <v>747.46</v>
      </c>
      <c r="I195" s="2">
        <v>747.46</v>
      </c>
    </row>
    <row r="196">
      <c r="A196" s="1" t="s">
        <v>384</v>
      </c>
      <c r="B196" s="2" t="s">
        <v>0</v>
      </c>
      <c r="C196" s="2">
        <v>1112.81</v>
      </c>
      <c r="D196" s="2" t="s">
        <v>0</v>
      </c>
      <c r="E196" s="2">
        <v>1946.33</v>
      </c>
      <c r="G196" s="1" t="s">
        <v>385</v>
      </c>
      <c r="H196" s="2" t="s">
        <v>0</v>
      </c>
      <c r="I196" s="2">
        <v>747.46</v>
      </c>
    </row>
    <row r="197">
      <c r="A197" s="1" t="s">
        <v>386</v>
      </c>
      <c r="B197" s="2" t="s">
        <v>0</v>
      </c>
      <c r="C197" s="2">
        <v>1112.81</v>
      </c>
      <c r="D197" s="2" t="s">
        <v>0</v>
      </c>
      <c r="E197" s="2">
        <v>1946.33</v>
      </c>
      <c r="G197" s="1" t="s">
        <v>387</v>
      </c>
      <c r="H197" s="2" t="s">
        <v>0</v>
      </c>
      <c r="I197" s="2">
        <v>747.46</v>
      </c>
    </row>
    <row r="198">
      <c r="A198" s="1" t="s">
        <v>388</v>
      </c>
      <c r="B198" s="2">
        <v>1114.35</v>
      </c>
      <c r="C198" s="2">
        <v>1114.35</v>
      </c>
      <c r="D198" s="2">
        <v>1936.92</v>
      </c>
      <c r="E198" s="2">
        <v>1936.92</v>
      </c>
      <c r="G198" s="1" t="s">
        <v>389</v>
      </c>
      <c r="H198" s="2">
        <v>746.27</v>
      </c>
      <c r="I198" s="2">
        <v>746.27</v>
      </c>
    </row>
    <row r="199">
      <c r="A199" s="1" t="s">
        <v>390</v>
      </c>
      <c r="B199" s="2">
        <v>1115.14</v>
      </c>
      <c r="C199" s="2">
        <v>1115.14</v>
      </c>
      <c r="D199" s="2">
        <v>1931.66</v>
      </c>
      <c r="E199" s="2">
        <v>1931.66</v>
      </c>
      <c r="G199" s="1" t="s">
        <v>391</v>
      </c>
      <c r="H199" s="2">
        <v>750.95</v>
      </c>
      <c r="I199" s="2">
        <v>750.95</v>
      </c>
    </row>
    <row r="200">
      <c r="A200" s="1" t="s">
        <v>392</v>
      </c>
      <c r="B200" s="2">
        <v>1111.47</v>
      </c>
      <c r="C200" s="2">
        <v>1111.47</v>
      </c>
      <c r="D200" s="2">
        <v>1914.88</v>
      </c>
      <c r="E200" s="2">
        <v>1914.88</v>
      </c>
      <c r="G200" s="1" t="s">
        <v>393</v>
      </c>
      <c r="H200" s="2">
        <v>736.57</v>
      </c>
      <c r="I200" s="2">
        <v>736.57</v>
      </c>
    </row>
    <row r="201">
      <c r="A201" s="1" t="s">
        <v>394</v>
      </c>
      <c r="B201" s="2">
        <v>1106.69</v>
      </c>
      <c r="C201" s="2">
        <v>1106.69</v>
      </c>
      <c r="D201" s="2">
        <v>1912.71</v>
      </c>
      <c r="E201" s="2">
        <v>1912.71</v>
      </c>
      <c r="G201" s="1" t="s">
        <v>395</v>
      </c>
      <c r="H201" s="2">
        <v>732.74</v>
      </c>
      <c r="I201" s="2">
        <v>732.74</v>
      </c>
    </row>
    <row r="202">
      <c r="A202" s="1" t="s">
        <v>396</v>
      </c>
      <c r="B202" s="2">
        <v>1101.39</v>
      </c>
      <c r="C202" s="2">
        <v>1101.39</v>
      </c>
      <c r="D202" s="2">
        <v>1883.15</v>
      </c>
      <c r="E202" s="2">
        <v>1883.15</v>
      </c>
      <c r="G202" s="1" t="s">
        <v>397</v>
      </c>
      <c r="H202" s="2">
        <v>739.39</v>
      </c>
      <c r="I202" s="2">
        <v>739.39</v>
      </c>
    </row>
    <row r="203">
      <c r="A203" s="1" t="s">
        <v>398</v>
      </c>
      <c r="B203" s="2" t="s">
        <v>0</v>
      </c>
      <c r="C203" s="2">
        <v>1101.39</v>
      </c>
      <c r="D203" s="2" t="s">
        <v>0</v>
      </c>
      <c r="E203" s="2">
        <v>1883.15</v>
      </c>
      <c r="G203" s="1" t="s">
        <v>399</v>
      </c>
      <c r="H203" s="2" t="s">
        <v>0</v>
      </c>
      <c r="I203" s="2">
        <v>739.39</v>
      </c>
    </row>
    <row r="204">
      <c r="A204" s="1" t="s">
        <v>400</v>
      </c>
      <c r="B204" s="2" t="s">
        <v>0</v>
      </c>
      <c r="C204" s="2">
        <v>1101.39</v>
      </c>
      <c r="D204" s="2" t="s">
        <v>0</v>
      </c>
      <c r="E204" s="2">
        <v>1883.15</v>
      </c>
      <c r="G204" s="1" t="s">
        <v>401</v>
      </c>
      <c r="H204" s="2" t="s">
        <v>0</v>
      </c>
      <c r="I204" s="2">
        <v>739.39</v>
      </c>
    </row>
    <row r="205">
      <c r="A205" s="1" t="s">
        <v>402</v>
      </c>
      <c r="B205" s="2">
        <v>1100.9</v>
      </c>
      <c r="C205" s="2">
        <v>1100.9</v>
      </c>
      <c r="D205" s="2">
        <v>1883.83</v>
      </c>
      <c r="E205" s="2">
        <v>1883.83</v>
      </c>
      <c r="G205" s="1" t="s">
        <v>403</v>
      </c>
      <c r="H205" s="2">
        <v>750.4</v>
      </c>
      <c r="I205" s="2">
        <v>750.4</v>
      </c>
    </row>
    <row r="206">
      <c r="A206" s="1" t="s">
        <v>404</v>
      </c>
      <c r="B206" s="2">
        <v>1108.67</v>
      </c>
      <c r="C206" s="2">
        <v>1108.67</v>
      </c>
      <c r="D206" s="2">
        <v>1917.07</v>
      </c>
      <c r="E206" s="2">
        <v>1917.07</v>
      </c>
      <c r="G206" s="1" t="s">
        <v>405</v>
      </c>
      <c r="H206" s="2">
        <v>737.0</v>
      </c>
      <c r="I206" s="2">
        <v>737.0</v>
      </c>
    </row>
    <row r="207">
      <c r="A207" s="1" t="s">
        <v>406</v>
      </c>
      <c r="B207" s="2">
        <v>1093.88</v>
      </c>
      <c r="C207" s="2">
        <v>1093.88</v>
      </c>
      <c r="D207" s="2">
        <v>1874.37</v>
      </c>
      <c r="E207" s="2">
        <v>1874.37</v>
      </c>
      <c r="G207" s="1" t="s">
        <v>407</v>
      </c>
      <c r="H207" s="2">
        <v>753.32</v>
      </c>
      <c r="I207" s="2">
        <v>753.32</v>
      </c>
    </row>
    <row r="208">
      <c r="A208" s="1" t="s">
        <v>408</v>
      </c>
      <c r="B208" s="2">
        <v>1096.84</v>
      </c>
      <c r="C208" s="2">
        <v>1096.84</v>
      </c>
      <c r="D208" s="2">
        <v>1889.06</v>
      </c>
      <c r="E208" s="2">
        <v>1889.06</v>
      </c>
      <c r="G208" s="1" t="s">
        <v>409</v>
      </c>
      <c r="H208" s="2">
        <v>742.63</v>
      </c>
      <c r="I208" s="2">
        <v>742.63</v>
      </c>
    </row>
    <row r="209">
      <c r="A209" s="1" t="s">
        <v>410</v>
      </c>
      <c r="B209" s="2">
        <v>1086.2</v>
      </c>
      <c r="C209" s="2">
        <v>1086.2</v>
      </c>
      <c r="D209" s="2">
        <v>1849.09</v>
      </c>
      <c r="E209" s="2">
        <v>1849.09</v>
      </c>
      <c r="G209" s="1" t="s">
        <v>411</v>
      </c>
      <c r="H209" s="2">
        <v>737.51</v>
      </c>
      <c r="I209" s="2">
        <v>737.51</v>
      </c>
    </row>
    <row r="210">
      <c r="A210" s="1" t="s">
        <v>412</v>
      </c>
      <c r="B210" s="2" t="s">
        <v>0</v>
      </c>
      <c r="C210" s="2">
        <v>1086.2</v>
      </c>
      <c r="D210" s="2" t="s">
        <v>0</v>
      </c>
      <c r="E210" s="2">
        <v>1849.09</v>
      </c>
      <c r="G210" s="1" t="s">
        <v>413</v>
      </c>
      <c r="H210" s="2" t="s">
        <v>0</v>
      </c>
      <c r="I210" s="2">
        <v>737.51</v>
      </c>
    </row>
    <row r="211">
      <c r="A211" s="1" t="s">
        <v>414</v>
      </c>
      <c r="B211" s="2" t="s">
        <v>0</v>
      </c>
      <c r="C211" s="2">
        <v>1086.2</v>
      </c>
      <c r="D211" s="2" t="s">
        <v>0</v>
      </c>
      <c r="E211" s="2">
        <v>1849.09</v>
      </c>
      <c r="G211" s="1" t="s">
        <v>415</v>
      </c>
      <c r="H211" s="2" t="s">
        <v>0</v>
      </c>
      <c r="I211" s="2">
        <v>737.51</v>
      </c>
    </row>
    <row r="212">
      <c r="A212" s="1" t="s">
        <v>416</v>
      </c>
      <c r="B212" s="2">
        <v>1084.07</v>
      </c>
      <c r="C212" s="2">
        <v>1084.07</v>
      </c>
      <c r="D212" s="2">
        <v>1839.02</v>
      </c>
      <c r="E212" s="2">
        <v>1839.02</v>
      </c>
      <c r="G212" s="1" t="s">
        <v>417</v>
      </c>
      <c r="H212" s="2">
        <v>736.21</v>
      </c>
      <c r="I212" s="2">
        <v>736.21</v>
      </c>
    </row>
    <row r="213">
      <c r="A213" s="1" t="s">
        <v>418</v>
      </c>
      <c r="B213" s="2">
        <v>1094.83</v>
      </c>
      <c r="C213" s="2">
        <v>1094.83</v>
      </c>
      <c r="D213" s="2">
        <v>1869.1</v>
      </c>
      <c r="E213" s="2">
        <v>1869.1</v>
      </c>
      <c r="G213" s="1" t="s">
        <v>419</v>
      </c>
      <c r="H213" s="2">
        <v>738.51</v>
      </c>
      <c r="I213" s="2">
        <v>738.51</v>
      </c>
    </row>
    <row r="214">
      <c r="A214" s="1" t="s">
        <v>420</v>
      </c>
      <c r="B214" s="2">
        <v>1095.42</v>
      </c>
      <c r="C214" s="2">
        <v>1095.42</v>
      </c>
      <c r="D214" s="2">
        <v>1858.26</v>
      </c>
      <c r="E214" s="2">
        <v>1858.26</v>
      </c>
      <c r="G214" s="1" t="s">
        <v>421</v>
      </c>
      <c r="H214" s="2">
        <v>744.42</v>
      </c>
      <c r="I214" s="2">
        <v>744.42</v>
      </c>
    </row>
    <row r="215">
      <c r="A215" s="1" t="s">
        <v>422</v>
      </c>
      <c r="B215" s="2">
        <v>1100.43</v>
      </c>
      <c r="C215" s="2">
        <v>1100.43</v>
      </c>
      <c r="D215" s="2">
        <v>1881.06</v>
      </c>
      <c r="E215" s="2">
        <v>1881.06</v>
      </c>
      <c r="G215" s="1" t="s">
        <v>423</v>
      </c>
      <c r="H215" s="2">
        <v>730.61</v>
      </c>
      <c r="I215" s="2">
        <v>730.61</v>
      </c>
    </row>
    <row r="216">
      <c r="A216" s="1" t="s">
        <v>424</v>
      </c>
      <c r="B216" s="2">
        <v>1101.72</v>
      </c>
      <c r="C216" s="2">
        <v>1101.72</v>
      </c>
      <c r="D216" s="2">
        <v>1887.36</v>
      </c>
      <c r="E216" s="2">
        <v>1887.36</v>
      </c>
      <c r="G216" s="1" t="s">
        <v>425</v>
      </c>
      <c r="H216" s="2">
        <v>735.34</v>
      </c>
      <c r="I216" s="2">
        <v>735.34</v>
      </c>
    </row>
    <row r="217">
      <c r="A217" s="1" t="s">
        <v>426</v>
      </c>
      <c r="B217" s="2" t="s">
        <v>0</v>
      </c>
      <c r="C217" s="2">
        <v>1101.72</v>
      </c>
      <c r="D217" s="2" t="s">
        <v>0</v>
      </c>
      <c r="E217" s="2">
        <v>1887.36</v>
      </c>
      <c r="G217" s="1" t="s">
        <v>427</v>
      </c>
      <c r="H217" s="2" t="s">
        <v>0</v>
      </c>
      <c r="I217" s="2">
        <v>735.34</v>
      </c>
    </row>
    <row r="218">
      <c r="A218" s="1" t="s">
        <v>428</v>
      </c>
      <c r="B218" s="2" t="s">
        <v>0</v>
      </c>
      <c r="C218" s="2">
        <v>1101.72</v>
      </c>
      <c r="D218" s="2" t="s">
        <v>0</v>
      </c>
      <c r="E218" s="2">
        <v>1887.36</v>
      </c>
      <c r="G218" s="1" t="s">
        <v>429</v>
      </c>
      <c r="H218" s="2" t="s">
        <v>0</v>
      </c>
      <c r="I218" s="2">
        <v>735.34</v>
      </c>
    </row>
    <row r="219">
      <c r="A219" s="1" t="s">
        <v>430</v>
      </c>
      <c r="B219" s="2">
        <v>1106.62</v>
      </c>
      <c r="C219" s="2">
        <v>1106.62</v>
      </c>
      <c r="D219" s="2">
        <v>1892.09</v>
      </c>
      <c r="E219" s="2">
        <v>1892.09</v>
      </c>
      <c r="G219" s="1" t="s">
        <v>431</v>
      </c>
      <c r="H219" s="2">
        <v>719.59</v>
      </c>
      <c r="I219" s="2">
        <v>719.59</v>
      </c>
    </row>
    <row r="220">
      <c r="A220" s="1" t="s">
        <v>432</v>
      </c>
      <c r="B220" s="2">
        <v>1099.69</v>
      </c>
      <c r="C220" s="2">
        <v>1099.69</v>
      </c>
      <c r="D220" s="2">
        <v>1859.42</v>
      </c>
      <c r="E220" s="2">
        <v>1859.42</v>
      </c>
      <c r="G220" s="1" t="s">
        <v>433</v>
      </c>
      <c r="H220" s="2">
        <v>726.44</v>
      </c>
      <c r="I220" s="2">
        <v>726.44</v>
      </c>
    </row>
    <row r="221">
      <c r="A221" s="1" t="s">
        <v>434</v>
      </c>
      <c r="B221" s="2">
        <v>1098.63</v>
      </c>
      <c r="C221" s="2">
        <v>1098.63</v>
      </c>
      <c r="D221" s="2">
        <v>1855.06</v>
      </c>
      <c r="E221" s="2">
        <v>1855.06</v>
      </c>
      <c r="G221" s="1" t="s">
        <v>435</v>
      </c>
      <c r="H221" s="2">
        <v>729.41</v>
      </c>
      <c r="I221" s="2">
        <v>729.41</v>
      </c>
    </row>
    <row r="222">
      <c r="A222" s="1" t="s">
        <v>436</v>
      </c>
      <c r="B222" s="2">
        <v>1080.7</v>
      </c>
      <c r="C222" s="2">
        <v>1080.7</v>
      </c>
      <c r="D222" s="2">
        <v>1821.63</v>
      </c>
      <c r="E222" s="2">
        <v>1821.63</v>
      </c>
      <c r="G222" s="1" t="s">
        <v>437</v>
      </c>
      <c r="H222" s="2">
        <v>743.35</v>
      </c>
      <c r="I222" s="2">
        <v>743.35</v>
      </c>
    </row>
    <row r="223">
      <c r="A223" s="1" t="s">
        <v>438</v>
      </c>
      <c r="B223" s="2">
        <v>1063.97</v>
      </c>
      <c r="C223" s="2">
        <v>1063.97</v>
      </c>
      <c r="D223" s="2">
        <v>1776.89</v>
      </c>
      <c r="E223" s="2">
        <v>1776.89</v>
      </c>
      <c r="G223" s="1" t="s">
        <v>439</v>
      </c>
      <c r="H223" s="2">
        <v>733.95</v>
      </c>
      <c r="I223" s="2">
        <v>733.95</v>
      </c>
    </row>
    <row r="224">
      <c r="A224" s="1" t="s">
        <v>440</v>
      </c>
      <c r="B224" s="2" t="s">
        <v>0</v>
      </c>
      <c r="C224" s="2">
        <v>1063.97</v>
      </c>
      <c r="D224" s="2" t="s">
        <v>0</v>
      </c>
      <c r="E224" s="2">
        <v>1776.89</v>
      </c>
      <c r="G224" s="1" t="s">
        <v>441</v>
      </c>
      <c r="H224" s="2" t="s">
        <v>0</v>
      </c>
      <c r="I224" s="2">
        <v>733.95</v>
      </c>
    </row>
    <row r="225">
      <c r="A225" s="1" t="s">
        <v>442</v>
      </c>
      <c r="B225" s="2" t="s">
        <v>0</v>
      </c>
      <c r="C225" s="2">
        <v>1063.97</v>
      </c>
      <c r="D225" s="2" t="s">
        <v>0</v>
      </c>
      <c r="E225" s="2">
        <v>1776.89</v>
      </c>
      <c r="G225" s="1" t="s">
        <v>443</v>
      </c>
      <c r="H225" s="2" t="s">
        <v>0</v>
      </c>
      <c r="I225" s="2">
        <v>733.95</v>
      </c>
    </row>
    <row r="226">
      <c r="A226" s="1" t="s">
        <v>444</v>
      </c>
      <c r="B226" s="2">
        <v>1065.22</v>
      </c>
      <c r="C226" s="2">
        <v>1065.22</v>
      </c>
      <c r="D226" s="2">
        <v>1774.64</v>
      </c>
      <c r="E226" s="2">
        <v>1774.64</v>
      </c>
      <c r="G226" s="1" t="s">
        <v>445</v>
      </c>
      <c r="H226" s="2">
        <v>742.13</v>
      </c>
      <c r="I226" s="2">
        <v>742.13</v>
      </c>
    </row>
    <row r="227">
      <c r="A227" s="1" t="s">
        <v>446</v>
      </c>
      <c r="B227" s="2">
        <v>1079.04</v>
      </c>
      <c r="C227" s="2">
        <v>1079.04</v>
      </c>
      <c r="D227" s="2">
        <v>1808.7</v>
      </c>
      <c r="E227" s="2">
        <v>1808.7</v>
      </c>
      <c r="G227" s="1" t="s">
        <v>447</v>
      </c>
      <c r="H227" s="2">
        <v>748.62</v>
      </c>
      <c r="I227" s="2">
        <v>748.62</v>
      </c>
    </row>
    <row r="228">
      <c r="A228" s="1" t="s">
        <v>448</v>
      </c>
      <c r="B228" s="2">
        <v>1075.79</v>
      </c>
      <c r="C228" s="2">
        <v>1075.79</v>
      </c>
      <c r="D228" s="2">
        <v>1782.42</v>
      </c>
      <c r="E228" s="2">
        <v>1782.42</v>
      </c>
      <c r="G228" s="1" t="s">
        <v>449</v>
      </c>
      <c r="H228" s="2">
        <v>753.06</v>
      </c>
      <c r="I228" s="2">
        <v>753.06</v>
      </c>
    </row>
    <row r="229">
      <c r="A229" s="1" t="s">
        <v>450</v>
      </c>
      <c r="B229" s="2">
        <v>1063.23</v>
      </c>
      <c r="C229" s="2">
        <v>1063.23</v>
      </c>
      <c r="D229" s="2">
        <v>1752.49</v>
      </c>
      <c r="E229" s="2">
        <v>1752.49</v>
      </c>
      <c r="G229" s="1" t="s">
        <v>451</v>
      </c>
      <c r="H229" s="2">
        <v>766.7</v>
      </c>
      <c r="I229" s="2">
        <v>766.7</v>
      </c>
    </row>
    <row r="230">
      <c r="A230" s="1" t="s">
        <v>452</v>
      </c>
      <c r="B230" s="2">
        <v>1064.8</v>
      </c>
      <c r="C230" s="2">
        <v>1064.8</v>
      </c>
      <c r="D230" s="2">
        <v>1757.22</v>
      </c>
      <c r="E230" s="2">
        <v>1757.22</v>
      </c>
      <c r="G230" s="1" t="s">
        <v>453</v>
      </c>
      <c r="H230" s="2">
        <v>776.02</v>
      </c>
      <c r="I230" s="2">
        <v>776.02</v>
      </c>
    </row>
    <row r="231">
      <c r="A231" s="1" t="s">
        <v>454</v>
      </c>
      <c r="B231" s="2" t="s">
        <v>0</v>
      </c>
      <c r="C231" s="2">
        <v>1064.8</v>
      </c>
      <c r="D231" s="2" t="s">
        <v>0</v>
      </c>
      <c r="E231" s="2">
        <v>1757.22</v>
      </c>
      <c r="G231" s="1" t="s">
        <v>455</v>
      </c>
      <c r="H231" s="2" t="s">
        <v>0</v>
      </c>
      <c r="I231" s="2">
        <v>776.02</v>
      </c>
    </row>
    <row r="232">
      <c r="A232" s="1" t="s">
        <v>456</v>
      </c>
      <c r="B232" s="2" t="s">
        <v>0</v>
      </c>
      <c r="C232" s="2">
        <v>1064.8</v>
      </c>
      <c r="D232" s="2" t="s">
        <v>0</v>
      </c>
      <c r="E232" s="2">
        <v>1757.22</v>
      </c>
      <c r="G232" s="1" t="s">
        <v>457</v>
      </c>
      <c r="H232" s="2" t="s">
        <v>0</v>
      </c>
      <c r="I232" s="2">
        <v>776.02</v>
      </c>
    </row>
    <row r="233">
      <c r="A233" s="1" t="s">
        <v>458</v>
      </c>
      <c r="B233" s="2">
        <v>1079.34</v>
      </c>
      <c r="C233" s="2">
        <v>1079.34</v>
      </c>
      <c r="D233" s="2">
        <v>1782.84</v>
      </c>
      <c r="E233" s="2">
        <v>1782.84</v>
      </c>
      <c r="G233" s="1" t="s">
        <v>459</v>
      </c>
      <c r="H233" s="2">
        <v>773.85</v>
      </c>
      <c r="I233" s="2">
        <v>773.85</v>
      </c>
    </row>
    <row r="234">
      <c r="A234" s="1" t="s">
        <v>460</v>
      </c>
      <c r="B234" s="2">
        <v>1081.71</v>
      </c>
      <c r="C234" s="2">
        <v>1081.71</v>
      </c>
      <c r="D234" s="2">
        <v>1795.25</v>
      </c>
      <c r="E234" s="2">
        <v>1795.25</v>
      </c>
      <c r="G234" s="1" t="s">
        <v>461</v>
      </c>
      <c r="H234" s="2">
        <v>771.03</v>
      </c>
      <c r="I234" s="2">
        <v>771.03</v>
      </c>
    </row>
    <row r="235">
      <c r="A235" s="1" t="s">
        <v>462</v>
      </c>
      <c r="B235" s="2">
        <v>1095.17</v>
      </c>
      <c r="C235" s="2">
        <v>1095.17</v>
      </c>
      <c r="D235" s="2">
        <v>1831.37</v>
      </c>
      <c r="E235" s="2">
        <v>1831.37</v>
      </c>
      <c r="G235" s="1" t="s">
        <v>463</v>
      </c>
      <c r="H235" s="2">
        <v>773.19</v>
      </c>
      <c r="I235" s="2">
        <v>773.19</v>
      </c>
    </row>
    <row r="236">
      <c r="A236" s="1" t="s">
        <v>464</v>
      </c>
      <c r="B236" s="2">
        <v>1091.23</v>
      </c>
      <c r="C236" s="2">
        <v>1091.23</v>
      </c>
      <c r="D236" s="2">
        <v>1819.89</v>
      </c>
      <c r="E236" s="2">
        <v>1819.89</v>
      </c>
      <c r="G236" s="1" t="s">
        <v>465</v>
      </c>
      <c r="H236" s="2">
        <v>788.53</v>
      </c>
      <c r="I236" s="2">
        <v>788.53</v>
      </c>
    </row>
    <row r="237">
      <c r="A237" s="1" t="s">
        <v>466</v>
      </c>
      <c r="B237" s="2">
        <v>1098.35</v>
      </c>
      <c r="C237" s="2">
        <v>1098.35</v>
      </c>
      <c r="D237" s="2">
        <v>1838.02</v>
      </c>
      <c r="E237" s="2">
        <v>1838.02</v>
      </c>
      <c r="G237" s="1" t="s">
        <v>467</v>
      </c>
      <c r="H237" s="2">
        <v>787.64</v>
      </c>
      <c r="I237" s="2">
        <v>787.64</v>
      </c>
    </row>
    <row r="238">
      <c r="A238" s="1" t="s">
        <v>468</v>
      </c>
      <c r="B238" s="2" t="s">
        <v>0</v>
      </c>
      <c r="C238" s="2">
        <v>1098.35</v>
      </c>
      <c r="D238" s="2" t="s">
        <v>0</v>
      </c>
      <c r="E238" s="2">
        <v>1838.02</v>
      </c>
      <c r="G238" s="1" t="s">
        <v>469</v>
      </c>
      <c r="H238" s="2" t="s">
        <v>0</v>
      </c>
      <c r="I238" s="2">
        <v>787.64</v>
      </c>
    </row>
    <row r="239">
      <c r="A239" s="1" t="s">
        <v>470</v>
      </c>
      <c r="B239" s="2" t="s">
        <v>0</v>
      </c>
      <c r="C239" s="2">
        <v>1098.35</v>
      </c>
      <c r="D239" s="2" t="s">
        <v>0</v>
      </c>
      <c r="E239" s="2">
        <v>1838.02</v>
      </c>
      <c r="G239" s="1" t="s">
        <v>471</v>
      </c>
      <c r="H239" s="2" t="s">
        <v>0</v>
      </c>
      <c r="I239" s="2">
        <v>787.64</v>
      </c>
    </row>
    <row r="240">
      <c r="A240" s="1" t="s">
        <v>472</v>
      </c>
      <c r="B240" s="2">
        <v>1095.68</v>
      </c>
      <c r="C240" s="2">
        <v>1095.68</v>
      </c>
      <c r="D240" s="2">
        <v>1838.7</v>
      </c>
      <c r="E240" s="2">
        <v>1838.7</v>
      </c>
      <c r="G240" s="1" t="s">
        <v>473</v>
      </c>
      <c r="H240" s="2">
        <v>787.65</v>
      </c>
      <c r="I240" s="2">
        <v>787.65</v>
      </c>
    </row>
    <row r="241">
      <c r="A241" s="1" t="s">
        <v>474</v>
      </c>
      <c r="B241" s="2">
        <v>1096.19</v>
      </c>
      <c r="C241" s="2">
        <v>1096.19</v>
      </c>
      <c r="D241" s="2">
        <v>1836.89</v>
      </c>
      <c r="E241" s="2">
        <v>1836.89</v>
      </c>
      <c r="G241" s="1" t="s">
        <v>475</v>
      </c>
      <c r="H241" s="2">
        <v>792.34</v>
      </c>
      <c r="I241" s="2">
        <v>792.34</v>
      </c>
    </row>
    <row r="242">
      <c r="A242" s="1" t="s">
        <v>476</v>
      </c>
      <c r="B242" s="2">
        <v>1104.96</v>
      </c>
      <c r="C242" s="2">
        <v>1104.96</v>
      </c>
      <c r="D242" s="2">
        <v>1860.72</v>
      </c>
      <c r="E242" s="2">
        <v>1860.72</v>
      </c>
      <c r="G242" s="1" t="s">
        <v>477</v>
      </c>
      <c r="H242" s="2">
        <v>803.97</v>
      </c>
      <c r="I242" s="2">
        <v>803.97</v>
      </c>
    </row>
    <row r="243">
      <c r="A243" s="1" t="s">
        <v>478</v>
      </c>
      <c r="B243" s="2">
        <v>1105.09</v>
      </c>
      <c r="C243" s="2">
        <v>1105.09</v>
      </c>
      <c r="D243" s="2">
        <v>1852.92</v>
      </c>
      <c r="E243" s="2">
        <v>1852.92</v>
      </c>
      <c r="G243" s="1" t="s">
        <v>479</v>
      </c>
      <c r="H243" s="2">
        <v>810.21</v>
      </c>
      <c r="I243" s="2">
        <v>810.21</v>
      </c>
    </row>
    <row r="244">
      <c r="A244" s="1" t="s">
        <v>480</v>
      </c>
      <c r="B244" s="2">
        <v>1107.77</v>
      </c>
      <c r="C244" s="2">
        <v>1107.77</v>
      </c>
      <c r="D244" s="2">
        <v>1862.09</v>
      </c>
      <c r="E244" s="2">
        <v>1862.09</v>
      </c>
      <c r="G244" s="1" t="s">
        <v>481</v>
      </c>
      <c r="H244" s="2">
        <v>810.3</v>
      </c>
      <c r="I244" s="2">
        <v>810.3</v>
      </c>
    </row>
    <row r="245">
      <c r="A245" s="1" t="s">
        <v>482</v>
      </c>
      <c r="B245" s="2" t="s">
        <v>0</v>
      </c>
      <c r="C245" s="2">
        <v>1107.77</v>
      </c>
      <c r="D245" s="2" t="s">
        <v>0</v>
      </c>
      <c r="E245" s="2">
        <v>1862.09</v>
      </c>
      <c r="G245" s="1" t="s">
        <v>483</v>
      </c>
      <c r="H245" s="2" t="s">
        <v>0</v>
      </c>
      <c r="I245" s="2">
        <v>810.3</v>
      </c>
    </row>
    <row r="246">
      <c r="A246" s="1" t="s">
        <v>484</v>
      </c>
      <c r="B246" s="2" t="s">
        <v>0</v>
      </c>
      <c r="C246" s="2">
        <v>1107.77</v>
      </c>
      <c r="D246" s="2" t="s">
        <v>0</v>
      </c>
      <c r="E246" s="2">
        <v>1862.09</v>
      </c>
      <c r="G246" s="1" t="s">
        <v>485</v>
      </c>
      <c r="H246" s="2" t="s">
        <v>0</v>
      </c>
      <c r="I246" s="2">
        <v>810.3</v>
      </c>
    </row>
    <row r="247">
      <c r="A247" s="1" t="s">
        <v>486</v>
      </c>
      <c r="B247" s="2">
        <v>1099.15</v>
      </c>
      <c r="C247" s="2">
        <v>1099.15</v>
      </c>
      <c r="D247" s="2">
        <v>1836.49</v>
      </c>
      <c r="E247" s="2">
        <v>1836.49</v>
      </c>
      <c r="G247" s="1" t="s">
        <v>487</v>
      </c>
      <c r="H247" s="2">
        <v>805.19</v>
      </c>
      <c r="I247" s="2">
        <v>805.19</v>
      </c>
    </row>
    <row r="248">
      <c r="A248" s="1" t="s">
        <v>488</v>
      </c>
      <c r="B248" s="2">
        <v>1104.24</v>
      </c>
      <c r="C248" s="2">
        <v>1104.24</v>
      </c>
      <c r="D248" s="2">
        <v>1838.1</v>
      </c>
      <c r="E248" s="2">
        <v>1838.1</v>
      </c>
      <c r="G248" s="1" t="s">
        <v>489</v>
      </c>
      <c r="H248" s="2">
        <v>803.57</v>
      </c>
      <c r="I248" s="2">
        <v>803.57</v>
      </c>
    </row>
    <row r="249">
      <c r="A249" s="1" t="s">
        <v>490</v>
      </c>
      <c r="B249" s="2">
        <v>1105.91</v>
      </c>
      <c r="C249" s="2">
        <v>1105.91</v>
      </c>
      <c r="D249" s="2">
        <v>1850.41</v>
      </c>
      <c r="E249" s="2">
        <v>1850.41</v>
      </c>
      <c r="G249" s="1" t="s">
        <v>491</v>
      </c>
      <c r="H249" s="2">
        <v>817.36</v>
      </c>
      <c r="I249" s="2">
        <v>817.36</v>
      </c>
    </row>
    <row r="250">
      <c r="A250" s="1" t="s">
        <v>492</v>
      </c>
      <c r="B250" s="2">
        <v>1118.31</v>
      </c>
      <c r="C250" s="2">
        <v>1118.31</v>
      </c>
      <c r="D250" s="2">
        <v>1873.43</v>
      </c>
      <c r="E250" s="2">
        <v>1873.43</v>
      </c>
      <c r="G250" s="1" t="s">
        <v>493</v>
      </c>
      <c r="H250" s="2">
        <v>823.83</v>
      </c>
      <c r="I250" s="2">
        <v>823.83</v>
      </c>
    </row>
    <row r="251">
      <c r="A251" s="1" t="s">
        <v>494</v>
      </c>
      <c r="B251" s="2">
        <v>1113.63</v>
      </c>
      <c r="C251" s="2">
        <v>1113.63</v>
      </c>
      <c r="D251" s="2">
        <v>1844.48</v>
      </c>
      <c r="E251" s="2">
        <v>1844.48</v>
      </c>
      <c r="G251" s="1" t="s">
        <v>495</v>
      </c>
      <c r="H251" s="2">
        <v>820.69</v>
      </c>
      <c r="I251" s="2">
        <v>820.69</v>
      </c>
    </row>
    <row r="252">
      <c r="A252" s="1" t="s">
        <v>496</v>
      </c>
      <c r="B252" s="2" t="s">
        <v>0</v>
      </c>
      <c r="C252" s="2">
        <v>1113.63</v>
      </c>
      <c r="D252" s="2" t="s">
        <v>0</v>
      </c>
      <c r="E252" s="2">
        <v>1844.48</v>
      </c>
      <c r="G252" s="1" t="s">
        <v>497</v>
      </c>
      <c r="H252" s="2" t="s">
        <v>0</v>
      </c>
      <c r="I252" s="2">
        <v>820.69</v>
      </c>
    </row>
    <row r="253">
      <c r="A253" s="1" t="s">
        <v>498</v>
      </c>
      <c r="B253" s="2" t="s">
        <v>0</v>
      </c>
      <c r="C253" s="2">
        <v>1113.63</v>
      </c>
      <c r="D253" s="2" t="s">
        <v>0</v>
      </c>
      <c r="E253" s="2">
        <v>1844.48</v>
      </c>
      <c r="G253" s="1" t="s">
        <v>499</v>
      </c>
      <c r="H253" s="2" t="s">
        <v>0</v>
      </c>
      <c r="I253" s="2">
        <v>820.69</v>
      </c>
    </row>
    <row r="254">
      <c r="A254" s="1" t="s">
        <v>500</v>
      </c>
      <c r="B254" s="2" t="s">
        <v>0</v>
      </c>
      <c r="C254" s="2">
        <v>1113.63</v>
      </c>
      <c r="D254" s="2" t="s">
        <v>0</v>
      </c>
      <c r="E254" s="2">
        <v>1844.48</v>
      </c>
      <c r="G254" s="1" t="s">
        <v>501</v>
      </c>
      <c r="H254" s="2">
        <v>824.21</v>
      </c>
      <c r="I254" s="2">
        <v>824.21</v>
      </c>
    </row>
    <row r="255">
      <c r="A255" s="1" t="s">
        <v>502</v>
      </c>
      <c r="B255" s="2">
        <v>1121.3</v>
      </c>
      <c r="C255" s="2">
        <v>1121.3</v>
      </c>
      <c r="D255" s="2">
        <v>1858.56</v>
      </c>
      <c r="E255" s="2">
        <v>1858.56</v>
      </c>
      <c r="G255" s="1" t="s">
        <v>503</v>
      </c>
      <c r="H255" s="2">
        <v>818.8</v>
      </c>
      <c r="I255" s="2">
        <v>818.8</v>
      </c>
    </row>
    <row r="256">
      <c r="A256" s="1" t="s">
        <v>504</v>
      </c>
      <c r="B256" s="2">
        <v>1116.27</v>
      </c>
      <c r="C256" s="2">
        <v>1116.27</v>
      </c>
      <c r="D256" s="2">
        <v>1850.64</v>
      </c>
      <c r="E256" s="2">
        <v>1850.64</v>
      </c>
      <c r="G256" s="1" t="s">
        <v>505</v>
      </c>
      <c r="H256" s="2">
        <v>815.85</v>
      </c>
      <c r="I256" s="2">
        <v>815.85</v>
      </c>
    </row>
    <row r="257">
      <c r="A257" s="1" t="s">
        <v>506</v>
      </c>
      <c r="B257" s="2">
        <v>1118.38</v>
      </c>
      <c r="C257" s="2">
        <v>1118.38</v>
      </c>
      <c r="D257" s="2">
        <v>1869.65</v>
      </c>
      <c r="E257" s="2">
        <v>1869.65</v>
      </c>
      <c r="G257" s="1" t="s">
        <v>507</v>
      </c>
      <c r="H257" s="2">
        <v>821.88</v>
      </c>
      <c r="I257" s="2">
        <v>821.88</v>
      </c>
    </row>
    <row r="258">
      <c r="A258" s="1" t="s">
        <v>508</v>
      </c>
      <c r="B258" s="2">
        <v>1123.92</v>
      </c>
      <c r="C258" s="2">
        <v>1123.92</v>
      </c>
      <c r="D258" s="2">
        <v>1894.31</v>
      </c>
      <c r="E258" s="2">
        <v>1894.31</v>
      </c>
      <c r="G258" s="1" t="s">
        <v>509</v>
      </c>
      <c r="H258" s="2">
        <v>836.34</v>
      </c>
      <c r="I258" s="2">
        <v>836.34</v>
      </c>
    </row>
    <row r="259">
      <c r="A259" s="1" t="s">
        <v>510</v>
      </c>
      <c r="B259" s="2" t="s">
        <v>0</v>
      </c>
      <c r="C259" s="2">
        <v>1123.92</v>
      </c>
      <c r="D259" s="2" t="s">
        <v>0</v>
      </c>
      <c r="E259" s="2">
        <v>1894.31</v>
      </c>
      <c r="G259" s="1" t="s">
        <v>511</v>
      </c>
      <c r="H259" s="2" t="s">
        <v>0</v>
      </c>
      <c r="I259" s="2">
        <v>836.34</v>
      </c>
    </row>
    <row r="260">
      <c r="A260" s="1" t="s">
        <v>512</v>
      </c>
      <c r="B260" s="2" t="s">
        <v>0</v>
      </c>
      <c r="C260" s="2">
        <v>1123.92</v>
      </c>
      <c r="D260" s="2" t="s">
        <v>0</v>
      </c>
      <c r="E260" s="2">
        <v>1894.31</v>
      </c>
      <c r="G260" s="1" t="s">
        <v>513</v>
      </c>
      <c r="H260" s="2" t="s">
        <v>0</v>
      </c>
      <c r="I260" s="2">
        <v>836.34</v>
      </c>
    </row>
    <row r="261">
      <c r="A261" s="1" t="s">
        <v>514</v>
      </c>
      <c r="B261" s="2">
        <v>1125.82</v>
      </c>
      <c r="C261" s="2">
        <v>1125.82</v>
      </c>
      <c r="D261" s="2">
        <v>1910.38</v>
      </c>
      <c r="E261" s="2">
        <v>1910.38</v>
      </c>
      <c r="G261" s="1" t="s">
        <v>515</v>
      </c>
      <c r="H261" s="2">
        <v>851.91</v>
      </c>
      <c r="I261" s="2">
        <v>851.91</v>
      </c>
    </row>
    <row r="262">
      <c r="A262" s="1" t="s">
        <v>516</v>
      </c>
      <c r="B262" s="2">
        <v>1128.33</v>
      </c>
      <c r="C262" s="2">
        <v>1128.33</v>
      </c>
      <c r="D262" s="2">
        <v>1915.4</v>
      </c>
      <c r="E262" s="2">
        <v>1915.4</v>
      </c>
      <c r="G262" s="1" t="s">
        <v>517</v>
      </c>
      <c r="H262" s="2">
        <v>851.42</v>
      </c>
      <c r="I262" s="2">
        <v>851.42</v>
      </c>
    </row>
    <row r="263">
      <c r="A263" s="1" t="s">
        <v>518</v>
      </c>
      <c r="B263" s="2">
        <v>1120.37</v>
      </c>
      <c r="C263" s="2">
        <v>1120.37</v>
      </c>
      <c r="D263" s="2">
        <v>1896.52</v>
      </c>
      <c r="E263" s="2">
        <v>1896.52</v>
      </c>
      <c r="G263" s="1" t="s">
        <v>519</v>
      </c>
      <c r="H263" s="2">
        <v>850.63</v>
      </c>
      <c r="I263" s="2">
        <v>850.63</v>
      </c>
    </row>
    <row r="264">
      <c r="A264" s="1" t="s">
        <v>520</v>
      </c>
      <c r="B264" s="2">
        <v>1123.5</v>
      </c>
      <c r="C264" s="2">
        <v>1123.5</v>
      </c>
      <c r="D264" s="2">
        <v>1904.08</v>
      </c>
      <c r="E264" s="2">
        <v>1904.08</v>
      </c>
      <c r="G264" s="1" t="s">
        <v>521</v>
      </c>
      <c r="H264" s="2">
        <v>855.38</v>
      </c>
      <c r="I264" s="2">
        <v>855.38</v>
      </c>
    </row>
    <row r="265">
      <c r="A265" s="1" t="s">
        <v>522</v>
      </c>
      <c r="B265" s="2">
        <v>1128.55</v>
      </c>
      <c r="C265" s="2">
        <v>1128.55</v>
      </c>
      <c r="D265" s="2">
        <v>1910.09</v>
      </c>
      <c r="E265" s="2">
        <v>1910.09</v>
      </c>
      <c r="G265" s="1" t="s">
        <v>523</v>
      </c>
      <c r="H265" s="2">
        <v>848.11</v>
      </c>
      <c r="I265" s="2">
        <v>848.11</v>
      </c>
    </row>
    <row r="266">
      <c r="A266" s="1" t="s">
        <v>524</v>
      </c>
      <c r="B266" s="2" t="s">
        <v>0</v>
      </c>
      <c r="C266" s="2">
        <v>1128.55</v>
      </c>
      <c r="D266" s="2" t="s">
        <v>0</v>
      </c>
      <c r="E266" s="2">
        <v>1910.09</v>
      </c>
      <c r="G266" s="1" t="s">
        <v>525</v>
      </c>
      <c r="H266" s="2" t="s">
        <v>0</v>
      </c>
      <c r="I266" s="2">
        <v>848.11</v>
      </c>
    </row>
    <row r="267">
      <c r="A267" s="1" t="s">
        <v>526</v>
      </c>
      <c r="B267" s="2" t="s">
        <v>0</v>
      </c>
      <c r="C267" s="2">
        <v>1128.55</v>
      </c>
      <c r="D267" s="2" t="s">
        <v>0</v>
      </c>
      <c r="E267" s="2">
        <v>1910.09</v>
      </c>
      <c r="G267" s="1" t="s">
        <v>527</v>
      </c>
      <c r="H267" s="2" t="s">
        <v>0</v>
      </c>
      <c r="I267" s="2">
        <v>848.11</v>
      </c>
    </row>
    <row r="268">
      <c r="A268" s="1" t="s">
        <v>528</v>
      </c>
      <c r="B268" s="2">
        <v>1122.2</v>
      </c>
      <c r="C268" s="2">
        <v>1122.2</v>
      </c>
      <c r="D268" s="2">
        <v>1908.07</v>
      </c>
      <c r="E268" s="2">
        <v>1908.07</v>
      </c>
      <c r="G268" s="1" t="s">
        <v>529</v>
      </c>
      <c r="H268" s="2">
        <v>856.87</v>
      </c>
      <c r="I268" s="2">
        <v>856.87</v>
      </c>
    </row>
    <row r="269">
      <c r="A269" s="1" t="s">
        <v>530</v>
      </c>
      <c r="B269" s="2">
        <v>1129.3</v>
      </c>
      <c r="C269" s="2">
        <v>1129.3</v>
      </c>
      <c r="D269" s="2">
        <v>1921.18</v>
      </c>
      <c r="E269" s="2">
        <v>1921.18</v>
      </c>
      <c r="G269" s="1" t="s">
        <v>531</v>
      </c>
      <c r="H269" s="2">
        <v>857.15</v>
      </c>
      <c r="I269" s="2">
        <v>857.15</v>
      </c>
    </row>
    <row r="270">
      <c r="A270" s="1" t="s">
        <v>532</v>
      </c>
      <c r="B270" s="2">
        <v>1113.56</v>
      </c>
      <c r="C270" s="2">
        <v>1113.56</v>
      </c>
      <c r="D270" s="2">
        <v>1885.71</v>
      </c>
      <c r="E270" s="2">
        <v>1885.71</v>
      </c>
      <c r="G270" s="1" t="s">
        <v>533</v>
      </c>
      <c r="H270" s="2">
        <v>835.1</v>
      </c>
      <c r="I270" s="2">
        <v>835.1</v>
      </c>
    </row>
    <row r="271">
      <c r="A271" s="1" t="s">
        <v>534</v>
      </c>
      <c r="B271" s="2">
        <v>1108.36</v>
      </c>
      <c r="C271" s="2">
        <v>1108.36</v>
      </c>
      <c r="D271" s="2">
        <v>1886.43</v>
      </c>
      <c r="E271" s="2">
        <v>1886.43</v>
      </c>
      <c r="G271" s="1" t="s">
        <v>535</v>
      </c>
      <c r="H271" s="2">
        <v>829.68</v>
      </c>
      <c r="I271" s="2">
        <v>829.68</v>
      </c>
    </row>
    <row r="272">
      <c r="A272" s="1" t="s">
        <v>536</v>
      </c>
      <c r="B272" s="2">
        <v>1110.11</v>
      </c>
      <c r="C272" s="2">
        <v>1110.11</v>
      </c>
      <c r="D272" s="2">
        <v>1879.48</v>
      </c>
      <c r="E272" s="2">
        <v>1879.48</v>
      </c>
      <c r="G272" s="1" t="s">
        <v>537</v>
      </c>
      <c r="H272" s="2">
        <v>832.1</v>
      </c>
      <c r="I272" s="2">
        <v>832.1</v>
      </c>
    </row>
    <row r="273">
      <c r="A273" s="1" t="s">
        <v>538</v>
      </c>
      <c r="B273" s="2" t="s">
        <v>0</v>
      </c>
      <c r="C273" s="2">
        <v>1110.11</v>
      </c>
      <c r="D273" s="2" t="s">
        <v>0</v>
      </c>
      <c r="E273" s="2">
        <v>1879.48</v>
      </c>
      <c r="G273" s="1" t="s">
        <v>539</v>
      </c>
      <c r="H273" s="2" t="s">
        <v>0</v>
      </c>
      <c r="I273" s="2">
        <v>832.1</v>
      </c>
    </row>
    <row r="274">
      <c r="A274" s="1" t="s">
        <v>540</v>
      </c>
      <c r="B274" s="2" t="s">
        <v>0</v>
      </c>
      <c r="C274" s="2">
        <v>1110.11</v>
      </c>
      <c r="D274" s="2" t="s">
        <v>0</v>
      </c>
      <c r="E274" s="2">
        <v>1879.48</v>
      </c>
      <c r="G274" s="1" t="s">
        <v>541</v>
      </c>
      <c r="H274" s="2" t="s">
        <v>0</v>
      </c>
      <c r="I274" s="2">
        <v>832.1</v>
      </c>
    </row>
    <row r="275">
      <c r="A275" s="1" t="s">
        <v>542</v>
      </c>
      <c r="B275" s="2">
        <v>1103.52</v>
      </c>
      <c r="C275" s="2">
        <v>1103.52</v>
      </c>
      <c r="D275" s="2">
        <v>1859.88</v>
      </c>
      <c r="E275" s="2">
        <v>1859.88</v>
      </c>
      <c r="G275" s="1" t="s">
        <v>543</v>
      </c>
      <c r="H275" s="2" t="s">
        <v>0</v>
      </c>
      <c r="I275" s="2">
        <v>832.1</v>
      </c>
    </row>
    <row r="276">
      <c r="A276" s="1" t="s">
        <v>544</v>
      </c>
      <c r="B276" s="2">
        <v>1110.06</v>
      </c>
      <c r="C276" s="2">
        <v>1110.06</v>
      </c>
      <c r="D276" s="2">
        <v>1869.87</v>
      </c>
      <c r="E276" s="2">
        <v>1869.87</v>
      </c>
      <c r="G276" s="1" t="s">
        <v>545</v>
      </c>
      <c r="H276" s="2" t="s">
        <v>0</v>
      </c>
      <c r="I276" s="2">
        <v>832.1</v>
      </c>
    </row>
    <row r="277">
      <c r="A277" s="1" t="s">
        <v>546</v>
      </c>
      <c r="B277" s="2">
        <v>1114.8</v>
      </c>
      <c r="C277" s="2">
        <v>1114.8</v>
      </c>
      <c r="D277" s="2">
        <v>1893.94</v>
      </c>
      <c r="E277" s="2">
        <v>1893.94</v>
      </c>
      <c r="G277" s="1" t="s">
        <v>547</v>
      </c>
      <c r="H277" s="2" t="s">
        <v>0</v>
      </c>
      <c r="I277" s="2">
        <v>832.1</v>
      </c>
    </row>
    <row r="278">
      <c r="A278" s="1" t="s">
        <v>548</v>
      </c>
      <c r="B278" s="2">
        <v>1114.58</v>
      </c>
      <c r="C278" s="2">
        <v>1114.58</v>
      </c>
      <c r="D278" s="2">
        <v>1896.84</v>
      </c>
      <c r="E278" s="2">
        <v>1896.84</v>
      </c>
      <c r="G278" s="1" t="s">
        <v>549</v>
      </c>
      <c r="H278" s="2">
        <v>835.09</v>
      </c>
      <c r="I278" s="2">
        <v>835.09</v>
      </c>
    </row>
    <row r="279">
      <c r="A279" s="1" t="s">
        <v>550</v>
      </c>
      <c r="B279" s="2">
        <v>1131.5</v>
      </c>
      <c r="C279" s="2">
        <v>1131.5</v>
      </c>
      <c r="D279" s="2">
        <v>1942.2</v>
      </c>
      <c r="E279" s="2">
        <v>1942.2</v>
      </c>
      <c r="G279" s="1" t="s">
        <v>551</v>
      </c>
      <c r="H279" s="2">
        <v>846.01</v>
      </c>
      <c r="I279" s="2">
        <v>846.01</v>
      </c>
    </row>
    <row r="280">
      <c r="A280" s="1" t="s">
        <v>552</v>
      </c>
      <c r="B280" s="2" t="s">
        <v>0</v>
      </c>
      <c r="C280" s="2">
        <v>1131.5</v>
      </c>
      <c r="D280" s="2" t="s">
        <v>0</v>
      </c>
      <c r="E280" s="2">
        <v>1942.2</v>
      </c>
      <c r="G280" s="1" t="s">
        <v>553</v>
      </c>
      <c r="H280" s="2" t="s">
        <v>0</v>
      </c>
      <c r="I280" s="2">
        <v>846.01</v>
      </c>
    </row>
    <row r="281">
      <c r="A281" s="1" t="s">
        <v>554</v>
      </c>
      <c r="B281" s="2" t="s">
        <v>0</v>
      </c>
      <c r="C281" s="2">
        <v>1131.5</v>
      </c>
      <c r="D281" s="2" t="s">
        <v>0</v>
      </c>
      <c r="E281" s="2">
        <v>1942.2</v>
      </c>
      <c r="G281" s="1" t="s">
        <v>555</v>
      </c>
      <c r="H281" s="2" t="s">
        <v>0</v>
      </c>
      <c r="I281" s="2">
        <v>846.01</v>
      </c>
    </row>
    <row r="282">
      <c r="A282" s="1" t="s">
        <v>556</v>
      </c>
      <c r="B282" s="2">
        <v>1135.17</v>
      </c>
      <c r="C282" s="2">
        <v>1135.17</v>
      </c>
      <c r="D282" s="2">
        <v>1952.4</v>
      </c>
      <c r="E282" s="2">
        <v>1952.4</v>
      </c>
      <c r="G282" s="1" t="s">
        <v>557</v>
      </c>
      <c r="H282" s="2">
        <v>880.84</v>
      </c>
      <c r="I282" s="2">
        <v>880.84</v>
      </c>
    </row>
    <row r="283">
      <c r="A283" s="1" t="s">
        <v>558</v>
      </c>
      <c r="B283" s="2">
        <v>1134.48</v>
      </c>
      <c r="C283" s="2">
        <v>1134.48</v>
      </c>
      <c r="D283" s="2">
        <v>1955.5</v>
      </c>
      <c r="E283" s="2">
        <v>1955.5</v>
      </c>
      <c r="G283" s="1" t="s">
        <v>559</v>
      </c>
      <c r="H283" s="2">
        <v>884.84</v>
      </c>
      <c r="I283" s="2">
        <v>884.84</v>
      </c>
    </row>
    <row r="284">
      <c r="A284" s="1" t="s">
        <v>560</v>
      </c>
      <c r="B284" s="2">
        <v>1142.05</v>
      </c>
      <c r="C284" s="2">
        <v>1142.05</v>
      </c>
      <c r="D284" s="2">
        <v>1971.03</v>
      </c>
      <c r="E284" s="2">
        <v>1971.03</v>
      </c>
      <c r="G284" s="1" t="s">
        <v>561</v>
      </c>
      <c r="H284" s="2">
        <v>887.45</v>
      </c>
      <c r="I284" s="2">
        <v>887.45</v>
      </c>
    </row>
    <row r="285">
      <c r="A285" s="1" t="s">
        <v>562</v>
      </c>
      <c r="B285" s="2">
        <v>1130.65</v>
      </c>
      <c r="C285" s="2">
        <v>1130.65</v>
      </c>
      <c r="D285" s="2">
        <v>1948.52</v>
      </c>
      <c r="E285" s="2">
        <v>1948.52</v>
      </c>
      <c r="G285" s="1" t="s">
        <v>563</v>
      </c>
      <c r="H285" s="2">
        <v>885.33</v>
      </c>
      <c r="I285" s="2">
        <v>885.33</v>
      </c>
    </row>
    <row r="286">
      <c r="A286" s="1" t="s">
        <v>564</v>
      </c>
      <c r="B286" s="2">
        <v>1122.14</v>
      </c>
      <c r="C286" s="2">
        <v>1122.14</v>
      </c>
      <c r="D286" s="2">
        <v>1919.97</v>
      </c>
      <c r="E286" s="2">
        <v>1919.97</v>
      </c>
      <c r="G286" s="1" t="s">
        <v>565</v>
      </c>
      <c r="H286" s="2">
        <v>881.38</v>
      </c>
      <c r="I286" s="2">
        <v>881.38</v>
      </c>
    </row>
    <row r="287">
      <c r="A287" s="1" t="s">
        <v>566</v>
      </c>
      <c r="B287" s="2" t="s">
        <v>0</v>
      </c>
      <c r="C287" s="2">
        <v>1122.14</v>
      </c>
      <c r="D287" s="2" t="s">
        <v>0</v>
      </c>
      <c r="E287" s="2">
        <v>1919.97</v>
      </c>
      <c r="G287" s="1" t="s">
        <v>567</v>
      </c>
      <c r="H287" s="2" t="s">
        <v>0</v>
      </c>
      <c r="I287" s="2">
        <v>881.38</v>
      </c>
    </row>
    <row r="288">
      <c r="A288" s="1" t="s">
        <v>568</v>
      </c>
      <c r="B288" s="2" t="s">
        <v>0</v>
      </c>
      <c r="C288" s="2">
        <v>1122.14</v>
      </c>
      <c r="D288" s="2" t="s">
        <v>0</v>
      </c>
      <c r="E288" s="2">
        <v>1919.97</v>
      </c>
      <c r="G288" s="1" t="s">
        <v>569</v>
      </c>
      <c r="H288" s="2" t="s">
        <v>0</v>
      </c>
      <c r="I288" s="2">
        <v>881.38</v>
      </c>
    </row>
    <row r="289">
      <c r="A289" s="1" t="s">
        <v>570</v>
      </c>
      <c r="B289" s="2">
        <v>1124.39</v>
      </c>
      <c r="C289" s="2">
        <v>1124.39</v>
      </c>
      <c r="D289" s="2">
        <v>1928.76</v>
      </c>
      <c r="E289" s="2">
        <v>1928.76</v>
      </c>
      <c r="G289" s="1" t="s">
        <v>571</v>
      </c>
      <c r="H289" s="2">
        <v>881.11</v>
      </c>
      <c r="I289" s="2">
        <v>881.11</v>
      </c>
    </row>
    <row r="290">
      <c r="A290" s="1" t="s">
        <v>572</v>
      </c>
      <c r="B290" s="2">
        <v>1121.84</v>
      </c>
      <c r="C290" s="2">
        <v>1121.84</v>
      </c>
      <c r="D290" s="2">
        <v>1925.17</v>
      </c>
      <c r="E290" s="2">
        <v>1925.17</v>
      </c>
      <c r="G290" s="1" t="s">
        <v>573</v>
      </c>
      <c r="H290" s="2">
        <v>858.09</v>
      </c>
      <c r="I290" s="2">
        <v>858.09</v>
      </c>
    </row>
    <row r="291">
      <c r="A291" s="1" t="s">
        <v>574</v>
      </c>
      <c r="B291" s="2">
        <v>1113.65</v>
      </c>
      <c r="C291" s="2">
        <v>1113.65</v>
      </c>
      <c r="D291" s="2">
        <v>1920.53</v>
      </c>
      <c r="E291" s="2">
        <v>1920.53</v>
      </c>
      <c r="G291" s="1" t="s">
        <v>575</v>
      </c>
      <c r="H291" s="2">
        <v>856.18</v>
      </c>
      <c r="I291" s="2">
        <v>856.18</v>
      </c>
    </row>
    <row r="292">
      <c r="A292" s="1" t="s">
        <v>576</v>
      </c>
      <c r="B292" s="2">
        <v>1103.29</v>
      </c>
      <c r="C292" s="2">
        <v>1103.29</v>
      </c>
      <c r="D292" s="2">
        <v>1903.02</v>
      </c>
      <c r="E292" s="2">
        <v>1903.02</v>
      </c>
      <c r="G292" s="1" t="s">
        <v>577</v>
      </c>
      <c r="H292" s="2">
        <v>846.63</v>
      </c>
      <c r="I292" s="2">
        <v>846.63</v>
      </c>
    </row>
    <row r="293">
      <c r="A293" s="1" t="s">
        <v>578</v>
      </c>
      <c r="B293" s="2">
        <v>1108.2</v>
      </c>
      <c r="C293" s="2">
        <v>1108.2</v>
      </c>
      <c r="D293" s="2">
        <v>1911.5</v>
      </c>
      <c r="E293" s="2">
        <v>1911.5</v>
      </c>
      <c r="G293" s="1" t="s">
        <v>579</v>
      </c>
      <c r="H293" s="2">
        <v>841.94</v>
      </c>
      <c r="I293" s="2">
        <v>841.94</v>
      </c>
    </row>
    <row r="294">
      <c r="A294" s="1" t="s">
        <v>580</v>
      </c>
      <c r="B294" s="2" t="s">
        <v>0</v>
      </c>
      <c r="C294" s="2">
        <v>1108.2</v>
      </c>
      <c r="D294" s="2" t="s">
        <v>0</v>
      </c>
      <c r="E294" s="2">
        <v>1911.5</v>
      </c>
      <c r="G294" s="1" t="s">
        <v>581</v>
      </c>
      <c r="H294" s="2" t="s">
        <v>0</v>
      </c>
      <c r="I294" s="2">
        <v>841.94</v>
      </c>
    </row>
    <row r="295">
      <c r="A295" s="1" t="s">
        <v>582</v>
      </c>
      <c r="B295" s="2" t="s">
        <v>0</v>
      </c>
      <c r="C295" s="2">
        <v>1108.2</v>
      </c>
      <c r="D295" s="2" t="s">
        <v>0</v>
      </c>
      <c r="E295" s="2">
        <v>1911.5</v>
      </c>
      <c r="G295" s="1" t="s">
        <v>583</v>
      </c>
      <c r="H295" s="2" t="s">
        <v>0</v>
      </c>
      <c r="I295" s="2">
        <v>841.94</v>
      </c>
    </row>
    <row r="296">
      <c r="A296" s="1" t="s">
        <v>584</v>
      </c>
      <c r="B296" s="2">
        <v>1114.02</v>
      </c>
      <c r="C296" s="2">
        <v>1114.02</v>
      </c>
      <c r="D296" s="2">
        <v>1936.52</v>
      </c>
      <c r="E296" s="2">
        <v>1936.52</v>
      </c>
      <c r="G296" s="1" t="s">
        <v>585</v>
      </c>
      <c r="H296" s="2">
        <v>848.27</v>
      </c>
      <c r="I296" s="2">
        <v>848.27</v>
      </c>
    </row>
    <row r="297">
      <c r="A297" s="1" t="s">
        <v>586</v>
      </c>
      <c r="B297" s="2">
        <v>1103.23</v>
      </c>
      <c r="C297" s="2">
        <v>1103.23</v>
      </c>
      <c r="D297" s="2">
        <v>1922.9</v>
      </c>
      <c r="E297" s="2">
        <v>1922.9</v>
      </c>
      <c r="G297" s="1" t="s">
        <v>587</v>
      </c>
      <c r="H297" s="2">
        <v>855.77</v>
      </c>
      <c r="I297" s="2">
        <v>855.77</v>
      </c>
    </row>
    <row r="298">
      <c r="A298" s="1" t="s">
        <v>588</v>
      </c>
      <c r="B298" s="2">
        <v>1103.66</v>
      </c>
      <c r="C298" s="2">
        <v>1103.66</v>
      </c>
      <c r="D298" s="2">
        <v>1932.97</v>
      </c>
      <c r="E298" s="2">
        <v>1932.97</v>
      </c>
      <c r="G298" s="1" t="s">
        <v>589</v>
      </c>
      <c r="H298" s="2">
        <v>828.61</v>
      </c>
      <c r="I298" s="2">
        <v>828.61</v>
      </c>
    </row>
    <row r="299">
      <c r="A299" s="1" t="s">
        <v>590</v>
      </c>
      <c r="B299" s="2">
        <v>1106.49</v>
      </c>
      <c r="C299" s="2">
        <v>1106.49</v>
      </c>
      <c r="D299" s="2">
        <v>1953.62</v>
      </c>
      <c r="E299" s="2">
        <v>1953.62</v>
      </c>
      <c r="G299" s="1" t="s">
        <v>591</v>
      </c>
      <c r="H299" s="2">
        <v>820.63</v>
      </c>
      <c r="I299" s="2">
        <v>820.63</v>
      </c>
    </row>
    <row r="300">
      <c r="A300" s="1" t="s">
        <v>592</v>
      </c>
      <c r="B300" s="2">
        <v>1095.74</v>
      </c>
      <c r="C300" s="2">
        <v>1095.74</v>
      </c>
      <c r="D300" s="2">
        <v>1915.14</v>
      </c>
      <c r="E300" s="2">
        <v>1915.14</v>
      </c>
      <c r="G300" s="1" t="s">
        <v>593</v>
      </c>
      <c r="H300" s="2">
        <v>828.17</v>
      </c>
      <c r="I300" s="2">
        <v>828.17</v>
      </c>
    </row>
    <row r="301">
      <c r="A301" s="1" t="s">
        <v>594</v>
      </c>
      <c r="B301" s="2" t="s">
        <v>0</v>
      </c>
      <c r="C301" s="2">
        <v>1095.74</v>
      </c>
      <c r="D301" s="2" t="s">
        <v>0</v>
      </c>
      <c r="E301" s="2">
        <v>1915.14</v>
      </c>
      <c r="G301" s="1" t="s">
        <v>595</v>
      </c>
      <c r="H301" s="2" t="s">
        <v>0</v>
      </c>
      <c r="I301" s="2">
        <v>828.17</v>
      </c>
    </row>
    <row r="302">
      <c r="A302" s="1" t="s">
        <v>596</v>
      </c>
      <c r="B302" s="2" t="s">
        <v>0</v>
      </c>
      <c r="C302" s="2">
        <v>1095.74</v>
      </c>
      <c r="D302" s="2" t="s">
        <v>0</v>
      </c>
      <c r="E302" s="2">
        <v>1915.14</v>
      </c>
      <c r="G302" s="1" t="s">
        <v>597</v>
      </c>
      <c r="H302" s="2" t="s">
        <v>0</v>
      </c>
      <c r="I302" s="2">
        <v>828.17</v>
      </c>
    </row>
    <row r="303">
      <c r="A303" s="1" t="s">
        <v>598</v>
      </c>
      <c r="B303" s="2">
        <v>1094.8</v>
      </c>
      <c r="C303" s="2">
        <v>1094.8</v>
      </c>
      <c r="D303" s="2">
        <v>1914.04</v>
      </c>
      <c r="E303" s="2">
        <v>1914.04</v>
      </c>
      <c r="G303" s="1" t="s">
        <v>599</v>
      </c>
      <c r="H303" s="2">
        <v>808.14</v>
      </c>
      <c r="I303" s="2">
        <v>808.14</v>
      </c>
    </row>
    <row r="304">
      <c r="A304" s="1" t="s">
        <v>600</v>
      </c>
      <c r="B304" s="2">
        <v>1111.09</v>
      </c>
      <c r="C304" s="2">
        <v>1111.09</v>
      </c>
      <c r="D304" s="2">
        <v>1928.79</v>
      </c>
      <c r="E304" s="2">
        <v>1928.79</v>
      </c>
      <c r="G304" s="1" t="s">
        <v>601</v>
      </c>
      <c r="H304" s="2">
        <v>813.7</v>
      </c>
      <c r="I304" s="2">
        <v>813.7</v>
      </c>
    </row>
    <row r="305">
      <c r="A305" s="1" t="s">
        <v>602</v>
      </c>
      <c r="B305" s="2">
        <v>1125.4</v>
      </c>
      <c r="C305" s="2">
        <v>1125.4</v>
      </c>
      <c r="D305" s="2">
        <v>1969.99</v>
      </c>
      <c r="E305" s="2">
        <v>1969.99</v>
      </c>
      <c r="G305" s="1" t="s">
        <v>603</v>
      </c>
      <c r="H305" s="2">
        <v>809.91</v>
      </c>
      <c r="I305" s="2">
        <v>809.91</v>
      </c>
    </row>
    <row r="306">
      <c r="A306" s="1" t="s">
        <v>604</v>
      </c>
      <c r="B306" s="2">
        <v>1127.44</v>
      </c>
      <c r="C306" s="2">
        <v>1127.44</v>
      </c>
      <c r="D306" s="2">
        <v>1975.74</v>
      </c>
      <c r="E306" s="2">
        <v>1975.74</v>
      </c>
      <c r="G306" s="1" t="s">
        <v>605</v>
      </c>
      <c r="H306" s="2">
        <v>833.54</v>
      </c>
      <c r="I306" s="2">
        <v>833.54</v>
      </c>
    </row>
    <row r="307">
      <c r="A307" s="1" t="s">
        <v>606</v>
      </c>
      <c r="B307" s="2">
        <v>1130.2</v>
      </c>
      <c r="C307" s="2">
        <v>1130.2</v>
      </c>
      <c r="D307" s="2">
        <v>1974.99</v>
      </c>
      <c r="E307" s="2">
        <v>1974.99</v>
      </c>
      <c r="G307" s="1" t="s">
        <v>607</v>
      </c>
      <c r="H307" s="2">
        <v>834.84</v>
      </c>
      <c r="I307" s="2">
        <v>834.84</v>
      </c>
    </row>
    <row r="308">
      <c r="A308" s="1" t="s">
        <v>608</v>
      </c>
      <c r="B308" s="2" t="s">
        <v>0</v>
      </c>
      <c r="C308" s="2">
        <v>1130.2</v>
      </c>
      <c r="D308" s="2" t="s">
        <v>0</v>
      </c>
      <c r="E308" s="2">
        <v>1974.99</v>
      </c>
      <c r="G308" s="1" t="s">
        <v>609</v>
      </c>
      <c r="H308" s="2" t="s">
        <v>0</v>
      </c>
      <c r="I308" s="2">
        <v>834.84</v>
      </c>
    </row>
    <row r="309">
      <c r="A309" s="1" t="s">
        <v>610</v>
      </c>
      <c r="B309" s="2" t="s">
        <v>0</v>
      </c>
      <c r="C309" s="2">
        <v>1130.2</v>
      </c>
      <c r="D309" s="2" t="s">
        <v>0</v>
      </c>
      <c r="E309" s="2">
        <v>1974.99</v>
      </c>
      <c r="G309" s="1" t="s">
        <v>611</v>
      </c>
      <c r="H309" s="2" t="s">
        <v>0</v>
      </c>
      <c r="I309" s="2">
        <v>834.84</v>
      </c>
    </row>
    <row r="310">
      <c r="A310" s="1" t="s">
        <v>612</v>
      </c>
      <c r="B310" s="2">
        <v>1130.51</v>
      </c>
      <c r="C310" s="2">
        <v>1130.51</v>
      </c>
      <c r="D310" s="2">
        <v>1979.87</v>
      </c>
      <c r="E310" s="2">
        <v>1979.87</v>
      </c>
      <c r="G310" s="1" t="s">
        <v>613</v>
      </c>
      <c r="H310" s="2">
        <v>835.66</v>
      </c>
      <c r="I310" s="2">
        <v>835.66</v>
      </c>
    </row>
    <row r="311">
      <c r="A311" s="1" t="s">
        <v>614</v>
      </c>
      <c r="B311" s="2">
        <v>1130.56</v>
      </c>
      <c r="C311" s="2">
        <v>1130.56</v>
      </c>
      <c r="D311" s="2">
        <v>1984.79</v>
      </c>
      <c r="E311" s="2">
        <v>1984.79</v>
      </c>
      <c r="G311" s="1" t="s">
        <v>615</v>
      </c>
      <c r="H311" s="2">
        <v>846.67</v>
      </c>
      <c r="I311" s="2">
        <v>846.67</v>
      </c>
    </row>
    <row r="312">
      <c r="A312" s="1" t="s">
        <v>616</v>
      </c>
      <c r="B312" s="2">
        <v>1143.2</v>
      </c>
      <c r="C312" s="2">
        <v>1143.2</v>
      </c>
      <c r="D312" s="2">
        <v>2004.33</v>
      </c>
      <c r="E312" s="2">
        <v>2004.33</v>
      </c>
      <c r="G312" s="1" t="s">
        <v>617</v>
      </c>
      <c r="H312" s="2">
        <v>861.05</v>
      </c>
      <c r="I312" s="2">
        <v>861.05</v>
      </c>
    </row>
    <row r="313">
      <c r="A313" s="1" t="s">
        <v>618</v>
      </c>
      <c r="B313" s="2">
        <v>1161.67</v>
      </c>
      <c r="C313" s="2">
        <v>1161.67</v>
      </c>
      <c r="D313" s="2">
        <v>2023.63</v>
      </c>
      <c r="E313" s="2">
        <v>2023.63</v>
      </c>
      <c r="G313" s="1" t="s">
        <v>619</v>
      </c>
      <c r="H313" s="2">
        <v>851.2</v>
      </c>
      <c r="I313" s="2">
        <v>851.2</v>
      </c>
    </row>
    <row r="314">
      <c r="A314" s="1" t="s">
        <v>620</v>
      </c>
      <c r="B314" s="2">
        <v>1166.17</v>
      </c>
      <c r="C314" s="2">
        <v>1166.17</v>
      </c>
      <c r="D314" s="2">
        <v>2038.94</v>
      </c>
      <c r="E314" s="2">
        <v>2038.94</v>
      </c>
      <c r="G314" s="1" t="s">
        <v>621</v>
      </c>
      <c r="H314" s="2">
        <v>860.68</v>
      </c>
      <c r="I314" s="2">
        <v>860.68</v>
      </c>
    </row>
    <row r="315">
      <c r="A315" s="1" t="s">
        <v>622</v>
      </c>
      <c r="B315" s="2" t="s">
        <v>0</v>
      </c>
      <c r="C315" s="2">
        <v>1166.17</v>
      </c>
      <c r="D315" s="2" t="s">
        <v>0</v>
      </c>
      <c r="E315" s="2">
        <v>2038.94</v>
      </c>
      <c r="G315" s="1" t="s">
        <v>623</v>
      </c>
      <c r="H315" s="2" t="s">
        <v>0</v>
      </c>
      <c r="I315" s="2">
        <v>860.68</v>
      </c>
    </row>
    <row r="316">
      <c r="A316" s="1" t="s">
        <v>624</v>
      </c>
      <c r="B316" s="2" t="s">
        <v>0</v>
      </c>
      <c r="C316" s="2">
        <v>1166.17</v>
      </c>
      <c r="D316" s="2" t="s">
        <v>0</v>
      </c>
      <c r="E316" s="2">
        <v>2038.94</v>
      </c>
      <c r="G316" s="1" t="s">
        <v>625</v>
      </c>
      <c r="H316" s="2" t="s">
        <v>0</v>
      </c>
      <c r="I316" s="2">
        <v>860.68</v>
      </c>
    </row>
    <row r="317">
      <c r="A317" s="1" t="s">
        <v>626</v>
      </c>
      <c r="B317" s="2">
        <v>1164.89</v>
      </c>
      <c r="C317" s="2">
        <v>1164.89</v>
      </c>
      <c r="D317" s="2">
        <v>2039.25</v>
      </c>
      <c r="E317" s="2">
        <v>2039.25</v>
      </c>
      <c r="G317" s="1" t="s">
        <v>627</v>
      </c>
      <c r="H317" s="2">
        <v>846.11</v>
      </c>
      <c r="I317" s="2">
        <v>846.11</v>
      </c>
    </row>
    <row r="318">
      <c r="A318" s="1" t="s">
        <v>628</v>
      </c>
      <c r="B318" s="2">
        <v>1164.08</v>
      </c>
      <c r="C318" s="2">
        <v>1164.08</v>
      </c>
      <c r="D318" s="2">
        <v>2043.33</v>
      </c>
      <c r="E318" s="2">
        <v>2043.33</v>
      </c>
      <c r="G318" s="1" t="s">
        <v>629</v>
      </c>
      <c r="H318" s="2">
        <v>844.15</v>
      </c>
      <c r="I318" s="2">
        <v>844.15</v>
      </c>
    </row>
    <row r="319">
      <c r="A319" s="1" t="s">
        <v>630</v>
      </c>
      <c r="B319" s="2">
        <v>1162.91</v>
      </c>
      <c r="C319" s="2">
        <v>1162.91</v>
      </c>
      <c r="D319" s="2">
        <v>2034.56</v>
      </c>
      <c r="E319" s="2">
        <v>2034.56</v>
      </c>
      <c r="G319" s="1" t="s">
        <v>631</v>
      </c>
      <c r="H319" s="2">
        <v>860.54</v>
      </c>
      <c r="I319" s="2">
        <v>860.54</v>
      </c>
    </row>
    <row r="320">
      <c r="A320" s="1" t="s">
        <v>632</v>
      </c>
      <c r="B320" s="2">
        <v>1173.48</v>
      </c>
      <c r="C320" s="2">
        <v>1173.48</v>
      </c>
      <c r="D320" s="2">
        <v>2061.27</v>
      </c>
      <c r="E320" s="2">
        <v>2061.27</v>
      </c>
      <c r="G320" s="1" t="s">
        <v>633</v>
      </c>
      <c r="H320" s="2">
        <v>861.26</v>
      </c>
      <c r="I320" s="2">
        <v>861.26</v>
      </c>
    </row>
    <row r="321">
      <c r="A321" s="1" t="s">
        <v>634</v>
      </c>
      <c r="B321" s="2">
        <v>1184.17</v>
      </c>
      <c r="C321" s="2">
        <v>1184.17</v>
      </c>
      <c r="D321" s="2">
        <v>2085.34</v>
      </c>
      <c r="E321" s="2">
        <v>2085.34</v>
      </c>
      <c r="G321" s="1" t="s">
        <v>635</v>
      </c>
      <c r="H321" s="2">
        <v>876.67</v>
      </c>
      <c r="I321" s="2">
        <v>876.67</v>
      </c>
    </row>
    <row r="322">
      <c r="A322" s="1" t="s">
        <v>636</v>
      </c>
      <c r="B322" s="2" t="s">
        <v>0</v>
      </c>
      <c r="C322" s="2">
        <v>1184.17</v>
      </c>
      <c r="D322" s="2" t="s">
        <v>0</v>
      </c>
      <c r="E322" s="2">
        <v>2085.34</v>
      </c>
      <c r="G322" s="1" t="s">
        <v>637</v>
      </c>
      <c r="H322" s="2" t="s">
        <v>0</v>
      </c>
      <c r="I322" s="2">
        <v>876.67</v>
      </c>
    </row>
    <row r="323">
      <c r="A323" s="1" t="s">
        <v>638</v>
      </c>
      <c r="B323" s="2" t="s">
        <v>0</v>
      </c>
      <c r="C323" s="2">
        <v>1184.17</v>
      </c>
      <c r="D323" s="2" t="s">
        <v>0</v>
      </c>
      <c r="E323" s="2">
        <v>2085.34</v>
      </c>
      <c r="G323" s="1" t="s">
        <v>639</v>
      </c>
      <c r="H323" s="2" t="s">
        <v>0</v>
      </c>
      <c r="I323" s="2">
        <v>876.67</v>
      </c>
    </row>
    <row r="324">
      <c r="A324" s="1" t="s">
        <v>640</v>
      </c>
      <c r="B324" s="2">
        <v>1183.81</v>
      </c>
      <c r="C324" s="2">
        <v>1183.81</v>
      </c>
      <c r="D324" s="2">
        <v>2094.09</v>
      </c>
      <c r="E324" s="2">
        <v>2094.09</v>
      </c>
      <c r="G324" s="1" t="s">
        <v>641</v>
      </c>
      <c r="H324" s="2">
        <v>882.33</v>
      </c>
      <c r="I324" s="2">
        <v>882.33</v>
      </c>
    </row>
    <row r="325">
      <c r="A325" s="1" t="s">
        <v>642</v>
      </c>
      <c r="B325" s="2">
        <v>1175.43</v>
      </c>
      <c r="C325" s="2">
        <v>1175.43</v>
      </c>
      <c r="D325" s="2">
        <v>2078.62</v>
      </c>
      <c r="E325" s="2">
        <v>2078.62</v>
      </c>
      <c r="G325" s="1" t="s">
        <v>643</v>
      </c>
      <c r="H325" s="2">
        <v>876.61</v>
      </c>
      <c r="I325" s="2">
        <v>876.61</v>
      </c>
    </row>
    <row r="326">
      <c r="A326" s="1" t="s">
        <v>644</v>
      </c>
      <c r="B326" s="2">
        <v>1181.94</v>
      </c>
      <c r="C326" s="2">
        <v>1181.94</v>
      </c>
      <c r="D326" s="2">
        <v>2099.68</v>
      </c>
      <c r="E326" s="2">
        <v>2099.68</v>
      </c>
      <c r="G326" s="1" t="s">
        <v>645</v>
      </c>
      <c r="H326" s="2">
        <v>885.42</v>
      </c>
      <c r="I326" s="2">
        <v>885.42</v>
      </c>
    </row>
    <row r="327">
      <c r="A327" s="1" t="s">
        <v>646</v>
      </c>
      <c r="B327" s="2">
        <v>1183.55</v>
      </c>
      <c r="C327" s="2">
        <v>1183.55</v>
      </c>
      <c r="D327" s="2">
        <v>2104.28</v>
      </c>
      <c r="E327" s="2">
        <v>2104.28</v>
      </c>
      <c r="G327" s="1" t="s">
        <v>647</v>
      </c>
      <c r="H327" s="2">
        <v>875.84</v>
      </c>
      <c r="I327" s="2">
        <v>875.84</v>
      </c>
    </row>
    <row r="328">
      <c r="A328" s="1" t="s">
        <v>648</v>
      </c>
      <c r="B328" s="2">
        <v>1170.34</v>
      </c>
      <c r="C328" s="2">
        <v>1170.34</v>
      </c>
      <c r="D328" s="2">
        <v>2070.63</v>
      </c>
      <c r="E328" s="2">
        <v>2070.63</v>
      </c>
      <c r="G328" s="1" t="s">
        <v>649</v>
      </c>
      <c r="H328" s="2">
        <v>867.03</v>
      </c>
      <c r="I328" s="2">
        <v>867.03</v>
      </c>
    </row>
    <row r="329">
      <c r="A329" s="1" t="s">
        <v>650</v>
      </c>
      <c r="B329" s="2" t="s">
        <v>0</v>
      </c>
      <c r="C329" s="2">
        <v>1170.34</v>
      </c>
      <c r="D329" s="2" t="s">
        <v>0</v>
      </c>
      <c r="E329" s="2">
        <v>2070.63</v>
      </c>
      <c r="G329" s="1" t="s">
        <v>651</v>
      </c>
      <c r="H329" s="2" t="s">
        <v>0</v>
      </c>
      <c r="I329" s="2">
        <v>867.03</v>
      </c>
    </row>
    <row r="330">
      <c r="A330" s="1" t="s">
        <v>652</v>
      </c>
      <c r="B330" s="2" t="s">
        <v>0</v>
      </c>
      <c r="C330" s="2">
        <v>1170.34</v>
      </c>
      <c r="D330" s="2" t="s">
        <v>0</v>
      </c>
      <c r="E330" s="2">
        <v>2070.63</v>
      </c>
      <c r="G330" s="1" t="s">
        <v>653</v>
      </c>
      <c r="H330" s="2" t="s">
        <v>0</v>
      </c>
      <c r="I330" s="2">
        <v>867.03</v>
      </c>
    </row>
    <row r="331">
      <c r="A331" s="1" t="s">
        <v>654</v>
      </c>
      <c r="B331" s="2">
        <v>1177.24</v>
      </c>
      <c r="C331" s="2">
        <v>1177.24</v>
      </c>
      <c r="D331" s="2">
        <v>2085.19</v>
      </c>
      <c r="E331" s="2">
        <v>2085.19</v>
      </c>
      <c r="G331" s="1" t="s">
        <v>655</v>
      </c>
      <c r="H331" s="2">
        <v>849.99</v>
      </c>
      <c r="I331" s="2">
        <v>849.99</v>
      </c>
    </row>
    <row r="332">
      <c r="A332" s="1" t="s">
        <v>656</v>
      </c>
      <c r="B332" s="2">
        <v>1176.94</v>
      </c>
      <c r="C332" s="2">
        <v>1176.94</v>
      </c>
      <c r="D332" s="2">
        <v>2084.28</v>
      </c>
      <c r="E332" s="2">
        <v>2084.28</v>
      </c>
      <c r="G332" s="1" t="s">
        <v>657</v>
      </c>
      <c r="H332" s="2">
        <v>860.4</v>
      </c>
      <c r="I332" s="2">
        <v>860.4</v>
      </c>
    </row>
    <row r="333">
      <c r="A333" s="1" t="s">
        <v>658</v>
      </c>
      <c r="B333" s="2">
        <v>1181.76</v>
      </c>
      <c r="C333" s="2">
        <v>1181.76</v>
      </c>
      <c r="D333" s="2">
        <v>2102.54</v>
      </c>
      <c r="E333" s="2">
        <v>2102.54</v>
      </c>
      <c r="G333" s="1" t="s">
        <v>659</v>
      </c>
      <c r="H333" s="2">
        <v>872.56</v>
      </c>
      <c r="I333" s="2">
        <v>872.56</v>
      </c>
    </row>
    <row r="334">
      <c r="A334" s="1" t="s">
        <v>660</v>
      </c>
      <c r="B334" s="2" t="s">
        <v>0</v>
      </c>
      <c r="C334" s="2">
        <v>1181.76</v>
      </c>
      <c r="D334" s="2" t="s">
        <v>0</v>
      </c>
      <c r="E334" s="2">
        <v>2102.54</v>
      </c>
      <c r="G334" s="1" t="s">
        <v>661</v>
      </c>
      <c r="H334" s="2">
        <v>872.49</v>
      </c>
      <c r="I334" s="2">
        <v>872.49</v>
      </c>
    </row>
    <row r="335">
      <c r="A335" s="1" t="s">
        <v>662</v>
      </c>
      <c r="B335" s="2">
        <v>1182.65</v>
      </c>
      <c r="C335" s="2">
        <v>1182.65</v>
      </c>
      <c r="D335" s="2">
        <v>2101.97</v>
      </c>
      <c r="E335" s="2">
        <v>2101.97</v>
      </c>
      <c r="G335" s="1" t="s">
        <v>663</v>
      </c>
      <c r="H335" s="2">
        <v>858.12</v>
      </c>
      <c r="I335" s="2">
        <v>858.12</v>
      </c>
    </row>
    <row r="336">
      <c r="A336" s="1" t="s">
        <v>664</v>
      </c>
      <c r="B336" s="2" t="s">
        <v>0</v>
      </c>
      <c r="C336" s="2">
        <v>1182.65</v>
      </c>
      <c r="D336" s="2" t="s">
        <v>0</v>
      </c>
      <c r="E336" s="2">
        <v>2101.97</v>
      </c>
      <c r="G336" s="1" t="s">
        <v>665</v>
      </c>
      <c r="H336" s="2" t="s">
        <v>0</v>
      </c>
      <c r="I336" s="2">
        <v>858.12</v>
      </c>
    </row>
    <row r="337">
      <c r="A337" s="1" t="s">
        <v>666</v>
      </c>
      <c r="B337" s="2" t="s">
        <v>0</v>
      </c>
      <c r="C337" s="2">
        <v>1182.65</v>
      </c>
      <c r="D337" s="2" t="s">
        <v>0</v>
      </c>
      <c r="E337" s="2">
        <v>2101.97</v>
      </c>
      <c r="G337" s="1" t="s">
        <v>667</v>
      </c>
      <c r="H337" s="2" t="s">
        <v>0</v>
      </c>
      <c r="I337" s="2">
        <v>858.12</v>
      </c>
    </row>
    <row r="338">
      <c r="A338" s="1" t="s">
        <v>668</v>
      </c>
      <c r="B338" s="2">
        <v>1178.57</v>
      </c>
      <c r="C338" s="2">
        <v>1178.57</v>
      </c>
      <c r="D338" s="2">
        <v>2106.87</v>
      </c>
      <c r="E338" s="2">
        <v>2106.87</v>
      </c>
      <c r="G338" s="1" t="s">
        <v>669</v>
      </c>
      <c r="H338" s="2">
        <v>865.4</v>
      </c>
      <c r="I338" s="2">
        <v>865.4</v>
      </c>
    </row>
    <row r="339">
      <c r="A339" s="1" t="s">
        <v>670</v>
      </c>
      <c r="B339" s="2">
        <v>1173.82</v>
      </c>
      <c r="C339" s="2">
        <v>1173.82</v>
      </c>
      <c r="D339" s="2">
        <v>2096.81</v>
      </c>
      <c r="E339" s="2">
        <v>2096.81</v>
      </c>
      <c r="G339" s="1" t="s">
        <v>671</v>
      </c>
      <c r="H339" s="2">
        <v>878.06</v>
      </c>
      <c r="I339" s="2">
        <v>878.06</v>
      </c>
    </row>
    <row r="340">
      <c r="A340" s="1" t="s">
        <v>672</v>
      </c>
      <c r="B340" s="2">
        <v>1191.37</v>
      </c>
      <c r="C340" s="2">
        <v>1191.37</v>
      </c>
      <c r="D340" s="2">
        <v>2138.23</v>
      </c>
      <c r="E340" s="2">
        <v>2138.23</v>
      </c>
      <c r="G340" s="1" t="s">
        <v>673</v>
      </c>
      <c r="H340" s="2">
        <v>876.8</v>
      </c>
      <c r="I340" s="2">
        <v>876.8</v>
      </c>
    </row>
    <row r="341">
      <c r="A341" s="1" t="s">
        <v>674</v>
      </c>
      <c r="B341" s="2">
        <v>1190.33</v>
      </c>
      <c r="C341" s="2">
        <v>1190.33</v>
      </c>
      <c r="D341" s="2">
        <v>2153.29</v>
      </c>
      <c r="E341" s="2">
        <v>2153.29</v>
      </c>
      <c r="G341" s="1" t="s">
        <v>675</v>
      </c>
      <c r="H341" s="2">
        <v>884.1</v>
      </c>
      <c r="I341" s="2">
        <v>884.1</v>
      </c>
    </row>
    <row r="342">
      <c r="A342" s="1" t="s">
        <v>676</v>
      </c>
      <c r="B342" s="2">
        <v>1191.17</v>
      </c>
      <c r="C342" s="2">
        <v>1191.17</v>
      </c>
      <c r="D342" s="2">
        <v>2145.43</v>
      </c>
      <c r="E342" s="2">
        <v>2145.43</v>
      </c>
      <c r="G342" s="1" t="s">
        <v>677</v>
      </c>
      <c r="H342" s="2">
        <v>882.55</v>
      </c>
      <c r="I342" s="2">
        <v>882.55</v>
      </c>
    </row>
    <row r="343">
      <c r="A343" s="1" t="s">
        <v>678</v>
      </c>
      <c r="B343" s="2" t="s">
        <v>0</v>
      </c>
      <c r="C343" s="2">
        <v>1191.17</v>
      </c>
      <c r="D343" s="2" t="s">
        <v>0</v>
      </c>
      <c r="E343" s="2">
        <v>2145.43</v>
      </c>
      <c r="G343" s="1" t="s">
        <v>679</v>
      </c>
      <c r="H343" s="2" t="s">
        <v>0</v>
      </c>
      <c r="I343" s="2">
        <v>882.55</v>
      </c>
    </row>
    <row r="344">
      <c r="A344" s="1" t="s">
        <v>680</v>
      </c>
      <c r="B344" s="2" t="s">
        <v>0</v>
      </c>
      <c r="C344" s="2">
        <v>1191.17</v>
      </c>
      <c r="D344" s="2" t="s">
        <v>0</v>
      </c>
      <c r="E344" s="2">
        <v>2145.43</v>
      </c>
      <c r="G344" s="1" t="s">
        <v>681</v>
      </c>
      <c r="H344" s="2" t="s">
        <v>0</v>
      </c>
      <c r="I344" s="2">
        <v>882.55</v>
      </c>
    </row>
    <row r="345">
      <c r="A345" s="1" t="s">
        <v>682</v>
      </c>
      <c r="B345" s="2">
        <v>1190.25</v>
      </c>
      <c r="C345" s="2">
        <v>1190.25</v>
      </c>
      <c r="D345" s="2">
        <v>2154.13</v>
      </c>
      <c r="E345" s="2">
        <v>2154.13</v>
      </c>
      <c r="G345" s="1" t="s">
        <v>683</v>
      </c>
      <c r="H345" s="2">
        <v>870.75</v>
      </c>
      <c r="I345" s="2">
        <v>870.75</v>
      </c>
    </row>
    <row r="346">
      <c r="A346" s="1" t="s">
        <v>684</v>
      </c>
      <c r="B346" s="2">
        <v>1177.08</v>
      </c>
      <c r="C346" s="2">
        <v>1177.08</v>
      </c>
      <c r="D346" s="2">
        <v>2118.14</v>
      </c>
      <c r="E346" s="2">
        <v>2118.14</v>
      </c>
      <c r="G346" s="1" t="s">
        <v>685</v>
      </c>
      <c r="H346" s="2">
        <v>861.07</v>
      </c>
      <c r="I346" s="2">
        <v>861.07</v>
      </c>
    </row>
    <row r="347">
      <c r="A347" s="1" t="s">
        <v>686</v>
      </c>
      <c r="B347" s="2">
        <v>1182.81</v>
      </c>
      <c r="C347" s="2">
        <v>1182.81</v>
      </c>
      <c r="D347" s="2">
        <v>2109.55</v>
      </c>
      <c r="E347" s="2">
        <v>2109.55</v>
      </c>
      <c r="G347" s="1" t="s">
        <v>687</v>
      </c>
      <c r="H347" s="2">
        <v>871.74</v>
      </c>
      <c r="I347" s="2">
        <v>871.74</v>
      </c>
    </row>
    <row r="348">
      <c r="A348" s="1" t="s">
        <v>688</v>
      </c>
      <c r="B348" s="2">
        <v>1189.24</v>
      </c>
      <c r="C348" s="2">
        <v>1189.24</v>
      </c>
      <c r="D348" s="2">
        <v>2129.01</v>
      </c>
      <c r="E348" s="2">
        <v>2129.01</v>
      </c>
      <c r="G348" s="1" t="s">
        <v>689</v>
      </c>
      <c r="H348" s="2">
        <v>861.31</v>
      </c>
      <c r="I348" s="2">
        <v>861.31</v>
      </c>
    </row>
    <row r="349">
      <c r="A349" s="1" t="s">
        <v>690</v>
      </c>
      <c r="B349" s="2">
        <v>1188.0</v>
      </c>
      <c r="C349" s="2">
        <v>1188.0</v>
      </c>
      <c r="D349" s="2">
        <v>2128.07</v>
      </c>
      <c r="E349" s="2">
        <v>2128.07</v>
      </c>
      <c r="G349" s="1" t="s">
        <v>691</v>
      </c>
      <c r="H349" s="2">
        <v>844.85</v>
      </c>
      <c r="I349" s="2">
        <v>844.85</v>
      </c>
    </row>
    <row r="350">
      <c r="A350" s="1" t="s">
        <v>692</v>
      </c>
      <c r="B350" s="2" t="s">
        <v>0</v>
      </c>
      <c r="C350" s="2">
        <v>1188.0</v>
      </c>
      <c r="D350" s="2" t="s">
        <v>0</v>
      </c>
      <c r="E350" s="2">
        <v>2128.07</v>
      </c>
      <c r="G350" s="1" t="s">
        <v>693</v>
      </c>
      <c r="H350" s="2" t="s">
        <v>0</v>
      </c>
      <c r="I350" s="2">
        <v>844.85</v>
      </c>
    </row>
    <row r="351">
      <c r="A351" s="1" t="s">
        <v>694</v>
      </c>
      <c r="B351" s="2" t="s">
        <v>0</v>
      </c>
      <c r="C351" s="2">
        <v>1188.0</v>
      </c>
      <c r="D351" s="2" t="s">
        <v>0</v>
      </c>
      <c r="E351" s="2">
        <v>2128.07</v>
      </c>
      <c r="G351" s="1" t="s">
        <v>695</v>
      </c>
      <c r="H351" s="2" t="s">
        <v>0</v>
      </c>
      <c r="I351" s="2">
        <v>844.85</v>
      </c>
    </row>
    <row r="352">
      <c r="A352" s="1" t="s">
        <v>696</v>
      </c>
      <c r="B352" s="2">
        <v>1198.68</v>
      </c>
      <c r="C352" s="2">
        <v>1198.68</v>
      </c>
      <c r="D352" s="2">
        <v>2148.5</v>
      </c>
      <c r="E352" s="2">
        <v>2148.5</v>
      </c>
      <c r="G352" s="1" t="s">
        <v>697</v>
      </c>
      <c r="H352" s="2">
        <v>844.2</v>
      </c>
      <c r="I352" s="2">
        <v>844.2</v>
      </c>
    </row>
    <row r="353">
      <c r="A353" s="1" t="s">
        <v>698</v>
      </c>
      <c r="B353" s="2">
        <v>1203.38</v>
      </c>
      <c r="C353" s="2">
        <v>1203.38</v>
      </c>
      <c r="D353" s="2">
        <v>2159.84</v>
      </c>
      <c r="E353" s="2">
        <v>2159.84</v>
      </c>
      <c r="G353" s="1" t="s">
        <v>699</v>
      </c>
      <c r="H353" s="2">
        <v>849.4</v>
      </c>
      <c r="I353" s="2">
        <v>849.4</v>
      </c>
    </row>
    <row r="354">
      <c r="A354" s="1" t="s">
        <v>700</v>
      </c>
      <c r="B354" s="2">
        <v>1205.72</v>
      </c>
      <c r="C354" s="2">
        <v>1205.72</v>
      </c>
      <c r="D354" s="2">
        <v>2162.55</v>
      </c>
      <c r="E354" s="2">
        <v>2162.55</v>
      </c>
      <c r="G354" s="1" t="s">
        <v>701</v>
      </c>
      <c r="H354" s="2">
        <v>868.84</v>
      </c>
      <c r="I354" s="2">
        <v>868.84</v>
      </c>
    </row>
    <row r="355">
      <c r="A355" s="1" t="s">
        <v>702</v>
      </c>
      <c r="B355" s="2">
        <v>1203.21</v>
      </c>
      <c r="C355" s="2">
        <v>1203.21</v>
      </c>
      <c r="D355" s="2">
        <v>2146.15</v>
      </c>
      <c r="E355" s="2">
        <v>2146.15</v>
      </c>
      <c r="G355" s="1" t="s">
        <v>703</v>
      </c>
      <c r="H355" s="2">
        <v>873.7</v>
      </c>
      <c r="I355" s="2">
        <v>873.7</v>
      </c>
    </row>
    <row r="356">
      <c r="A356" s="1" t="s">
        <v>704</v>
      </c>
      <c r="B356" s="2">
        <v>1194.22</v>
      </c>
      <c r="C356" s="2">
        <v>1194.22</v>
      </c>
      <c r="D356" s="2">
        <v>2135.2</v>
      </c>
      <c r="E356" s="2">
        <v>2135.2</v>
      </c>
      <c r="G356" s="1" t="s">
        <v>705</v>
      </c>
      <c r="H356" s="2">
        <v>875.13</v>
      </c>
      <c r="I356" s="2">
        <v>875.13</v>
      </c>
    </row>
    <row r="357">
      <c r="A357" s="1" t="s">
        <v>706</v>
      </c>
      <c r="B357" s="2" t="s">
        <v>0</v>
      </c>
      <c r="C357" s="2">
        <v>1194.22</v>
      </c>
      <c r="D357" s="2" t="s">
        <v>0</v>
      </c>
      <c r="E357" s="2">
        <v>2135.2</v>
      </c>
      <c r="G357" s="1" t="s">
        <v>707</v>
      </c>
      <c r="H357" s="2" t="s">
        <v>0</v>
      </c>
      <c r="I357" s="2">
        <v>875.13</v>
      </c>
    </row>
    <row r="358">
      <c r="A358" s="1" t="s">
        <v>708</v>
      </c>
      <c r="B358" s="2" t="s">
        <v>0</v>
      </c>
      <c r="C358" s="2">
        <v>1194.22</v>
      </c>
      <c r="D358" s="2" t="s">
        <v>0</v>
      </c>
      <c r="E358" s="2">
        <v>2135.2</v>
      </c>
      <c r="G358" s="1" t="s">
        <v>709</v>
      </c>
      <c r="H358" s="2" t="s">
        <v>0</v>
      </c>
      <c r="I358" s="2">
        <v>875.13</v>
      </c>
    </row>
    <row r="359">
      <c r="A359" s="1" t="s">
        <v>710</v>
      </c>
      <c r="B359" s="2">
        <v>1194.65</v>
      </c>
      <c r="C359" s="2">
        <v>1194.65</v>
      </c>
      <c r="D359" s="2">
        <v>2127.85</v>
      </c>
      <c r="E359" s="2">
        <v>2127.85</v>
      </c>
      <c r="G359" s="1" t="s">
        <v>711</v>
      </c>
      <c r="H359" s="2">
        <v>884.31</v>
      </c>
      <c r="I359" s="2">
        <v>884.31</v>
      </c>
    </row>
    <row r="360">
      <c r="A360" s="1" t="s">
        <v>712</v>
      </c>
      <c r="B360" s="2">
        <v>1205.45</v>
      </c>
      <c r="C360" s="2">
        <v>1205.45</v>
      </c>
      <c r="D360" s="2">
        <v>2150.91</v>
      </c>
      <c r="E360" s="2">
        <v>2150.91</v>
      </c>
      <c r="G360" s="1" t="s">
        <v>713</v>
      </c>
      <c r="H360" s="2">
        <v>882.82</v>
      </c>
      <c r="I360" s="2">
        <v>882.82</v>
      </c>
    </row>
    <row r="361">
      <c r="A361" s="1" t="s">
        <v>714</v>
      </c>
      <c r="B361" s="2">
        <v>1209.57</v>
      </c>
      <c r="C361" s="2">
        <v>1209.57</v>
      </c>
      <c r="D361" s="2">
        <v>2157.03</v>
      </c>
      <c r="E361" s="2">
        <v>2157.03</v>
      </c>
      <c r="G361" s="1" t="s">
        <v>715</v>
      </c>
      <c r="H361" s="2">
        <v>883.38</v>
      </c>
      <c r="I361" s="2">
        <v>883.38</v>
      </c>
    </row>
    <row r="362">
      <c r="A362" s="1" t="s">
        <v>716</v>
      </c>
      <c r="B362" s="2">
        <v>1210.13</v>
      </c>
      <c r="C362" s="2">
        <v>1210.13</v>
      </c>
      <c r="D362" s="2">
        <v>2160.62</v>
      </c>
      <c r="E362" s="2">
        <v>2160.62</v>
      </c>
      <c r="G362" s="1" t="s">
        <v>717</v>
      </c>
      <c r="H362" s="2">
        <v>876.88</v>
      </c>
      <c r="I362" s="2">
        <v>876.88</v>
      </c>
    </row>
    <row r="363">
      <c r="A363" s="1" t="s">
        <v>718</v>
      </c>
      <c r="B363" s="2" t="s">
        <v>0</v>
      </c>
      <c r="C363" s="2">
        <v>1210.13</v>
      </c>
      <c r="D363" s="2" t="s">
        <v>0</v>
      </c>
      <c r="E363" s="2">
        <v>2160.62</v>
      </c>
      <c r="G363" s="1" t="s">
        <v>719</v>
      </c>
      <c r="H363" s="2">
        <v>879.92</v>
      </c>
      <c r="I363" s="2">
        <v>879.92</v>
      </c>
    </row>
    <row r="364">
      <c r="A364" s="1" t="s">
        <v>720</v>
      </c>
      <c r="B364" s="2" t="s">
        <v>0</v>
      </c>
      <c r="C364" s="2">
        <v>1210.13</v>
      </c>
      <c r="D364" s="2" t="s">
        <v>0</v>
      </c>
      <c r="E364" s="2">
        <v>2160.62</v>
      </c>
      <c r="G364" s="1" t="s">
        <v>721</v>
      </c>
      <c r="H364" s="2" t="s">
        <v>0</v>
      </c>
      <c r="I364" s="2">
        <v>879.92</v>
      </c>
    </row>
    <row r="365">
      <c r="A365" s="1" t="s">
        <v>722</v>
      </c>
      <c r="B365" s="2" t="s">
        <v>0</v>
      </c>
      <c r="C365" s="2">
        <v>1210.13</v>
      </c>
      <c r="D365" s="2" t="s">
        <v>0</v>
      </c>
      <c r="E365" s="2">
        <v>2160.62</v>
      </c>
      <c r="G365" s="1" t="s">
        <v>723</v>
      </c>
      <c r="H365" s="2" t="s">
        <v>0</v>
      </c>
      <c r="I365" s="2">
        <v>879.92</v>
      </c>
    </row>
    <row r="366">
      <c r="A366" s="1" t="s">
        <v>724</v>
      </c>
      <c r="B366" s="2">
        <v>1204.92</v>
      </c>
      <c r="C366" s="2">
        <v>1204.92</v>
      </c>
      <c r="D366" s="2">
        <v>2154.22</v>
      </c>
      <c r="E366" s="2">
        <v>2154.22</v>
      </c>
      <c r="G366" s="1" t="s">
        <v>725</v>
      </c>
      <c r="H366" s="2">
        <v>876.98</v>
      </c>
      <c r="I366" s="2">
        <v>876.98</v>
      </c>
    </row>
    <row r="367">
      <c r="A367" s="1" t="s">
        <v>726</v>
      </c>
      <c r="B367" s="2">
        <v>1213.54</v>
      </c>
      <c r="C367" s="2">
        <v>1213.54</v>
      </c>
      <c r="D367" s="2">
        <v>2177.19</v>
      </c>
      <c r="E367" s="2">
        <v>2177.19</v>
      </c>
      <c r="G367" s="1" t="s">
        <v>727</v>
      </c>
      <c r="H367" s="2">
        <v>878.43</v>
      </c>
      <c r="I367" s="2">
        <v>878.43</v>
      </c>
    </row>
    <row r="368">
      <c r="A368" s="1" t="s">
        <v>728</v>
      </c>
      <c r="B368" s="2">
        <v>1213.45</v>
      </c>
      <c r="C368" s="2">
        <v>1213.45</v>
      </c>
      <c r="D368" s="2">
        <v>2177.0</v>
      </c>
      <c r="E368" s="2">
        <v>2177.0</v>
      </c>
      <c r="G368" s="1" t="s">
        <v>729</v>
      </c>
      <c r="H368" s="2">
        <v>884.27</v>
      </c>
      <c r="I368" s="2">
        <v>884.27</v>
      </c>
    </row>
    <row r="369">
      <c r="A369" s="1" t="s">
        <v>730</v>
      </c>
      <c r="B369" s="2">
        <v>1213.55</v>
      </c>
      <c r="C369" s="2">
        <v>1213.55</v>
      </c>
      <c r="D369" s="2">
        <v>2178.34</v>
      </c>
      <c r="E369" s="2">
        <v>2178.34</v>
      </c>
      <c r="G369" s="1" t="s">
        <v>731</v>
      </c>
      <c r="H369" s="2">
        <v>895.92</v>
      </c>
      <c r="I369" s="2">
        <v>895.92</v>
      </c>
    </row>
    <row r="370">
      <c r="A370" s="1" t="s">
        <v>732</v>
      </c>
      <c r="B370" s="2">
        <v>1211.92</v>
      </c>
      <c r="C370" s="2">
        <v>1211.92</v>
      </c>
      <c r="D370" s="2">
        <v>2175.44</v>
      </c>
      <c r="E370" s="2">
        <v>2175.44</v>
      </c>
      <c r="G370" s="1" t="s">
        <v>733</v>
      </c>
      <c r="H370" s="2" t="s">
        <v>0</v>
      </c>
      <c r="I370" s="2">
        <v>895.92</v>
      </c>
    </row>
    <row r="371">
      <c r="A371" s="1" t="s">
        <v>734</v>
      </c>
      <c r="B371" s="2" t="s">
        <v>0</v>
      </c>
      <c r="C371" s="2">
        <v>1211.92</v>
      </c>
      <c r="D371" s="2" t="s">
        <v>0</v>
      </c>
      <c r="E371" s="2">
        <v>2175.44</v>
      </c>
      <c r="G371" s="1" t="s">
        <v>735</v>
      </c>
      <c r="H371" s="2" t="s">
        <v>0</v>
      </c>
      <c r="I371" s="2">
        <v>895.92</v>
      </c>
    </row>
    <row r="372">
      <c r="A372" s="1" t="s">
        <v>736</v>
      </c>
      <c r="B372" s="2" t="s">
        <v>0</v>
      </c>
      <c r="C372" s="2">
        <v>1211.92</v>
      </c>
      <c r="D372" s="2" t="s">
        <v>0</v>
      </c>
      <c r="E372" s="2">
        <v>2175.44</v>
      </c>
      <c r="G372" s="1" t="s">
        <v>737</v>
      </c>
      <c r="H372" s="2" t="s">
        <v>0</v>
      </c>
      <c r="I372" s="2">
        <v>895.92</v>
      </c>
    </row>
    <row r="373">
      <c r="A373" s="1" t="s">
        <v>738</v>
      </c>
      <c r="B373" s="2">
        <v>1202.08</v>
      </c>
      <c r="C373" s="2">
        <v>1202.08</v>
      </c>
      <c r="D373" s="2">
        <v>2152.15</v>
      </c>
      <c r="E373" s="2">
        <v>2152.15</v>
      </c>
      <c r="G373" s="1" t="s">
        <v>739</v>
      </c>
      <c r="H373" s="2">
        <v>893.71</v>
      </c>
      <c r="I373" s="2">
        <v>893.71</v>
      </c>
    </row>
    <row r="374">
      <c r="A374" s="1" t="s">
        <v>740</v>
      </c>
      <c r="B374" s="2">
        <v>1188.05</v>
      </c>
      <c r="C374" s="2">
        <v>1188.05</v>
      </c>
      <c r="D374" s="2">
        <v>2107.86</v>
      </c>
      <c r="E374" s="2">
        <v>2107.86</v>
      </c>
      <c r="G374" s="1" t="s">
        <v>741</v>
      </c>
      <c r="H374" s="2">
        <v>886.9</v>
      </c>
      <c r="I374" s="2">
        <v>886.9</v>
      </c>
    </row>
    <row r="375">
      <c r="A375" s="1" t="s">
        <v>742</v>
      </c>
      <c r="B375" s="2">
        <v>1183.74</v>
      </c>
      <c r="C375" s="2">
        <v>1183.74</v>
      </c>
      <c r="D375" s="2">
        <v>2091.24</v>
      </c>
      <c r="E375" s="2">
        <v>2091.24</v>
      </c>
      <c r="G375" s="1" t="s">
        <v>743</v>
      </c>
      <c r="H375" s="2">
        <v>885.19</v>
      </c>
      <c r="I375" s="2">
        <v>885.19</v>
      </c>
    </row>
    <row r="376">
      <c r="A376" s="1" t="s">
        <v>744</v>
      </c>
      <c r="B376" s="2">
        <v>1187.89</v>
      </c>
      <c r="C376" s="2">
        <v>1187.89</v>
      </c>
      <c r="D376" s="2">
        <v>2090.0</v>
      </c>
      <c r="E376" s="2">
        <v>2090.0</v>
      </c>
      <c r="G376" s="1" t="s">
        <v>745</v>
      </c>
      <c r="H376" s="2">
        <v>871.28</v>
      </c>
      <c r="I376" s="2">
        <v>871.28</v>
      </c>
    </row>
    <row r="377">
      <c r="A377" s="1" t="s">
        <v>746</v>
      </c>
      <c r="B377" s="2">
        <v>1186.19</v>
      </c>
      <c r="C377" s="2">
        <v>1186.19</v>
      </c>
      <c r="D377" s="2">
        <v>2088.61</v>
      </c>
      <c r="E377" s="2">
        <v>2088.61</v>
      </c>
      <c r="G377" s="1" t="s">
        <v>747</v>
      </c>
      <c r="H377" s="2">
        <v>870.84</v>
      </c>
      <c r="I377" s="2">
        <v>870.84</v>
      </c>
    </row>
    <row r="378">
      <c r="A378" s="1" t="s">
        <v>748</v>
      </c>
      <c r="B378" s="2" t="s">
        <v>0</v>
      </c>
      <c r="C378" s="2">
        <v>1186.19</v>
      </c>
      <c r="D378" s="2" t="s">
        <v>0</v>
      </c>
      <c r="E378" s="2">
        <v>2088.61</v>
      </c>
      <c r="G378" s="1" t="s">
        <v>749</v>
      </c>
      <c r="H378" s="2" t="s">
        <v>0</v>
      </c>
      <c r="I378" s="2">
        <v>870.84</v>
      </c>
    </row>
    <row r="379">
      <c r="A379" s="1" t="s">
        <v>750</v>
      </c>
      <c r="B379" s="2" t="s">
        <v>0</v>
      </c>
      <c r="C379" s="2">
        <v>1186.19</v>
      </c>
      <c r="D379" s="2" t="s">
        <v>0</v>
      </c>
      <c r="E379" s="2">
        <v>2088.61</v>
      </c>
      <c r="G379" s="1" t="s">
        <v>751</v>
      </c>
      <c r="H379" s="2" t="s">
        <v>0</v>
      </c>
      <c r="I379" s="2">
        <v>870.84</v>
      </c>
    </row>
    <row r="380">
      <c r="A380" s="1" t="s">
        <v>752</v>
      </c>
      <c r="B380" s="2">
        <v>1190.25</v>
      </c>
      <c r="C380" s="2">
        <v>1190.25</v>
      </c>
      <c r="D380" s="2">
        <v>2097.04</v>
      </c>
      <c r="E380" s="2">
        <v>2097.04</v>
      </c>
      <c r="G380" s="1" t="s">
        <v>753</v>
      </c>
      <c r="H380" s="2">
        <v>874.18</v>
      </c>
      <c r="I380" s="2">
        <v>874.18</v>
      </c>
    </row>
    <row r="381">
      <c r="A381" s="1" t="s">
        <v>754</v>
      </c>
      <c r="B381" s="2">
        <v>1182.99</v>
      </c>
      <c r="C381" s="2">
        <v>1182.99</v>
      </c>
      <c r="D381" s="2">
        <v>2079.62</v>
      </c>
      <c r="E381" s="2">
        <v>2079.62</v>
      </c>
      <c r="G381" s="1" t="s">
        <v>755</v>
      </c>
      <c r="H381" s="2">
        <v>884.29</v>
      </c>
      <c r="I381" s="2">
        <v>884.29</v>
      </c>
    </row>
    <row r="382">
      <c r="A382" s="1" t="s">
        <v>756</v>
      </c>
      <c r="B382" s="2">
        <v>1187.7</v>
      </c>
      <c r="C382" s="2">
        <v>1187.7</v>
      </c>
      <c r="D382" s="2">
        <v>2092.53</v>
      </c>
      <c r="E382" s="2">
        <v>2092.53</v>
      </c>
      <c r="G382" s="1" t="s">
        <v>757</v>
      </c>
      <c r="H382" s="2">
        <v>880.03</v>
      </c>
      <c r="I382" s="2">
        <v>880.03</v>
      </c>
    </row>
    <row r="383">
      <c r="A383" s="1" t="s">
        <v>758</v>
      </c>
      <c r="B383" s="2">
        <v>1177.45</v>
      </c>
      <c r="C383" s="2">
        <v>1177.45</v>
      </c>
      <c r="D383" s="2">
        <v>2070.56</v>
      </c>
      <c r="E383" s="2">
        <v>2070.56</v>
      </c>
      <c r="G383" s="1" t="s">
        <v>759</v>
      </c>
      <c r="H383" s="2">
        <v>885.54</v>
      </c>
      <c r="I383" s="2">
        <v>885.54</v>
      </c>
    </row>
    <row r="384">
      <c r="A384" s="1" t="s">
        <v>760</v>
      </c>
      <c r="B384" s="2">
        <v>1184.51</v>
      </c>
      <c r="C384" s="2">
        <v>1184.51</v>
      </c>
      <c r="D384" s="2">
        <v>2087.91</v>
      </c>
      <c r="E384" s="2">
        <v>2087.91</v>
      </c>
      <c r="G384" s="1" t="s">
        <v>761</v>
      </c>
      <c r="H384" s="2">
        <v>905.1</v>
      </c>
      <c r="I384" s="2">
        <v>905.1</v>
      </c>
    </row>
    <row r="385">
      <c r="A385" s="1" t="s">
        <v>762</v>
      </c>
      <c r="B385" s="2" t="s">
        <v>0</v>
      </c>
      <c r="C385" s="2">
        <v>1184.51</v>
      </c>
      <c r="D385" s="2" t="s">
        <v>0</v>
      </c>
      <c r="E385" s="2">
        <v>2087.91</v>
      </c>
      <c r="G385" s="1" t="s">
        <v>763</v>
      </c>
      <c r="H385" s="2" t="s">
        <v>0</v>
      </c>
      <c r="I385" s="2">
        <v>905.1</v>
      </c>
    </row>
    <row r="386">
      <c r="A386" s="1" t="s">
        <v>764</v>
      </c>
      <c r="B386" s="2" t="s">
        <v>0</v>
      </c>
      <c r="C386" s="2">
        <v>1184.51</v>
      </c>
      <c r="D386" s="2" t="s">
        <v>0</v>
      </c>
      <c r="E386" s="2">
        <v>2087.91</v>
      </c>
      <c r="G386" s="1" t="s">
        <v>765</v>
      </c>
      <c r="H386" s="2" t="s">
        <v>0</v>
      </c>
      <c r="I386" s="2">
        <v>905.1</v>
      </c>
    </row>
    <row r="387">
      <c r="A387" s="1" t="s">
        <v>766</v>
      </c>
      <c r="B387" s="2" t="s">
        <v>0</v>
      </c>
      <c r="C387" s="2">
        <v>1184.51</v>
      </c>
      <c r="D387" s="2" t="s">
        <v>0</v>
      </c>
      <c r="E387" s="2">
        <v>2087.91</v>
      </c>
      <c r="G387" s="1" t="s">
        <v>767</v>
      </c>
      <c r="H387" s="2">
        <v>923.08</v>
      </c>
      <c r="I387" s="2">
        <v>923.08</v>
      </c>
    </row>
    <row r="388">
      <c r="A388" s="1" t="s">
        <v>768</v>
      </c>
      <c r="B388" s="2">
        <v>1195.98</v>
      </c>
      <c r="C388" s="2">
        <v>1195.98</v>
      </c>
      <c r="D388" s="2">
        <v>2106.04</v>
      </c>
      <c r="E388" s="2">
        <v>2106.04</v>
      </c>
      <c r="G388" s="1" t="s">
        <v>769</v>
      </c>
      <c r="H388" s="2">
        <v>920.57</v>
      </c>
      <c r="I388" s="2">
        <v>920.57</v>
      </c>
    </row>
    <row r="389">
      <c r="A389" s="1" t="s">
        <v>770</v>
      </c>
      <c r="B389" s="2">
        <v>1184.63</v>
      </c>
      <c r="C389" s="2">
        <v>1184.63</v>
      </c>
      <c r="D389" s="2">
        <v>2073.59</v>
      </c>
      <c r="E389" s="2">
        <v>2073.59</v>
      </c>
      <c r="G389" s="1" t="s">
        <v>771</v>
      </c>
      <c r="H389" s="2">
        <v>916.27</v>
      </c>
      <c r="I389" s="2">
        <v>916.27</v>
      </c>
    </row>
    <row r="390">
      <c r="A390" s="1" t="s">
        <v>772</v>
      </c>
      <c r="B390" s="2">
        <v>1175.41</v>
      </c>
      <c r="C390" s="2">
        <v>1175.41</v>
      </c>
      <c r="D390" s="2">
        <v>2045.88</v>
      </c>
      <c r="E390" s="2">
        <v>2045.88</v>
      </c>
      <c r="G390" s="1" t="s">
        <v>773</v>
      </c>
      <c r="H390" s="2">
        <v>909.37</v>
      </c>
      <c r="I390" s="2">
        <v>909.37</v>
      </c>
    </row>
    <row r="391">
      <c r="A391" s="1" t="s">
        <v>774</v>
      </c>
      <c r="B391" s="2">
        <v>1167.87</v>
      </c>
      <c r="C391" s="2">
        <v>1167.87</v>
      </c>
      <c r="D391" s="2">
        <v>2034.27</v>
      </c>
      <c r="E391" s="2">
        <v>2034.27</v>
      </c>
      <c r="G391" s="1" t="s">
        <v>775</v>
      </c>
      <c r="H391" s="2">
        <v>919.61</v>
      </c>
      <c r="I391" s="2">
        <v>919.61</v>
      </c>
    </row>
    <row r="392">
      <c r="A392" s="1" t="s">
        <v>776</v>
      </c>
      <c r="B392" s="2" t="s">
        <v>0</v>
      </c>
      <c r="C392" s="2">
        <v>1167.87</v>
      </c>
      <c r="D392" s="2" t="s">
        <v>0</v>
      </c>
      <c r="E392" s="2">
        <v>2034.27</v>
      </c>
      <c r="G392" s="1" t="s">
        <v>777</v>
      </c>
      <c r="H392" s="2" t="s">
        <v>0</v>
      </c>
      <c r="I392" s="2">
        <v>919.61</v>
      </c>
    </row>
    <row r="393">
      <c r="A393" s="1" t="s">
        <v>778</v>
      </c>
      <c r="B393" s="2" t="s">
        <v>0</v>
      </c>
      <c r="C393" s="2">
        <v>1167.87</v>
      </c>
      <c r="D393" s="2" t="s">
        <v>0</v>
      </c>
      <c r="E393" s="2">
        <v>2034.27</v>
      </c>
      <c r="G393" s="1" t="s">
        <v>779</v>
      </c>
      <c r="H393" s="2" t="s">
        <v>0</v>
      </c>
      <c r="I393" s="2">
        <v>919.61</v>
      </c>
    </row>
    <row r="394">
      <c r="A394" s="1" t="s">
        <v>780</v>
      </c>
      <c r="B394" s="2">
        <v>1163.75</v>
      </c>
      <c r="C394" s="2">
        <v>1163.75</v>
      </c>
      <c r="D394" s="2">
        <v>2008.7</v>
      </c>
      <c r="E394" s="2">
        <v>2008.7</v>
      </c>
      <c r="G394" s="1" t="s">
        <v>781</v>
      </c>
      <c r="H394" s="2">
        <v>923.11</v>
      </c>
      <c r="I394" s="2">
        <v>923.11</v>
      </c>
    </row>
    <row r="395">
      <c r="A395" s="1" t="s">
        <v>782</v>
      </c>
      <c r="B395" s="2">
        <v>1168.41</v>
      </c>
      <c r="C395" s="2">
        <v>1168.41</v>
      </c>
      <c r="D395" s="2">
        <v>2019.95</v>
      </c>
      <c r="E395" s="2">
        <v>2019.95</v>
      </c>
      <c r="G395" s="1" t="s">
        <v>783</v>
      </c>
      <c r="H395" s="2">
        <v>915.1</v>
      </c>
      <c r="I395" s="2">
        <v>915.1</v>
      </c>
    </row>
    <row r="396">
      <c r="A396" s="1" t="s">
        <v>784</v>
      </c>
      <c r="B396" s="2">
        <v>1174.07</v>
      </c>
      <c r="C396" s="2">
        <v>1174.07</v>
      </c>
      <c r="D396" s="2">
        <v>2046.09</v>
      </c>
      <c r="E396" s="2">
        <v>2046.09</v>
      </c>
      <c r="G396" s="1" t="s">
        <v>785</v>
      </c>
      <c r="H396" s="2">
        <v>927.0</v>
      </c>
      <c r="I396" s="2">
        <v>927.0</v>
      </c>
    </row>
    <row r="397">
      <c r="A397" s="1" t="s">
        <v>786</v>
      </c>
      <c r="B397" s="2">
        <v>1174.55</v>
      </c>
      <c r="C397" s="2">
        <v>1174.55</v>
      </c>
      <c r="D397" s="2">
        <v>2047.15</v>
      </c>
      <c r="E397" s="2">
        <v>2047.15</v>
      </c>
      <c r="G397" s="1" t="s">
        <v>787</v>
      </c>
      <c r="H397" s="2">
        <v>924.87</v>
      </c>
      <c r="I397" s="2">
        <v>924.87</v>
      </c>
    </row>
    <row r="398">
      <c r="A398" s="1" t="s">
        <v>788</v>
      </c>
      <c r="B398" s="2">
        <v>1171.36</v>
      </c>
      <c r="C398" s="2">
        <v>1171.36</v>
      </c>
      <c r="D398" s="2">
        <v>2035.83</v>
      </c>
      <c r="E398" s="2">
        <v>2035.83</v>
      </c>
      <c r="G398" s="1" t="s">
        <v>789</v>
      </c>
      <c r="H398" s="2">
        <v>921.59</v>
      </c>
      <c r="I398" s="2">
        <v>921.59</v>
      </c>
    </row>
    <row r="399">
      <c r="A399" s="1" t="s">
        <v>790</v>
      </c>
      <c r="B399" s="2" t="s">
        <v>0</v>
      </c>
      <c r="C399" s="2">
        <v>1171.36</v>
      </c>
      <c r="D399" s="2" t="s">
        <v>0</v>
      </c>
      <c r="E399" s="2">
        <v>2035.83</v>
      </c>
      <c r="G399" s="1" t="s">
        <v>791</v>
      </c>
      <c r="H399" s="2" t="s">
        <v>0</v>
      </c>
      <c r="I399" s="2">
        <v>921.59</v>
      </c>
    </row>
    <row r="400">
      <c r="A400" s="1" t="s">
        <v>792</v>
      </c>
      <c r="B400" s="2" t="s">
        <v>0</v>
      </c>
      <c r="C400" s="2">
        <v>1171.36</v>
      </c>
      <c r="D400" s="2" t="s">
        <v>0</v>
      </c>
      <c r="E400" s="2">
        <v>2035.83</v>
      </c>
      <c r="G400" s="1" t="s">
        <v>793</v>
      </c>
      <c r="H400" s="2" t="s">
        <v>0</v>
      </c>
      <c r="I400" s="2">
        <v>921.59</v>
      </c>
    </row>
    <row r="401">
      <c r="A401" s="1" t="s">
        <v>794</v>
      </c>
      <c r="B401" s="2">
        <v>1181.27</v>
      </c>
      <c r="C401" s="2">
        <v>1181.27</v>
      </c>
      <c r="D401" s="2">
        <v>2062.41</v>
      </c>
      <c r="E401" s="2">
        <v>2062.41</v>
      </c>
      <c r="G401" s="1" t="s">
        <v>795</v>
      </c>
      <c r="H401" s="2">
        <v>932.7</v>
      </c>
      <c r="I401" s="2">
        <v>932.7</v>
      </c>
    </row>
    <row r="402">
      <c r="A402" s="1" t="s">
        <v>796</v>
      </c>
      <c r="B402" s="2">
        <v>1189.41</v>
      </c>
      <c r="C402" s="2">
        <v>1189.41</v>
      </c>
      <c r="D402" s="2">
        <v>2068.7</v>
      </c>
      <c r="E402" s="2">
        <v>2068.7</v>
      </c>
      <c r="G402" s="1" t="s">
        <v>797</v>
      </c>
      <c r="H402" s="2">
        <v>923.69</v>
      </c>
      <c r="I402" s="2">
        <v>923.69</v>
      </c>
    </row>
    <row r="403">
      <c r="A403" s="1" t="s">
        <v>798</v>
      </c>
      <c r="B403" s="2">
        <v>1193.19</v>
      </c>
      <c r="C403" s="2">
        <v>1193.19</v>
      </c>
      <c r="D403" s="2">
        <v>2075.06</v>
      </c>
      <c r="E403" s="2">
        <v>2075.06</v>
      </c>
      <c r="G403" s="1" t="s">
        <v>799</v>
      </c>
      <c r="H403" s="2">
        <v>921.44</v>
      </c>
      <c r="I403" s="2">
        <v>921.44</v>
      </c>
    </row>
    <row r="404">
      <c r="A404" s="1" t="s">
        <v>800</v>
      </c>
      <c r="B404" s="2">
        <v>1189.89</v>
      </c>
      <c r="C404" s="2">
        <v>1189.89</v>
      </c>
      <c r="D404" s="2">
        <v>2057.64</v>
      </c>
      <c r="E404" s="2">
        <v>2057.64</v>
      </c>
      <c r="G404" s="1" t="s">
        <v>801</v>
      </c>
      <c r="H404" s="2">
        <v>928.79</v>
      </c>
      <c r="I404" s="2">
        <v>928.79</v>
      </c>
    </row>
    <row r="405">
      <c r="A405" s="1" t="s">
        <v>802</v>
      </c>
      <c r="B405" s="2">
        <v>1203.03</v>
      </c>
      <c r="C405" s="2">
        <v>1203.03</v>
      </c>
      <c r="D405" s="2">
        <v>2086.66</v>
      </c>
      <c r="E405" s="2">
        <v>2086.66</v>
      </c>
      <c r="G405" s="1" t="s">
        <v>803</v>
      </c>
      <c r="H405" s="2">
        <v>933.55</v>
      </c>
      <c r="I405" s="2">
        <v>933.55</v>
      </c>
    </row>
    <row r="406">
      <c r="A406" s="1" t="s">
        <v>804</v>
      </c>
      <c r="B406" s="2" t="s">
        <v>0</v>
      </c>
      <c r="C406" s="2">
        <v>1203.03</v>
      </c>
      <c r="D406" s="2" t="s">
        <v>0</v>
      </c>
      <c r="E406" s="2">
        <v>2086.66</v>
      </c>
      <c r="G406" s="1" t="s">
        <v>805</v>
      </c>
      <c r="H406" s="2" t="s">
        <v>0</v>
      </c>
      <c r="I406" s="2">
        <v>933.55</v>
      </c>
    </row>
    <row r="407">
      <c r="A407" s="1" t="s">
        <v>806</v>
      </c>
      <c r="B407" s="2" t="s">
        <v>0</v>
      </c>
      <c r="C407" s="2">
        <v>1203.03</v>
      </c>
      <c r="D407" s="2" t="s">
        <v>0</v>
      </c>
      <c r="E407" s="2">
        <v>2086.66</v>
      </c>
      <c r="G407" s="1" t="s">
        <v>807</v>
      </c>
      <c r="H407" s="2" t="s">
        <v>0</v>
      </c>
      <c r="I407" s="2">
        <v>933.55</v>
      </c>
    </row>
    <row r="408">
      <c r="A408" s="1" t="s">
        <v>808</v>
      </c>
      <c r="B408" s="2">
        <v>1201.72</v>
      </c>
      <c r="C408" s="2">
        <v>1201.72</v>
      </c>
      <c r="D408" s="2">
        <v>2082.03</v>
      </c>
      <c r="E408" s="2">
        <v>2082.03</v>
      </c>
      <c r="G408" s="1" t="s">
        <v>809</v>
      </c>
      <c r="H408" s="2">
        <v>949.19</v>
      </c>
      <c r="I408" s="2">
        <v>949.19</v>
      </c>
    </row>
    <row r="409">
      <c r="A409" s="1" t="s">
        <v>810</v>
      </c>
      <c r="B409" s="2">
        <v>1202.3</v>
      </c>
      <c r="C409" s="2">
        <v>1202.3</v>
      </c>
      <c r="D409" s="2">
        <v>2086.68</v>
      </c>
      <c r="E409" s="2">
        <v>2086.68</v>
      </c>
      <c r="G409" s="1" t="s">
        <v>811</v>
      </c>
      <c r="H409" s="2" t="s">
        <v>0</v>
      </c>
      <c r="I409" s="2">
        <v>949.19</v>
      </c>
    </row>
    <row r="410">
      <c r="A410" s="1" t="s">
        <v>812</v>
      </c>
      <c r="B410" s="2">
        <v>1191.99</v>
      </c>
      <c r="C410" s="2">
        <v>1191.99</v>
      </c>
      <c r="D410" s="2">
        <v>2052.55</v>
      </c>
      <c r="E410" s="2">
        <v>2052.55</v>
      </c>
      <c r="G410" s="1" t="s">
        <v>813</v>
      </c>
      <c r="H410" s="2" t="s">
        <v>0</v>
      </c>
      <c r="I410" s="2">
        <v>949.19</v>
      </c>
    </row>
    <row r="411">
      <c r="A411" s="1" t="s">
        <v>814</v>
      </c>
      <c r="B411" s="2">
        <v>1197.01</v>
      </c>
      <c r="C411" s="2">
        <v>1197.01</v>
      </c>
      <c r="D411" s="2">
        <v>2053.1</v>
      </c>
      <c r="E411" s="2">
        <v>2053.1</v>
      </c>
      <c r="G411" s="1" t="s">
        <v>815</v>
      </c>
      <c r="H411" s="2" t="s">
        <v>0</v>
      </c>
      <c r="I411" s="2">
        <v>949.19</v>
      </c>
    </row>
    <row r="412">
      <c r="A412" s="1" t="s">
        <v>816</v>
      </c>
      <c r="B412" s="2">
        <v>1205.3</v>
      </c>
      <c r="C412" s="2">
        <v>1205.3</v>
      </c>
      <c r="D412" s="2">
        <v>2076.66</v>
      </c>
      <c r="E412" s="2">
        <v>2076.66</v>
      </c>
      <c r="G412" s="1" t="s">
        <v>817</v>
      </c>
      <c r="H412" s="2">
        <v>947.23</v>
      </c>
      <c r="I412" s="2">
        <v>947.23</v>
      </c>
    </row>
    <row r="413">
      <c r="A413" s="1" t="s">
        <v>818</v>
      </c>
      <c r="B413" s="2" t="s">
        <v>0</v>
      </c>
      <c r="C413" s="2">
        <v>1205.3</v>
      </c>
      <c r="D413" s="2" t="s">
        <v>0</v>
      </c>
      <c r="E413" s="2">
        <v>2076.66</v>
      </c>
      <c r="G413" s="1" t="s">
        <v>819</v>
      </c>
      <c r="H413" s="2" t="s">
        <v>0</v>
      </c>
      <c r="I413" s="2">
        <v>947.23</v>
      </c>
    </row>
    <row r="414">
      <c r="A414" s="1" t="s">
        <v>820</v>
      </c>
      <c r="B414" s="2" t="s">
        <v>0</v>
      </c>
      <c r="C414" s="2">
        <v>1205.3</v>
      </c>
      <c r="D414" s="2" t="s">
        <v>0</v>
      </c>
      <c r="E414" s="2">
        <v>2076.66</v>
      </c>
      <c r="G414" s="1" t="s">
        <v>821</v>
      </c>
      <c r="H414" s="2" t="s">
        <v>0</v>
      </c>
      <c r="I414" s="2">
        <v>947.23</v>
      </c>
    </row>
    <row r="415">
      <c r="A415" s="1" t="s">
        <v>822</v>
      </c>
      <c r="B415" s="2">
        <v>1206.14</v>
      </c>
      <c r="C415" s="2">
        <v>1206.14</v>
      </c>
      <c r="D415" s="2">
        <v>2082.91</v>
      </c>
      <c r="E415" s="2">
        <v>2082.91</v>
      </c>
      <c r="G415" s="1" t="s">
        <v>823</v>
      </c>
      <c r="H415" s="2">
        <v>964.79</v>
      </c>
      <c r="I415" s="2">
        <v>964.79</v>
      </c>
    </row>
    <row r="416">
      <c r="A416" s="1" t="s">
        <v>824</v>
      </c>
      <c r="B416" s="2">
        <v>1210.12</v>
      </c>
      <c r="C416" s="2">
        <v>1210.12</v>
      </c>
      <c r="D416" s="2">
        <v>2089.21</v>
      </c>
      <c r="E416" s="2">
        <v>2089.21</v>
      </c>
      <c r="G416" s="1" t="s">
        <v>825</v>
      </c>
      <c r="H416" s="2">
        <v>968.88</v>
      </c>
      <c r="I416" s="2">
        <v>968.88</v>
      </c>
    </row>
    <row r="417">
      <c r="A417" s="1" t="s">
        <v>826</v>
      </c>
      <c r="B417" s="2">
        <v>1210.34</v>
      </c>
      <c r="C417" s="2">
        <v>1210.34</v>
      </c>
      <c r="D417" s="2">
        <v>2087.43</v>
      </c>
      <c r="E417" s="2">
        <v>2087.43</v>
      </c>
      <c r="G417" s="1" t="s">
        <v>827</v>
      </c>
      <c r="H417" s="2">
        <v>971.56</v>
      </c>
      <c r="I417" s="2">
        <v>971.56</v>
      </c>
    </row>
    <row r="418">
      <c r="A418" s="1" t="s">
        <v>828</v>
      </c>
      <c r="B418" s="2">
        <v>1200.75</v>
      </c>
      <c r="C418" s="2">
        <v>1200.75</v>
      </c>
      <c r="D418" s="2">
        <v>2061.34</v>
      </c>
      <c r="E418" s="2">
        <v>2061.34</v>
      </c>
      <c r="G418" s="1" t="s">
        <v>829</v>
      </c>
      <c r="H418" s="2">
        <v>972.56</v>
      </c>
      <c r="I418" s="2">
        <v>972.56</v>
      </c>
    </row>
    <row r="419">
      <c r="A419" s="1" t="s">
        <v>830</v>
      </c>
      <c r="B419" s="2">
        <v>1201.59</v>
      </c>
      <c r="C419" s="2">
        <v>1201.59</v>
      </c>
      <c r="D419" s="2">
        <v>2058.62</v>
      </c>
      <c r="E419" s="2">
        <v>2058.62</v>
      </c>
      <c r="G419" s="1" t="s">
        <v>831</v>
      </c>
      <c r="H419" s="2">
        <v>984.1</v>
      </c>
      <c r="I419" s="2">
        <v>984.1</v>
      </c>
    </row>
    <row r="420">
      <c r="A420" s="1" t="s">
        <v>832</v>
      </c>
      <c r="B420" s="2" t="s">
        <v>0</v>
      </c>
      <c r="C420" s="2">
        <v>1201.59</v>
      </c>
      <c r="D420" s="2" t="s">
        <v>0</v>
      </c>
      <c r="E420" s="2">
        <v>2058.62</v>
      </c>
      <c r="G420" s="1" t="s">
        <v>833</v>
      </c>
      <c r="H420" s="2" t="s">
        <v>0</v>
      </c>
      <c r="I420" s="2">
        <v>984.1</v>
      </c>
    </row>
    <row r="421">
      <c r="A421" s="1" t="s">
        <v>834</v>
      </c>
      <c r="B421" s="2" t="s">
        <v>0</v>
      </c>
      <c r="C421" s="2">
        <v>1201.59</v>
      </c>
      <c r="D421" s="2" t="s">
        <v>0</v>
      </c>
      <c r="E421" s="2">
        <v>2058.62</v>
      </c>
      <c r="G421" s="1" t="s">
        <v>835</v>
      </c>
      <c r="H421" s="2" t="s">
        <v>0</v>
      </c>
      <c r="I421" s="2">
        <v>984.1</v>
      </c>
    </row>
    <row r="422">
      <c r="A422" s="1" t="s">
        <v>836</v>
      </c>
      <c r="B422" s="2" t="s">
        <v>0</v>
      </c>
      <c r="C422" s="2">
        <v>1201.59</v>
      </c>
      <c r="D422" s="2" t="s">
        <v>0</v>
      </c>
      <c r="E422" s="2">
        <v>2058.62</v>
      </c>
      <c r="G422" s="1" t="s">
        <v>837</v>
      </c>
      <c r="H422" s="2">
        <v>988.71</v>
      </c>
      <c r="I422" s="2">
        <v>988.71</v>
      </c>
    </row>
    <row r="423">
      <c r="A423" s="1" t="s">
        <v>838</v>
      </c>
      <c r="B423" s="2">
        <v>1184.16</v>
      </c>
      <c r="C423" s="2">
        <v>1184.16</v>
      </c>
      <c r="D423" s="2">
        <v>2030.32</v>
      </c>
      <c r="E423" s="2">
        <v>2030.32</v>
      </c>
      <c r="G423" s="1" t="s">
        <v>839</v>
      </c>
      <c r="H423" s="2">
        <v>977.8</v>
      </c>
      <c r="I423" s="2">
        <v>977.8</v>
      </c>
    </row>
    <row r="424">
      <c r="A424" s="1" t="s">
        <v>840</v>
      </c>
      <c r="B424" s="2">
        <v>1190.8</v>
      </c>
      <c r="C424" s="2">
        <v>1190.8</v>
      </c>
      <c r="D424" s="2">
        <v>2031.25</v>
      </c>
      <c r="E424" s="2">
        <v>2031.25</v>
      </c>
      <c r="G424" s="1" t="s">
        <v>841</v>
      </c>
      <c r="H424" s="2">
        <v>968.43</v>
      </c>
      <c r="I424" s="2">
        <v>968.43</v>
      </c>
    </row>
    <row r="425">
      <c r="A425" s="1" t="s">
        <v>842</v>
      </c>
      <c r="B425" s="2">
        <v>1200.2</v>
      </c>
      <c r="C425" s="2">
        <v>1200.2</v>
      </c>
      <c r="D425" s="2">
        <v>2051.7</v>
      </c>
      <c r="E425" s="2">
        <v>2051.7</v>
      </c>
      <c r="G425" s="1" t="s">
        <v>843</v>
      </c>
      <c r="H425" s="2">
        <v>987.1</v>
      </c>
      <c r="I425" s="2">
        <v>987.1</v>
      </c>
    </row>
    <row r="426">
      <c r="A426" s="1" t="s">
        <v>844</v>
      </c>
      <c r="B426" s="2">
        <v>1211.37</v>
      </c>
      <c r="C426" s="2">
        <v>1211.37</v>
      </c>
      <c r="D426" s="2">
        <v>2065.4</v>
      </c>
      <c r="E426" s="2">
        <v>2065.4</v>
      </c>
      <c r="G426" s="1" t="s">
        <v>845</v>
      </c>
      <c r="H426" s="2">
        <v>996.95</v>
      </c>
      <c r="I426" s="2">
        <v>996.95</v>
      </c>
    </row>
    <row r="427">
      <c r="A427" s="1" t="s">
        <v>846</v>
      </c>
      <c r="B427" s="2" t="s">
        <v>0</v>
      </c>
      <c r="C427" s="2">
        <v>1211.37</v>
      </c>
      <c r="D427" s="2" t="s">
        <v>0</v>
      </c>
      <c r="E427" s="2">
        <v>2065.4</v>
      </c>
      <c r="G427" s="1" t="s">
        <v>847</v>
      </c>
      <c r="H427" s="2" t="s">
        <v>0</v>
      </c>
      <c r="I427" s="2">
        <v>996.95</v>
      </c>
    </row>
    <row r="428">
      <c r="A428" s="1" t="s">
        <v>848</v>
      </c>
      <c r="B428" s="2" t="s">
        <v>0</v>
      </c>
      <c r="C428" s="2">
        <v>1211.37</v>
      </c>
      <c r="D428" s="2" t="s">
        <v>0</v>
      </c>
      <c r="E428" s="2">
        <v>2065.4</v>
      </c>
      <c r="G428" s="1" t="s">
        <v>849</v>
      </c>
      <c r="H428" s="2" t="s">
        <v>0</v>
      </c>
      <c r="I428" s="2">
        <v>996.95</v>
      </c>
    </row>
    <row r="429">
      <c r="A429" s="1" t="s">
        <v>850</v>
      </c>
      <c r="B429" s="2">
        <v>1203.6</v>
      </c>
      <c r="C429" s="2">
        <v>1203.6</v>
      </c>
      <c r="D429" s="2">
        <v>2051.72</v>
      </c>
      <c r="E429" s="2">
        <v>2051.72</v>
      </c>
      <c r="G429" s="1" t="s">
        <v>851</v>
      </c>
      <c r="H429" s="2">
        <v>1011.36</v>
      </c>
      <c r="I429" s="2">
        <v>1011.36</v>
      </c>
    </row>
    <row r="430">
      <c r="A430" s="1" t="s">
        <v>852</v>
      </c>
      <c r="B430" s="2">
        <v>1210.41</v>
      </c>
      <c r="C430" s="2">
        <v>1210.41</v>
      </c>
      <c r="D430" s="2">
        <v>2071.25</v>
      </c>
      <c r="E430" s="2">
        <v>2071.25</v>
      </c>
      <c r="G430" s="1" t="s">
        <v>853</v>
      </c>
      <c r="H430" s="2" t="s">
        <v>0</v>
      </c>
      <c r="I430" s="2">
        <v>1011.36</v>
      </c>
    </row>
    <row r="431">
      <c r="A431" s="1" t="s">
        <v>854</v>
      </c>
      <c r="B431" s="2">
        <v>1210.08</v>
      </c>
      <c r="C431" s="2">
        <v>1210.08</v>
      </c>
      <c r="D431" s="2">
        <v>2067.5</v>
      </c>
      <c r="E431" s="2">
        <v>2067.5</v>
      </c>
      <c r="G431" s="1" t="s">
        <v>855</v>
      </c>
      <c r="H431" s="2">
        <v>1007.48</v>
      </c>
      <c r="I431" s="2">
        <v>1007.48</v>
      </c>
    </row>
    <row r="432">
      <c r="A432" s="1" t="s">
        <v>856</v>
      </c>
      <c r="B432" s="2">
        <v>1210.47</v>
      </c>
      <c r="C432" s="2">
        <v>1210.47</v>
      </c>
      <c r="D432" s="2">
        <v>2058.4</v>
      </c>
      <c r="E432" s="2">
        <v>2058.4</v>
      </c>
      <c r="G432" s="1" t="s">
        <v>857</v>
      </c>
      <c r="H432" s="2">
        <v>1010.92</v>
      </c>
      <c r="I432" s="2">
        <v>1010.92</v>
      </c>
    </row>
    <row r="433">
      <c r="A433" s="1" t="s">
        <v>858</v>
      </c>
      <c r="B433" s="2">
        <v>1222.12</v>
      </c>
      <c r="C433" s="2">
        <v>1222.12</v>
      </c>
      <c r="D433" s="2">
        <v>2070.61</v>
      </c>
      <c r="E433" s="2">
        <v>2070.61</v>
      </c>
      <c r="G433" s="1" t="s">
        <v>859</v>
      </c>
      <c r="H433" s="2">
        <v>1012.96</v>
      </c>
      <c r="I433" s="2">
        <v>1012.96</v>
      </c>
    </row>
    <row r="434">
      <c r="A434" s="1" t="s">
        <v>860</v>
      </c>
      <c r="B434" s="2" t="s">
        <v>0</v>
      </c>
      <c r="C434" s="2">
        <v>1222.12</v>
      </c>
      <c r="D434" s="2" t="s">
        <v>0</v>
      </c>
      <c r="E434" s="2">
        <v>2070.61</v>
      </c>
      <c r="G434" s="1" t="s">
        <v>861</v>
      </c>
      <c r="H434" s="2" t="s">
        <v>0</v>
      </c>
      <c r="I434" s="2">
        <v>1012.96</v>
      </c>
    </row>
    <row r="435">
      <c r="A435" s="1" t="s">
        <v>862</v>
      </c>
      <c r="B435" s="2" t="s">
        <v>0</v>
      </c>
      <c r="C435" s="2">
        <v>1222.12</v>
      </c>
      <c r="D435" s="2" t="s">
        <v>0</v>
      </c>
      <c r="E435" s="2">
        <v>2070.61</v>
      </c>
      <c r="G435" s="1" t="s">
        <v>863</v>
      </c>
      <c r="H435" s="2" t="s">
        <v>0</v>
      </c>
      <c r="I435" s="2">
        <v>1012.96</v>
      </c>
    </row>
    <row r="436">
      <c r="A436" s="1" t="s">
        <v>864</v>
      </c>
      <c r="B436" s="2">
        <v>1225.31</v>
      </c>
      <c r="C436" s="2">
        <v>1225.31</v>
      </c>
      <c r="D436" s="2">
        <v>2090.21</v>
      </c>
      <c r="E436" s="2">
        <v>2090.21</v>
      </c>
      <c r="G436" s="1" t="s">
        <v>865</v>
      </c>
      <c r="H436" s="2">
        <v>1007.5</v>
      </c>
      <c r="I436" s="2">
        <v>1007.5</v>
      </c>
    </row>
    <row r="437">
      <c r="A437" s="1" t="s">
        <v>866</v>
      </c>
      <c r="B437" s="2">
        <v>1219.43</v>
      </c>
      <c r="C437" s="2">
        <v>1219.43</v>
      </c>
      <c r="D437" s="2">
        <v>2073.55</v>
      </c>
      <c r="E437" s="2">
        <v>2073.55</v>
      </c>
      <c r="G437" s="1" t="s">
        <v>867</v>
      </c>
      <c r="H437" s="2">
        <v>1000.28</v>
      </c>
      <c r="I437" s="2">
        <v>1000.28</v>
      </c>
    </row>
    <row r="438">
      <c r="A438" s="1" t="s">
        <v>868</v>
      </c>
      <c r="B438" s="2">
        <v>1207.01</v>
      </c>
      <c r="C438" s="2">
        <v>1207.01</v>
      </c>
      <c r="D438" s="2">
        <v>2061.29</v>
      </c>
      <c r="E438" s="2">
        <v>2061.29</v>
      </c>
      <c r="G438" s="1" t="s">
        <v>869</v>
      </c>
      <c r="H438" s="2">
        <v>1008.79</v>
      </c>
      <c r="I438" s="2">
        <v>1008.79</v>
      </c>
    </row>
    <row r="439">
      <c r="A439" s="1" t="s">
        <v>870</v>
      </c>
      <c r="B439" s="2">
        <v>1209.25</v>
      </c>
      <c r="C439" s="2">
        <v>1209.25</v>
      </c>
      <c r="D439" s="2">
        <v>2059.72</v>
      </c>
      <c r="E439" s="2">
        <v>2059.72</v>
      </c>
      <c r="G439" s="1" t="s">
        <v>871</v>
      </c>
      <c r="H439" s="2">
        <v>998.66</v>
      </c>
      <c r="I439" s="2">
        <v>998.66</v>
      </c>
    </row>
    <row r="440">
      <c r="A440" s="1" t="s">
        <v>872</v>
      </c>
      <c r="B440" s="2">
        <v>1200.08</v>
      </c>
      <c r="C440" s="2">
        <v>1200.08</v>
      </c>
      <c r="D440" s="2">
        <v>2041.6</v>
      </c>
      <c r="E440" s="2">
        <v>2041.6</v>
      </c>
      <c r="G440" s="1" t="s">
        <v>873</v>
      </c>
      <c r="H440" s="2">
        <v>1022.79</v>
      </c>
      <c r="I440" s="2">
        <v>1022.79</v>
      </c>
    </row>
    <row r="441">
      <c r="A441" s="1" t="s">
        <v>874</v>
      </c>
      <c r="B441" s="2" t="s">
        <v>0</v>
      </c>
      <c r="C441" s="2">
        <v>1200.08</v>
      </c>
      <c r="D441" s="2" t="s">
        <v>0</v>
      </c>
      <c r="E441" s="2">
        <v>2041.6</v>
      </c>
      <c r="G441" s="1" t="s">
        <v>875</v>
      </c>
      <c r="H441" s="2" t="s">
        <v>0</v>
      </c>
      <c r="I441" s="2">
        <v>1022.79</v>
      </c>
    </row>
    <row r="442">
      <c r="A442" s="1" t="s">
        <v>876</v>
      </c>
      <c r="B442" s="2" t="s">
        <v>0</v>
      </c>
      <c r="C442" s="2">
        <v>1200.08</v>
      </c>
      <c r="D442" s="2" t="s">
        <v>0</v>
      </c>
      <c r="E442" s="2">
        <v>2041.6</v>
      </c>
      <c r="G442" s="1" t="s">
        <v>877</v>
      </c>
      <c r="H442" s="2" t="s">
        <v>0</v>
      </c>
      <c r="I442" s="2">
        <v>1022.79</v>
      </c>
    </row>
    <row r="443">
      <c r="A443" s="1" t="s">
        <v>878</v>
      </c>
      <c r="B443" s="2">
        <v>1206.83</v>
      </c>
      <c r="C443" s="2">
        <v>1206.83</v>
      </c>
      <c r="D443" s="2">
        <v>2051.04</v>
      </c>
      <c r="E443" s="2">
        <v>2051.04</v>
      </c>
      <c r="G443" s="1" t="s">
        <v>879</v>
      </c>
      <c r="H443" s="2">
        <v>1019.69</v>
      </c>
      <c r="I443" s="2">
        <v>1019.69</v>
      </c>
    </row>
    <row r="444">
      <c r="A444" s="1" t="s">
        <v>880</v>
      </c>
      <c r="B444" s="2">
        <v>1197.75</v>
      </c>
      <c r="C444" s="2">
        <v>1197.75</v>
      </c>
      <c r="D444" s="2">
        <v>2034.98</v>
      </c>
      <c r="E444" s="2">
        <v>2034.98</v>
      </c>
      <c r="G444" s="1" t="s">
        <v>881</v>
      </c>
      <c r="H444" s="2">
        <v>993.13</v>
      </c>
      <c r="I444" s="2">
        <v>993.13</v>
      </c>
    </row>
    <row r="445">
      <c r="A445" s="1" t="s">
        <v>882</v>
      </c>
      <c r="B445" s="2">
        <v>1188.07</v>
      </c>
      <c r="C445" s="2">
        <v>1188.07</v>
      </c>
      <c r="D445" s="2">
        <v>2015.75</v>
      </c>
      <c r="E445" s="2">
        <v>2015.75</v>
      </c>
      <c r="G445" s="1" t="s">
        <v>883</v>
      </c>
      <c r="H445" s="2">
        <v>993.13</v>
      </c>
      <c r="I445" s="2">
        <v>993.13</v>
      </c>
    </row>
    <row r="446">
      <c r="A446" s="1" t="s">
        <v>884</v>
      </c>
      <c r="B446" s="2">
        <v>1190.21</v>
      </c>
      <c r="C446" s="2">
        <v>1190.21</v>
      </c>
      <c r="D446" s="2">
        <v>2016.42</v>
      </c>
      <c r="E446" s="2">
        <v>2016.42</v>
      </c>
      <c r="G446" s="1" t="s">
        <v>885</v>
      </c>
      <c r="H446" s="2">
        <v>980.05</v>
      </c>
      <c r="I446" s="2">
        <v>980.05</v>
      </c>
    </row>
    <row r="447">
      <c r="A447" s="1" t="s">
        <v>886</v>
      </c>
      <c r="B447" s="2">
        <v>1189.65</v>
      </c>
      <c r="C447" s="2">
        <v>1189.65</v>
      </c>
      <c r="D447" s="2">
        <v>2007.79</v>
      </c>
      <c r="E447" s="2">
        <v>2007.79</v>
      </c>
      <c r="G447" s="1" t="s">
        <v>887</v>
      </c>
      <c r="H447" s="2">
        <v>979.72</v>
      </c>
      <c r="I447" s="2">
        <v>979.72</v>
      </c>
    </row>
    <row r="448">
      <c r="A448" s="1" t="s">
        <v>888</v>
      </c>
      <c r="B448" s="2" t="s">
        <v>0</v>
      </c>
      <c r="C448" s="2">
        <v>1189.65</v>
      </c>
      <c r="D448" s="2" t="s">
        <v>0</v>
      </c>
      <c r="E448" s="2">
        <v>2007.79</v>
      </c>
      <c r="G448" s="1" t="s">
        <v>889</v>
      </c>
      <c r="H448" s="2" t="s">
        <v>0</v>
      </c>
      <c r="I448" s="2">
        <v>979.72</v>
      </c>
    </row>
    <row r="449">
      <c r="A449" s="1" t="s">
        <v>890</v>
      </c>
      <c r="B449" s="2" t="s">
        <v>0</v>
      </c>
      <c r="C449" s="2">
        <v>1189.65</v>
      </c>
      <c r="D449" s="2" t="s">
        <v>0</v>
      </c>
      <c r="E449" s="2">
        <v>2007.79</v>
      </c>
      <c r="G449" s="1" t="s">
        <v>891</v>
      </c>
      <c r="H449" s="2" t="s">
        <v>0</v>
      </c>
      <c r="I449" s="2">
        <v>979.72</v>
      </c>
    </row>
    <row r="450">
      <c r="A450" s="1" t="s">
        <v>892</v>
      </c>
      <c r="B450" s="2">
        <v>1183.78</v>
      </c>
      <c r="C450" s="2">
        <v>1183.78</v>
      </c>
      <c r="D450" s="2">
        <v>2007.51</v>
      </c>
      <c r="E450" s="2">
        <v>2007.51</v>
      </c>
      <c r="G450" s="1" t="s">
        <v>893</v>
      </c>
      <c r="H450" s="2">
        <v>979.27</v>
      </c>
      <c r="I450" s="2">
        <v>979.27</v>
      </c>
    </row>
    <row r="451">
      <c r="A451" s="1" t="s">
        <v>894</v>
      </c>
      <c r="B451" s="2">
        <v>1171.71</v>
      </c>
      <c r="C451" s="2">
        <v>1171.71</v>
      </c>
      <c r="D451" s="2">
        <v>1989.34</v>
      </c>
      <c r="E451" s="2">
        <v>1989.34</v>
      </c>
      <c r="G451" s="1" t="s">
        <v>895</v>
      </c>
      <c r="H451" s="2">
        <v>980.41</v>
      </c>
      <c r="I451" s="2">
        <v>980.41</v>
      </c>
    </row>
    <row r="452">
      <c r="A452" s="1" t="s">
        <v>896</v>
      </c>
      <c r="B452" s="2">
        <v>1172.53</v>
      </c>
      <c r="C452" s="2">
        <v>1172.53</v>
      </c>
      <c r="D452" s="2">
        <v>1990.22</v>
      </c>
      <c r="E452" s="2">
        <v>1990.22</v>
      </c>
      <c r="G452" s="1" t="s">
        <v>897</v>
      </c>
      <c r="H452" s="2">
        <v>966.81</v>
      </c>
      <c r="I452" s="2">
        <v>966.81</v>
      </c>
    </row>
    <row r="453">
      <c r="A453" s="1" t="s">
        <v>898</v>
      </c>
      <c r="B453" s="2">
        <v>1171.42</v>
      </c>
      <c r="C453" s="2">
        <v>1171.42</v>
      </c>
      <c r="D453" s="2">
        <v>1991.06</v>
      </c>
      <c r="E453" s="2">
        <v>1991.06</v>
      </c>
      <c r="G453" s="1" t="s">
        <v>899</v>
      </c>
      <c r="H453" s="2">
        <v>956.33</v>
      </c>
      <c r="I453" s="2">
        <v>956.33</v>
      </c>
    </row>
    <row r="454">
      <c r="A454" s="1" t="s">
        <v>900</v>
      </c>
      <c r="B454" s="2" t="s">
        <v>0</v>
      </c>
      <c r="C454" s="2">
        <v>1171.42</v>
      </c>
      <c r="D454" s="2">
        <v>1991.06</v>
      </c>
      <c r="E454" s="2">
        <v>1991.06</v>
      </c>
      <c r="G454" s="1" t="s">
        <v>901</v>
      </c>
      <c r="H454" s="2">
        <v>965.3</v>
      </c>
      <c r="I454" s="2">
        <v>965.3</v>
      </c>
    </row>
    <row r="455">
      <c r="A455" s="1" t="s">
        <v>902</v>
      </c>
      <c r="B455" s="2" t="s">
        <v>0</v>
      </c>
      <c r="C455" s="2">
        <v>1171.42</v>
      </c>
      <c r="D455" s="2" t="s">
        <v>0</v>
      </c>
      <c r="E455" s="2">
        <v>1991.06</v>
      </c>
      <c r="G455" s="1" t="s">
        <v>903</v>
      </c>
      <c r="H455" s="2" t="s">
        <v>0</v>
      </c>
      <c r="I455" s="2">
        <v>965.3</v>
      </c>
    </row>
    <row r="456">
      <c r="A456" s="1" t="s">
        <v>904</v>
      </c>
      <c r="B456" s="2" t="s">
        <v>0</v>
      </c>
      <c r="C456" s="2">
        <v>1171.42</v>
      </c>
      <c r="D456" s="2" t="s">
        <v>0</v>
      </c>
      <c r="E456" s="2">
        <v>1991.06</v>
      </c>
      <c r="G456" s="1" t="s">
        <v>905</v>
      </c>
      <c r="H456" s="2" t="s">
        <v>0</v>
      </c>
      <c r="I456" s="2">
        <v>965.3</v>
      </c>
    </row>
    <row r="457">
      <c r="A457" s="1" t="s">
        <v>906</v>
      </c>
      <c r="B457" s="2">
        <v>1174.28</v>
      </c>
      <c r="C457" s="2">
        <v>1174.28</v>
      </c>
      <c r="D457" s="2">
        <v>1992.52</v>
      </c>
      <c r="E457" s="2">
        <v>1992.52</v>
      </c>
      <c r="G457" s="1" t="s">
        <v>907</v>
      </c>
      <c r="H457" s="2">
        <v>977.7</v>
      </c>
      <c r="I457" s="2">
        <v>977.7</v>
      </c>
    </row>
    <row r="458">
      <c r="A458" s="1" t="s">
        <v>908</v>
      </c>
      <c r="B458" s="2">
        <v>1165.36</v>
      </c>
      <c r="C458" s="2">
        <v>1165.36</v>
      </c>
      <c r="D458" s="2">
        <v>1973.88</v>
      </c>
      <c r="E458" s="2">
        <v>1973.88</v>
      </c>
      <c r="G458" s="1" t="s">
        <v>909</v>
      </c>
      <c r="H458" s="2">
        <v>958.96</v>
      </c>
      <c r="I458" s="2">
        <v>958.96</v>
      </c>
    </row>
    <row r="459">
      <c r="A459" s="1" t="s">
        <v>910</v>
      </c>
      <c r="B459" s="2">
        <v>1181.41</v>
      </c>
      <c r="C459" s="2">
        <v>1181.41</v>
      </c>
      <c r="D459" s="2">
        <v>2005.67</v>
      </c>
      <c r="E459" s="2">
        <v>2005.67</v>
      </c>
      <c r="G459" s="1" t="s">
        <v>911</v>
      </c>
      <c r="H459" s="2">
        <v>955.45</v>
      </c>
      <c r="I459" s="2">
        <v>955.45</v>
      </c>
    </row>
    <row r="460">
      <c r="A460" s="1" t="s">
        <v>912</v>
      </c>
      <c r="B460" s="2">
        <v>1180.59</v>
      </c>
      <c r="C460" s="2">
        <v>1180.59</v>
      </c>
      <c r="D460" s="2">
        <v>1999.23</v>
      </c>
      <c r="E460" s="2">
        <v>1999.23</v>
      </c>
      <c r="G460" s="1" t="s">
        <v>913</v>
      </c>
      <c r="H460" s="2">
        <v>965.68</v>
      </c>
      <c r="I460" s="2">
        <v>965.68</v>
      </c>
    </row>
    <row r="461">
      <c r="A461" s="1" t="s">
        <v>914</v>
      </c>
      <c r="B461" s="2">
        <v>1172.92</v>
      </c>
      <c r="C461" s="2">
        <v>1172.92</v>
      </c>
      <c r="D461" s="2">
        <v>1984.81</v>
      </c>
      <c r="E461" s="2">
        <v>1984.81</v>
      </c>
      <c r="G461" s="1" t="s">
        <v>915</v>
      </c>
      <c r="H461" s="2">
        <v>981.9</v>
      </c>
      <c r="I461" s="2">
        <v>981.9</v>
      </c>
    </row>
    <row r="462">
      <c r="A462" s="1" t="s">
        <v>916</v>
      </c>
      <c r="B462" s="2" t="s">
        <v>0</v>
      </c>
      <c r="C462" s="2">
        <v>1172.92</v>
      </c>
      <c r="D462" s="2" t="s">
        <v>0</v>
      </c>
      <c r="E462" s="2">
        <v>1984.81</v>
      </c>
      <c r="G462" s="1" t="s">
        <v>917</v>
      </c>
      <c r="H462" s="2" t="s">
        <v>0</v>
      </c>
      <c r="I462" s="2">
        <v>981.9</v>
      </c>
    </row>
    <row r="463">
      <c r="A463" s="1" t="s">
        <v>918</v>
      </c>
      <c r="B463" s="2" t="s">
        <v>0</v>
      </c>
      <c r="C463" s="2">
        <v>1172.92</v>
      </c>
      <c r="D463" s="2" t="s">
        <v>0</v>
      </c>
      <c r="E463" s="2">
        <v>1984.81</v>
      </c>
      <c r="G463" s="1" t="s">
        <v>919</v>
      </c>
      <c r="H463" s="2" t="s">
        <v>0</v>
      </c>
      <c r="I463" s="2">
        <v>981.9</v>
      </c>
    </row>
    <row r="464">
      <c r="A464" s="1" t="s">
        <v>920</v>
      </c>
      <c r="B464" s="2">
        <v>1176.12</v>
      </c>
      <c r="C464" s="2">
        <v>1176.12</v>
      </c>
      <c r="D464" s="2">
        <v>1991.07</v>
      </c>
      <c r="E464" s="2">
        <v>1991.07</v>
      </c>
      <c r="G464" s="1" t="s">
        <v>921</v>
      </c>
      <c r="H464" s="2">
        <v>982.5</v>
      </c>
      <c r="I464" s="2">
        <v>982.5</v>
      </c>
    </row>
    <row r="465">
      <c r="A465" s="1" t="s">
        <v>922</v>
      </c>
      <c r="B465" s="2">
        <v>1181.39</v>
      </c>
      <c r="C465" s="2">
        <v>1181.39</v>
      </c>
      <c r="D465" s="2">
        <v>1999.32</v>
      </c>
      <c r="E465" s="2">
        <v>1999.32</v>
      </c>
      <c r="G465" s="1" t="s">
        <v>923</v>
      </c>
      <c r="H465" s="2" t="s">
        <v>0</v>
      </c>
      <c r="I465" s="2">
        <v>982.5</v>
      </c>
    </row>
    <row r="466">
      <c r="A466" s="1" t="s">
        <v>924</v>
      </c>
      <c r="B466" s="2">
        <v>1184.07</v>
      </c>
      <c r="C466" s="2">
        <v>1184.07</v>
      </c>
      <c r="D466" s="2">
        <v>1999.14</v>
      </c>
      <c r="E466" s="2">
        <v>1999.14</v>
      </c>
      <c r="G466" s="1" t="s">
        <v>925</v>
      </c>
      <c r="H466" s="2">
        <v>988.0</v>
      </c>
      <c r="I466" s="2">
        <v>988.0</v>
      </c>
    </row>
    <row r="467">
      <c r="A467" s="1" t="s">
        <v>926</v>
      </c>
      <c r="B467" s="2">
        <v>1191.14</v>
      </c>
      <c r="C467" s="2">
        <v>1191.14</v>
      </c>
      <c r="D467" s="2">
        <v>2018.79</v>
      </c>
      <c r="E467" s="2">
        <v>2018.79</v>
      </c>
      <c r="G467" s="1" t="s">
        <v>927</v>
      </c>
      <c r="H467" s="2">
        <v>988.9</v>
      </c>
      <c r="I467" s="2">
        <v>988.9</v>
      </c>
    </row>
    <row r="468">
      <c r="A468" s="1" t="s">
        <v>928</v>
      </c>
      <c r="B468" s="2">
        <v>1181.2</v>
      </c>
      <c r="C468" s="2">
        <v>1181.2</v>
      </c>
      <c r="D468" s="2">
        <v>1999.35</v>
      </c>
      <c r="E468" s="2">
        <v>1999.35</v>
      </c>
      <c r="G468" s="1" t="s">
        <v>929</v>
      </c>
      <c r="H468" s="2">
        <v>992.17</v>
      </c>
      <c r="I468" s="2">
        <v>992.17</v>
      </c>
    </row>
    <row r="469">
      <c r="A469" s="1" t="s">
        <v>930</v>
      </c>
      <c r="B469" s="2" t="s">
        <v>0</v>
      </c>
      <c r="C469" s="2">
        <v>1181.2</v>
      </c>
      <c r="D469" s="2" t="s">
        <v>0</v>
      </c>
      <c r="E469" s="2">
        <v>1999.35</v>
      </c>
      <c r="G469" s="1" t="s">
        <v>931</v>
      </c>
      <c r="H469" s="2" t="s">
        <v>0</v>
      </c>
      <c r="I469" s="2">
        <v>992.17</v>
      </c>
    </row>
    <row r="470">
      <c r="A470" s="1" t="s">
        <v>932</v>
      </c>
      <c r="B470" s="2" t="s">
        <v>0</v>
      </c>
      <c r="C470" s="2">
        <v>1181.2</v>
      </c>
      <c r="D470" s="2" t="s">
        <v>0</v>
      </c>
      <c r="E470" s="2">
        <v>1999.35</v>
      </c>
      <c r="G470" s="1" t="s">
        <v>933</v>
      </c>
      <c r="H470" s="2" t="s">
        <v>0</v>
      </c>
      <c r="I470" s="2">
        <v>992.17</v>
      </c>
    </row>
    <row r="471">
      <c r="A471" s="1" t="s">
        <v>934</v>
      </c>
      <c r="B471" s="2">
        <v>1181.21</v>
      </c>
      <c r="C471" s="2">
        <v>1181.21</v>
      </c>
      <c r="D471" s="2">
        <v>1992.12</v>
      </c>
      <c r="E471" s="2">
        <v>1992.12</v>
      </c>
      <c r="G471" s="1" t="s">
        <v>935</v>
      </c>
      <c r="H471" s="2">
        <v>985.94</v>
      </c>
      <c r="I471" s="2">
        <v>985.94</v>
      </c>
    </row>
    <row r="472">
      <c r="A472" s="1" t="s">
        <v>936</v>
      </c>
      <c r="B472" s="2">
        <v>1187.76</v>
      </c>
      <c r="C472" s="2">
        <v>1187.76</v>
      </c>
      <c r="D472" s="2">
        <v>2005.4</v>
      </c>
      <c r="E472" s="2">
        <v>2005.4</v>
      </c>
      <c r="G472" s="1" t="s">
        <v>937</v>
      </c>
      <c r="H472" s="2">
        <v>981.79</v>
      </c>
      <c r="I472" s="2">
        <v>981.79</v>
      </c>
    </row>
    <row r="473">
      <c r="A473" s="1" t="s">
        <v>938</v>
      </c>
      <c r="B473" s="2">
        <v>1173.79</v>
      </c>
      <c r="C473" s="2">
        <v>1173.79</v>
      </c>
      <c r="D473" s="2">
        <v>1974.37</v>
      </c>
      <c r="E473" s="2">
        <v>1974.37</v>
      </c>
      <c r="G473" s="1" t="s">
        <v>939</v>
      </c>
      <c r="H473" s="2">
        <v>981.31</v>
      </c>
      <c r="I473" s="2">
        <v>981.31</v>
      </c>
    </row>
    <row r="474">
      <c r="A474" s="1" t="s">
        <v>940</v>
      </c>
      <c r="B474" s="2">
        <v>1162.05</v>
      </c>
      <c r="C474" s="2">
        <v>1162.05</v>
      </c>
      <c r="D474" s="2">
        <v>1946.71</v>
      </c>
      <c r="E474" s="2">
        <v>1946.71</v>
      </c>
      <c r="G474" s="1" t="s">
        <v>941</v>
      </c>
      <c r="H474" s="2">
        <v>953.92</v>
      </c>
      <c r="I474" s="2">
        <v>953.92</v>
      </c>
    </row>
    <row r="475">
      <c r="A475" s="1" t="s">
        <v>942</v>
      </c>
      <c r="B475" s="2">
        <v>1142.62</v>
      </c>
      <c r="C475" s="2">
        <v>1142.62</v>
      </c>
      <c r="D475" s="2">
        <v>1908.15</v>
      </c>
      <c r="E475" s="2">
        <v>1908.15</v>
      </c>
      <c r="G475" s="1" t="s">
        <v>943</v>
      </c>
      <c r="H475" s="2">
        <v>947.22</v>
      </c>
      <c r="I475" s="2">
        <v>947.22</v>
      </c>
    </row>
    <row r="476">
      <c r="A476" s="1" t="s">
        <v>944</v>
      </c>
      <c r="B476" s="2" t="s">
        <v>0</v>
      </c>
      <c r="C476" s="2">
        <v>1142.62</v>
      </c>
      <c r="D476" s="2" t="s">
        <v>0</v>
      </c>
      <c r="E476" s="2">
        <v>1908.15</v>
      </c>
      <c r="G476" s="1" t="s">
        <v>945</v>
      </c>
      <c r="H476" s="2" t="s">
        <v>0</v>
      </c>
      <c r="I476" s="2">
        <v>947.22</v>
      </c>
    </row>
    <row r="477">
      <c r="A477" s="1" t="s">
        <v>946</v>
      </c>
      <c r="B477" s="2" t="s">
        <v>0</v>
      </c>
      <c r="C477" s="2">
        <v>1142.62</v>
      </c>
      <c r="D477" s="2" t="s">
        <v>0</v>
      </c>
      <c r="E477" s="2">
        <v>1908.15</v>
      </c>
      <c r="G477" s="1" t="s">
        <v>947</v>
      </c>
      <c r="H477" s="2" t="s">
        <v>0</v>
      </c>
      <c r="I477" s="2">
        <v>947.22</v>
      </c>
    </row>
    <row r="478">
      <c r="A478" s="1" t="s">
        <v>948</v>
      </c>
      <c r="B478" s="2">
        <v>1145.98</v>
      </c>
      <c r="C478" s="2">
        <v>1145.98</v>
      </c>
      <c r="D478" s="2">
        <v>1912.92</v>
      </c>
      <c r="E478" s="2">
        <v>1912.92</v>
      </c>
      <c r="G478" s="1" t="s">
        <v>949</v>
      </c>
      <c r="H478" s="2">
        <v>925.0</v>
      </c>
      <c r="I478" s="2">
        <v>925.0</v>
      </c>
    </row>
    <row r="479">
      <c r="A479" s="1" t="s">
        <v>950</v>
      </c>
      <c r="B479" s="2">
        <v>1152.78</v>
      </c>
      <c r="C479" s="2">
        <v>1152.78</v>
      </c>
      <c r="D479" s="2">
        <v>1932.36</v>
      </c>
      <c r="E479" s="2">
        <v>1932.36</v>
      </c>
      <c r="G479" s="1" t="s">
        <v>951</v>
      </c>
      <c r="H479" s="2">
        <v>932.45</v>
      </c>
      <c r="I479" s="2">
        <v>932.45</v>
      </c>
    </row>
    <row r="480">
      <c r="A480" s="1" t="s">
        <v>952</v>
      </c>
      <c r="B480" s="2">
        <v>1137.5</v>
      </c>
      <c r="C480" s="2">
        <v>1137.5</v>
      </c>
      <c r="D480" s="2">
        <v>1913.76</v>
      </c>
      <c r="E480" s="2">
        <v>1913.76</v>
      </c>
      <c r="G480" s="1" t="s">
        <v>953</v>
      </c>
      <c r="H480" s="2">
        <v>937.36</v>
      </c>
      <c r="I480" s="2">
        <v>937.36</v>
      </c>
    </row>
    <row r="481">
      <c r="A481" s="1" t="s">
        <v>954</v>
      </c>
      <c r="B481" s="2">
        <v>1159.95</v>
      </c>
      <c r="C481" s="2">
        <v>1159.95</v>
      </c>
      <c r="D481" s="2">
        <v>1962.41</v>
      </c>
      <c r="E481" s="2">
        <v>1962.41</v>
      </c>
      <c r="G481" s="1" t="s">
        <v>955</v>
      </c>
      <c r="H481" s="2">
        <v>939.14</v>
      </c>
      <c r="I481" s="2">
        <v>939.14</v>
      </c>
    </row>
    <row r="482">
      <c r="A482" s="1" t="s">
        <v>956</v>
      </c>
      <c r="B482" s="2">
        <v>1152.12</v>
      </c>
      <c r="C482" s="2">
        <v>1152.12</v>
      </c>
      <c r="D482" s="2">
        <v>1932.19</v>
      </c>
      <c r="E482" s="2">
        <v>1932.19</v>
      </c>
      <c r="G482" s="1" t="s">
        <v>957</v>
      </c>
      <c r="H482" s="2">
        <v>940.79</v>
      </c>
      <c r="I482" s="2">
        <v>940.79</v>
      </c>
    </row>
    <row r="483">
      <c r="A483" s="1" t="s">
        <v>958</v>
      </c>
      <c r="B483" s="2" t="s">
        <v>0</v>
      </c>
      <c r="C483" s="2">
        <v>1152.12</v>
      </c>
      <c r="D483" s="2" t="s">
        <v>0</v>
      </c>
      <c r="E483" s="2">
        <v>1932.19</v>
      </c>
      <c r="G483" s="1" t="s">
        <v>959</v>
      </c>
      <c r="H483" s="2" t="s">
        <v>0</v>
      </c>
      <c r="I483" s="2">
        <v>940.79</v>
      </c>
    </row>
    <row r="484">
      <c r="A484" s="1" t="s">
        <v>960</v>
      </c>
      <c r="B484" s="2" t="s">
        <v>0</v>
      </c>
      <c r="C484" s="2">
        <v>1152.12</v>
      </c>
      <c r="D484" s="2" t="s">
        <v>0</v>
      </c>
      <c r="E484" s="2">
        <v>1932.19</v>
      </c>
      <c r="G484" s="1" t="s">
        <v>961</v>
      </c>
      <c r="H484" s="2" t="s">
        <v>0</v>
      </c>
      <c r="I484" s="2">
        <v>940.79</v>
      </c>
    </row>
    <row r="485">
      <c r="A485" s="1" t="s">
        <v>962</v>
      </c>
      <c r="B485" s="2">
        <v>1162.1</v>
      </c>
      <c r="C485" s="2">
        <v>1162.1</v>
      </c>
      <c r="D485" s="2">
        <v>1950.78</v>
      </c>
      <c r="E485" s="2">
        <v>1950.78</v>
      </c>
      <c r="G485" s="1" t="s">
        <v>963</v>
      </c>
      <c r="H485" s="2">
        <v>946.17</v>
      </c>
      <c r="I485" s="2">
        <v>946.17</v>
      </c>
    </row>
    <row r="486">
      <c r="A486" s="1" t="s">
        <v>964</v>
      </c>
      <c r="B486" s="2">
        <v>1151.74</v>
      </c>
      <c r="C486" s="2">
        <v>1151.74</v>
      </c>
      <c r="D486" s="2">
        <v>1927.44</v>
      </c>
      <c r="E486" s="2">
        <v>1927.44</v>
      </c>
      <c r="G486" s="1" t="s">
        <v>965</v>
      </c>
      <c r="H486" s="2">
        <v>944.46</v>
      </c>
      <c r="I486" s="2">
        <v>944.46</v>
      </c>
    </row>
    <row r="487">
      <c r="A487" s="1" t="s">
        <v>966</v>
      </c>
      <c r="B487" s="2">
        <v>1156.38</v>
      </c>
      <c r="C487" s="2">
        <v>1156.38</v>
      </c>
      <c r="D487" s="2">
        <v>1930.43</v>
      </c>
      <c r="E487" s="2">
        <v>1930.43</v>
      </c>
      <c r="G487" s="1" t="s">
        <v>967</v>
      </c>
      <c r="H487" s="2">
        <v>930.16</v>
      </c>
      <c r="I487" s="2">
        <v>930.16</v>
      </c>
    </row>
    <row r="488">
      <c r="A488" s="1" t="s">
        <v>968</v>
      </c>
      <c r="B488" s="2">
        <v>1143.22</v>
      </c>
      <c r="C488" s="2">
        <v>1143.22</v>
      </c>
      <c r="D488" s="2">
        <v>1904.18</v>
      </c>
      <c r="E488" s="2">
        <v>1904.18</v>
      </c>
      <c r="G488" s="1" t="s">
        <v>969</v>
      </c>
      <c r="H488" s="2">
        <v>917.73</v>
      </c>
      <c r="I488" s="2">
        <v>917.73</v>
      </c>
    </row>
    <row r="489">
      <c r="A489" s="1" t="s">
        <v>970</v>
      </c>
      <c r="B489" s="2">
        <v>1156.85</v>
      </c>
      <c r="C489" s="2">
        <v>1156.85</v>
      </c>
      <c r="D489" s="2">
        <v>1921.65</v>
      </c>
      <c r="E489" s="2">
        <v>1921.65</v>
      </c>
      <c r="G489" s="1" t="s">
        <v>971</v>
      </c>
      <c r="H489" s="2">
        <v>911.3</v>
      </c>
      <c r="I489" s="2">
        <v>911.3</v>
      </c>
    </row>
    <row r="490">
      <c r="A490" s="1" t="s">
        <v>972</v>
      </c>
      <c r="B490" s="2" t="s">
        <v>0</v>
      </c>
      <c r="C490" s="2">
        <v>1156.85</v>
      </c>
      <c r="D490" s="2" t="s">
        <v>0</v>
      </c>
      <c r="E490" s="2">
        <v>1921.65</v>
      </c>
      <c r="G490" s="1" t="s">
        <v>973</v>
      </c>
      <c r="H490" s="2" t="s">
        <v>0</v>
      </c>
      <c r="I490" s="2">
        <v>911.3</v>
      </c>
    </row>
    <row r="491">
      <c r="A491" s="1" t="s">
        <v>974</v>
      </c>
      <c r="B491" s="2" t="s">
        <v>0</v>
      </c>
      <c r="C491" s="2">
        <v>1156.85</v>
      </c>
      <c r="D491" s="2" t="s">
        <v>0</v>
      </c>
      <c r="E491" s="2">
        <v>1921.65</v>
      </c>
      <c r="G491" s="1" t="s">
        <v>975</v>
      </c>
      <c r="H491" s="2" t="s">
        <v>0</v>
      </c>
      <c r="I491" s="2">
        <v>911.3</v>
      </c>
    </row>
    <row r="492">
      <c r="A492" s="1" t="s">
        <v>976</v>
      </c>
      <c r="B492" s="2">
        <v>1162.16</v>
      </c>
      <c r="C492" s="2">
        <v>1162.16</v>
      </c>
      <c r="D492" s="2">
        <v>1928.65</v>
      </c>
      <c r="E492" s="2">
        <v>1928.65</v>
      </c>
      <c r="G492" s="1" t="s">
        <v>977</v>
      </c>
      <c r="H492" s="2">
        <v>918.42</v>
      </c>
      <c r="I492" s="2">
        <v>918.42</v>
      </c>
    </row>
    <row r="493">
      <c r="A493" s="1" t="s">
        <v>978</v>
      </c>
      <c r="B493" s="2">
        <v>1161.17</v>
      </c>
      <c r="C493" s="2">
        <v>1161.17</v>
      </c>
      <c r="D493" s="2">
        <v>1933.07</v>
      </c>
      <c r="E493" s="2">
        <v>1933.07</v>
      </c>
      <c r="G493" s="1" t="s">
        <v>979</v>
      </c>
      <c r="H493" s="2">
        <v>913.82</v>
      </c>
      <c r="I493" s="2">
        <v>913.82</v>
      </c>
    </row>
    <row r="494">
      <c r="A494" s="1" t="s">
        <v>980</v>
      </c>
      <c r="B494" s="2">
        <v>1175.65</v>
      </c>
      <c r="C494" s="2">
        <v>1175.65</v>
      </c>
      <c r="D494" s="2">
        <v>1962.23</v>
      </c>
      <c r="E494" s="2">
        <v>1962.23</v>
      </c>
      <c r="G494" s="1" t="s">
        <v>981</v>
      </c>
      <c r="H494" s="2">
        <v>929.35</v>
      </c>
      <c r="I494" s="2">
        <v>929.35</v>
      </c>
    </row>
    <row r="495">
      <c r="A495" s="1" t="s">
        <v>982</v>
      </c>
      <c r="B495" s="2">
        <v>1172.63</v>
      </c>
      <c r="C495" s="2">
        <v>1172.63</v>
      </c>
      <c r="D495" s="2">
        <v>1961.8</v>
      </c>
      <c r="E495" s="2">
        <v>1961.8</v>
      </c>
      <c r="G495" s="1" t="s">
        <v>983</v>
      </c>
      <c r="H495" s="2" t="s">
        <v>0</v>
      </c>
      <c r="I495" s="2">
        <v>929.35</v>
      </c>
    </row>
    <row r="496">
      <c r="A496" s="1" t="s">
        <v>984</v>
      </c>
      <c r="B496" s="2">
        <v>1171.35</v>
      </c>
      <c r="C496" s="2">
        <v>1171.35</v>
      </c>
      <c r="D496" s="2">
        <v>1967.35</v>
      </c>
      <c r="E496" s="2">
        <v>1967.35</v>
      </c>
      <c r="G496" s="1" t="s">
        <v>985</v>
      </c>
      <c r="H496" s="2">
        <v>940.85</v>
      </c>
      <c r="I496" s="2">
        <v>940.85</v>
      </c>
    </row>
    <row r="497">
      <c r="A497" s="1" t="s">
        <v>986</v>
      </c>
      <c r="B497" s="2" t="s">
        <v>0</v>
      </c>
      <c r="C497" s="2">
        <v>1171.35</v>
      </c>
      <c r="D497" s="2" t="s">
        <v>0</v>
      </c>
      <c r="E497" s="2">
        <v>1967.35</v>
      </c>
      <c r="G497" s="1" t="s">
        <v>987</v>
      </c>
      <c r="H497" s="2" t="s">
        <v>0</v>
      </c>
      <c r="I497" s="2">
        <v>940.85</v>
      </c>
    </row>
    <row r="498">
      <c r="A498" s="1" t="s">
        <v>988</v>
      </c>
      <c r="B498" s="2" t="s">
        <v>0</v>
      </c>
      <c r="C498" s="2">
        <v>1171.35</v>
      </c>
      <c r="D498" s="2" t="s">
        <v>0</v>
      </c>
      <c r="E498" s="2">
        <v>1967.35</v>
      </c>
      <c r="G498" s="1" t="s">
        <v>989</v>
      </c>
      <c r="H498" s="2" t="s">
        <v>0</v>
      </c>
      <c r="I498" s="2">
        <v>940.85</v>
      </c>
    </row>
    <row r="499">
      <c r="A499" s="1" t="s">
        <v>990</v>
      </c>
      <c r="B499" s="2">
        <v>1178.84</v>
      </c>
      <c r="C499" s="2">
        <v>1178.84</v>
      </c>
      <c r="D499" s="2">
        <v>1979.67</v>
      </c>
      <c r="E499" s="2">
        <v>1979.67</v>
      </c>
      <c r="G499" s="1" t="s">
        <v>991</v>
      </c>
      <c r="H499" s="2">
        <v>935.2</v>
      </c>
      <c r="I499" s="2">
        <v>935.2</v>
      </c>
    </row>
    <row r="500">
      <c r="A500" s="1" t="s">
        <v>992</v>
      </c>
      <c r="B500" s="2">
        <v>1166.22</v>
      </c>
      <c r="C500" s="2">
        <v>1166.22</v>
      </c>
      <c r="D500" s="2">
        <v>1962.77</v>
      </c>
      <c r="E500" s="2">
        <v>1962.77</v>
      </c>
      <c r="G500" s="1" t="s">
        <v>993</v>
      </c>
      <c r="H500" s="2">
        <v>934.28</v>
      </c>
      <c r="I500" s="2">
        <v>934.28</v>
      </c>
    </row>
    <row r="501">
      <c r="A501" s="1" t="s">
        <v>994</v>
      </c>
      <c r="B501" s="2">
        <v>1171.11</v>
      </c>
      <c r="C501" s="2">
        <v>1171.11</v>
      </c>
      <c r="D501" s="2">
        <v>1971.55</v>
      </c>
      <c r="E501" s="2">
        <v>1971.55</v>
      </c>
      <c r="G501" s="1" t="s">
        <v>995</v>
      </c>
      <c r="H501" s="2">
        <v>923.38</v>
      </c>
      <c r="I501" s="2">
        <v>923.38</v>
      </c>
    </row>
    <row r="502">
      <c r="A502" s="1" t="s">
        <v>996</v>
      </c>
      <c r="B502" s="2">
        <v>1159.36</v>
      </c>
      <c r="C502" s="2">
        <v>1159.36</v>
      </c>
      <c r="D502" s="2">
        <v>1963.88</v>
      </c>
      <c r="E502" s="2">
        <v>1963.88</v>
      </c>
      <c r="G502" s="1" t="s">
        <v>997</v>
      </c>
      <c r="H502" s="2">
        <v>921.21</v>
      </c>
      <c r="I502" s="2">
        <v>921.21</v>
      </c>
    </row>
    <row r="503">
      <c r="A503" s="1" t="s">
        <v>998</v>
      </c>
      <c r="B503" s="2">
        <v>1154.05</v>
      </c>
      <c r="C503" s="2">
        <v>1154.05</v>
      </c>
      <c r="D503" s="2">
        <v>1976.78</v>
      </c>
      <c r="E503" s="2">
        <v>1976.78</v>
      </c>
      <c r="G503" s="1" t="s">
        <v>999</v>
      </c>
      <c r="H503" s="2">
        <v>923.19</v>
      </c>
      <c r="I503" s="2">
        <v>923.19</v>
      </c>
    </row>
    <row r="504">
      <c r="A504" s="1" t="s">
        <v>1000</v>
      </c>
      <c r="B504" s="2" t="s">
        <v>0</v>
      </c>
      <c r="C504" s="2">
        <v>1154.05</v>
      </c>
      <c r="D504" s="2" t="s">
        <v>0</v>
      </c>
      <c r="E504" s="2">
        <v>1976.78</v>
      </c>
      <c r="G504" s="1" t="s">
        <v>1001</v>
      </c>
      <c r="H504" s="2" t="s">
        <v>0</v>
      </c>
      <c r="I504" s="2">
        <v>923.19</v>
      </c>
    </row>
    <row r="505">
      <c r="A505" s="1" t="s">
        <v>1002</v>
      </c>
      <c r="B505" s="2" t="s">
        <v>0</v>
      </c>
      <c r="C505" s="2">
        <v>1154.05</v>
      </c>
      <c r="D505" s="2" t="s">
        <v>0</v>
      </c>
      <c r="E505" s="2">
        <v>1976.78</v>
      </c>
      <c r="G505" s="1" t="s">
        <v>1003</v>
      </c>
      <c r="H505" s="2" t="s">
        <v>0</v>
      </c>
      <c r="I505" s="2">
        <v>923.19</v>
      </c>
    </row>
    <row r="506">
      <c r="A506" s="1" t="s">
        <v>1004</v>
      </c>
      <c r="B506" s="2">
        <v>1165.69</v>
      </c>
      <c r="C506" s="2">
        <v>1165.69</v>
      </c>
      <c r="D506" s="2">
        <v>1994.43</v>
      </c>
      <c r="E506" s="2">
        <v>1994.43</v>
      </c>
      <c r="G506" s="1" t="s">
        <v>1005</v>
      </c>
      <c r="H506" s="2">
        <v>929.04</v>
      </c>
      <c r="I506" s="2">
        <v>929.04</v>
      </c>
    </row>
    <row r="507">
      <c r="A507" s="1" t="s">
        <v>1006</v>
      </c>
      <c r="B507" s="2">
        <v>1173.8</v>
      </c>
      <c r="C507" s="2">
        <v>1173.8</v>
      </c>
      <c r="D507" s="2">
        <v>2004.15</v>
      </c>
      <c r="E507" s="2">
        <v>2004.15</v>
      </c>
      <c r="G507" s="1" t="s">
        <v>1007</v>
      </c>
      <c r="H507" s="2">
        <v>927.16</v>
      </c>
      <c r="I507" s="2">
        <v>927.16</v>
      </c>
    </row>
    <row r="508">
      <c r="A508" s="1" t="s">
        <v>1008</v>
      </c>
      <c r="B508" s="2">
        <v>1185.56</v>
      </c>
      <c r="C508" s="2">
        <v>1185.56</v>
      </c>
      <c r="D508" s="2">
        <v>2030.65</v>
      </c>
      <c r="E508" s="2">
        <v>2030.65</v>
      </c>
      <c r="G508" s="1" t="s">
        <v>1009</v>
      </c>
      <c r="H508" s="2">
        <v>930.36</v>
      </c>
      <c r="I508" s="2">
        <v>930.36</v>
      </c>
    </row>
    <row r="509">
      <c r="A509" s="1" t="s">
        <v>1010</v>
      </c>
      <c r="B509" s="2">
        <v>1191.08</v>
      </c>
      <c r="C509" s="2">
        <v>1191.08</v>
      </c>
      <c r="D509" s="2">
        <v>2042.58</v>
      </c>
      <c r="E509" s="2">
        <v>2042.58</v>
      </c>
      <c r="G509" s="1" t="s">
        <v>1011</v>
      </c>
      <c r="H509" s="2">
        <v>952.09</v>
      </c>
      <c r="I509" s="2">
        <v>952.09</v>
      </c>
    </row>
    <row r="510">
      <c r="A510" s="1" t="s">
        <v>1012</v>
      </c>
      <c r="B510" s="2">
        <v>1189.28</v>
      </c>
      <c r="C510" s="2">
        <v>1189.28</v>
      </c>
      <c r="D510" s="2">
        <v>2046.42</v>
      </c>
      <c r="E510" s="2">
        <v>2046.42</v>
      </c>
      <c r="G510" s="1" t="s">
        <v>1013</v>
      </c>
      <c r="H510" s="2">
        <v>952.19</v>
      </c>
      <c r="I510" s="2">
        <v>952.19</v>
      </c>
    </row>
    <row r="511">
      <c r="A511" s="1" t="s">
        <v>1014</v>
      </c>
      <c r="B511" s="2" t="s">
        <v>0</v>
      </c>
      <c r="C511" s="2">
        <v>1189.28</v>
      </c>
      <c r="D511" s="2" t="s">
        <v>0</v>
      </c>
      <c r="E511" s="2">
        <v>2046.42</v>
      </c>
      <c r="G511" s="1" t="s">
        <v>1015</v>
      </c>
      <c r="H511" s="2" t="s">
        <v>0</v>
      </c>
      <c r="I511" s="2">
        <v>952.19</v>
      </c>
    </row>
    <row r="512">
      <c r="A512" s="1" t="s">
        <v>1016</v>
      </c>
      <c r="B512" s="2" t="s">
        <v>0</v>
      </c>
      <c r="C512" s="2">
        <v>1189.28</v>
      </c>
      <c r="D512" s="2" t="s">
        <v>0</v>
      </c>
      <c r="E512" s="2">
        <v>2046.42</v>
      </c>
      <c r="G512" s="1" t="s">
        <v>1017</v>
      </c>
      <c r="H512" s="2" t="s">
        <v>0</v>
      </c>
      <c r="I512" s="2">
        <v>952.19</v>
      </c>
    </row>
    <row r="513">
      <c r="A513" s="1" t="s">
        <v>1018</v>
      </c>
      <c r="B513" s="2">
        <v>1193.86</v>
      </c>
      <c r="C513" s="2">
        <v>1193.86</v>
      </c>
      <c r="D513" s="2">
        <v>2056.65</v>
      </c>
      <c r="E513" s="2">
        <v>2056.65</v>
      </c>
      <c r="G513" s="1" t="s">
        <v>1019</v>
      </c>
      <c r="H513" s="2">
        <v>951.05</v>
      </c>
      <c r="I513" s="2">
        <v>951.05</v>
      </c>
    </row>
    <row r="514">
      <c r="A514" s="1" t="s">
        <v>1020</v>
      </c>
      <c r="B514" s="2">
        <v>1194.07</v>
      </c>
      <c r="C514" s="2">
        <v>1194.07</v>
      </c>
      <c r="D514" s="2">
        <v>2061.62</v>
      </c>
      <c r="E514" s="2">
        <v>2061.62</v>
      </c>
      <c r="G514" s="1" t="s">
        <v>1021</v>
      </c>
      <c r="H514" s="2">
        <v>951.61</v>
      </c>
      <c r="I514" s="2">
        <v>951.61</v>
      </c>
    </row>
    <row r="515">
      <c r="A515" s="1" t="s">
        <v>1022</v>
      </c>
      <c r="B515" s="2">
        <v>1190.01</v>
      </c>
      <c r="C515" s="2">
        <v>1190.01</v>
      </c>
      <c r="D515" s="2">
        <v>2050.12</v>
      </c>
      <c r="E515" s="2">
        <v>2050.12</v>
      </c>
      <c r="G515" s="1" t="s">
        <v>1023</v>
      </c>
      <c r="H515" s="2">
        <v>941.3</v>
      </c>
      <c r="I515" s="2">
        <v>941.3</v>
      </c>
    </row>
    <row r="516">
      <c r="A516" s="1" t="s">
        <v>1024</v>
      </c>
      <c r="B516" s="2">
        <v>1197.62</v>
      </c>
      <c r="C516" s="2">
        <v>1197.62</v>
      </c>
      <c r="D516" s="2">
        <v>2071.24</v>
      </c>
      <c r="E516" s="2">
        <v>2071.24</v>
      </c>
      <c r="G516" s="1" t="s">
        <v>1025</v>
      </c>
      <c r="H516" s="2">
        <v>943.91</v>
      </c>
      <c r="I516" s="2">
        <v>943.91</v>
      </c>
    </row>
    <row r="517">
      <c r="A517" s="1" t="s">
        <v>1026</v>
      </c>
      <c r="B517" s="2">
        <v>1198.78</v>
      </c>
      <c r="C517" s="2">
        <v>1198.78</v>
      </c>
      <c r="D517" s="2">
        <v>2075.73</v>
      </c>
      <c r="E517" s="2">
        <v>2075.73</v>
      </c>
      <c r="G517" s="1" t="s">
        <v>1027</v>
      </c>
      <c r="H517" s="2">
        <v>960.91</v>
      </c>
      <c r="I517" s="2">
        <v>960.91</v>
      </c>
    </row>
    <row r="518">
      <c r="A518" s="1" t="s">
        <v>1028</v>
      </c>
      <c r="B518" s="2" t="s">
        <v>0</v>
      </c>
      <c r="C518" s="2">
        <v>1198.78</v>
      </c>
      <c r="D518" s="2" t="s">
        <v>0</v>
      </c>
      <c r="E518" s="2">
        <v>2075.73</v>
      </c>
      <c r="G518" s="1" t="s">
        <v>1029</v>
      </c>
      <c r="H518" s="2" t="s">
        <v>0</v>
      </c>
      <c r="I518" s="2">
        <v>960.91</v>
      </c>
    </row>
    <row r="519">
      <c r="A519" s="1" t="s">
        <v>1030</v>
      </c>
      <c r="B519" s="2" t="s">
        <v>0</v>
      </c>
      <c r="C519" s="2">
        <v>1198.78</v>
      </c>
      <c r="D519" s="2" t="s">
        <v>0</v>
      </c>
      <c r="E519" s="2">
        <v>2075.73</v>
      </c>
      <c r="G519" s="1" t="s">
        <v>1031</v>
      </c>
      <c r="H519" s="2" t="s">
        <v>0</v>
      </c>
      <c r="I519" s="2">
        <v>960.91</v>
      </c>
    </row>
    <row r="520">
      <c r="A520" s="1" t="s">
        <v>1032</v>
      </c>
      <c r="B520" s="2" t="s">
        <v>0</v>
      </c>
      <c r="C520" s="2">
        <v>1198.78</v>
      </c>
      <c r="D520" s="2" t="s">
        <v>0</v>
      </c>
      <c r="E520" s="2">
        <v>2075.73</v>
      </c>
      <c r="G520" s="1" t="s">
        <v>1033</v>
      </c>
      <c r="H520" s="2">
        <v>969.04</v>
      </c>
      <c r="I520" s="2">
        <v>969.04</v>
      </c>
    </row>
    <row r="521">
      <c r="A521" s="1" t="s">
        <v>1034</v>
      </c>
      <c r="B521" s="2">
        <v>1191.5</v>
      </c>
      <c r="C521" s="2">
        <v>1191.5</v>
      </c>
      <c r="D521" s="2">
        <v>2068.22</v>
      </c>
      <c r="E521" s="2">
        <v>2068.22</v>
      </c>
      <c r="G521" s="1" t="s">
        <v>1035</v>
      </c>
      <c r="H521" s="2">
        <v>970.21</v>
      </c>
      <c r="I521" s="2">
        <v>970.21</v>
      </c>
    </row>
    <row r="522">
      <c r="A522" s="1" t="s">
        <v>1036</v>
      </c>
      <c r="B522" s="2">
        <v>1202.22</v>
      </c>
      <c r="C522" s="2">
        <v>1202.22</v>
      </c>
      <c r="D522" s="2">
        <v>2087.86</v>
      </c>
      <c r="E522" s="2">
        <v>2087.86</v>
      </c>
      <c r="G522" s="1" t="s">
        <v>1037</v>
      </c>
      <c r="H522" s="2">
        <v>969.51</v>
      </c>
      <c r="I522" s="2">
        <v>969.51</v>
      </c>
    </row>
    <row r="523">
      <c r="A523" s="1" t="s">
        <v>1038</v>
      </c>
      <c r="B523" s="2">
        <v>1204.29</v>
      </c>
      <c r="C523" s="2">
        <v>1204.29</v>
      </c>
      <c r="D523" s="2">
        <v>2097.8</v>
      </c>
      <c r="E523" s="2">
        <v>2097.8</v>
      </c>
      <c r="G523" s="1" t="s">
        <v>1039</v>
      </c>
      <c r="H523" s="2">
        <v>970.88</v>
      </c>
      <c r="I523" s="2">
        <v>970.88</v>
      </c>
    </row>
    <row r="524">
      <c r="A524" s="1" t="s">
        <v>1040</v>
      </c>
      <c r="B524" s="2">
        <v>1196.02</v>
      </c>
      <c r="C524" s="2">
        <v>1196.02</v>
      </c>
      <c r="D524" s="2">
        <v>2071.43</v>
      </c>
      <c r="E524" s="2">
        <v>2071.43</v>
      </c>
      <c r="G524" s="1" t="s">
        <v>1041</v>
      </c>
      <c r="H524" s="2">
        <v>976.09</v>
      </c>
      <c r="I524" s="2">
        <v>976.09</v>
      </c>
    </row>
    <row r="525">
      <c r="A525" s="1" t="s">
        <v>1042</v>
      </c>
      <c r="B525" s="2" t="s">
        <v>0</v>
      </c>
      <c r="C525" s="2">
        <v>1196.02</v>
      </c>
      <c r="D525" s="2" t="s">
        <v>0</v>
      </c>
      <c r="E525" s="2">
        <v>2071.43</v>
      </c>
      <c r="G525" s="1" t="s">
        <v>1043</v>
      </c>
      <c r="H525" s="2" t="s">
        <v>0</v>
      </c>
      <c r="I525" s="2">
        <v>976.09</v>
      </c>
    </row>
    <row r="526">
      <c r="A526" s="1" t="s">
        <v>1044</v>
      </c>
      <c r="B526" s="2" t="s">
        <v>0</v>
      </c>
      <c r="C526" s="2">
        <v>1196.02</v>
      </c>
      <c r="D526" s="2" t="s">
        <v>0</v>
      </c>
      <c r="E526" s="2">
        <v>2071.43</v>
      </c>
      <c r="G526" s="1" t="s">
        <v>1045</v>
      </c>
      <c r="H526" s="2" t="s">
        <v>0</v>
      </c>
      <c r="I526" s="2">
        <v>976.09</v>
      </c>
    </row>
    <row r="527">
      <c r="A527" s="1" t="s">
        <v>1046</v>
      </c>
      <c r="B527" s="2">
        <v>1197.51</v>
      </c>
      <c r="C527" s="2">
        <v>1197.51</v>
      </c>
      <c r="D527" s="2">
        <v>2075.76</v>
      </c>
      <c r="E527" s="2">
        <v>2075.76</v>
      </c>
      <c r="G527" s="1" t="s">
        <v>1047</v>
      </c>
      <c r="H527" s="2" t="s">
        <v>0</v>
      </c>
      <c r="I527" s="2">
        <v>976.09</v>
      </c>
    </row>
    <row r="528">
      <c r="A528" s="1" t="s">
        <v>1048</v>
      </c>
      <c r="B528" s="2">
        <v>1197.26</v>
      </c>
      <c r="C528" s="2">
        <v>1197.26</v>
      </c>
      <c r="D528" s="2">
        <v>2067.16</v>
      </c>
      <c r="E528" s="2">
        <v>2067.16</v>
      </c>
      <c r="G528" s="1" t="s">
        <v>1049</v>
      </c>
      <c r="H528" s="2">
        <v>970.88</v>
      </c>
      <c r="I528" s="2">
        <v>970.88</v>
      </c>
    </row>
    <row r="529">
      <c r="A529" s="1" t="s">
        <v>1050</v>
      </c>
      <c r="B529" s="2">
        <v>1194.67</v>
      </c>
      <c r="C529" s="2">
        <v>1194.67</v>
      </c>
      <c r="D529" s="2">
        <v>2060.18</v>
      </c>
      <c r="E529" s="2">
        <v>2060.18</v>
      </c>
      <c r="G529" s="1" t="s">
        <v>1051</v>
      </c>
      <c r="H529" s="2">
        <v>976.22</v>
      </c>
      <c r="I529" s="2">
        <v>976.22</v>
      </c>
    </row>
    <row r="530">
      <c r="A530" s="1" t="s">
        <v>1052</v>
      </c>
      <c r="B530" s="2">
        <v>1200.93</v>
      </c>
      <c r="C530" s="2">
        <v>1200.93</v>
      </c>
      <c r="D530" s="2">
        <v>2076.91</v>
      </c>
      <c r="E530" s="2">
        <v>2076.91</v>
      </c>
      <c r="G530" s="1" t="s">
        <v>1053</v>
      </c>
      <c r="H530" s="2">
        <v>987.58</v>
      </c>
      <c r="I530" s="2">
        <v>987.58</v>
      </c>
    </row>
    <row r="531">
      <c r="A531" s="1" t="s">
        <v>1054</v>
      </c>
      <c r="B531" s="2">
        <v>1198.11</v>
      </c>
      <c r="C531" s="2">
        <v>1198.11</v>
      </c>
      <c r="D531" s="2">
        <v>2063.0</v>
      </c>
      <c r="E531" s="2">
        <v>2063.0</v>
      </c>
      <c r="G531" s="1" t="s">
        <v>1055</v>
      </c>
      <c r="H531" s="2">
        <v>990.79</v>
      </c>
      <c r="I531" s="2">
        <v>990.79</v>
      </c>
    </row>
    <row r="532">
      <c r="A532" s="1" t="s">
        <v>1056</v>
      </c>
      <c r="B532" s="2" t="s">
        <v>0</v>
      </c>
      <c r="C532" s="2">
        <v>1198.11</v>
      </c>
      <c r="D532" s="2" t="s">
        <v>0</v>
      </c>
      <c r="E532" s="2">
        <v>2063.0</v>
      </c>
      <c r="G532" s="1" t="s">
        <v>1057</v>
      </c>
      <c r="H532" s="2" t="s">
        <v>0</v>
      </c>
      <c r="I532" s="2">
        <v>990.79</v>
      </c>
    </row>
    <row r="533">
      <c r="A533" s="1" t="s">
        <v>1058</v>
      </c>
      <c r="B533" s="2" t="s">
        <v>0</v>
      </c>
      <c r="C533" s="2">
        <v>1198.11</v>
      </c>
      <c r="D533" s="2" t="s">
        <v>0</v>
      </c>
      <c r="E533" s="2">
        <v>2063.0</v>
      </c>
      <c r="G533" s="1" t="s">
        <v>1059</v>
      </c>
      <c r="H533" s="2" t="s">
        <v>0</v>
      </c>
      <c r="I533" s="2">
        <v>990.79</v>
      </c>
    </row>
    <row r="534">
      <c r="A534" s="1" t="s">
        <v>1060</v>
      </c>
      <c r="B534" s="2">
        <v>1200.82</v>
      </c>
      <c r="C534" s="2">
        <v>1200.82</v>
      </c>
      <c r="D534" s="2">
        <v>2068.96</v>
      </c>
      <c r="E534" s="2">
        <v>2068.96</v>
      </c>
      <c r="G534" s="1" t="s">
        <v>1061</v>
      </c>
      <c r="H534" s="2">
        <v>990.49</v>
      </c>
      <c r="I534" s="2">
        <v>990.49</v>
      </c>
    </row>
    <row r="535">
      <c r="A535" s="1" t="s">
        <v>1062</v>
      </c>
      <c r="B535" s="2">
        <v>1203.91</v>
      </c>
      <c r="C535" s="2">
        <v>1203.91</v>
      </c>
      <c r="D535" s="2">
        <v>2069.04</v>
      </c>
      <c r="E535" s="2">
        <v>2069.04</v>
      </c>
      <c r="G535" s="1" t="s">
        <v>1063</v>
      </c>
      <c r="H535" s="2">
        <v>983.75</v>
      </c>
      <c r="I535" s="2">
        <v>983.75</v>
      </c>
    </row>
    <row r="536">
      <c r="A536" s="1" t="s">
        <v>1064</v>
      </c>
      <c r="B536" s="2">
        <v>1206.58</v>
      </c>
      <c r="C536" s="2">
        <v>1206.58</v>
      </c>
      <c r="D536" s="2">
        <v>2074.92</v>
      </c>
      <c r="E536" s="2">
        <v>2074.92</v>
      </c>
      <c r="G536" s="1" t="s">
        <v>1065</v>
      </c>
      <c r="H536" s="2">
        <v>1001.94</v>
      </c>
      <c r="I536" s="2">
        <v>1001.94</v>
      </c>
    </row>
    <row r="537">
      <c r="A537" s="1" t="s">
        <v>1066</v>
      </c>
      <c r="B537" s="2">
        <v>1210.96</v>
      </c>
      <c r="C537" s="2">
        <v>1210.96</v>
      </c>
      <c r="D537" s="2">
        <v>2089.15</v>
      </c>
      <c r="E537" s="2">
        <v>2089.15</v>
      </c>
      <c r="G537" s="1" t="s">
        <v>1067</v>
      </c>
      <c r="H537" s="2">
        <v>1003.14</v>
      </c>
      <c r="I537" s="2">
        <v>1003.14</v>
      </c>
    </row>
    <row r="538">
      <c r="A538" s="1" t="s">
        <v>1068</v>
      </c>
      <c r="B538" s="2">
        <v>1216.96</v>
      </c>
      <c r="C538" s="2">
        <v>1216.96</v>
      </c>
      <c r="D538" s="2">
        <v>2090.11</v>
      </c>
      <c r="E538" s="2">
        <v>2090.11</v>
      </c>
      <c r="G538" s="1" t="s">
        <v>1069</v>
      </c>
      <c r="H538" s="2">
        <v>1003.68</v>
      </c>
      <c r="I538" s="2">
        <v>1003.68</v>
      </c>
    </row>
    <row r="539">
      <c r="A539" s="1" t="s">
        <v>1070</v>
      </c>
      <c r="B539" s="2" t="s">
        <v>0</v>
      </c>
      <c r="C539" s="2">
        <v>1216.96</v>
      </c>
      <c r="D539" s="2" t="s">
        <v>0</v>
      </c>
      <c r="E539" s="2">
        <v>2090.11</v>
      </c>
      <c r="G539" s="1" t="s">
        <v>1071</v>
      </c>
      <c r="H539" s="2" t="s">
        <v>0</v>
      </c>
      <c r="I539" s="2">
        <v>1003.68</v>
      </c>
    </row>
    <row r="540">
      <c r="A540" s="1" t="s">
        <v>1072</v>
      </c>
      <c r="B540" s="2" t="s">
        <v>0</v>
      </c>
      <c r="C540" s="2">
        <v>1216.96</v>
      </c>
      <c r="D540" s="2" t="s">
        <v>0</v>
      </c>
      <c r="E540" s="2">
        <v>2090.11</v>
      </c>
      <c r="G540" s="1" t="s">
        <v>1073</v>
      </c>
      <c r="H540" s="2" t="s">
        <v>0</v>
      </c>
      <c r="I540" s="2">
        <v>1003.68</v>
      </c>
    </row>
    <row r="541">
      <c r="A541" s="1" t="s">
        <v>1074</v>
      </c>
      <c r="B541" s="2">
        <v>1216.1</v>
      </c>
      <c r="C541" s="2">
        <v>1216.1</v>
      </c>
      <c r="D541" s="2">
        <v>2088.13</v>
      </c>
      <c r="E541" s="2">
        <v>2088.13</v>
      </c>
      <c r="G541" s="1" t="s">
        <v>1075</v>
      </c>
      <c r="H541" s="2">
        <v>994.65</v>
      </c>
      <c r="I541" s="2">
        <v>994.65</v>
      </c>
    </row>
    <row r="542">
      <c r="A542" s="1" t="s">
        <v>1076</v>
      </c>
      <c r="B542" s="2">
        <v>1213.61</v>
      </c>
      <c r="C542" s="2">
        <v>1213.61</v>
      </c>
      <c r="D542" s="2">
        <v>2091.07</v>
      </c>
      <c r="E542" s="2">
        <v>2091.07</v>
      </c>
      <c r="G542" s="1" t="s">
        <v>1077</v>
      </c>
      <c r="H542" s="2">
        <v>989.99</v>
      </c>
      <c r="I542" s="2">
        <v>989.99</v>
      </c>
    </row>
    <row r="543">
      <c r="A543" s="1" t="s">
        <v>1078</v>
      </c>
      <c r="B543" s="2">
        <v>1213.88</v>
      </c>
      <c r="C543" s="2">
        <v>1213.88</v>
      </c>
      <c r="D543" s="2">
        <v>2092.03</v>
      </c>
      <c r="E543" s="2">
        <v>2092.03</v>
      </c>
      <c r="G543" s="1" t="s">
        <v>1079</v>
      </c>
      <c r="H543" s="2">
        <v>1002.15</v>
      </c>
      <c r="I543" s="2">
        <v>1002.15</v>
      </c>
    </row>
    <row r="544">
      <c r="A544" s="1" t="s">
        <v>1080</v>
      </c>
      <c r="B544" s="2">
        <v>1200.73</v>
      </c>
      <c r="C544" s="2">
        <v>1200.73</v>
      </c>
      <c r="D544" s="2">
        <v>2070.66</v>
      </c>
      <c r="E544" s="2">
        <v>2070.66</v>
      </c>
      <c r="G544" s="1" t="s">
        <v>1081</v>
      </c>
      <c r="H544" s="2">
        <v>1010.8</v>
      </c>
      <c r="I544" s="2">
        <v>1010.8</v>
      </c>
    </row>
    <row r="545">
      <c r="A545" s="1" t="s">
        <v>1082</v>
      </c>
      <c r="B545" s="2">
        <v>1191.57</v>
      </c>
      <c r="C545" s="2">
        <v>1191.57</v>
      </c>
      <c r="D545" s="2">
        <v>2053.27</v>
      </c>
      <c r="E545" s="2">
        <v>2053.27</v>
      </c>
      <c r="G545" s="1" t="s">
        <v>1083</v>
      </c>
      <c r="H545" s="2">
        <v>1002.43</v>
      </c>
      <c r="I545" s="2">
        <v>1002.43</v>
      </c>
    </row>
    <row r="546">
      <c r="A546" s="1" t="s">
        <v>1084</v>
      </c>
      <c r="B546" s="2" t="s">
        <v>0</v>
      </c>
      <c r="C546" s="2">
        <v>1191.57</v>
      </c>
      <c r="D546" s="2" t="s">
        <v>0</v>
      </c>
      <c r="E546" s="2">
        <v>2053.27</v>
      </c>
      <c r="G546" s="1" t="s">
        <v>1085</v>
      </c>
      <c r="H546" s="2" t="s">
        <v>0</v>
      </c>
      <c r="I546" s="2">
        <v>1002.43</v>
      </c>
    </row>
    <row r="547">
      <c r="A547" s="1" t="s">
        <v>1086</v>
      </c>
      <c r="B547" s="2" t="s">
        <v>0</v>
      </c>
      <c r="C547" s="2">
        <v>1191.57</v>
      </c>
      <c r="D547" s="2" t="s">
        <v>0</v>
      </c>
      <c r="E547" s="2">
        <v>2053.27</v>
      </c>
      <c r="G547" s="1" t="s">
        <v>1087</v>
      </c>
      <c r="H547" s="2" t="s">
        <v>0</v>
      </c>
      <c r="I547" s="2">
        <v>1002.43</v>
      </c>
    </row>
    <row r="548">
      <c r="A548" s="1" t="s">
        <v>1088</v>
      </c>
      <c r="B548" s="2">
        <v>1190.69</v>
      </c>
      <c r="C548" s="2">
        <v>1190.69</v>
      </c>
      <c r="D548" s="2">
        <v>2045.2</v>
      </c>
      <c r="E548" s="2">
        <v>2045.2</v>
      </c>
      <c r="G548" s="1" t="s">
        <v>1089</v>
      </c>
      <c r="H548" s="2">
        <v>991.11</v>
      </c>
      <c r="I548" s="2">
        <v>991.11</v>
      </c>
    </row>
    <row r="549">
      <c r="A549" s="1" t="s">
        <v>1090</v>
      </c>
      <c r="B549" s="2">
        <v>1201.57</v>
      </c>
      <c r="C549" s="2">
        <v>1201.57</v>
      </c>
      <c r="D549" s="2">
        <v>2069.89</v>
      </c>
      <c r="E549" s="2">
        <v>2069.89</v>
      </c>
      <c r="G549" s="1" t="s">
        <v>1091</v>
      </c>
      <c r="H549" s="2">
        <v>994.74</v>
      </c>
      <c r="I549" s="2">
        <v>994.74</v>
      </c>
    </row>
    <row r="550">
      <c r="A550" s="1" t="s">
        <v>1092</v>
      </c>
      <c r="B550" s="2">
        <v>1199.85</v>
      </c>
      <c r="C550" s="2">
        <v>1199.85</v>
      </c>
      <c r="D550" s="2">
        <v>2068.89</v>
      </c>
      <c r="E550" s="2">
        <v>2068.89</v>
      </c>
      <c r="G550" s="1" t="s">
        <v>1093</v>
      </c>
      <c r="H550" s="2">
        <v>999.08</v>
      </c>
      <c r="I550" s="2">
        <v>999.08</v>
      </c>
    </row>
    <row r="551">
      <c r="A551" s="1" t="s">
        <v>1094</v>
      </c>
      <c r="B551" s="2">
        <v>1191.33</v>
      </c>
      <c r="C551" s="2">
        <v>1191.33</v>
      </c>
      <c r="D551" s="2">
        <v>2056.96</v>
      </c>
      <c r="E551" s="2">
        <v>2056.96</v>
      </c>
      <c r="G551" s="1" t="s">
        <v>1095</v>
      </c>
      <c r="H551" s="2">
        <v>1008.16</v>
      </c>
      <c r="I551" s="2">
        <v>1008.16</v>
      </c>
    </row>
    <row r="552">
      <c r="A552" s="1" t="s">
        <v>1096</v>
      </c>
      <c r="B552" s="2">
        <v>1194.44</v>
      </c>
      <c r="C552" s="2">
        <v>1194.44</v>
      </c>
      <c r="D552" s="2">
        <v>2057.37</v>
      </c>
      <c r="E552" s="2">
        <v>2057.37</v>
      </c>
      <c r="G552" s="1" t="s">
        <v>1097</v>
      </c>
      <c r="H552" s="2">
        <v>1018.02</v>
      </c>
      <c r="I552" s="2">
        <v>1018.02</v>
      </c>
    </row>
    <row r="553">
      <c r="A553" s="1" t="s">
        <v>1098</v>
      </c>
      <c r="B553" s="2" t="s">
        <v>0</v>
      </c>
      <c r="C553" s="2">
        <v>1194.44</v>
      </c>
      <c r="D553" s="2" t="s">
        <v>0</v>
      </c>
      <c r="E553" s="2">
        <v>2057.37</v>
      </c>
      <c r="G553" s="1" t="s">
        <v>1099</v>
      </c>
      <c r="H553" s="2" t="s">
        <v>0</v>
      </c>
      <c r="I553" s="2">
        <v>1018.02</v>
      </c>
    </row>
    <row r="554">
      <c r="A554" s="1" t="s">
        <v>1100</v>
      </c>
      <c r="B554" s="2" t="s">
        <v>0</v>
      </c>
      <c r="C554" s="2">
        <v>1194.44</v>
      </c>
      <c r="D554" s="2" t="s">
        <v>0</v>
      </c>
      <c r="E554" s="2">
        <v>2057.37</v>
      </c>
      <c r="G554" s="1" t="s">
        <v>1101</v>
      </c>
      <c r="H554" s="2" t="s">
        <v>0</v>
      </c>
      <c r="I554" s="2">
        <v>1018.02</v>
      </c>
    </row>
    <row r="555">
      <c r="A555" s="1" t="s">
        <v>1102</v>
      </c>
      <c r="B555" s="2" t="s">
        <v>0</v>
      </c>
      <c r="C555" s="2">
        <v>1194.44</v>
      </c>
      <c r="D555" s="2" t="s">
        <v>0</v>
      </c>
      <c r="E555" s="2">
        <v>2057.37</v>
      </c>
      <c r="G555" s="1" t="s">
        <v>1103</v>
      </c>
      <c r="H555" s="2">
        <v>1021.71</v>
      </c>
      <c r="I555" s="2">
        <v>1021.71</v>
      </c>
    </row>
    <row r="556">
      <c r="A556" s="1" t="s">
        <v>1104</v>
      </c>
      <c r="B556" s="2">
        <v>1204.99</v>
      </c>
      <c r="C556" s="2">
        <v>1204.99</v>
      </c>
      <c r="D556" s="2">
        <v>2078.75</v>
      </c>
      <c r="E556" s="2">
        <v>2078.75</v>
      </c>
      <c r="G556" s="1" t="s">
        <v>1105</v>
      </c>
      <c r="H556" s="2">
        <v>1018.81</v>
      </c>
      <c r="I556" s="2">
        <v>1018.81</v>
      </c>
    </row>
    <row r="557">
      <c r="A557" s="1" t="s">
        <v>1106</v>
      </c>
      <c r="B557" s="2">
        <v>1194.94</v>
      </c>
      <c r="C557" s="2">
        <v>1194.94</v>
      </c>
      <c r="D557" s="2">
        <v>2068.65</v>
      </c>
      <c r="E557" s="2">
        <v>2068.65</v>
      </c>
      <c r="G557" s="1" t="s">
        <v>1107</v>
      </c>
      <c r="H557" s="2">
        <v>1019.01</v>
      </c>
      <c r="I557" s="2">
        <v>1019.01</v>
      </c>
    </row>
    <row r="558">
      <c r="A558" s="1" t="s">
        <v>1108</v>
      </c>
      <c r="B558" s="2">
        <v>1197.87</v>
      </c>
      <c r="C558" s="2">
        <v>1197.87</v>
      </c>
      <c r="D558" s="2">
        <v>2075.66</v>
      </c>
      <c r="E558" s="2">
        <v>2075.66</v>
      </c>
      <c r="G558" s="1" t="s">
        <v>1109</v>
      </c>
      <c r="H558" s="2">
        <v>1026.82</v>
      </c>
      <c r="I558" s="2">
        <v>1026.82</v>
      </c>
    </row>
    <row r="559">
      <c r="A559" s="1" t="s">
        <v>1110</v>
      </c>
      <c r="B559" s="2">
        <v>1211.86</v>
      </c>
      <c r="C559" s="2">
        <v>1211.86</v>
      </c>
      <c r="D559" s="2">
        <v>2112.88</v>
      </c>
      <c r="E559" s="2">
        <v>2112.88</v>
      </c>
      <c r="G559" s="1" t="s">
        <v>1111</v>
      </c>
      <c r="H559" s="2">
        <v>1021.95</v>
      </c>
      <c r="I559" s="2">
        <v>1021.95</v>
      </c>
    </row>
    <row r="560">
      <c r="A560" s="1" t="s">
        <v>1112</v>
      </c>
      <c r="B560" s="2" t="s">
        <v>0</v>
      </c>
      <c r="C560" s="2">
        <v>1211.86</v>
      </c>
      <c r="D560" s="2" t="s">
        <v>0</v>
      </c>
      <c r="E560" s="2">
        <v>2112.88</v>
      </c>
      <c r="G560" s="1" t="s">
        <v>1113</v>
      </c>
      <c r="H560" s="2" t="s">
        <v>0</v>
      </c>
      <c r="I560" s="2">
        <v>1021.95</v>
      </c>
    </row>
    <row r="561">
      <c r="A561" s="1" t="s">
        <v>1114</v>
      </c>
      <c r="B561" s="2" t="s">
        <v>0</v>
      </c>
      <c r="C561" s="2">
        <v>1211.86</v>
      </c>
      <c r="D561" s="2" t="s">
        <v>0</v>
      </c>
      <c r="E561" s="2">
        <v>2112.88</v>
      </c>
      <c r="G561" s="1" t="s">
        <v>1115</v>
      </c>
      <c r="H561" s="2" t="s">
        <v>0</v>
      </c>
      <c r="I561" s="2">
        <v>1021.95</v>
      </c>
    </row>
    <row r="562">
      <c r="A562" s="1" t="s">
        <v>1116</v>
      </c>
      <c r="B562" s="2">
        <v>1219.44</v>
      </c>
      <c r="C562" s="2">
        <v>1219.44</v>
      </c>
      <c r="D562" s="2">
        <v>2135.43</v>
      </c>
      <c r="E562" s="2">
        <v>2135.43</v>
      </c>
      <c r="G562" s="1" t="s">
        <v>1117</v>
      </c>
      <c r="H562" s="2">
        <v>1040.43</v>
      </c>
      <c r="I562" s="2">
        <v>1040.43</v>
      </c>
    </row>
    <row r="563">
      <c r="A563" s="1" t="s">
        <v>1118</v>
      </c>
      <c r="B563" s="2">
        <v>1222.21</v>
      </c>
      <c r="C563" s="2">
        <v>1222.21</v>
      </c>
      <c r="D563" s="2">
        <v>2143.15</v>
      </c>
      <c r="E563" s="2">
        <v>2143.15</v>
      </c>
      <c r="G563" s="1" t="s">
        <v>1119</v>
      </c>
      <c r="H563" s="2">
        <v>1043.88</v>
      </c>
      <c r="I563" s="2">
        <v>1043.88</v>
      </c>
    </row>
    <row r="564">
      <c r="A564" s="1" t="s">
        <v>1120</v>
      </c>
      <c r="B564" s="2">
        <v>1223.29</v>
      </c>
      <c r="C564" s="2">
        <v>1223.29</v>
      </c>
      <c r="D564" s="2">
        <v>2144.11</v>
      </c>
      <c r="E564" s="2">
        <v>2144.11</v>
      </c>
      <c r="G564" s="1" t="s">
        <v>1121</v>
      </c>
      <c r="H564" s="2">
        <v>1050.16</v>
      </c>
      <c r="I564" s="2">
        <v>1050.16</v>
      </c>
    </row>
    <row r="565">
      <c r="A565" s="1" t="s">
        <v>1122</v>
      </c>
      <c r="B565" s="2">
        <v>1226.5</v>
      </c>
      <c r="C565" s="2">
        <v>1226.5</v>
      </c>
      <c r="D565" s="2">
        <v>2152.82</v>
      </c>
      <c r="E565" s="2">
        <v>2152.82</v>
      </c>
      <c r="G565" s="1" t="s">
        <v>1123</v>
      </c>
      <c r="H565" s="2">
        <v>1061.93</v>
      </c>
      <c r="I565" s="2">
        <v>1061.93</v>
      </c>
    </row>
    <row r="566">
      <c r="A566" s="1" t="s">
        <v>1124</v>
      </c>
      <c r="B566" s="2">
        <v>1227.92</v>
      </c>
      <c r="C566" s="2">
        <v>1227.92</v>
      </c>
      <c r="D566" s="2">
        <v>2156.78</v>
      </c>
      <c r="E566" s="2">
        <v>2156.78</v>
      </c>
      <c r="G566" s="1" t="s">
        <v>1125</v>
      </c>
      <c r="H566" s="2">
        <v>1059.6</v>
      </c>
      <c r="I566" s="2">
        <v>1059.6</v>
      </c>
    </row>
    <row r="567">
      <c r="A567" s="1" t="s">
        <v>1126</v>
      </c>
      <c r="B567" s="2" t="s">
        <v>0</v>
      </c>
      <c r="C567" s="2">
        <v>1227.92</v>
      </c>
      <c r="D567" s="2" t="s">
        <v>0</v>
      </c>
      <c r="E567" s="2">
        <v>2156.78</v>
      </c>
      <c r="G567" s="1" t="s">
        <v>1127</v>
      </c>
      <c r="H567" s="2" t="s">
        <v>0</v>
      </c>
      <c r="I567" s="2">
        <v>1059.6</v>
      </c>
    </row>
    <row r="568">
      <c r="A568" s="1" t="s">
        <v>1128</v>
      </c>
      <c r="B568" s="2" t="s">
        <v>0</v>
      </c>
      <c r="C568" s="2">
        <v>1227.92</v>
      </c>
      <c r="D568" s="2" t="s">
        <v>0</v>
      </c>
      <c r="E568" s="2">
        <v>2156.78</v>
      </c>
      <c r="G568" s="1" t="s">
        <v>1129</v>
      </c>
      <c r="H568" s="2" t="s">
        <v>0</v>
      </c>
      <c r="I568" s="2">
        <v>1059.6</v>
      </c>
    </row>
    <row r="569">
      <c r="A569" s="1" t="s">
        <v>1130</v>
      </c>
      <c r="B569" s="2">
        <v>1221.13</v>
      </c>
      <c r="C569" s="2">
        <v>1221.13</v>
      </c>
      <c r="D569" s="2">
        <v>2144.87</v>
      </c>
      <c r="E569" s="2">
        <v>2144.87</v>
      </c>
      <c r="G569" s="1" t="s">
        <v>1131</v>
      </c>
      <c r="H569" s="2">
        <v>1062.43</v>
      </c>
      <c r="I569" s="2">
        <v>1062.43</v>
      </c>
    </row>
    <row r="570">
      <c r="A570" s="1" t="s">
        <v>1132</v>
      </c>
      <c r="B570" s="2">
        <v>1229.35</v>
      </c>
      <c r="C570" s="2">
        <v>1229.35</v>
      </c>
      <c r="D570" s="2">
        <v>2173.18</v>
      </c>
      <c r="E570" s="2">
        <v>2173.18</v>
      </c>
      <c r="G570" s="1" t="s">
        <v>1133</v>
      </c>
      <c r="H570" s="2">
        <v>1075.48</v>
      </c>
      <c r="I570" s="2">
        <v>1075.48</v>
      </c>
    </row>
    <row r="571">
      <c r="A571" s="1" t="s">
        <v>1134</v>
      </c>
      <c r="B571" s="2">
        <v>1235.2</v>
      </c>
      <c r="C571" s="2">
        <v>1235.2</v>
      </c>
      <c r="D571" s="2">
        <v>2188.57</v>
      </c>
      <c r="E571" s="2">
        <v>2188.57</v>
      </c>
      <c r="G571" s="1" t="s">
        <v>1135</v>
      </c>
      <c r="H571" s="2">
        <v>1074.4</v>
      </c>
      <c r="I571" s="2">
        <v>1074.4</v>
      </c>
    </row>
    <row r="572">
      <c r="A572" s="1" t="s">
        <v>1136</v>
      </c>
      <c r="B572" s="2">
        <v>1227.04</v>
      </c>
      <c r="C572" s="2">
        <v>1227.04</v>
      </c>
      <c r="D572" s="2">
        <v>2178.6</v>
      </c>
      <c r="E572" s="2">
        <v>2178.6</v>
      </c>
      <c r="G572" s="1" t="s">
        <v>1137</v>
      </c>
      <c r="H572" s="2">
        <v>1074.65</v>
      </c>
      <c r="I572" s="2">
        <v>1074.65</v>
      </c>
    </row>
    <row r="573">
      <c r="A573" s="1" t="s">
        <v>1138</v>
      </c>
      <c r="B573" s="2">
        <v>1233.68</v>
      </c>
      <c r="C573" s="2">
        <v>1233.68</v>
      </c>
      <c r="D573" s="2">
        <v>2179.74</v>
      </c>
      <c r="E573" s="2">
        <v>2179.74</v>
      </c>
      <c r="G573" s="1" t="s">
        <v>1139</v>
      </c>
      <c r="H573" s="2">
        <v>1074.22</v>
      </c>
      <c r="I573" s="2">
        <v>1074.22</v>
      </c>
    </row>
    <row r="574">
      <c r="A574" s="1" t="s">
        <v>1140</v>
      </c>
      <c r="B574" s="2" t="s">
        <v>0</v>
      </c>
      <c r="C574" s="2">
        <v>1233.68</v>
      </c>
      <c r="D574" s="2" t="s">
        <v>0</v>
      </c>
      <c r="E574" s="2">
        <v>2179.74</v>
      </c>
      <c r="G574" s="1" t="s">
        <v>1141</v>
      </c>
      <c r="H574" s="2" t="s">
        <v>0</v>
      </c>
      <c r="I574" s="2">
        <v>1074.22</v>
      </c>
    </row>
    <row r="575">
      <c r="A575" s="1" t="s">
        <v>1142</v>
      </c>
      <c r="B575" s="2" t="s">
        <v>0</v>
      </c>
      <c r="C575" s="2">
        <v>1233.68</v>
      </c>
      <c r="D575" s="2" t="s">
        <v>0</v>
      </c>
      <c r="E575" s="2">
        <v>2179.74</v>
      </c>
      <c r="G575" s="1" t="s">
        <v>1143</v>
      </c>
      <c r="H575" s="2" t="s">
        <v>0</v>
      </c>
      <c r="I575" s="2">
        <v>1074.22</v>
      </c>
    </row>
    <row r="576">
      <c r="A576" s="1" t="s">
        <v>1144</v>
      </c>
      <c r="B576" s="2">
        <v>1229.03</v>
      </c>
      <c r="C576" s="2">
        <v>1229.03</v>
      </c>
      <c r="D576" s="2">
        <v>2166.74</v>
      </c>
      <c r="E576" s="2">
        <v>2166.74</v>
      </c>
      <c r="G576" s="1" t="s">
        <v>1145</v>
      </c>
      <c r="H576" s="2">
        <v>1089.7</v>
      </c>
      <c r="I576" s="2">
        <v>1089.7</v>
      </c>
    </row>
    <row r="577">
      <c r="A577" s="1" t="s">
        <v>1146</v>
      </c>
      <c r="B577" s="2">
        <v>1231.16</v>
      </c>
      <c r="C577" s="2">
        <v>1231.16</v>
      </c>
      <c r="D577" s="2">
        <v>2175.99</v>
      </c>
      <c r="E577" s="2">
        <v>2175.99</v>
      </c>
      <c r="G577" s="1" t="s">
        <v>1147</v>
      </c>
      <c r="H577" s="2">
        <v>1090.6</v>
      </c>
      <c r="I577" s="2">
        <v>1090.6</v>
      </c>
    </row>
    <row r="578">
      <c r="A578" s="1" t="s">
        <v>1148</v>
      </c>
      <c r="B578" s="2">
        <v>1236.79</v>
      </c>
      <c r="C578" s="2">
        <v>1236.79</v>
      </c>
      <c r="D578" s="2">
        <v>2186.22</v>
      </c>
      <c r="E578" s="2">
        <v>2186.22</v>
      </c>
      <c r="G578" s="1" t="s">
        <v>1149</v>
      </c>
      <c r="H578" s="2">
        <v>1093.03</v>
      </c>
      <c r="I578" s="2">
        <v>1093.03</v>
      </c>
    </row>
    <row r="579">
      <c r="A579" s="1" t="s">
        <v>1150</v>
      </c>
      <c r="B579" s="2">
        <v>1243.72</v>
      </c>
      <c r="C579" s="2">
        <v>1243.72</v>
      </c>
      <c r="D579" s="2">
        <v>2198.44</v>
      </c>
      <c r="E579" s="2">
        <v>2198.44</v>
      </c>
      <c r="G579" s="1" t="s">
        <v>1151</v>
      </c>
      <c r="H579" s="2">
        <v>1104.72</v>
      </c>
      <c r="I579" s="2">
        <v>1104.72</v>
      </c>
    </row>
    <row r="580">
      <c r="A580" s="1" t="s">
        <v>1152</v>
      </c>
      <c r="B580" s="2">
        <v>1234.18</v>
      </c>
      <c r="C580" s="2">
        <v>1234.18</v>
      </c>
      <c r="D580" s="2">
        <v>2184.83</v>
      </c>
      <c r="E580" s="2">
        <v>2184.83</v>
      </c>
      <c r="G580" s="1" t="s">
        <v>1153</v>
      </c>
      <c r="H580" s="2">
        <v>1111.29</v>
      </c>
      <c r="I580" s="2">
        <v>1111.29</v>
      </c>
    </row>
    <row r="581">
      <c r="A581" s="1" t="s">
        <v>1154</v>
      </c>
      <c r="B581" s="2" t="s">
        <v>0</v>
      </c>
      <c r="C581" s="2">
        <v>1234.18</v>
      </c>
      <c r="D581" s="2" t="s">
        <v>0</v>
      </c>
      <c r="E581" s="2">
        <v>2184.83</v>
      </c>
      <c r="G581" s="1" t="s">
        <v>1155</v>
      </c>
      <c r="H581" s="2" t="s">
        <v>0</v>
      </c>
      <c r="I581" s="2">
        <v>1111.29</v>
      </c>
    </row>
    <row r="582">
      <c r="A582" s="1" t="s">
        <v>1156</v>
      </c>
      <c r="B582" s="2" t="s">
        <v>0</v>
      </c>
      <c r="C582" s="2">
        <v>1234.18</v>
      </c>
      <c r="D582" s="2" t="s">
        <v>0</v>
      </c>
      <c r="E582" s="2">
        <v>2184.83</v>
      </c>
      <c r="G582" s="1" t="s">
        <v>1157</v>
      </c>
      <c r="H582" s="2" t="s">
        <v>0</v>
      </c>
      <c r="I582" s="2">
        <v>1111.29</v>
      </c>
    </row>
    <row r="583">
      <c r="A583" s="1" t="s">
        <v>1158</v>
      </c>
      <c r="B583" s="2">
        <v>1235.35</v>
      </c>
      <c r="C583" s="2">
        <v>1235.35</v>
      </c>
      <c r="D583" s="2">
        <v>2195.38</v>
      </c>
      <c r="E583" s="2">
        <v>2195.38</v>
      </c>
      <c r="G583" s="1" t="s">
        <v>1159</v>
      </c>
      <c r="H583" s="2">
        <v>1115.98</v>
      </c>
      <c r="I583" s="2">
        <v>1115.98</v>
      </c>
    </row>
    <row r="584">
      <c r="A584" s="1" t="s">
        <v>1160</v>
      </c>
      <c r="B584" s="2">
        <v>1244.12</v>
      </c>
      <c r="C584" s="2">
        <v>1244.12</v>
      </c>
      <c r="D584" s="2">
        <v>2218.15</v>
      </c>
      <c r="E584" s="2">
        <v>2218.15</v>
      </c>
      <c r="G584" s="1" t="s">
        <v>1161</v>
      </c>
      <c r="H584" s="2">
        <v>1118.83</v>
      </c>
      <c r="I584" s="2">
        <v>1118.83</v>
      </c>
    </row>
    <row r="585">
      <c r="A585" s="1" t="s">
        <v>1162</v>
      </c>
      <c r="B585" s="2">
        <v>1245.04</v>
      </c>
      <c r="C585" s="2">
        <v>1245.04</v>
      </c>
      <c r="D585" s="2">
        <v>2216.81</v>
      </c>
      <c r="E585" s="2">
        <v>2216.81</v>
      </c>
      <c r="G585" s="1" t="s">
        <v>1163</v>
      </c>
      <c r="H585" s="2">
        <v>1117.11</v>
      </c>
      <c r="I585" s="2">
        <v>1117.11</v>
      </c>
    </row>
    <row r="586">
      <c r="A586" s="1" t="s">
        <v>1164</v>
      </c>
      <c r="B586" s="2">
        <v>1235.86</v>
      </c>
      <c r="C586" s="2">
        <v>1235.86</v>
      </c>
      <c r="D586" s="2">
        <v>2191.32</v>
      </c>
      <c r="E586" s="2">
        <v>2191.32</v>
      </c>
      <c r="G586" s="1" t="s">
        <v>1165</v>
      </c>
      <c r="H586" s="2">
        <v>1111.39</v>
      </c>
      <c r="I586" s="2">
        <v>1111.39</v>
      </c>
    </row>
    <row r="587">
      <c r="A587" s="1" t="s">
        <v>1166</v>
      </c>
      <c r="B587" s="2">
        <v>1226.42</v>
      </c>
      <c r="C587" s="2">
        <v>1226.42</v>
      </c>
      <c r="D587" s="2">
        <v>2177.91</v>
      </c>
      <c r="E587" s="2">
        <v>2177.91</v>
      </c>
      <c r="G587" s="1" t="s">
        <v>1167</v>
      </c>
      <c r="H587" s="2">
        <v>1089.36</v>
      </c>
      <c r="I587" s="2">
        <v>1089.36</v>
      </c>
    </row>
    <row r="588">
      <c r="A588" s="1" t="s">
        <v>1168</v>
      </c>
      <c r="B588" s="2" t="s">
        <v>0</v>
      </c>
      <c r="C588" s="2">
        <v>1226.42</v>
      </c>
      <c r="D588" s="2" t="s">
        <v>0</v>
      </c>
      <c r="E588" s="2">
        <v>2177.91</v>
      </c>
      <c r="G588" s="1" t="s">
        <v>1169</v>
      </c>
      <c r="H588" s="2" t="s">
        <v>0</v>
      </c>
      <c r="I588" s="2">
        <v>1089.36</v>
      </c>
    </row>
    <row r="589">
      <c r="A589" s="1" t="s">
        <v>1170</v>
      </c>
      <c r="B589" s="2" t="s">
        <v>0</v>
      </c>
      <c r="C589" s="2">
        <v>1226.42</v>
      </c>
      <c r="D589" s="2" t="s">
        <v>0</v>
      </c>
      <c r="E589" s="2">
        <v>2177.91</v>
      </c>
      <c r="G589" s="1" t="s">
        <v>1171</v>
      </c>
      <c r="H589" s="2" t="s">
        <v>0</v>
      </c>
      <c r="I589" s="2">
        <v>1089.36</v>
      </c>
    </row>
    <row r="590">
      <c r="A590" s="1" t="s">
        <v>1172</v>
      </c>
      <c r="B590" s="2">
        <v>1223.13</v>
      </c>
      <c r="C590" s="2">
        <v>1223.13</v>
      </c>
      <c r="D590" s="2">
        <v>2164.39</v>
      </c>
      <c r="E590" s="2">
        <v>2164.39</v>
      </c>
      <c r="G590" s="1" t="s">
        <v>1173</v>
      </c>
      <c r="H590" s="2">
        <v>1086.64</v>
      </c>
      <c r="I590" s="2">
        <v>1086.64</v>
      </c>
    </row>
    <row r="591">
      <c r="A591" s="1" t="s">
        <v>1174</v>
      </c>
      <c r="B591" s="2">
        <v>1231.38</v>
      </c>
      <c r="C591" s="2">
        <v>1231.38</v>
      </c>
      <c r="D591" s="2">
        <v>2174.19</v>
      </c>
      <c r="E591" s="2">
        <v>2174.19</v>
      </c>
      <c r="G591" s="1" t="s">
        <v>1175</v>
      </c>
      <c r="H591" s="2">
        <v>1099.77</v>
      </c>
      <c r="I591" s="2">
        <v>1099.77</v>
      </c>
    </row>
    <row r="592">
      <c r="A592" s="1" t="s">
        <v>1176</v>
      </c>
      <c r="B592" s="2">
        <v>1229.13</v>
      </c>
      <c r="C592" s="2">
        <v>1229.13</v>
      </c>
      <c r="D592" s="2">
        <v>2157.81</v>
      </c>
      <c r="E592" s="2">
        <v>2157.81</v>
      </c>
      <c r="G592" s="1" t="s">
        <v>1177</v>
      </c>
      <c r="H592" s="2">
        <v>1104.86</v>
      </c>
      <c r="I592" s="2">
        <v>1104.86</v>
      </c>
    </row>
    <row r="593">
      <c r="A593" s="1" t="s">
        <v>1178</v>
      </c>
      <c r="B593" s="2">
        <v>1237.81</v>
      </c>
      <c r="C593" s="2">
        <v>1237.81</v>
      </c>
      <c r="D593" s="2">
        <v>2174.55</v>
      </c>
      <c r="E593" s="2">
        <v>2174.55</v>
      </c>
      <c r="G593" s="1" t="s">
        <v>1179</v>
      </c>
      <c r="H593" s="2">
        <v>1123.77</v>
      </c>
      <c r="I593" s="2">
        <v>1123.77</v>
      </c>
    </row>
    <row r="594">
      <c r="A594" s="1" t="s">
        <v>1180</v>
      </c>
      <c r="B594" s="2">
        <v>1230.39</v>
      </c>
      <c r="C594" s="2">
        <v>1230.39</v>
      </c>
      <c r="D594" s="2">
        <v>2156.9</v>
      </c>
      <c r="E594" s="2">
        <v>2156.9</v>
      </c>
      <c r="G594" s="1" t="s">
        <v>1181</v>
      </c>
      <c r="H594" s="2">
        <v>1130.22</v>
      </c>
      <c r="I594" s="2">
        <v>1130.22</v>
      </c>
    </row>
    <row r="595">
      <c r="A595" s="1" t="s">
        <v>1182</v>
      </c>
      <c r="B595" s="2" t="s">
        <v>0</v>
      </c>
      <c r="C595" s="2">
        <v>1230.39</v>
      </c>
      <c r="D595" s="2" t="s">
        <v>0</v>
      </c>
      <c r="E595" s="2">
        <v>2156.9</v>
      </c>
      <c r="G595" s="1" t="s">
        <v>1183</v>
      </c>
      <c r="H595" s="2" t="s">
        <v>0</v>
      </c>
      <c r="I595" s="2">
        <v>1130.22</v>
      </c>
    </row>
    <row r="596">
      <c r="A596" s="1" t="s">
        <v>1184</v>
      </c>
      <c r="B596" s="2" t="s">
        <v>0</v>
      </c>
      <c r="C596" s="2">
        <v>1230.39</v>
      </c>
      <c r="D596" s="2" t="s">
        <v>0</v>
      </c>
      <c r="E596" s="2">
        <v>2156.9</v>
      </c>
      <c r="G596" s="1" t="s">
        <v>1185</v>
      </c>
      <c r="H596" s="2" t="s">
        <v>0</v>
      </c>
      <c r="I596" s="2">
        <v>1130.22</v>
      </c>
    </row>
    <row r="597">
      <c r="A597" s="1" t="s">
        <v>1186</v>
      </c>
      <c r="B597" s="2">
        <v>1233.87</v>
      </c>
      <c r="C597" s="2">
        <v>1233.87</v>
      </c>
      <c r="D597" s="2">
        <v>2167.04</v>
      </c>
      <c r="E597" s="2">
        <v>2167.04</v>
      </c>
      <c r="G597" s="1" t="s">
        <v>1187</v>
      </c>
      <c r="H597" s="2" t="s">
        <v>0</v>
      </c>
      <c r="I597" s="2">
        <v>1130.22</v>
      </c>
    </row>
    <row r="598">
      <c r="A598" s="1" t="s">
        <v>1188</v>
      </c>
      <c r="B598" s="2">
        <v>1219.34</v>
      </c>
      <c r="C598" s="2">
        <v>1219.34</v>
      </c>
      <c r="D598" s="2">
        <v>2137.06</v>
      </c>
      <c r="E598" s="2">
        <v>2137.06</v>
      </c>
      <c r="G598" s="1" t="s">
        <v>1189</v>
      </c>
      <c r="H598" s="2">
        <v>1116.93</v>
      </c>
      <c r="I598" s="2">
        <v>1116.93</v>
      </c>
    </row>
    <row r="599">
      <c r="A599" s="1" t="s">
        <v>1190</v>
      </c>
      <c r="B599" s="2">
        <v>1220.24</v>
      </c>
      <c r="C599" s="2">
        <v>1220.24</v>
      </c>
      <c r="D599" s="2">
        <v>2145.15</v>
      </c>
      <c r="E599" s="2">
        <v>2145.15</v>
      </c>
      <c r="G599" s="1" t="s">
        <v>1191</v>
      </c>
      <c r="H599" s="2">
        <v>1113.25</v>
      </c>
      <c r="I599" s="2">
        <v>1113.25</v>
      </c>
    </row>
    <row r="600">
      <c r="A600" s="1" t="s">
        <v>1192</v>
      </c>
      <c r="B600" s="2">
        <v>1219.02</v>
      </c>
      <c r="C600" s="2">
        <v>1219.02</v>
      </c>
      <c r="D600" s="2">
        <v>2136.08</v>
      </c>
      <c r="E600" s="2">
        <v>2136.08</v>
      </c>
      <c r="G600" s="1" t="s">
        <v>1193</v>
      </c>
      <c r="H600" s="2">
        <v>1092.71</v>
      </c>
      <c r="I600" s="2">
        <v>1092.71</v>
      </c>
    </row>
    <row r="601">
      <c r="A601" s="1" t="s">
        <v>1194</v>
      </c>
      <c r="B601" s="2">
        <v>1219.71</v>
      </c>
      <c r="C601" s="2">
        <v>1219.71</v>
      </c>
      <c r="D601" s="2">
        <v>2135.56</v>
      </c>
      <c r="E601" s="2">
        <v>2135.56</v>
      </c>
      <c r="G601" s="1" t="s">
        <v>1195</v>
      </c>
      <c r="H601" s="2">
        <v>1089.88</v>
      </c>
      <c r="I601" s="2">
        <v>1089.88</v>
      </c>
    </row>
    <row r="602">
      <c r="A602" s="1" t="s">
        <v>1196</v>
      </c>
      <c r="B602" s="2" t="s">
        <v>0</v>
      </c>
      <c r="C602" s="2">
        <v>1219.71</v>
      </c>
      <c r="D602" s="2" t="s">
        <v>0</v>
      </c>
      <c r="E602" s="2">
        <v>2135.56</v>
      </c>
      <c r="G602" s="1" t="s">
        <v>1197</v>
      </c>
      <c r="H602" s="2" t="s">
        <v>0</v>
      </c>
      <c r="I602" s="2">
        <v>1089.88</v>
      </c>
    </row>
    <row r="603">
      <c r="A603" s="1" t="s">
        <v>1198</v>
      </c>
      <c r="B603" s="2" t="s">
        <v>0</v>
      </c>
      <c r="C603" s="2">
        <v>1219.71</v>
      </c>
      <c r="D603" s="2" t="s">
        <v>0</v>
      </c>
      <c r="E603" s="2">
        <v>2135.56</v>
      </c>
      <c r="G603" s="1" t="s">
        <v>1199</v>
      </c>
      <c r="H603" s="2" t="s">
        <v>0</v>
      </c>
      <c r="I603" s="2">
        <v>1089.88</v>
      </c>
    </row>
    <row r="604">
      <c r="A604" s="1" t="s">
        <v>1200</v>
      </c>
      <c r="B604" s="2">
        <v>1221.73</v>
      </c>
      <c r="C604" s="2">
        <v>1221.73</v>
      </c>
      <c r="D604" s="2">
        <v>2141.41</v>
      </c>
      <c r="E604" s="2">
        <v>2141.41</v>
      </c>
      <c r="G604" s="1" t="s">
        <v>1201</v>
      </c>
      <c r="H604" s="2">
        <v>1116.68</v>
      </c>
      <c r="I604" s="2">
        <v>1116.68</v>
      </c>
    </row>
    <row r="605">
      <c r="A605" s="1" t="s">
        <v>1202</v>
      </c>
      <c r="B605" s="2">
        <v>1217.59</v>
      </c>
      <c r="C605" s="2">
        <v>1217.59</v>
      </c>
      <c r="D605" s="2">
        <v>2137.25</v>
      </c>
      <c r="E605" s="2">
        <v>2137.25</v>
      </c>
      <c r="G605" s="1" t="s">
        <v>1203</v>
      </c>
      <c r="H605" s="2">
        <v>1115.84</v>
      </c>
      <c r="I605" s="2">
        <v>1115.84</v>
      </c>
    </row>
    <row r="606">
      <c r="A606" s="1" t="s">
        <v>1204</v>
      </c>
      <c r="B606" s="2">
        <v>1209.59</v>
      </c>
      <c r="C606" s="2">
        <v>1209.59</v>
      </c>
      <c r="D606" s="2">
        <v>2128.91</v>
      </c>
      <c r="E606" s="2">
        <v>2128.91</v>
      </c>
      <c r="G606" s="1" t="s">
        <v>1205</v>
      </c>
      <c r="H606" s="2">
        <v>1094.21</v>
      </c>
      <c r="I606" s="2">
        <v>1094.21</v>
      </c>
    </row>
    <row r="607">
      <c r="A607" s="1" t="s">
        <v>1206</v>
      </c>
      <c r="B607" s="2">
        <v>1212.37</v>
      </c>
      <c r="C607" s="2">
        <v>1212.37</v>
      </c>
      <c r="D607" s="2">
        <v>2134.37</v>
      </c>
      <c r="E607" s="2">
        <v>2134.37</v>
      </c>
      <c r="G607" s="1" t="s">
        <v>1207</v>
      </c>
      <c r="H607" s="2">
        <v>1097.29</v>
      </c>
      <c r="I607" s="2">
        <v>1097.29</v>
      </c>
    </row>
    <row r="608">
      <c r="A608" s="1" t="s">
        <v>1208</v>
      </c>
      <c r="B608" s="2">
        <v>1205.1</v>
      </c>
      <c r="C608" s="2">
        <v>1205.1</v>
      </c>
      <c r="D608" s="2">
        <v>2120.77</v>
      </c>
      <c r="E608" s="2">
        <v>2120.77</v>
      </c>
      <c r="G608" s="1" t="s">
        <v>1209</v>
      </c>
      <c r="H608" s="2">
        <v>1086.55</v>
      </c>
      <c r="I608" s="2">
        <v>1086.55</v>
      </c>
    </row>
    <row r="609">
      <c r="A609" s="1" t="s">
        <v>1210</v>
      </c>
      <c r="B609" s="2" t="s">
        <v>0</v>
      </c>
      <c r="C609" s="2">
        <v>1205.1</v>
      </c>
      <c r="D609" s="2" t="s">
        <v>0</v>
      </c>
      <c r="E609" s="2">
        <v>2120.77</v>
      </c>
      <c r="G609" s="1" t="s">
        <v>1211</v>
      </c>
      <c r="H609" s="2" t="s">
        <v>0</v>
      </c>
      <c r="I609" s="2">
        <v>1086.55</v>
      </c>
    </row>
    <row r="610">
      <c r="A610" s="1" t="s">
        <v>1212</v>
      </c>
      <c r="B610" s="2" t="s">
        <v>0</v>
      </c>
      <c r="C610" s="2">
        <v>1205.1</v>
      </c>
      <c r="D610" s="2" t="s">
        <v>0</v>
      </c>
      <c r="E610" s="2">
        <v>2120.77</v>
      </c>
      <c r="G610" s="1" t="s">
        <v>1213</v>
      </c>
      <c r="H610" s="2" t="s">
        <v>0</v>
      </c>
      <c r="I610" s="2">
        <v>1086.55</v>
      </c>
    </row>
    <row r="611">
      <c r="A611" s="1" t="s">
        <v>1214</v>
      </c>
      <c r="B611" s="2">
        <v>1212.28</v>
      </c>
      <c r="C611" s="2">
        <v>1212.28</v>
      </c>
      <c r="D611" s="2">
        <v>2137.65</v>
      </c>
      <c r="E611" s="2">
        <v>2137.65</v>
      </c>
      <c r="G611" s="1" t="s">
        <v>1215</v>
      </c>
      <c r="H611" s="2">
        <v>1063.16</v>
      </c>
      <c r="I611" s="2">
        <v>1063.16</v>
      </c>
    </row>
    <row r="612">
      <c r="A612" s="1" t="s">
        <v>1216</v>
      </c>
      <c r="B612" s="2">
        <v>1208.41</v>
      </c>
      <c r="C612" s="2">
        <v>1208.41</v>
      </c>
      <c r="D612" s="2">
        <v>2129.76</v>
      </c>
      <c r="E612" s="2">
        <v>2129.76</v>
      </c>
      <c r="G612" s="1" t="s">
        <v>1217</v>
      </c>
      <c r="H612" s="2">
        <v>1072.61</v>
      </c>
      <c r="I612" s="2">
        <v>1072.61</v>
      </c>
    </row>
    <row r="613">
      <c r="A613" s="1" t="s">
        <v>1218</v>
      </c>
      <c r="B613" s="2">
        <v>1220.33</v>
      </c>
      <c r="C613" s="2">
        <v>1220.33</v>
      </c>
      <c r="D613" s="2">
        <v>2152.09</v>
      </c>
      <c r="E613" s="2">
        <v>2152.09</v>
      </c>
      <c r="G613" s="1" t="s">
        <v>1219</v>
      </c>
      <c r="H613" s="2">
        <v>1083.33</v>
      </c>
      <c r="I613" s="2">
        <v>1083.33</v>
      </c>
    </row>
    <row r="614">
      <c r="A614" s="1" t="s">
        <v>1220</v>
      </c>
      <c r="B614" s="2">
        <v>1221.59</v>
      </c>
      <c r="C614" s="2">
        <v>1221.59</v>
      </c>
      <c r="D614" s="2">
        <v>2147.9</v>
      </c>
      <c r="E614" s="2">
        <v>2147.9</v>
      </c>
      <c r="G614" s="1" t="s">
        <v>1221</v>
      </c>
      <c r="H614" s="2">
        <v>1106.37</v>
      </c>
      <c r="I614" s="2">
        <v>1106.37</v>
      </c>
    </row>
    <row r="615">
      <c r="A615" s="1" t="s">
        <v>1222</v>
      </c>
      <c r="B615" s="2">
        <v>1218.02</v>
      </c>
      <c r="C615" s="2">
        <v>1218.02</v>
      </c>
      <c r="D615" s="2">
        <v>2141.07</v>
      </c>
      <c r="E615" s="2">
        <v>2141.07</v>
      </c>
      <c r="G615" s="1" t="s">
        <v>1223</v>
      </c>
      <c r="H615" s="2">
        <v>1115.83</v>
      </c>
      <c r="I615" s="2">
        <v>1115.83</v>
      </c>
    </row>
    <row r="616">
      <c r="A616" s="1" t="s">
        <v>1224</v>
      </c>
      <c r="B616" s="2" t="s">
        <v>0</v>
      </c>
      <c r="C616" s="2">
        <v>1218.02</v>
      </c>
      <c r="D616" s="2" t="s">
        <v>0</v>
      </c>
      <c r="E616" s="2">
        <v>2141.07</v>
      </c>
      <c r="G616" s="1" t="s">
        <v>1225</v>
      </c>
      <c r="H616" s="2" t="s">
        <v>0</v>
      </c>
      <c r="I616" s="2">
        <v>1115.83</v>
      </c>
    </row>
    <row r="617">
      <c r="A617" s="1" t="s">
        <v>1226</v>
      </c>
      <c r="B617" s="2" t="s">
        <v>0</v>
      </c>
      <c r="C617" s="2">
        <v>1218.02</v>
      </c>
      <c r="D617" s="2" t="s">
        <v>0</v>
      </c>
      <c r="E617" s="2">
        <v>2141.07</v>
      </c>
      <c r="G617" s="1" t="s">
        <v>1227</v>
      </c>
      <c r="H617" s="2" t="s">
        <v>0</v>
      </c>
      <c r="I617" s="2">
        <v>1115.83</v>
      </c>
    </row>
    <row r="618">
      <c r="A618" s="1" t="s">
        <v>1228</v>
      </c>
      <c r="B618" s="2" t="s">
        <v>0</v>
      </c>
      <c r="C618" s="2">
        <v>1218.02</v>
      </c>
      <c r="D618" s="2" t="s">
        <v>0</v>
      </c>
      <c r="E618" s="2">
        <v>2141.07</v>
      </c>
      <c r="G618" s="1" t="s">
        <v>1229</v>
      </c>
      <c r="H618" s="2">
        <v>1114.5</v>
      </c>
      <c r="I618" s="2">
        <v>1114.5</v>
      </c>
    </row>
    <row r="619">
      <c r="A619" s="1" t="s">
        <v>1230</v>
      </c>
      <c r="B619" s="2">
        <v>1233.39</v>
      </c>
      <c r="C619" s="2">
        <v>1233.39</v>
      </c>
      <c r="D619" s="2">
        <v>2166.86</v>
      </c>
      <c r="E619" s="2">
        <v>2166.86</v>
      </c>
      <c r="G619" s="1" t="s">
        <v>1231</v>
      </c>
      <c r="H619" s="2">
        <v>1122.65</v>
      </c>
      <c r="I619" s="2">
        <v>1122.65</v>
      </c>
    </row>
    <row r="620">
      <c r="A620" s="1" t="s">
        <v>1232</v>
      </c>
      <c r="B620" s="2">
        <v>1236.36</v>
      </c>
      <c r="C620" s="2">
        <v>1236.36</v>
      </c>
      <c r="D620" s="2">
        <v>2172.03</v>
      </c>
      <c r="E620" s="2">
        <v>2172.03</v>
      </c>
      <c r="G620" s="1" t="s">
        <v>1233</v>
      </c>
      <c r="H620" s="2">
        <v>1142.99</v>
      </c>
      <c r="I620" s="2">
        <v>1142.99</v>
      </c>
    </row>
    <row r="621">
      <c r="A621" s="1" t="s">
        <v>1234</v>
      </c>
      <c r="B621" s="2">
        <v>1231.67</v>
      </c>
      <c r="C621" s="2">
        <v>1231.67</v>
      </c>
      <c r="D621" s="2">
        <v>2166.03</v>
      </c>
      <c r="E621" s="2">
        <v>2166.03</v>
      </c>
      <c r="G621" s="1" t="s">
        <v>1235</v>
      </c>
      <c r="H621" s="2">
        <v>1145.26</v>
      </c>
      <c r="I621" s="2">
        <v>1145.26</v>
      </c>
    </row>
    <row r="622">
      <c r="A622" s="1" t="s">
        <v>1236</v>
      </c>
      <c r="B622" s="2">
        <v>1241.48</v>
      </c>
      <c r="C622" s="2">
        <v>1241.48</v>
      </c>
      <c r="D622" s="2">
        <v>2175.51</v>
      </c>
      <c r="E622" s="2">
        <v>2175.51</v>
      </c>
      <c r="G622" s="1" t="s">
        <v>1237</v>
      </c>
      <c r="H622" s="2">
        <v>1152.5</v>
      </c>
      <c r="I622" s="2">
        <v>1152.5</v>
      </c>
    </row>
    <row r="623">
      <c r="A623" s="1" t="s">
        <v>1238</v>
      </c>
      <c r="B623" s="2" t="s">
        <v>0</v>
      </c>
      <c r="C623" s="2">
        <v>1241.48</v>
      </c>
      <c r="D623" s="2" t="s">
        <v>0</v>
      </c>
      <c r="E623" s="2">
        <v>2175.51</v>
      </c>
      <c r="G623" s="1" t="s">
        <v>1239</v>
      </c>
      <c r="H623" s="2" t="s">
        <v>0</v>
      </c>
      <c r="I623" s="2">
        <v>1152.5</v>
      </c>
    </row>
    <row r="624">
      <c r="A624" s="1" t="s">
        <v>1240</v>
      </c>
      <c r="B624" s="2" t="s">
        <v>0</v>
      </c>
      <c r="C624" s="2">
        <v>1241.48</v>
      </c>
      <c r="D624" s="2" t="s">
        <v>0</v>
      </c>
      <c r="E624" s="2">
        <v>2175.51</v>
      </c>
      <c r="G624" s="1" t="s">
        <v>1241</v>
      </c>
      <c r="H624" s="2" t="s">
        <v>0</v>
      </c>
      <c r="I624" s="2">
        <v>1152.5</v>
      </c>
    </row>
    <row r="625">
      <c r="A625" s="1" t="s">
        <v>1242</v>
      </c>
      <c r="B625" s="2">
        <v>1240.56</v>
      </c>
      <c r="C625" s="2">
        <v>1240.56</v>
      </c>
      <c r="D625" s="2">
        <v>2182.83</v>
      </c>
      <c r="E625" s="2">
        <v>2182.83</v>
      </c>
      <c r="G625" s="1" t="s">
        <v>1243</v>
      </c>
      <c r="H625" s="2">
        <v>1158.36</v>
      </c>
      <c r="I625" s="2">
        <v>1158.36</v>
      </c>
    </row>
    <row r="626">
      <c r="A626" s="1" t="s">
        <v>1244</v>
      </c>
      <c r="B626" s="2">
        <v>1231.2</v>
      </c>
      <c r="C626" s="2">
        <v>1231.2</v>
      </c>
      <c r="D626" s="2">
        <v>2171.75</v>
      </c>
      <c r="E626" s="2">
        <v>2171.75</v>
      </c>
      <c r="G626" s="1" t="s">
        <v>1245</v>
      </c>
      <c r="H626" s="2">
        <v>1158.12</v>
      </c>
      <c r="I626" s="2">
        <v>1158.12</v>
      </c>
    </row>
    <row r="627">
      <c r="A627" s="1" t="s">
        <v>1246</v>
      </c>
      <c r="B627" s="2">
        <v>1227.16</v>
      </c>
      <c r="C627" s="2">
        <v>1227.16</v>
      </c>
      <c r="D627" s="2">
        <v>2149.33</v>
      </c>
      <c r="E627" s="2">
        <v>2149.33</v>
      </c>
      <c r="G627" s="1" t="s">
        <v>1247</v>
      </c>
      <c r="H627" s="2">
        <v>1170.77</v>
      </c>
      <c r="I627" s="2">
        <v>1170.77</v>
      </c>
    </row>
    <row r="628">
      <c r="A628" s="1" t="s">
        <v>1248</v>
      </c>
      <c r="B628" s="2">
        <v>1227.73</v>
      </c>
      <c r="C628" s="2">
        <v>1227.73</v>
      </c>
      <c r="D628" s="2">
        <v>2146.15</v>
      </c>
      <c r="E628" s="2">
        <v>2146.15</v>
      </c>
      <c r="G628" s="1" t="s">
        <v>1249</v>
      </c>
      <c r="H628" s="2">
        <v>1169.59</v>
      </c>
      <c r="I628" s="2">
        <v>1169.59</v>
      </c>
    </row>
    <row r="629">
      <c r="A629" s="1" t="s">
        <v>1250</v>
      </c>
      <c r="B629" s="2">
        <v>1237.91</v>
      </c>
      <c r="C629" s="2">
        <v>1237.91</v>
      </c>
      <c r="D629" s="2">
        <v>2160.35</v>
      </c>
      <c r="E629" s="2">
        <v>2160.35</v>
      </c>
      <c r="G629" s="1" t="s">
        <v>1251</v>
      </c>
      <c r="H629" s="2">
        <v>1174.13</v>
      </c>
      <c r="I629" s="2">
        <v>1174.13</v>
      </c>
    </row>
    <row r="630">
      <c r="A630" s="1" t="s">
        <v>1252</v>
      </c>
      <c r="B630" s="2" t="s">
        <v>0</v>
      </c>
      <c r="C630" s="2">
        <v>1237.91</v>
      </c>
      <c r="D630" s="2" t="s">
        <v>0</v>
      </c>
      <c r="E630" s="2">
        <v>2160.35</v>
      </c>
      <c r="G630" s="1" t="s">
        <v>1253</v>
      </c>
      <c r="H630" s="2" t="s">
        <v>0</v>
      </c>
      <c r="I630" s="2">
        <v>1174.13</v>
      </c>
    </row>
    <row r="631">
      <c r="A631" s="1" t="s">
        <v>1254</v>
      </c>
      <c r="B631" s="2" t="s">
        <v>0</v>
      </c>
      <c r="C631" s="2">
        <v>1237.91</v>
      </c>
      <c r="D631" s="2" t="s">
        <v>0</v>
      </c>
      <c r="E631" s="2">
        <v>2160.35</v>
      </c>
      <c r="G631" s="1" t="s">
        <v>1255</v>
      </c>
      <c r="H631" s="2" t="s">
        <v>0</v>
      </c>
      <c r="I631" s="2">
        <v>1174.13</v>
      </c>
    </row>
    <row r="632">
      <c r="A632" s="1" t="s">
        <v>1256</v>
      </c>
      <c r="B632" s="2">
        <v>1231.02</v>
      </c>
      <c r="C632" s="2">
        <v>1231.02</v>
      </c>
      <c r="D632" s="2">
        <v>2145.26</v>
      </c>
      <c r="E632" s="2">
        <v>2145.26</v>
      </c>
      <c r="G632" s="1" t="s">
        <v>1257</v>
      </c>
      <c r="H632" s="2" t="s">
        <v>0</v>
      </c>
      <c r="I632" s="2">
        <v>1174.13</v>
      </c>
    </row>
    <row r="633">
      <c r="A633" s="1" t="s">
        <v>1258</v>
      </c>
      <c r="B633" s="2">
        <v>1221.34</v>
      </c>
      <c r="C633" s="2">
        <v>1221.34</v>
      </c>
      <c r="D633" s="2">
        <v>2131.33</v>
      </c>
      <c r="E633" s="2">
        <v>2131.33</v>
      </c>
      <c r="G633" s="1" t="s">
        <v>1259</v>
      </c>
      <c r="H633" s="2">
        <v>1190.93</v>
      </c>
      <c r="I633" s="2">
        <v>1190.93</v>
      </c>
    </row>
    <row r="634">
      <c r="A634" s="1" t="s">
        <v>1260</v>
      </c>
      <c r="B634" s="2">
        <v>1210.2</v>
      </c>
      <c r="C634" s="2">
        <v>1210.2</v>
      </c>
      <c r="D634" s="2">
        <v>2106.64</v>
      </c>
      <c r="E634" s="2">
        <v>2106.64</v>
      </c>
      <c r="G634" s="1" t="s">
        <v>1261</v>
      </c>
      <c r="H634" s="2">
        <v>1196.67</v>
      </c>
      <c r="I634" s="2">
        <v>1196.67</v>
      </c>
    </row>
    <row r="635">
      <c r="A635" s="1" t="s">
        <v>1262</v>
      </c>
      <c r="B635" s="2">
        <v>1214.62</v>
      </c>
      <c r="C635" s="2">
        <v>1214.62</v>
      </c>
      <c r="D635" s="2">
        <v>2110.78</v>
      </c>
      <c r="E635" s="2">
        <v>2110.78</v>
      </c>
      <c r="G635" s="1" t="s">
        <v>1263</v>
      </c>
      <c r="H635" s="2">
        <v>1199.97</v>
      </c>
      <c r="I635" s="2">
        <v>1199.97</v>
      </c>
    </row>
    <row r="636">
      <c r="A636" s="1" t="s">
        <v>1264</v>
      </c>
      <c r="B636" s="2">
        <v>1215.29</v>
      </c>
      <c r="C636" s="2">
        <v>1215.29</v>
      </c>
      <c r="D636" s="2">
        <v>2116.84</v>
      </c>
      <c r="E636" s="2">
        <v>2116.84</v>
      </c>
      <c r="G636" s="1" t="s">
        <v>1265</v>
      </c>
      <c r="H636" s="2">
        <v>1175.88</v>
      </c>
      <c r="I636" s="2">
        <v>1175.88</v>
      </c>
    </row>
    <row r="637">
      <c r="A637" s="1" t="s">
        <v>1266</v>
      </c>
      <c r="B637" s="2" t="s">
        <v>0</v>
      </c>
      <c r="C637" s="2">
        <v>1215.29</v>
      </c>
      <c r="D637" s="2" t="s">
        <v>0</v>
      </c>
      <c r="E637" s="2">
        <v>2116.84</v>
      </c>
      <c r="G637" s="1" t="s">
        <v>1267</v>
      </c>
      <c r="H637" s="2" t="s">
        <v>0</v>
      </c>
      <c r="I637" s="2">
        <v>1175.88</v>
      </c>
    </row>
    <row r="638">
      <c r="A638" s="1" t="s">
        <v>1268</v>
      </c>
      <c r="B638" s="2" t="s">
        <v>0</v>
      </c>
      <c r="C638" s="2">
        <v>1215.29</v>
      </c>
      <c r="D638" s="2" t="s">
        <v>0</v>
      </c>
      <c r="E638" s="2">
        <v>2116.84</v>
      </c>
      <c r="G638" s="1" t="s">
        <v>1269</v>
      </c>
      <c r="H638" s="2" t="s">
        <v>0</v>
      </c>
      <c r="I638" s="2">
        <v>1175.88</v>
      </c>
    </row>
    <row r="639">
      <c r="A639" s="1" t="s">
        <v>1270</v>
      </c>
      <c r="B639" s="2">
        <v>1215.63</v>
      </c>
      <c r="C639" s="2">
        <v>1215.63</v>
      </c>
      <c r="D639" s="2">
        <v>2121.46</v>
      </c>
      <c r="E639" s="2">
        <v>2121.46</v>
      </c>
      <c r="G639" s="1" t="s">
        <v>1271</v>
      </c>
      <c r="H639" s="2">
        <v>1206.41</v>
      </c>
      <c r="I639" s="2">
        <v>1206.41</v>
      </c>
    </row>
    <row r="640">
      <c r="A640" s="1" t="s">
        <v>1272</v>
      </c>
      <c r="B640" s="2">
        <v>1215.66</v>
      </c>
      <c r="C640" s="2">
        <v>1215.66</v>
      </c>
      <c r="D640" s="2">
        <v>2116.42</v>
      </c>
      <c r="E640" s="2">
        <v>2116.42</v>
      </c>
      <c r="G640" s="1" t="s">
        <v>1273</v>
      </c>
      <c r="H640" s="2">
        <v>1209.63</v>
      </c>
      <c r="I640" s="2">
        <v>1209.63</v>
      </c>
    </row>
    <row r="641">
      <c r="A641" s="1" t="s">
        <v>1274</v>
      </c>
      <c r="B641" s="2">
        <v>1216.89</v>
      </c>
      <c r="C641" s="2">
        <v>1216.89</v>
      </c>
      <c r="D641" s="2">
        <v>2115.4</v>
      </c>
      <c r="E641" s="2">
        <v>2115.4</v>
      </c>
      <c r="G641" s="1" t="s">
        <v>1275</v>
      </c>
      <c r="H641" s="2">
        <v>1228.57</v>
      </c>
      <c r="I641" s="2">
        <v>1228.57</v>
      </c>
    </row>
    <row r="642">
      <c r="A642" s="1" t="s">
        <v>1276</v>
      </c>
      <c r="B642" s="2">
        <v>1227.68</v>
      </c>
      <c r="C642" s="2">
        <v>1227.68</v>
      </c>
      <c r="D642" s="2">
        <v>2141.22</v>
      </c>
      <c r="E642" s="2">
        <v>2141.22</v>
      </c>
      <c r="G642" s="1" t="s">
        <v>1277</v>
      </c>
      <c r="H642" s="2">
        <v>1231.22</v>
      </c>
      <c r="I642" s="2">
        <v>1231.22</v>
      </c>
    </row>
    <row r="643">
      <c r="A643" s="1" t="s">
        <v>1278</v>
      </c>
      <c r="B643" s="2">
        <v>1228.81</v>
      </c>
      <c r="C643" s="2">
        <v>1228.81</v>
      </c>
      <c r="D643" s="2">
        <v>2151.69</v>
      </c>
      <c r="E643" s="2">
        <v>2151.69</v>
      </c>
      <c r="G643" s="1" t="s">
        <v>1279</v>
      </c>
      <c r="H643" s="2">
        <v>1221.01</v>
      </c>
      <c r="I643" s="2">
        <v>1221.01</v>
      </c>
    </row>
    <row r="644">
      <c r="A644" s="1" t="s">
        <v>1280</v>
      </c>
      <c r="B644" s="2" t="s">
        <v>0</v>
      </c>
      <c r="C644" s="2">
        <v>1228.81</v>
      </c>
      <c r="D644" s="2" t="s">
        <v>0</v>
      </c>
      <c r="E644" s="2">
        <v>2151.69</v>
      </c>
      <c r="G644" s="1" t="s">
        <v>1281</v>
      </c>
      <c r="H644" s="2" t="s">
        <v>0</v>
      </c>
      <c r="I644" s="2">
        <v>1221.01</v>
      </c>
    </row>
    <row r="645">
      <c r="A645" s="1" t="s">
        <v>1282</v>
      </c>
      <c r="B645" s="2" t="s">
        <v>0</v>
      </c>
      <c r="C645" s="2">
        <v>1228.81</v>
      </c>
      <c r="D645" s="2" t="s">
        <v>0</v>
      </c>
      <c r="E645" s="2">
        <v>2151.69</v>
      </c>
      <c r="G645" s="1" t="s">
        <v>1283</v>
      </c>
      <c r="H645" s="2" t="s">
        <v>0</v>
      </c>
      <c r="I645" s="2">
        <v>1221.01</v>
      </c>
    </row>
    <row r="646">
      <c r="A646" s="1" t="s">
        <v>1284</v>
      </c>
      <c r="B646" s="2">
        <v>1226.7</v>
      </c>
      <c r="C646" s="2">
        <v>1226.7</v>
      </c>
      <c r="D646" s="2">
        <v>2155.43</v>
      </c>
      <c r="E646" s="2">
        <v>2155.43</v>
      </c>
      <c r="G646" s="1" t="s">
        <v>1285</v>
      </c>
      <c r="H646" s="2" t="s">
        <v>0</v>
      </c>
      <c r="I646" s="2">
        <v>1221.01</v>
      </c>
    </row>
    <row r="647">
      <c r="A647" s="1" t="s">
        <v>1286</v>
      </c>
      <c r="B647" s="2">
        <v>1214.47</v>
      </c>
      <c r="C647" s="2">
        <v>1214.47</v>
      </c>
      <c r="D647" s="2">
        <v>2139.36</v>
      </c>
      <c r="E647" s="2">
        <v>2139.36</v>
      </c>
      <c r="G647" s="1" t="s">
        <v>1287</v>
      </c>
      <c r="H647" s="2">
        <v>1242.78</v>
      </c>
      <c r="I647" s="2">
        <v>1242.78</v>
      </c>
    </row>
    <row r="648">
      <c r="A648" s="1" t="s">
        <v>1288</v>
      </c>
      <c r="B648" s="2">
        <v>1196.39</v>
      </c>
      <c r="C648" s="2">
        <v>1196.39</v>
      </c>
      <c r="D648" s="2">
        <v>2103.02</v>
      </c>
      <c r="E648" s="2">
        <v>2103.02</v>
      </c>
      <c r="G648" s="1" t="s">
        <v>1289</v>
      </c>
      <c r="H648" s="2">
        <v>1227.4</v>
      </c>
      <c r="I648" s="2">
        <v>1227.4</v>
      </c>
    </row>
    <row r="649">
      <c r="A649" s="1" t="s">
        <v>1290</v>
      </c>
      <c r="B649" s="2">
        <v>1191.49</v>
      </c>
      <c r="C649" s="2">
        <v>1191.49</v>
      </c>
      <c r="D649" s="2">
        <v>2084.08</v>
      </c>
      <c r="E649" s="2">
        <v>2084.08</v>
      </c>
      <c r="G649" s="1" t="s">
        <v>1291</v>
      </c>
      <c r="H649" s="2">
        <v>1202.49</v>
      </c>
      <c r="I649" s="2">
        <v>1202.49</v>
      </c>
    </row>
    <row r="650">
      <c r="A650" s="1" t="s">
        <v>1292</v>
      </c>
      <c r="B650" s="2">
        <v>1195.9</v>
      </c>
      <c r="C650" s="2">
        <v>1195.9</v>
      </c>
      <c r="D650" s="2">
        <v>2090.35</v>
      </c>
      <c r="E650" s="2">
        <v>2090.35</v>
      </c>
      <c r="G650" s="1" t="s">
        <v>1293</v>
      </c>
      <c r="H650" s="2">
        <v>1201.01</v>
      </c>
      <c r="I650" s="2">
        <v>1201.01</v>
      </c>
    </row>
    <row r="651">
      <c r="A651" s="1" t="s">
        <v>1294</v>
      </c>
      <c r="B651" s="2" t="s">
        <v>0</v>
      </c>
      <c r="C651" s="2">
        <v>1195.9</v>
      </c>
      <c r="D651" s="2" t="s">
        <v>0</v>
      </c>
      <c r="E651" s="2">
        <v>2090.35</v>
      </c>
      <c r="G651" s="1" t="s">
        <v>1295</v>
      </c>
      <c r="H651" s="2" t="s">
        <v>0</v>
      </c>
      <c r="I651" s="2">
        <v>1201.01</v>
      </c>
    </row>
    <row r="652">
      <c r="A652" s="1" t="s">
        <v>1296</v>
      </c>
      <c r="B652" s="2" t="s">
        <v>0</v>
      </c>
      <c r="C652" s="2">
        <v>1195.9</v>
      </c>
      <c r="D652" s="2" t="s">
        <v>0</v>
      </c>
      <c r="E652" s="2">
        <v>2090.35</v>
      </c>
      <c r="G652" s="1" t="s">
        <v>1297</v>
      </c>
      <c r="H652" s="2" t="s">
        <v>0</v>
      </c>
      <c r="I652" s="2">
        <v>1201.01</v>
      </c>
    </row>
    <row r="653">
      <c r="A653" s="1" t="s">
        <v>1298</v>
      </c>
      <c r="B653" s="2">
        <v>1187.33</v>
      </c>
      <c r="C653" s="2">
        <v>1187.33</v>
      </c>
      <c r="D653" s="2">
        <v>2078.92</v>
      </c>
      <c r="E653" s="2">
        <v>2078.92</v>
      </c>
      <c r="G653" s="1" t="s">
        <v>1299</v>
      </c>
      <c r="H653" s="2">
        <v>1227.18</v>
      </c>
      <c r="I653" s="2">
        <v>1227.18</v>
      </c>
    </row>
    <row r="654">
      <c r="A654" s="1" t="s">
        <v>1300</v>
      </c>
      <c r="B654" s="2">
        <v>1184.87</v>
      </c>
      <c r="C654" s="2">
        <v>1184.87</v>
      </c>
      <c r="D654" s="2">
        <v>2061.09</v>
      </c>
      <c r="E654" s="2">
        <v>2061.09</v>
      </c>
      <c r="G654" s="1" t="s">
        <v>1301</v>
      </c>
      <c r="H654" s="2">
        <v>1244.27</v>
      </c>
      <c r="I654" s="2">
        <v>1244.27</v>
      </c>
    </row>
    <row r="655">
      <c r="A655" s="1" t="s">
        <v>1302</v>
      </c>
      <c r="B655" s="2">
        <v>1177.68</v>
      </c>
      <c r="C655" s="2">
        <v>1177.68</v>
      </c>
      <c r="D655" s="2">
        <v>2037.47</v>
      </c>
      <c r="E655" s="2">
        <v>2037.47</v>
      </c>
      <c r="G655" s="1" t="s">
        <v>1303</v>
      </c>
      <c r="H655" s="2">
        <v>1217.06</v>
      </c>
      <c r="I655" s="2">
        <v>1217.06</v>
      </c>
    </row>
    <row r="656">
      <c r="A656" s="1" t="s">
        <v>1304</v>
      </c>
      <c r="B656" s="2">
        <v>1176.84</v>
      </c>
      <c r="C656" s="2">
        <v>1176.84</v>
      </c>
      <c r="D656" s="2">
        <v>2047.22</v>
      </c>
      <c r="E656" s="2">
        <v>2047.22</v>
      </c>
      <c r="G656" s="1" t="s">
        <v>1305</v>
      </c>
      <c r="H656" s="2">
        <v>1193.44</v>
      </c>
      <c r="I656" s="2">
        <v>1193.44</v>
      </c>
    </row>
    <row r="657">
      <c r="A657" s="1" t="s">
        <v>1306</v>
      </c>
      <c r="B657" s="2">
        <v>1186.57</v>
      </c>
      <c r="C657" s="2">
        <v>1186.57</v>
      </c>
      <c r="D657" s="2">
        <v>2064.83</v>
      </c>
      <c r="E657" s="2">
        <v>2064.83</v>
      </c>
      <c r="G657" s="1" t="s">
        <v>1307</v>
      </c>
      <c r="H657" s="2">
        <v>1190.17</v>
      </c>
      <c r="I657" s="2">
        <v>1190.17</v>
      </c>
    </row>
    <row r="658">
      <c r="A658" s="1" t="s">
        <v>1308</v>
      </c>
      <c r="B658" s="2" t="s">
        <v>0</v>
      </c>
      <c r="C658" s="2">
        <v>1186.57</v>
      </c>
      <c r="D658" s="2" t="s">
        <v>0</v>
      </c>
      <c r="E658" s="2">
        <v>2064.83</v>
      </c>
      <c r="G658" s="1" t="s">
        <v>1309</v>
      </c>
      <c r="H658" s="2" t="s">
        <v>0</v>
      </c>
      <c r="I658" s="2">
        <v>1190.17</v>
      </c>
    </row>
    <row r="659">
      <c r="A659" s="1" t="s">
        <v>1310</v>
      </c>
      <c r="B659" s="2" t="s">
        <v>0</v>
      </c>
      <c r="C659" s="2">
        <v>1186.57</v>
      </c>
      <c r="D659" s="2" t="s">
        <v>0</v>
      </c>
      <c r="E659" s="2">
        <v>2064.83</v>
      </c>
      <c r="G659" s="1" t="s">
        <v>1311</v>
      </c>
      <c r="H659" s="2" t="s">
        <v>0</v>
      </c>
      <c r="I659" s="2">
        <v>1190.17</v>
      </c>
    </row>
    <row r="660">
      <c r="A660" s="1" t="s">
        <v>1312</v>
      </c>
      <c r="B660" s="2">
        <v>1190.1</v>
      </c>
      <c r="C660" s="2">
        <v>1190.1</v>
      </c>
      <c r="D660" s="2">
        <v>2070.3</v>
      </c>
      <c r="E660" s="2">
        <v>2070.3</v>
      </c>
      <c r="G660" s="1" t="s">
        <v>1313</v>
      </c>
      <c r="H660" s="2">
        <v>1176.36</v>
      </c>
      <c r="I660" s="2">
        <v>1176.36</v>
      </c>
    </row>
    <row r="661">
      <c r="A661" s="1" t="s">
        <v>1314</v>
      </c>
      <c r="B661" s="2">
        <v>1178.14</v>
      </c>
      <c r="C661" s="2">
        <v>1178.14</v>
      </c>
      <c r="D661" s="2">
        <v>2056.0</v>
      </c>
      <c r="E661" s="2">
        <v>2056.0</v>
      </c>
      <c r="G661" s="1" t="s">
        <v>1315</v>
      </c>
      <c r="H661" s="2">
        <v>1186.22</v>
      </c>
      <c r="I661" s="2">
        <v>1186.22</v>
      </c>
    </row>
    <row r="662">
      <c r="A662" s="1" t="s">
        <v>1316</v>
      </c>
      <c r="B662" s="2">
        <v>1195.76</v>
      </c>
      <c r="C662" s="2">
        <v>1195.76</v>
      </c>
      <c r="D662" s="2">
        <v>2091.24</v>
      </c>
      <c r="E662" s="2">
        <v>2091.24</v>
      </c>
      <c r="G662" s="1" t="s">
        <v>1317</v>
      </c>
      <c r="H662" s="2">
        <v>1153.13</v>
      </c>
      <c r="I662" s="2">
        <v>1153.13</v>
      </c>
    </row>
    <row r="663">
      <c r="A663" s="1" t="s">
        <v>1318</v>
      </c>
      <c r="B663" s="2">
        <v>1177.8</v>
      </c>
      <c r="C663" s="2">
        <v>1177.8</v>
      </c>
      <c r="D663" s="2">
        <v>2068.11</v>
      </c>
      <c r="E663" s="2">
        <v>2068.11</v>
      </c>
      <c r="G663" s="1" t="s">
        <v>1319</v>
      </c>
      <c r="H663" s="2">
        <v>1162.23</v>
      </c>
      <c r="I663" s="2">
        <v>1162.23</v>
      </c>
    </row>
    <row r="664">
      <c r="A664" s="1" t="s">
        <v>1320</v>
      </c>
      <c r="B664" s="2">
        <v>1179.59</v>
      </c>
      <c r="C664" s="2">
        <v>1179.59</v>
      </c>
      <c r="D664" s="2">
        <v>2082.21</v>
      </c>
      <c r="E664" s="2">
        <v>2082.21</v>
      </c>
      <c r="G664" s="1" t="s">
        <v>1321</v>
      </c>
      <c r="H664" s="2">
        <v>1183.48</v>
      </c>
      <c r="I664" s="2">
        <v>1183.48</v>
      </c>
    </row>
    <row r="665">
      <c r="A665" s="1" t="s">
        <v>1322</v>
      </c>
      <c r="B665" s="2" t="s">
        <v>0</v>
      </c>
      <c r="C665" s="2">
        <v>1179.59</v>
      </c>
      <c r="D665" s="2" t="s">
        <v>0</v>
      </c>
      <c r="E665" s="2">
        <v>2082.21</v>
      </c>
      <c r="G665" s="1" t="s">
        <v>1323</v>
      </c>
      <c r="H665" s="2" t="s">
        <v>0</v>
      </c>
      <c r="I665" s="2">
        <v>1183.48</v>
      </c>
    </row>
    <row r="666">
      <c r="A666" s="1" t="s">
        <v>1324</v>
      </c>
      <c r="B666" s="2" t="s">
        <v>0</v>
      </c>
      <c r="C666" s="2">
        <v>1179.59</v>
      </c>
      <c r="D666" s="2" t="s">
        <v>0</v>
      </c>
      <c r="E666" s="2">
        <v>2082.21</v>
      </c>
      <c r="G666" s="1" t="s">
        <v>1325</v>
      </c>
      <c r="H666" s="2" t="s">
        <v>0</v>
      </c>
      <c r="I666" s="2">
        <v>1183.48</v>
      </c>
    </row>
    <row r="667">
      <c r="A667" s="1" t="s">
        <v>1326</v>
      </c>
      <c r="B667" s="2">
        <v>1199.38</v>
      </c>
      <c r="C667" s="2">
        <v>1199.38</v>
      </c>
      <c r="D667" s="2">
        <v>2115.83</v>
      </c>
      <c r="E667" s="2">
        <v>2115.83</v>
      </c>
      <c r="G667" s="1" t="s">
        <v>1327</v>
      </c>
      <c r="H667" s="2">
        <v>1184.6</v>
      </c>
      <c r="I667" s="2">
        <v>1184.6</v>
      </c>
    </row>
    <row r="668">
      <c r="A668" s="1" t="s">
        <v>1328</v>
      </c>
      <c r="B668" s="2">
        <v>1196.54</v>
      </c>
      <c r="C668" s="2">
        <v>1196.54</v>
      </c>
      <c r="D668" s="2">
        <v>2109.45</v>
      </c>
      <c r="E668" s="2">
        <v>2109.45</v>
      </c>
      <c r="G668" s="1" t="s">
        <v>1329</v>
      </c>
      <c r="H668" s="2">
        <v>1181.28</v>
      </c>
      <c r="I668" s="2">
        <v>1181.28</v>
      </c>
    </row>
    <row r="669">
      <c r="A669" s="1" t="s">
        <v>1330</v>
      </c>
      <c r="B669" s="2">
        <v>1191.38</v>
      </c>
      <c r="C669" s="2">
        <v>1191.38</v>
      </c>
      <c r="D669" s="2">
        <v>2100.05</v>
      </c>
      <c r="E669" s="2">
        <v>2100.05</v>
      </c>
      <c r="G669" s="1" t="s">
        <v>1331</v>
      </c>
      <c r="H669" s="2">
        <v>1179.0</v>
      </c>
      <c r="I669" s="2">
        <v>1179.0</v>
      </c>
    </row>
    <row r="670">
      <c r="A670" s="1" t="s">
        <v>1332</v>
      </c>
      <c r="B670" s="2">
        <v>1178.9</v>
      </c>
      <c r="C670" s="2">
        <v>1178.9</v>
      </c>
      <c r="D670" s="2">
        <v>2063.81</v>
      </c>
      <c r="E670" s="2">
        <v>2063.81</v>
      </c>
      <c r="G670" s="1" t="s">
        <v>1333</v>
      </c>
      <c r="H670" s="2">
        <v>1166.36</v>
      </c>
      <c r="I670" s="2">
        <v>1166.36</v>
      </c>
    </row>
    <row r="671">
      <c r="A671" s="1" t="s">
        <v>1334</v>
      </c>
      <c r="B671" s="2">
        <v>1198.41</v>
      </c>
      <c r="C671" s="2">
        <v>1198.41</v>
      </c>
      <c r="D671" s="2">
        <v>2089.88</v>
      </c>
      <c r="E671" s="2">
        <v>2089.88</v>
      </c>
      <c r="G671" s="1" t="s">
        <v>1335</v>
      </c>
      <c r="H671" s="2">
        <v>1140.72</v>
      </c>
      <c r="I671" s="2">
        <v>1140.72</v>
      </c>
    </row>
    <row r="672">
      <c r="A672" s="1" t="s">
        <v>1336</v>
      </c>
      <c r="B672" s="2" t="s">
        <v>0</v>
      </c>
      <c r="C672" s="2">
        <v>1198.41</v>
      </c>
      <c r="D672" s="2" t="s">
        <v>0</v>
      </c>
      <c r="E672" s="2">
        <v>2089.88</v>
      </c>
      <c r="G672" s="1" t="s">
        <v>1337</v>
      </c>
      <c r="H672" s="2" t="s">
        <v>0</v>
      </c>
      <c r="I672" s="2">
        <v>1140.72</v>
      </c>
    </row>
    <row r="673">
      <c r="A673" s="1" t="s">
        <v>1338</v>
      </c>
      <c r="B673" s="2" t="s">
        <v>0</v>
      </c>
      <c r="C673" s="2">
        <v>1198.41</v>
      </c>
      <c r="D673" s="2" t="s">
        <v>0</v>
      </c>
      <c r="E673" s="2">
        <v>2089.88</v>
      </c>
      <c r="G673" s="1" t="s">
        <v>1339</v>
      </c>
      <c r="H673" s="2" t="s">
        <v>0</v>
      </c>
      <c r="I673" s="2">
        <v>1140.72</v>
      </c>
    </row>
    <row r="674">
      <c r="A674" s="1" t="s">
        <v>1340</v>
      </c>
      <c r="B674" s="2">
        <v>1207.01</v>
      </c>
      <c r="C674" s="2">
        <v>1207.01</v>
      </c>
      <c r="D674" s="2">
        <v>2120.3</v>
      </c>
      <c r="E674" s="2">
        <v>2120.3</v>
      </c>
      <c r="G674" s="1" t="s">
        <v>1341</v>
      </c>
      <c r="H674" s="2">
        <v>1158.11</v>
      </c>
      <c r="I674" s="2">
        <v>1158.11</v>
      </c>
    </row>
    <row r="675">
      <c r="A675" s="1" t="s">
        <v>1342</v>
      </c>
      <c r="B675" s="2">
        <v>1202.76</v>
      </c>
      <c r="C675" s="2">
        <v>1202.76</v>
      </c>
      <c r="D675" s="2">
        <v>2114.05</v>
      </c>
      <c r="E675" s="2">
        <v>2114.05</v>
      </c>
      <c r="G675" s="1" t="s">
        <v>1343</v>
      </c>
      <c r="H675" s="2">
        <v>1188.95</v>
      </c>
      <c r="I675" s="2">
        <v>1188.95</v>
      </c>
    </row>
    <row r="676">
      <c r="A676" s="1" t="s">
        <v>1344</v>
      </c>
      <c r="B676" s="2">
        <v>1214.76</v>
      </c>
      <c r="C676" s="2">
        <v>1214.76</v>
      </c>
      <c r="D676" s="2">
        <v>2144.31</v>
      </c>
      <c r="E676" s="2">
        <v>2144.31</v>
      </c>
      <c r="G676" s="1" t="s">
        <v>1345</v>
      </c>
      <c r="H676" s="2">
        <v>1208.38</v>
      </c>
      <c r="I676" s="2">
        <v>1208.38</v>
      </c>
    </row>
    <row r="677">
      <c r="A677" s="1" t="s">
        <v>1346</v>
      </c>
      <c r="B677" s="2">
        <v>1219.94</v>
      </c>
      <c r="C677" s="2">
        <v>1219.94</v>
      </c>
      <c r="D677" s="2">
        <v>2160.22</v>
      </c>
      <c r="E677" s="2">
        <v>2160.22</v>
      </c>
      <c r="G677" s="1" t="s">
        <v>1347</v>
      </c>
      <c r="H677" s="2">
        <v>1217.97</v>
      </c>
      <c r="I677" s="2">
        <v>1217.97</v>
      </c>
    </row>
    <row r="678">
      <c r="A678" s="1" t="s">
        <v>1348</v>
      </c>
      <c r="B678" s="2">
        <v>1220.14</v>
      </c>
      <c r="C678" s="2">
        <v>1220.14</v>
      </c>
      <c r="D678" s="2">
        <v>2169.43</v>
      </c>
      <c r="E678" s="2">
        <v>2169.43</v>
      </c>
      <c r="G678" s="1" t="s">
        <v>1349</v>
      </c>
      <c r="H678" s="2">
        <v>1221.98</v>
      </c>
      <c r="I678" s="2">
        <v>1221.98</v>
      </c>
    </row>
    <row r="679">
      <c r="A679" s="1" t="s">
        <v>1350</v>
      </c>
      <c r="B679" s="2" t="s">
        <v>0</v>
      </c>
      <c r="C679" s="2">
        <v>1220.14</v>
      </c>
      <c r="D679" s="2" t="s">
        <v>0</v>
      </c>
      <c r="E679" s="2">
        <v>2169.43</v>
      </c>
      <c r="G679" s="1" t="s">
        <v>1351</v>
      </c>
      <c r="H679" s="2" t="s">
        <v>0</v>
      </c>
      <c r="I679" s="2">
        <v>1221.98</v>
      </c>
    </row>
    <row r="680">
      <c r="A680" s="1" t="s">
        <v>1352</v>
      </c>
      <c r="B680" s="2" t="s">
        <v>0</v>
      </c>
      <c r="C680" s="2">
        <v>1220.14</v>
      </c>
      <c r="D680" s="2" t="s">
        <v>0</v>
      </c>
      <c r="E680" s="2">
        <v>2169.43</v>
      </c>
      <c r="G680" s="1" t="s">
        <v>1353</v>
      </c>
      <c r="H680" s="2" t="s">
        <v>0</v>
      </c>
      <c r="I680" s="2">
        <v>1221.98</v>
      </c>
    </row>
    <row r="681">
      <c r="A681" s="1" t="s">
        <v>1354</v>
      </c>
      <c r="B681" s="2">
        <v>1222.81</v>
      </c>
      <c r="C681" s="2">
        <v>1222.81</v>
      </c>
      <c r="D681" s="2">
        <v>2178.24</v>
      </c>
      <c r="E681" s="2">
        <v>2178.24</v>
      </c>
      <c r="G681" s="1" t="s">
        <v>1355</v>
      </c>
      <c r="H681" s="2">
        <v>1218.47</v>
      </c>
      <c r="I681" s="2">
        <v>1218.47</v>
      </c>
    </row>
    <row r="682">
      <c r="A682" s="1" t="s">
        <v>1356</v>
      </c>
      <c r="B682" s="2">
        <v>1218.59</v>
      </c>
      <c r="C682" s="2">
        <v>1218.59</v>
      </c>
      <c r="D682" s="2">
        <v>2172.07</v>
      </c>
      <c r="E682" s="2">
        <v>2172.07</v>
      </c>
      <c r="G682" s="1" t="s">
        <v>1357</v>
      </c>
      <c r="H682" s="2">
        <v>1226.71</v>
      </c>
      <c r="I682" s="2">
        <v>1226.71</v>
      </c>
    </row>
    <row r="683">
      <c r="A683" s="1" t="s">
        <v>1358</v>
      </c>
      <c r="B683" s="2">
        <v>1220.65</v>
      </c>
      <c r="C683" s="2">
        <v>1220.65</v>
      </c>
      <c r="D683" s="2">
        <v>2175.81</v>
      </c>
      <c r="E683" s="2">
        <v>2175.81</v>
      </c>
      <c r="G683" s="1" t="s">
        <v>1359</v>
      </c>
      <c r="H683" s="2">
        <v>1227.59</v>
      </c>
      <c r="I683" s="2">
        <v>1227.59</v>
      </c>
    </row>
    <row r="684">
      <c r="A684" s="1" t="s">
        <v>1360</v>
      </c>
      <c r="B684" s="2">
        <v>1230.96</v>
      </c>
      <c r="C684" s="2">
        <v>1230.96</v>
      </c>
      <c r="D684" s="2">
        <v>2196.68</v>
      </c>
      <c r="E684" s="2">
        <v>2196.68</v>
      </c>
      <c r="G684" s="1" t="s">
        <v>1361</v>
      </c>
      <c r="H684" s="2">
        <v>1234.43</v>
      </c>
      <c r="I684" s="2">
        <v>1234.43</v>
      </c>
    </row>
    <row r="685">
      <c r="A685" s="1" t="s">
        <v>1362</v>
      </c>
      <c r="B685" s="2">
        <v>1234.72</v>
      </c>
      <c r="C685" s="2">
        <v>1234.72</v>
      </c>
      <c r="D685" s="2">
        <v>2202.47</v>
      </c>
      <c r="E685" s="2">
        <v>2202.47</v>
      </c>
      <c r="G685" s="1" t="s">
        <v>1363</v>
      </c>
      <c r="H685" s="2">
        <v>1256.12</v>
      </c>
      <c r="I685" s="2">
        <v>1256.12</v>
      </c>
    </row>
    <row r="686">
      <c r="A686" s="1" t="s">
        <v>1364</v>
      </c>
      <c r="B686" s="2" t="s">
        <v>0</v>
      </c>
      <c r="C686" s="2">
        <v>1234.72</v>
      </c>
      <c r="D686" s="2" t="s">
        <v>0</v>
      </c>
      <c r="E686" s="2">
        <v>2202.47</v>
      </c>
      <c r="G686" s="1" t="s">
        <v>1365</v>
      </c>
      <c r="H686" s="2" t="s">
        <v>0</v>
      </c>
      <c r="I686" s="2">
        <v>1256.12</v>
      </c>
    </row>
    <row r="687">
      <c r="A687" s="1" t="s">
        <v>1366</v>
      </c>
      <c r="B687" s="2" t="s">
        <v>0</v>
      </c>
      <c r="C687" s="2">
        <v>1234.72</v>
      </c>
      <c r="D687" s="2" t="s">
        <v>0</v>
      </c>
      <c r="E687" s="2">
        <v>2202.47</v>
      </c>
      <c r="G687" s="1" t="s">
        <v>1367</v>
      </c>
      <c r="H687" s="2" t="s">
        <v>0</v>
      </c>
      <c r="I687" s="2">
        <v>1256.12</v>
      </c>
    </row>
    <row r="688">
      <c r="A688" s="1" t="s">
        <v>1368</v>
      </c>
      <c r="B688" s="2">
        <v>1233.71</v>
      </c>
      <c r="C688" s="2">
        <v>1233.71</v>
      </c>
      <c r="D688" s="2">
        <v>2200.95</v>
      </c>
      <c r="E688" s="2">
        <v>2200.95</v>
      </c>
      <c r="G688" s="1" t="s">
        <v>1369</v>
      </c>
      <c r="H688" s="2">
        <v>1257.63</v>
      </c>
      <c r="I688" s="2">
        <v>1257.63</v>
      </c>
    </row>
    <row r="689">
      <c r="A689" s="1" t="s">
        <v>1370</v>
      </c>
      <c r="B689" s="2">
        <v>1229.01</v>
      </c>
      <c r="C689" s="2">
        <v>1229.01</v>
      </c>
      <c r="D689" s="2">
        <v>2186.74</v>
      </c>
      <c r="E689" s="2">
        <v>2186.74</v>
      </c>
      <c r="G689" s="1" t="s">
        <v>1371</v>
      </c>
      <c r="H689" s="2">
        <v>1253.86</v>
      </c>
      <c r="I689" s="2">
        <v>1253.86</v>
      </c>
    </row>
    <row r="690">
      <c r="A690" s="1" t="s">
        <v>1372</v>
      </c>
      <c r="B690" s="2">
        <v>1231.21</v>
      </c>
      <c r="C690" s="2">
        <v>1231.21</v>
      </c>
      <c r="D690" s="2">
        <v>2187.93</v>
      </c>
      <c r="E690" s="2">
        <v>2187.93</v>
      </c>
      <c r="G690" s="1" t="s">
        <v>1373</v>
      </c>
      <c r="H690" s="2">
        <v>1267.16</v>
      </c>
      <c r="I690" s="2">
        <v>1267.16</v>
      </c>
    </row>
    <row r="691">
      <c r="A691" s="1" t="s">
        <v>1374</v>
      </c>
      <c r="B691" s="2">
        <v>1242.8</v>
      </c>
      <c r="C691" s="2">
        <v>1242.8</v>
      </c>
      <c r="D691" s="2">
        <v>2220.46</v>
      </c>
      <c r="E691" s="2">
        <v>2220.46</v>
      </c>
      <c r="G691" s="1" t="s">
        <v>1375</v>
      </c>
      <c r="H691" s="2">
        <v>1269.35</v>
      </c>
      <c r="I691" s="2">
        <v>1269.35</v>
      </c>
    </row>
    <row r="692">
      <c r="A692" s="1" t="s">
        <v>1376</v>
      </c>
      <c r="B692" s="2">
        <v>1248.27</v>
      </c>
      <c r="C692" s="2">
        <v>1248.27</v>
      </c>
      <c r="D692" s="2">
        <v>2227.07</v>
      </c>
      <c r="E692" s="2">
        <v>2227.07</v>
      </c>
      <c r="G692" s="1" t="s">
        <v>1377</v>
      </c>
      <c r="H692" s="2">
        <v>1272.25</v>
      </c>
      <c r="I692" s="2">
        <v>1272.25</v>
      </c>
    </row>
    <row r="693">
      <c r="A693" s="1" t="s">
        <v>1378</v>
      </c>
      <c r="B693" s="2" t="s">
        <v>0</v>
      </c>
      <c r="C693" s="2">
        <v>1248.27</v>
      </c>
      <c r="D693" s="2" t="s">
        <v>0</v>
      </c>
      <c r="E693" s="2">
        <v>2227.07</v>
      </c>
      <c r="G693" s="1" t="s">
        <v>1379</v>
      </c>
      <c r="H693" s="2" t="s">
        <v>0</v>
      </c>
      <c r="I693" s="2">
        <v>1272.25</v>
      </c>
    </row>
    <row r="694">
      <c r="A694" s="1" t="s">
        <v>1380</v>
      </c>
      <c r="B694" s="2" t="s">
        <v>0</v>
      </c>
      <c r="C694" s="2">
        <v>1248.27</v>
      </c>
      <c r="D694" s="2" t="s">
        <v>0</v>
      </c>
      <c r="E694" s="2">
        <v>2227.07</v>
      </c>
      <c r="G694" s="1" t="s">
        <v>1381</v>
      </c>
      <c r="H694" s="2" t="s">
        <v>0</v>
      </c>
      <c r="I694" s="2">
        <v>1272.25</v>
      </c>
    </row>
    <row r="695">
      <c r="A695" s="1" t="s">
        <v>1382</v>
      </c>
      <c r="B695" s="2">
        <v>1254.85</v>
      </c>
      <c r="C695" s="2">
        <v>1254.85</v>
      </c>
      <c r="D695" s="2">
        <v>2241.67</v>
      </c>
      <c r="E695" s="2">
        <v>2241.67</v>
      </c>
      <c r="G695" s="1" t="s">
        <v>1383</v>
      </c>
      <c r="H695" s="2">
        <v>1268.8</v>
      </c>
      <c r="I695" s="2">
        <v>1268.8</v>
      </c>
    </row>
    <row r="696">
      <c r="A696" s="1" t="s">
        <v>1384</v>
      </c>
      <c r="B696" s="2">
        <v>1261.23</v>
      </c>
      <c r="C696" s="2">
        <v>1261.23</v>
      </c>
      <c r="D696" s="2">
        <v>2253.56</v>
      </c>
      <c r="E696" s="2">
        <v>2253.56</v>
      </c>
      <c r="G696" s="1" t="s">
        <v>1385</v>
      </c>
      <c r="H696" s="2">
        <v>1244.5</v>
      </c>
      <c r="I696" s="2">
        <v>1244.5</v>
      </c>
    </row>
    <row r="697">
      <c r="A697" s="1" t="s">
        <v>1386</v>
      </c>
      <c r="B697" s="2">
        <v>1265.61</v>
      </c>
      <c r="C697" s="2">
        <v>1265.61</v>
      </c>
      <c r="D697" s="2">
        <v>2259.98</v>
      </c>
      <c r="E697" s="2">
        <v>2259.98</v>
      </c>
      <c r="G697" s="1" t="s">
        <v>1387</v>
      </c>
      <c r="H697" s="2">
        <v>1282.02</v>
      </c>
      <c r="I697" s="2">
        <v>1282.02</v>
      </c>
    </row>
    <row r="698">
      <c r="A698" s="1" t="s">
        <v>1388</v>
      </c>
      <c r="B698" s="2" t="s">
        <v>0</v>
      </c>
      <c r="C698" s="2">
        <v>1265.61</v>
      </c>
      <c r="D698" s="2" t="s">
        <v>0</v>
      </c>
      <c r="E698" s="2">
        <v>2259.98</v>
      </c>
      <c r="G698" s="1" t="s">
        <v>1389</v>
      </c>
      <c r="H698" s="2">
        <v>1291.71</v>
      </c>
      <c r="I698" s="2">
        <v>1291.71</v>
      </c>
    </row>
    <row r="699">
      <c r="A699" s="1" t="s">
        <v>1390</v>
      </c>
      <c r="B699" s="2">
        <v>1268.25</v>
      </c>
      <c r="C699" s="2">
        <v>1268.25</v>
      </c>
      <c r="D699" s="2">
        <v>2263.01</v>
      </c>
      <c r="E699" s="2">
        <v>2263.01</v>
      </c>
      <c r="G699" s="1" t="s">
        <v>1391</v>
      </c>
      <c r="H699" s="2">
        <v>1293.22</v>
      </c>
      <c r="I699" s="2">
        <v>1293.22</v>
      </c>
    </row>
    <row r="700">
      <c r="A700" s="1" t="s">
        <v>1392</v>
      </c>
      <c r="B700" s="2" t="s">
        <v>0</v>
      </c>
      <c r="C700" s="2">
        <v>1268.25</v>
      </c>
      <c r="D700" s="2" t="s">
        <v>0</v>
      </c>
      <c r="E700" s="2">
        <v>2263.01</v>
      </c>
      <c r="G700" s="1" t="s">
        <v>1393</v>
      </c>
      <c r="H700" s="2" t="s">
        <v>0</v>
      </c>
      <c r="I700" s="2">
        <v>1293.22</v>
      </c>
    </row>
    <row r="701">
      <c r="A701" s="1" t="s">
        <v>1394</v>
      </c>
      <c r="B701" s="2" t="s">
        <v>0</v>
      </c>
      <c r="C701" s="2">
        <v>1268.25</v>
      </c>
      <c r="D701" s="2" t="s">
        <v>0</v>
      </c>
      <c r="E701" s="2">
        <v>2263.01</v>
      </c>
      <c r="G701" s="1" t="s">
        <v>1395</v>
      </c>
      <c r="H701" s="2" t="s">
        <v>0</v>
      </c>
      <c r="I701" s="2">
        <v>1293.22</v>
      </c>
    </row>
    <row r="702">
      <c r="A702" s="1" t="s">
        <v>1396</v>
      </c>
      <c r="B702" s="2">
        <v>1257.46</v>
      </c>
      <c r="C702" s="2">
        <v>1257.46</v>
      </c>
      <c r="D702" s="2">
        <v>2239.37</v>
      </c>
      <c r="E702" s="2">
        <v>2239.37</v>
      </c>
      <c r="G702" s="1" t="s">
        <v>1397</v>
      </c>
      <c r="H702" s="2">
        <v>1293.74</v>
      </c>
      <c r="I702" s="2">
        <v>1293.74</v>
      </c>
    </row>
    <row r="703">
      <c r="A703" s="1" t="s">
        <v>1398</v>
      </c>
      <c r="B703" s="2">
        <v>1257.48</v>
      </c>
      <c r="C703" s="2">
        <v>1257.48</v>
      </c>
      <c r="D703" s="2">
        <v>2232.71</v>
      </c>
      <c r="E703" s="2">
        <v>2232.71</v>
      </c>
      <c r="G703" s="1" t="s">
        <v>1399</v>
      </c>
      <c r="H703" s="2">
        <v>1279.38</v>
      </c>
      <c r="I703" s="2">
        <v>1279.38</v>
      </c>
    </row>
    <row r="704">
      <c r="A704" s="1" t="s">
        <v>1400</v>
      </c>
      <c r="B704" s="2">
        <v>1249.48</v>
      </c>
      <c r="C704" s="2">
        <v>1249.48</v>
      </c>
      <c r="D704" s="2">
        <v>2232.82</v>
      </c>
      <c r="E704" s="2">
        <v>2232.82</v>
      </c>
      <c r="G704" s="1" t="s">
        <v>1401</v>
      </c>
      <c r="H704" s="2">
        <v>1297.44</v>
      </c>
      <c r="I704" s="2">
        <v>1297.44</v>
      </c>
    </row>
    <row r="705">
      <c r="A705" s="1" t="s">
        <v>1402</v>
      </c>
      <c r="B705" s="2">
        <v>1264.67</v>
      </c>
      <c r="C705" s="2">
        <v>1264.67</v>
      </c>
      <c r="D705" s="2">
        <v>2267.17</v>
      </c>
      <c r="E705" s="2">
        <v>2267.17</v>
      </c>
      <c r="G705" s="1" t="s">
        <v>1403</v>
      </c>
      <c r="H705" s="2">
        <v>1305.98</v>
      </c>
      <c r="I705" s="2">
        <v>1305.98</v>
      </c>
    </row>
    <row r="706">
      <c r="A706" s="1" t="s">
        <v>1404</v>
      </c>
      <c r="B706" s="2">
        <v>1265.08</v>
      </c>
      <c r="C706" s="2">
        <v>1265.08</v>
      </c>
      <c r="D706" s="2">
        <v>2273.37</v>
      </c>
      <c r="E706" s="2">
        <v>2273.37</v>
      </c>
      <c r="G706" s="1" t="s">
        <v>1405</v>
      </c>
      <c r="H706" s="2">
        <v>1310.12</v>
      </c>
      <c r="I706" s="2">
        <v>1310.12</v>
      </c>
    </row>
    <row r="707">
      <c r="A707" s="1" t="s">
        <v>1406</v>
      </c>
      <c r="B707" s="2" t="s">
        <v>0</v>
      </c>
      <c r="C707" s="2">
        <v>1265.08</v>
      </c>
      <c r="D707" s="2" t="s">
        <v>0</v>
      </c>
      <c r="E707" s="2">
        <v>2273.37</v>
      </c>
      <c r="G707" s="1" t="s">
        <v>1407</v>
      </c>
      <c r="H707" s="2" t="s">
        <v>0</v>
      </c>
      <c r="I707" s="2">
        <v>1310.12</v>
      </c>
    </row>
    <row r="708">
      <c r="A708" s="1" t="s">
        <v>1408</v>
      </c>
      <c r="B708" s="2" t="s">
        <v>0</v>
      </c>
      <c r="C708" s="2">
        <v>1265.08</v>
      </c>
      <c r="D708" s="2" t="s">
        <v>0</v>
      </c>
      <c r="E708" s="2">
        <v>2273.37</v>
      </c>
      <c r="G708" s="1" t="s">
        <v>1409</v>
      </c>
      <c r="H708" s="2" t="s">
        <v>0</v>
      </c>
      <c r="I708" s="2">
        <v>1310.12</v>
      </c>
    </row>
    <row r="709">
      <c r="A709" s="1" t="s">
        <v>1410</v>
      </c>
      <c r="B709" s="2">
        <v>1262.09</v>
      </c>
      <c r="C709" s="2">
        <v>1262.09</v>
      </c>
      <c r="D709" s="2">
        <v>2257.64</v>
      </c>
      <c r="E709" s="2">
        <v>2257.64</v>
      </c>
      <c r="G709" s="1" t="s">
        <v>1411</v>
      </c>
      <c r="H709" s="2">
        <v>1315.15</v>
      </c>
      <c r="I709" s="2">
        <v>1315.15</v>
      </c>
    </row>
    <row r="710">
      <c r="A710" s="1" t="s">
        <v>1412</v>
      </c>
      <c r="B710" s="2">
        <v>1263.7</v>
      </c>
      <c r="C710" s="2">
        <v>1263.7</v>
      </c>
      <c r="D710" s="2">
        <v>2260.76</v>
      </c>
      <c r="E710" s="2">
        <v>2260.76</v>
      </c>
      <c r="G710" s="1" t="s">
        <v>1413</v>
      </c>
      <c r="H710" s="2">
        <v>1321.06</v>
      </c>
      <c r="I710" s="2">
        <v>1321.06</v>
      </c>
    </row>
    <row r="711">
      <c r="A711" s="1" t="s">
        <v>1414</v>
      </c>
      <c r="B711" s="2">
        <v>1257.37</v>
      </c>
      <c r="C711" s="2">
        <v>1257.37</v>
      </c>
      <c r="D711" s="2">
        <v>2252.01</v>
      </c>
      <c r="E711" s="2">
        <v>2252.01</v>
      </c>
      <c r="G711" s="1" t="s">
        <v>1415</v>
      </c>
      <c r="H711" s="2">
        <v>1324.75</v>
      </c>
      <c r="I711" s="2">
        <v>1324.75</v>
      </c>
    </row>
    <row r="712">
      <c r="A712" s="1" t="s">
        <v>1416</v>
      </c>
      <c r="B712" s="2">
        <v>1255.84</v>
      </c>
      <c r="C712" s="2">
        <v>1255.84</v>
      </c>
      <c r="D712" s="2">
        <v>2246.46</v>
      </c>
      <c r="E712" s="2">
        <v>2246.46</v>
      </c>
      <c r="G712" s="1" t="s">
        <v>1417</v>
      </c>
      <c r="H712" s="2">
        <v>1324.2</v>
      </c>
      <c r="I712" s="2">
        <v>1324.2</v>
      </c>
    </row>
    <row r="713">
      <c r="A713" s="1" t="s">
        <v>1418</v>
      </c>
      <c r="B713" s="2">
        <v>1259.37</v>
      </c>
      <c r="C713" s="2">
        <v>1259.37</v>
      </c>
      <c r="D713" s="2">
        <v>2256.73</v>
      </c>
      <c r="E713" s="2">
        <v>2256.73</v>
      </c>
      <c r="G713" s="1" t="s">
        <v>1419</v>
      </c>
      <c r="H713" s="2">
        <v>1317.42</v>
      </c>
      <c r="I713" s="2">
        <v>1317.42</v>
      </c>
    </row>
    <row r="714">
      <c r="A714" s="1" t="s">
        <v>1420</v>
      </c>
      <c r="B714" s="2" t="s">
        <v>0</v>
      </c>
      <c r="C714" s="2">
        <v>1259.37</v>
      </c>
      <c r="D714" s="2" t="s">
        <v>0</v>
      </c>
      <c r="E714" s="2">
        <v>2256.73</v>
      </c>
      <c r="G714" s="1" t="s">
        <v>1421</v>
      </c>
      <c r="H714" s="2" t="s">
        <v>0</v>
      </c>
      <c r="I714" s="2">
        <v>1317.42</v>
      </c>
    </row>
    <row r="715">
      <c r="A715" s="1" t="s">
        <v>1422</v>
      </c>
      <c r="B715" s="2" t="s">
        <v>0</v>
      </c>
      <c r="C715" s="2">
        <v>1259.37</v>
      </c>
      <c r="D715" s="2" t="s">
        <v>0</v>
      </c>
      <c r="E715" s="2">
        <v>2256.73</v>
      </c>
      <c r="G715" s="1" t="s">
        <v>1423</v>
      </c>
      <c r="H715" s="2" t="s">
        <v>0</v>
      </c>
      <c r="I715" s="2">
        <v>1317.42</v>
      </c>
    </row>
    <row r="716">
      <c r="A716" s="1" t="s">
        <v>1424</v>
      </c>
      <c r="B716" s="2">
        <v>1260.43</v>
      </c>
      <c r="C716" s="2">
        <v>1260.43</v>
      </c>
      <c r="D716" s="2">
        <v>2260.95</v>
      </c>
      <c r="E716" s="2">
        <v>2260.95</v>
      </c>
      <c r="G716" s="1" t="s">
        <v>1425</v>
      </c>
      <c r="H716" s="2">
        <v>1333.23</v>
      </c>
      <c r="I716" s="2">
        <v>1333.23</v>
      </c>
    </row>
    <row r="717">
      <c r="A717" s="1" t="s">
        <v>1426</v>
      </c>
      <c r="B717" s="2">
        <v>1267.43</v>
      </c>
      <c r="C717" s="2">
        <v>1267.43</v>
      </c>
      <c r="D717" s="2">
        <v>2265.0</v>
      </c>
      <c r="E717" s="2">
        <v>2265.0</v>
      </c>
      <c r="G717" s="1" t="s">
        <v>1427</v>
      </c>
      <c r="H717" s="2">
        <v>1336.48</v>
      </c>
      <c r="I717" s="2">
        <v>1336.48</v>
      </c>
    </row>
    <row r="718">
      <c r="A718" s="1" t="s">
        <v>1428</v>
      </c>
      <c r="B718" s="2">
        <v>1272.74</v>
      </c>
      <c r="C718" s="2">
        <v>1272.74</v>
      </c>
      <c r="D718" s="2">
        <v>2262.59</v>
      </c>
      <c r="E718" s="2">
        <v>2262.59</v>
      </c>
      <c r="G718" s="1" t="s">
        <v>1429</v>
      </c>
      <c r="H718" s="2">
        <v>1334.27</v>
      </c>
      <c r="I718" s="2">
        <v>1334.27</v>
      </c>
    </row>
    <row r="719">
      <c r="A719" s="1" t="s">
        <v>1430</v>
      </c>
      <c r="B719" s="2">
        <v>1270.94</v>
      </c>
      <c r="C719" s="2">
        <v>1270.94</v>
      </c>
      <c r="D719" s="2">
        <v>2260.63</v>
      </c>
      <c r="E719" s="2">
        <v>2260.63</v>
      </c>
      <c r="G719" s="1" t="s">
        <v>1431</v>
      </c>
      <c r="H719" s="2">
        <v>1337.68</v>
      </c>
      <c r="I719" s="2">
        <v>1337.68</v>
      </c>
    </row>
    <row r="720">
      <c r="A720" s="1" t="s">
        <v>1432</v>
      </c>
      <c r="B720" s="2">
        <v>1267.32</v>
      </c>
      <c r="C720" s="2">
        <v>1267.32</v>
      </c>
      <c r="D720" s="2">
        <v>2252.48</v>
      </c>
      <c r="E720" s="2">
        <v>2252.48</v>
      </c>
      <c r="G720" s="1" t="s">
        <v>1433</v>
      </c>
      <c r="H720" s="2">
        <v>1321.04</v>
      </c>
      <c r="I720" s="2">
        <v>1321.04</v>
      </c>
    </row>
    <row r="721">
      <c r="A721" s="1" t="s">
        <v>1434</v>
      </c>
      <c r="B721" s="2" t="s">
        <v>0</v>
      </c>
      <c r="C721" s="2">
        <v>1267.32</v>
      </c>
      <c r="D721" s="2" t="s">
        <v>0</v>
      </c>
      <c r="E721" s="2">
        <v>2252.48</v>
      </c>
      <c r="G721" s="1" t="s">
        <v>1435</v>
      </c>
      <c r="H721" s="2" t="s">
        <v>0</v>
      </c>
      <c r="I721" s="2">
        <v>1321.04</v>
      </c>
    </row>
    <row r="722">
      <c r="A722" s="1" t="s">
        <v>1436</v>
      </c>
      <c r="B722" s="2" t="s">
        <v>0</v>
      </c>
      <c r="C722" s="2">
        <v>1267.32</v>
      </c>
      <c r="D722" s="2" t="s">
        <v>0</v>
      </c>
      <c r="E722" s="2">
        <v>2252.48</v>
      </c>
      <c r="G722" s="1" t="s">
        <v>1437</v>
      </c>
      <c r="H722" s="2" t="s">
        <v>0</v>
      </c>
      <c r="I722" s="2">
        <v>1321.04</v>
      </c>
    </row>
    <row r="723">
      <c r="A723" s="1" t="s">
        <v>1438</v>
      </c>
      <c r="B723" s="2">
        <v>1259.92</v>
      </c>
      <c r="C723" s="2">
        <v>1259.92</v>
      </c>
      <c r="D723" s="2">
        <v>2222.74</v>
      </c>
      <c r="E723" s="2">
        <v>2222.74</v>
      </c>
      <c r="G723" s="1" t="s">
        <v>1439</v>
      </c>
      <c r="H723" s="2">
        <v>1339.4</v>
      </c>
      <c r="I723" s="2">
        <v>1339.4</v>
      </c>
    </row>
    <row r="724">
      <c r="A724" s="1" t="s">
        <v>1440</v>
      </c>
      <c r="B724" s="2">
        <v>1259.62</v>
      </c>
      <c r="C724" s="2">
        <v>1259.62</v>
      </c>
      <c r="D724" s="2">
        <v>2222.42</v>
      </c>
      <c r="E724" s="2">
        <v>2222.42</v>
      </c>
      <c r="G724" s="1" t="s">
        <v>1441</v>
      </c>
      <c r="H724" s="2">
        <v>1341.0</v>
      </c>
      <c r="I724" s="2">
        <v>1341.0</v>
      </c>
    </row>
    <row r="725">
      <c r="A725" s="1" t="s">
        <v>1442</v>
      </c>
      <c r="B725" s="2">
        <v>1262.79</v>
      </c>
      <c r="C725" s="2">
        <v>1262.79</v>
      </c>
      <c r="D725" s="2">
        <v>2231.66</v>
      </c>
      <c r="E725" s="2">
        <v>2231.66</v>
      </c>
      <c r="G725" s="1" t="s">
        <v>1443</v>
      </c>
      <c r="H725" s="2">
        <v>1354.16</v>
      </c>
      <c r="I725" s="2">
        <v>1354.16</v>
      </c>
    </row>
    <row r="726">
      <c r="A726" s="1" t="s">
        <v>1444</v>
      </c>
      <c r="B726" s="2">
        <v>1268.12</v>
      </c>
      <c r="C726" s="2">
        <v>1268.12</v>
      </c>
      <c r="D726" s="2">
        <v>2246.49</v>
      </c>
      <c r="E726" s="2">
        <v>2246.49</v>
      </c>
      <c r="G726" s="1" t="s">
        <v>1445</v>
      </c>
      <c r="H726" s="2">
        <v>1350.87</v>
      </c>
      <c r="I726" s="2">
        <v>1350.87</v>
      </c>
    </row>
    <row r="727">
      <c r="A727" s="1" t="s">
        <v>1446</v>
      </c>
      <c r="B727" s="2">
        <v>1268.66</v>
      </c>
      <c r="C727" s="2">
        <v>1268.66</v>
      </c>
      <c r="D727" s="2">
        <v>2249.42</v>
      </c>
      <c r="E727" s="2">
        <v>2249.42</v>
      </c>
      <c r="G727" s="1" t="s">
        <v>1447</v>
      </c>
      <c r="H727" s="2">
        <v>1359.53</v>
      </c>
      <c r="I727" s="2">
        <v>1359.53</v>
      </c>
    </row>
    <row r="728">
      <c r="A728" s="1" t="s">
        <v>1448</v>
      </c>
      <c r="B728" s="2" t="s">
        <v>0</v>
      </c>
      <c r="C728" s="2">
        <v>1268.66</v>
      </c>
      <c r="D728" s="2" t="s">
        <v>0</v>
      </c>
      <c r="E728" s="2">
        <v>2249.42</v>
      </c>
      <c r="G728" s="1" t="s">
        <v>1449</v>
      </c>
      <c r="H728" s="2" t="s">
        <v>0</v>
      </c>
      <c r="I728" s="2">
        <v>1359.53</v>
      </c>
    </row>
    <row r="729">
      <c r="A729" s="1" t="s">
        <v>1450</v>
      </c>
      <c r="B729" s="2" t="s">
        <v>0</v>
      </c>
      <c r="C729" s="2">
        <v>1268.66</v>
      </c>
      <c r="D729" s="2" t="s">
        <v>0</v>
      </c>
      <c r="E729" s="2">
        <v>2249.42</v>
      </c>
      <c r="G729" s="1" t="s">
        <v>1451</v>
      </c>
      <c r="H729" s="2" t="s">
        <v>0</v>
      </c>
      <c r="I729" s="2">
        <v>1359.53</v>
      </c>
    </row>
    <row r="730">
      <c r="A730" s="1" t="s">
        <v>1452</v>
      </c>
      <c r="B730" s="2" t="s">
        <v>0</v>
      </c>
      <c r="C730" s="2">
        <v>1268.66</v>
      </c>
      <c r="D730" s="2" t="s">
        <v>0</v>
      </c>
      <c r="E730" s="2">
        <v>2249.42</v>
      </c>
      <c r="G730" s="1" t="s">
        <v>1453</v>
      </c>
      <c r="H730" s="2">
        <v>1367.57</v>
      </c>
      <c r="I730" s="2">
        <v>1367.57</v>
      </c>
    </row>
    <row r="731">
      <c r="A731" s="1" t="s">
        <v>1454</v>
      </c>
      <c r="B731" s="2">
        <v>1256.54</v>
      </c>
      <c r="C731" s="2">
        <v>1256.54</v>
      </c>
      <c r="D731" s="2">
        <v>2226.89</v>
      </c>
      <c r="E731" s="2">
        <v>2226.89</v>
      </c>
      <c r="G731" s="1" t="s">
        <v>1455</v>
      </c>
      <c r="H731" s="2">
        <v>1373.55</v>
      </c>
      <c r="I731" s="2">
        <v>1373.55</v>
      </c>
    </row>
    <row r="732">
      <c r="A732" s="1" t="s">
        <v>1456</v>
      </c>
      <c r="B732" s="2">
        <v>1258.17</v>
      </c>
      <c r="C732" s="2">
        <v>1258.17</v>
      </c>
      <c r="D732" s="2">
        <v>2228.94</v>
      </c>
      <c r="E732" s="2">
        <v>2228.94</v>
      </c>
      <c r="G732" s="1" t="s">
        <v>1457</v>
      </c>
      <c r="H732" s="2">
        <v>1368.16</v>
      </c>
      <c r="I732" s="2">
        <v>1368.16</v>
      </c>
    </row>
    <row r="733">
      <c r="A733" s="1" t="s">
        <v>1458</v>
      </c>
      <c r="B733" s="2">
        <v>1254.42</v>
      </c>
      <c r="C733" s="2">
        <v>1254.42</v>
      </c>
      <c r="D733" s="2">
        <v>2218.16</v>
      </c>
      <c r="E733" s="2">
        <v>2218.16</v>
      </c>
      <c r="G733" s="1" t="s">
        <v>1459</v>
      </c>
      <c r="H733" s="2">
        <v>1379.37</v>
      </c>
      <c r="I733" s="2">
        <v>1379.37</v>
      </c>
    </row>
    <row r="734">
      <c r="A734" s="1" t="s">
        <v>1460</v>
      </c>
      <c r="B734" s="2">
        <v>1248.29</v>
      </c>
      <c r="C734" s="2">
        <v>1248.29</v>
      </c>
      <c r="D734" s="2">
        <v>2205.32</v>
      </c>
      <c r="E734" s="2">
        <v>2205.32</v>
      </c>
      <c r="G734" s="1" t="s">
        <v>1461</v>
      </c>
      <c r="H734" s="2" t="s">
        <v>0</v>
      </c>
      <c r="I734" s="2">
        <v>1379.37</v>
      </c>
    </row>
    <row r="735">
      <c r="A735" s="1" t="s">
        <v>1462</v>
      </c>
      <c r="B735" s="2" t="s">
        <v>0</v>
      </c>
      <c r="C735" s="2">
        <v>1248.29</v>
      </c>
      <c r="D735" s="2" t="s">
        <v>0</v>
      </c>
      <c r="E735" s="2">
        <v>2205.32</v>
      </c>
      <c r="G735" s="1" t="s">
        <v>1463</v>
      </c>
      <c r="H735" s="2" t="s">
        <v>0</v>
      </c>
      <c r="I735" s="2">
        <v>1379.37</v>
      </c>
    </row>
    <row r="736">
      <c r="A736" s="1" t="s">
        <v>1464</v>
      </c>
      <c r="B736" s="2" t="s">
        <v>0</v>
      </c>
      <c r="C736" s="2">
        <v>1248.29</v>
      </c>
      <c r="D736" s="2" t="s">
        <v>0</v>
      </c>
      <c r="E736" s="2">
        <v>2205.32</v>
      </c>
      <c r="G736" s="1" t="s">
        <v>1465</v>
      </c>
      <c r="H736" s="2" t="s">
        <v>0</v>
      </c>
      <c r="I736" s="2">
        <v>1379.37</v>
      </c>
    </row>
    <row r="737">
      <c r="A737" s="1" t="s">
        <v>1466</v>
      </c>
      <c r="B737" s="2" t="s">
        <v>0</v>
      </c>
      <c r="C737" s="2">
        <v>1248.29</v>
      </c>
      <c r="D737" s="2" t="s">
        <v>0</v>
      </c>
      <c r="E737" s="2">
        <v>2205.32</v>
      </c>
      <c r="G737" s="1" t="s">
        <v>1467</v>
      </c>
      <c r="H737" s="2">
        <v>1389.27</v>
      </c>
      <c r="I737" s="2">
        <v>1389.27</v>
      </c>
    </row>
    <row r="738">
      <c r="A738" s="1" t="s">
        <v>1468</v>
      </c>
      <c r="B738" s="2">
        <v>1268.8</v>
      </c>
      <c r="C738" s="2">
        <v>1268.8</v>
      </c>
      <c r="D738" s="2">
        <v>2243.74</v>
      </c>
      <c r="E738" s="2">
        <v>2243.74</v>
      </c>
      <c r="G738" s="1" t="s">
        <v>1469</v>
      </c>
      <c r="H738" s="2">
        <v>1394.87</v>
      </c>
      <c r="I738" s="2">
        <v>1394.87</v>
      </c>
    </row>
    <row r="739">
      <c r="A739" s="1" t="s">
        <v>1470</v>
      </c>
      <c r="B739" s="2">
        <v>1273.46</v>
      </c>
      <c r="C739" s="2">
        <v>1273.46</v>
      </c>
      <c r="D739" s="2">
        <v>2263.46</v>
      </c>
      <c r="E739" s="2">
        <v>2263.46</v>
      </c>
      <c r="G739" s="1" t="s">
        <v>1471</v>
      </c>
      <c r="H739" s="2">
        <v>1402.11</v>
      </c>
      <c r="I739" s="2">
        <v>1402.11</v>
      </c>
    </row>
    <row r="740">
      <c r="A740" s="1" t="s">
        <v>1472</v>
      </c>
      <c r="B740" s="2">
        <v>1273.48</v>
      </c>
      <c r="C740" s="2">
        <v>1273.48</v>
      </c>
      <c r="D740" s="2">
        <v>2276.87</v>
      </c>
      <c r="E740" s="2">
        <v>2276.87</v>
      </c>
      <c r="G740" s="1" t="s">
        <v>1473</v>
      </c>
      <c r="H740" s="2">
        <v>1395.51</v>
      </c>
      <c r="I740" s="2">
        <v>1395.51</v>
      </c>
    </row>
    <row r="741">
      <c r="A741" s="1" t="s">
        <v>1474</v>
      </c>
      <c r="B741" s="2">
        <v>1285.45</v>
      </c>
      <c r="C741" s="2">
        <v>1285.45</v>
      </c>
      <c r="D741" s="2">
        <v>2305.62</v>
      </c>
      <c r="E741" s="2">
        <v>2305.62</v>
      </c>
      <c r="G741" s="1" t="s">
        <v>1475</v>
      </c>
      <c r="H741" s="2">
        <v>1412.78</v>
      </c>
      <c r="I741" s="2">
        <v>1412.78</v>
      </c>
    </row>
    <row r="742">
      <c r="A742" s="1" t="s">
        <v>1476</v>
      </c>
      <c r="B742" s="2" t="s">
        <v>0</v>
      </c>
      <c r="C742" s="2">
        <v>1285.45</v>
      </c>
      <c r="D742" s="2" t="s">
        <v>0</v>
      </c>
      <c r="E742" s="2">
        <v>2305.62</v>
      </c>
      <c r="G742" s="1" t="s">
        <v>1477</v>
      </c>
      <c r="H742" s="2" t="s">
        <v>0</v>
      </c>
      <c r="I742" s="2">
        <v>1412.78</v>
      </c>
    </row>
    <row r="743">
      <c r="A743" s="1" t="s">
        <v>1478</v>
      </c>
      <c r="B743" s="2" t="s">
        <v>0</v>
      </c>
      <c r="C743" s="2">
        <v>1285.45</v>
      </c>
      <c r="D743" s="2" t="s">
        <v>0</v>
      </c>
      <c r="E743" s="2">
        <v>2305.62</v>
      </c>
      <c r="G743" s="1" t="s">
        <v>1479</v>
      </c>
      <c r="H743" s="2" t="s">
        <v>0</v>
      </c>
      <c r="I743" s="2">
        <v>1412.78</v>
      </c>
    </row>
    <row r="744">
      <c r="A744" s="1" t="s">
        <v>1480</v>
      </c>
      <c r="B744" s="2">
        <v>1290.15</v>
      </c>
      <c r="C744" s="2">
        <v>1290.15</v>
      </c>
      <c r="D744" s="2">
        <v>2318.69</v>
      </c>
      <c r="E744" s="2">
        <v>2318.69</v>
      </c>
      <c r="G744" s="1" t="s">
        <v>1481</v>
      </c>
      <c r="H744" s="2">
        <v>1408.33</v>
      </c>
      <c r="I744" s="2">
        <v>1408.33</v>
      </c>
    </row>
    <row r="745">
      <c r="A745" s="1" t="s">
        <v>1482</v>
      </c>
      <c r="B745" s="2">
        <v>1289.69</v>
      </c>
      <c r="C745" s="2">
        <v>1289.69</v>
      </c>
      <c r="D745" s="2">
        <v>2320.32</v>
      </c>
      <c r="E745" s="2">
        <v>2320.32</v>
      </c>
      <c r="G745" s="1" t="s">
        <v>1483</v>
      </c>
      <c r="H745" s="2">
        <v>1396.29</v>
      </c>
      <c r="I745" s="2">
        <v>1396.29</v>
      </c>
    </row>
    <row r="746">
      <c r="A746" s="1" t="s">
        <v>1484</v>
      </c>
      <c r="B746" s="2">
        <v>1294.18</v>
      </c>
      <c r="C746" s="2">
        <v>1294.18</v>
      </c>
      <c r="D746" s="2">
        <v>2331.36</v>
      </c>
      <c r="E746" s="2">
        <v>2331.36</v>
      </c>
      <c r="G746" s="1" t="s">
        <v>1485</v>
      </c>
      <c r="H746" s="2">
        <v>1394.09</v>
      </c>
      <c r="I746" s="2">
        <v>1394.09</v>
      </c>
    </row>
    <row r="747">
      <c r="A747" s="1" t="s">
        <v>1486</v>
      </c>
      <c r="B747" s="2">
        <v>1286.06</v>
      </c>
      <c r="C747" s="2">
        <v>1286.06</v>
      </c>
      <c r="D747" s="2">
        <v>2316.69</v>
      </c>
      <c r="E747" s="2">
        <v>2316.69</v>
      </c>
      <c r="G747" s="1" t="s">
        <v>1487</v>
      </c>
      <c r="H747" s="2">
        <v>1402.58</v>
      </c>
      <c r="I747" s="2">
        <v>1402.58</v>
      </c>
    </row>
    <row r="748">
      <c r="A748" s="1" t="s">
        <v>1488</v>
      </c>
      <c r="B748" s="2">
        <v>1287.61</v>
      </c>
      <c r="C748" s="2">
        <v>1287.61</v>
      </c>
      <c r="D748" s="2">
        <v>2317.04</v>
      </c>
      <c r="E748" s="2">
        <v>2317.04</v>
      </c>
      <c r="G748" s="1" t="s">
        <v>1489</v>
      </c>
      <c r="H748" s="2">
        <v>1416.28</v>
      </c>
      <c r="I748" s="2">
        <v>1416.28</v>
      </c>
    </row>
    <row r="749">
      <c r="A749" s="1" t="s">
        <v>1490</v>
      </c>
      <c r="B749" s="2" t="s">
        <v>0</v>
      </c>
      <c r="C749" s="2">
        <v>1287.61</v>
      </c>
      <c r="D749" s="2" t="s">
        <v>0</v>
      </c>
      <c r="E749" s="2">
        <v>2317.04</v>
      </c>
      <c r="G749" s="1" t="s">
        <v>1491</v>
      </c>
      <c r="H749" s="2" t="s">
        <v>0</v>
      </c>
      <c r="I749" s="2">
        <v>1416.28</v>
      </c>
    </row>
    <row r="750">
      <c r="A750" s="1" t="s">
        <v>1492</v>
      </c>
      <c r="B750" s="2" t="s">
        <v>0</v>
      </c>
      <c r="C750" s="2">
        <v>1287.61</v>
      </c>
      <c r="D750" s="2" t="s">
        <v>0</v>
      </c>
      <c r="E750" s="2">
        <v>2317.04</v>
      </c>
      <c r="G750" s="1" t="s">
        <v>1493</v>
      </c>
      <c r="H750" s="2" t="s">
        <v>0</v>
      </c>
      <c r="I750" s="2">
        <v>1416.28</v>
      </c>
    </row>
    <row r="751">
      <c r="A751" s="1" t="s">
        <v>1494</v>
      </c>
      <c r="B751" s="2" t="s">
        <v>0</v>
      </c>
      <c r="C751" s="2">
        <v>1287.61</v>
      </c>
      <c r="D751" s="2" t="s">
        <v>0</v>
      </c>
      <c r="E751" s="2">
        <v>2317.04</v>
      </c>
      <c r="G751" s="1" t="s">
        <v>1495</v>
      </c>
      <c r="H751" s="2">
        <v>1421.79</v>
      </c>
      <c r="I751" s="2">
        <v>1421.79</v>
      </c>
    </row>
    <row r="752">
      <c r="A752" s="1" t="s">
        <v>1496</v>
      </c>
      <c r="B752" s="2">
        <v>1282.93</v>
      </c>
      <c r="C752" s="2">
        <v>1282.93</v>
      </c>
      <c r="D752" s="2">
        <v>2302.69</v>
      </c>
      <c r="E752" s="2">
        <v>2302.69</v>
      </c>
      <c r="G752" s="1" t="s">
        <v>1497</v>
      </c>
      <c r="H752" s="2">
        <v>1389.58</v>
      </c>
      <c r="I752" s="2">
        <v>1389.58</v>
      </c>
    </row>
    <row r="753">
      <c r="A753" s="1" t="s">
        <v>1498</v>
      </c>
      <c r="B753" s="2">
        <v>1277.93</v>
      </c>
      <c r="C753" s="2">
        <v>1277.93</v>
      </c>
      <c r="D753" s="2">
        <v>2279.64</v>
      </c>
      <c r="E753" s="2">
        <v>2279.64</v>
      </c>
      <c r="G753" s="1" t="s">
        <v>1499</v>
      </c>
      <c r="H753" s="2">
        <v>1352.91</v>
      </c>
      <c r="I753" s="2">
        <v>1352.91</v>
      </c>
    </row>
    <row r="754">
      <c r="A754" s="1" t="s">
        <v>1500</v>
      </c>
      <c r="B754" s="2">
        <v>1285.04</v>
      </c>
      <c r="C754" s="2">
        <v>1285.04</v>
      </c>
      <c r="D754" s="2">
        <v>2301.81</v>
      </c>
      <c r="E754" s="2">
        <v>2301.81</v>
      </c>
      <c r="G754" s="1" t="s">
        <v>1501</v>
      </c>
      <c r="H754" s="2">
        <v>1360.64</v>
      </c>
      <c r="I754" s="2">
        <v>1360.64</v>
      </c>
    </row>
    <row r="755">
      <c r="A755" s="1" t="s">
        <v>1502</v>
      </c>
      <c r="B755" s="2">
        <v>1261.49</v>
      </c>
      <c r="C755" s="2">
        <v>1261.49</v>
      </c>
      <c r="D755" s="2">
        <v>2247.7</v>
      </c>
      <c r="E755" s="2">
        <v>2247.7</v>
      </c>
      <c r="G755" s="1" t="s">
        <v>1503</v>
      </c>
      <c r="H755" s="2">
        <v>1324.78</v>
      </c>
      <c r="I755" s="2">
        <v>1324.78</v>
      </c>
    </row>
    <row r="756">
      <c r="A756" s="1" t="s">
        <v>1504</v>
      </c>
      <c r="B756" s="2" t="s">
        <v>0</v>
      </c>
      <c r="C756" s="2">
        <v>1261.49</v>
      </c>
      <c r="D756" s="2" t="s">
        <v>0</v>
      </c>
      <c r="E756" s="2">
        <v>2247.7</v>
      </c>
      <c r="G756" s="1" t="s">
        <v>1505</v>
      </c>
      <c r="H756" s="2" t="s">
        <v>0</v>
      </c>
      <c r="I756" s="2">
        <v>1324.78</v>
      </c>
    </row>
    <row r="757">
      <c r="A757" s="1" t="s">
        <v>1506</v>
      </c>
      <c r="B757" s="2" t="s">
        <v>0</v>
      </c>
      <c r="C757" s="2">
        <v>1261.49</v>
      </c>
      <c r="D757" s="2" t="s">
        <v>0</v>
      </c>
      <c r="E757" s="2">
        <v>2247.7</v>
      </c>
      <c r="G757" s="1" t="s">
        <v>1507</v>
      </c>
      <c r="H757" s="2" t="s">
        <v>0</v>
      </c>
      <c r="I757" s="2">
        <v>1324.78</v>
      </c>
    </row>
    <row r="758">
      <c r="A758" s="1" t="s">
        <v>1508</v>
      </c>
      <c r="B758" s="2">
        <v>1263.82</v>
      </c>
      <c r="C758" s="2">
        <v>1263.82</v>
      </c>
      <c r="D758" s="2">
        <v>2248.47</v>
      </c>
      <c r="E758" s="2">
        <v>2248.47</v>
      </c>
      <c r="G758" s="1" t="s">
        <v>1509</v>
      </c>
      <c r="H758" s="2">
        <v>1297.43</v>
      </c>
      <c r="I758" s="2">
        <v>1297.43</v>
      </c>
    </row>
    <row r="759">
      <c r="A759" s="1" t="s">
        <v>1510</v>
      </c>
      <c r="B759" s="2">
        <v>1266.86</v>
      </c>
      <c r="C759" s="2">
        <v>1266.86</v>
      </c>
      <c r="D759" s="2">
        <v>2265.25</v>
      </c>
      <c r="E759" s="2">
        <v>2265.25</v>
      </c>
      <c r="G759" s="1" t="s">
        <v>1511</v>
      </c>
      <c r="H759" s="2">
        <v>1326.83</v>
      </c>
      <c r="I759" s="2">
        <v>1326.83</v>
      </c>
    </row>
    <row r="760">
      <c r="A760" s="1" t="s">
        <v>1512</v>
      </c>
      <c r="B760" s="2">
        <v>1264.68</v>
      </c>
      <c r="C760" s="2">
        <v>1264.68</v>
      </c>
      <c r="D760" s="2">
        <v>2260.65</v>
      </c>
      <c r="E760" s="2">
        <v>2260.65</v>
      </c>
      <c r="G760" s="1" t="s">
        <v>1513</v>
      </c>
      <c r="H760" s="2">
        <v>1342.59</v>
      </c>
      <c r="I760" s="2">
        <v>1342.59</v>
      </c>
    </row>
    <row r="761">
      <c r="A761" s="1" t="s">
        <v>1514</v>
      </c>
      <c r="B761" s="2">
        <v>1273.83</v>
      </c>
      <c r="C761" s="2">
        <v>1273.83</v>
      </c>
      <c r="D761" s="2">
        <v>2283.0</v>
      </c>
      <c r="E761" s="2">
        <v>2283.0</v>
      </c>
      <c r="G761" s="1" t="s">
        <v>1515</v>
      </c>
      <c r="H761" s="2">
        <v>1352.75</v>
      </c>
      <c r="I761" s="2">
        <v>1352.75</v>
      </c>
    </row>
    <row r="762">
      <c r="A762" s="1" t="s">
        <v>1516</v>
      </c>
      <c r="B762" s="2">
        <v>1283.72</v>
      </c>
      <c r="C762" s="2">
        <v>1283.72</v>
      </c>
      <c r="D762" s="2">
        <v>2304.23</v>
      </c>
      <c r="E762" s="2">
        <v>2304.23</v>
      </c>
      <c r="G762" s="1" t="s">
        <v>1517</v>
      </c>
      <c r="H762" s="2">
        <v>1384.56</v>
      </c>
      <c r="I762" s="2">
        <v>1384.56</v>
      </c>
    </row>
    <row r="763">
      <c r="A763" s="1" t="s">
        <v>1518</v>
      </c>
      <c r="B763" s="2" t="s">
        <v>0</v>
      </c>
      <c r="C763" s="2">
        <v>1283.72</v>
      </c>
      <c r="D763" s="2" t="s">
        <v>0</v>
      </c>
      <c r="E763" s="2">
        <v>2304.23</v>
      </c>
      <c r="G763" s="1" t="s">
        <v>1519</v>
      </c>
      <c r="H763" s="2" t="s">
        <v>0</v>
      </c>
      <c r="I763" s="2">
        <v>1384.56</v>
      </c>
    </row>
    <row r="764">
      <c r="A764" s="1" t="s">
        <v>1520</v>
      </c>
      <c r="B764" s="2" t="s">
        <v>0</v>
      </c>
      <c r="C764" s="2">
        <v>1283.72</v>
      </c>
      <c r="D764" s="2" t="s">
        <v>0</v>
      </c>
      <c r="E764" s="2">
        <v>2304.23</v>
      </c>
      <c r="G764" s="1" t="s">
        <v>1521</v>
      </c>
      <c r="H764" s="2" t="s">
        <v>0</v>
      </c>
      <c r="I764" s="2">
        <v>1384.56</v>
      </c>
    </row>
    <row r="765">
      <c r="A765" s="1" t="s">
        <v>1522</v>
      </c>
      <c r="B765" s="2">
        <v>1285.2</v>
      </c>
      <c r="C765" s="2">
        <v>1285.2</v>
      </c>
      <c r="D765" s="2">
        <v>2306.78</v>
      </c>
      <c r="E765" s="2">
        <v>2306.78</v>
      </c>
      <c r="G765" s="1" t="s">
        <v>1523</v>
      </c>
      <c r="H765" s="2" t="s">
        <v>0</v>
      </c>
      <c r="I765" s="2">
        <v>1384.56</v>
      </c>
    </row>
    <row r="766">
      <c r="A766" s="1" t="s">
        <v>1524</v>
      </c>
      <c r="B766" s="2">
        <v>1280.08</v>
      </c>
      <c r="C766" s="2">
        <v>1280.08</v>
      </c>
      <c r="D766" s="2">
        <v>2305.82</v>
      </c>
      <c r="E766" s="2">
        <v>2305.82</v>
      </c>
      <c r="G766" s="1" t="s">
        <v>1525</v>
      </c>
      <c r="H766" s="2">
        <v>1399.83</v>
      </c>
      <c r="I766" s="2">
        <v>1399.83</v>
      </c>
    </row>
    <row r="767">
      <c r="A767" s="1" t="s">
        <v>1526</v>
      </c>
      <c r="B767" s="2">
        <v>1282.46</v>
      </c>
      <c r="C767" s="2">
        <v>1282.46</v>
      </c>
      <c r="D767" s="2">
        <v>2310.56</v>
      </c>
      <c r="E767" s="2">
        <v>2310.56</v>
      </c>
      <c r="G767" s="1" t="s">
        <v>1527</v>
      </c>
      <c r="H767" s="2">
        <v>1375.97</v>
      </c>
      <c r="I767" s="2">
        <v>1375.97</v>
      </c>
    </row>
    <row r="768">
      <c r="A768" s="1" t="s">
        <v>1528</v>
      </c>
      <c r="B768" s="2">
        <v>1270.84</v>
      </c>
      <c r="C768" s="2">
        <v>1270.84</v>
      </c>
      <c r="D768" s="2">
        <v>2281.57</v>
      </c>
      <c r="E768" s="2">
        <v>2281.57</v>
      </c>
      <c r="G768" s="1" t="s">
        <v>1529</v>
      </c>
      <c r="H768" s="2">
        <v>1374.44</v>
      </c>
      <c r="I768" s="2">
        <v>1374.44</v>
      </c>
    </row>
    <row r="769">
      <c r="A769" s="1" t="s">
        <v>1530</v>
      </c>
      <c r="B769" s="2">
        <v>1264.03</v>
      </c>
      <c r="C769" s="2">
        <v>1264.03</v>
      </c>
      <c r="D769" s="2">
        <v>2262.58</v>
      </c>
      <c r="E769" s="2">
        <v>2262.58</v>
      </c>
      <c r="G769" s="1" t="s">
        <v>1531</v>
      </c>
      <c r="H769" s="2">
        <v>1333.5</v>
      </c>
      <c r="I769" s="2">
        <v>1333.5</v>
      </c>
    </row>
    <row r="770">
      <c r="A770" s="1" t="s">
        <v>1532</v>
      </c>
      <c r="B770" s="2" t="s">
        <v>0</v>
      </c>
      <c r="C770" s="2">
        <v>1264.03</v>
      </c>
      <c r="D770" s="2" t="s">
        <v>0</v>
      </c>
      <c r="E770" s="2">
        <v>2262.58</v>
      </c>
      <c r="G770" s="1" t="s">
        <v>1533</v>
      </c>
      <c r="H770" s="2" t="s">
        <v>0</v>
      </c>
      <c r="I770" s="2">
        <v>1333.5</v>
      </c>
    </row>
    <row r="771">
      <c r="A771" s="1" t="s">
        <v>1534</v>
      </c>
      <c r="B771" s="2" t="s">
        <v>0</v>
      </c>
      <c r="C771" s="2">
        <v>1264.03</v>
      </c>
      <c r="D771" s="2" t="s">
        <v>0</v>
      </c>
      <c r="E771" s="2">
        <v>2262.58</v>
      </c>
      <c r="G771" s="1" t="s">
        <v>1535</v>
      </c>
      <c r="H771" s="2" t="s">
        <v>0</v>
      </c>
      <c r="I771" s="2">
        <v>1333.5</v>
      </c>
    </row>
    <row r="772">
      <c r="A772" s="1" t="s">
        <v>1536</v>
      </c>
      <c r="B772" s="2">
        <v>1265.02</v>
      </c>
      <c r="C772" s="2">
        <v>1265.02</v>
      </c>
      <c r="D772" s="2">
        <v>2258.8</v>
      </c>
      <c r="E772" s="2">
        <v>2258.8</v>
      </c>
      <c r="G772" s="1" t="s">
        <v>1537</v>
      </c>
      <c r="H772" s="2">
        <v>1341.64</v>
      </c>
      <c r="I772" s="2">
        <v>1341.64</v>
      </c>
    </row>
    <row r="773">
      <c r="A773" s="1" t="s">
        <v>1538</v>
      </c>
      <c r="B773" s="2">
        <v>1254.78</v>
      </c>
      <c r="C773" s="2">
        <v>1254.78</v>
      </c>
      <c r="D773" s="2">
        <v>2244.96</v>
      </c>
      <c r="E773" s="2">
        <v>2244.96</v>
      </c>
      <c r="G773" s="1" t="s">
        <v>1539</v>
      </c>
      <c r="H773" s="2">
        <v>1332.28</v>
      </c>
      <c r="I773" s="2">
        <v>1332.28</v>
      </c>
    </row>
    <row r="774">
      <c r="A774" s="1" t="s">
        <v>1540</v>
      </c>
      <c r="B774" s="2">
        <v>1265.65</v>
      </c>
      <c r="C774" s="2">
        <v>1265.65</v>
      </c>
      <c r="D774" s="2">
        <v>2266.98</v>
      </c>
      <c r="E774" s="2">
        <v>2266.98</v>
      </c>
      <c r="G774" s="1" t="s">
        <v>1541</v>
      </c>
      <c r="H774" s="2">
        <v>1310.99</v>
      </c>
      <c r="I774" s="2">
        <v>1310.99</v>
      </c>
    </row>
    <row r="775">
      <c r="A775" s="1" t="s">
        <v>1542</v>
      </c>
      <c r="B775" s="2">
        <v>1263.78</v>
      </c>
      <c r="C775" s="2">
        <v>1263.78</v>
      </c>
      <c r="D775" s="2">
        <v>2255.87</v>
      </c>
      <c r="E775" s="2">
        <v>2255.87</v>
      </c>
      <c r="G775" s="1" t="s">
        <v>1543</v>
      </c>
      <c r="H775" s="2">
        <v>1321.66</v>
      </c>
      <c r="I775" s="2">
        <v>1321.66</v>
      </c>
    </row>
    <row r="776">
      <c r="A776" s="1" t="s">
        <v>1544</v>
      </c>
      <c r="B776" s="2">
        <v>1266.99</v>
      </c>
      <c r="C776" s="2">
        <v>1266.99</v>
      </c>
      <c r="D776" s="2">
        <v>2261.88</v>
      </c>
      <c r="E776" s="2">
        <v>2261.88</v>
      </c>
      <c r="G776" s="1" t="s">
        <v>1545</v>
      </c>
      <c r="H776" s="2">
        <v>1335.23</v>
      </c>
      <c r="I776" s="2">
        <v>1335.23</v>
      </c>
    </row>
    <row r="777">
      <c r="A777" s="1" t="s">
        <v>1546</v>
      </c>
      <c r="B777" s="2" t="s">
        <v>0</v>
      </c>
      <c r="C777" s="2">
        <v>1266.99</v>
      </c>
      <c r="D777" s="2" t="s">
        <v>0</v>
      </c>
      <c r="E777" s="2">
        <v>2261.88</v>
      </c>
      <c r="G777" s="1" t="s">
        <v>1547</v>
      </c>
      <c r="H777" s="2" t="s">
        <v>0</v>
      </c>
      <c r="I777" s="2">
        <v>1335.23</v>
      </c>
    </row>
    <row r="778">
      <c r="A778" s="1" t="s">
        <v>1548</v>
      </c>
      <c r="B778" s="2" t="s">
        <v>0</v>
      </c>
      <c r="C778" s="2">
        <v>1266.99</v>
      </c>
      <c r="D778" s="2" t="s">
        <v>0</v>
      </c>
      <c r="E778" s="2">
        <v>2261.88</v>
      </c>
      <c r="G778" s="1" t="s">
        <v>1549</v>
      </c>
      <c r="H778" s="2" t="s">
        <v>0</v>
      </c>
      <c r="I778" s="2">
        <v>1335.23</v>
      </c>
    </row>
    <row r="779">
      <c r="A779" s="1" t="s">
        <v>1550</v>
      </c>
      <c r="B779" s="2">
        <v>1262.86</v>
      </c>
      <c r="C779" s="2">
        <v>1262.86</v>
      </c>
      <c r="D779" s="2">
        <v>2239.81</v>
      </c>
      <c r="E779" s="2">
        <v>2239.81</v>
      </c>
      <c r="G779" s="1" t="s">
        <v>1551</v>
      </c>
      <c r="H779" s="2">
        <v>1320.79</v>
      </c>
      <c r="I779" s="2">
        <v>1320.79</v>
      </c>
    </row>
    <row r="780">
      <c r="A780" s="1" t="s">
        <v>1552</v>
      </c>
      <c r="B780" s="2">
        <v>1275.53</v>
      </c>
      <c r="C780" s="2">
        <v>1275.53</v>
      </c>
      <c r="D780" s="2">
        <v>2262.17</v>
      </c>
      <c r="E780" s="2">
        <v>2262.17</v>
      </c>
      <c r="G780" s="1" t="s">
        <v>1553</v>
      </c>
      <c r="H780" s="2">
        <v>1328.21</v>
      </c>
      <c r="I780" s="2">
        <v>1328.21</v>
      </c>
    </row>
    <row r="781">
      <c r="A781" s="1" t="s">
        <v>1554</v>
      </c>
      <c r="B781" s="2">
        <v>1280.0</v>
      </c>
      <c r="C781" s="2">
        <v>1280.0</v>
      </c>
      <c r="D781" s="2">
        <v>2276.43</v>
      </c>
      <c r="E781" s="2">
        <v>2276.43</v>
      </c>
      <c r="G781" s="1" t="s">
        <v>1555</v>
      </c>
      <c r="H781" s="2">
        <v>1303.84</v>
      </c>
      <c r="I781" s="2">
        <v>1303.84</v>
      </c>
    </row>
    <row r="782">
      <c r="A782" s="1" t="s">
        <v>1556</v>
      </c>
      <c r="B782" s="2">
        <v>1289.38</v>
      </c>
      <c r="C782" s="2">
        <v>1289.38</v>
      </c>
      <c r="D782" s="2">
        <v>2294.63</v>
      </c>
      <c r="E782" s="2">
        <v>2294.63</v>
      </c>
      <c r="G782" s="1" t="s">
        <v>1557</v>
      </c>
      <c r="H782" s="2">
        <v>1314.32</v>
      </c>
      <c r="I782" s="2">
        <v>1314.32</v>
      </c>
    </row>
    <row r="783">
      <c r="A783" s="1" t="s">
        <v>1558</v>
      </c>
      <c r="B783" s="2">
        <v>1287.24</v>
      </c>
      <c r="C783" s="2">
        <v>1287.24</v>
      </c>
      <c r="D783" s="2">
        <v>2282.36</v>
      </c>
      <c r="E783" s="2">
        <v>2282.36</v>
      </c>
      <c r="G783" s="1" t="s">
        <v>1559</v>
      </c>
      <c r="H783" s="2">
        <v>1332.73</v>
      </c>
      <c r="I783" s="2">
        <v>1332.73</v>
      </c>
    </row>
    <row r="784">
      <c r="A784" s="1" t="s">
        <v>1560</v>
      </c>
      <c r="B784" s="2" t="s">
        <v>0</v>
      </c>
      <c r="C784" s="2">
        <v>1287.24</v>
      </c>
      <c r="D784" s="2" t="s">
        <v>0</v>
      </c>
      <c r="E784" s="2">
        <v>2282.36</v>
      </c>
      <c r="G784" s="1" t="s">
        <v>1561</v>
      </c>
      <c r="H784" s="2" t="s">
        <v>0</v>
      </c>
      <c r="I784" s="2">
        <v>1332.73</v>
      </c>
    </row>
    <row r="785">
      <c r="A785" s="1" t="s">
        <v>1562</v>
      </c>
      <c r="B785" s="2" t="s">
        <v>0</v>
      </c>
      <c r="C785" s="2">
        <v>1287.24</v>
      </c>
      <c r="D785" s="2" t="s">
        <v>0</v>
      </c>
      <c r="E785" s="2">
        <v>2282.36</v>
      </c>
      <c r="G785" s="1" t="s">
        <v>1563</v>
      </c>
      <c r="H785" s="2" t="s">
        <v>0</v>
      </c>
      <c r="I785" s="2">
        <v>1332.73</v>
      </c>
    </row>
    <row r="786">
      <c r="A786" s="1" t="s">
        <v>1564</v>
      </c>
      <c r="B786" s="2" t="s">
        <v>0</v>
      </c>
      <c r="C786" s="2">
        <v>1287.24</v>
      </c>
      <c r="D786" s="2" t="s">
        <v>0</v>
      </c>
      <c r="E786" s="2">
        <v>2282.36</v>
      </c>
      <c r="G786" s="1" t="s">
        <v>1565</v>
      </c>
      <c r="H786" s="2">
        <v>1348.25</v>
      </c>
      <c r="I786" s="2">
        <v>1348.25</v>
      </c>
    </row>
    <row r="787">
      <c r="A787" s="1" t="s">
        <v>1566</v>
      </c>
      <c r="B787" s="2">
        <v>1283.04</v>
      </c>
      <c r="C787" s="2">
        <v>1283.04</v>
      </c>
      <c r="D787" s="2">
        <v>2262.96</v>
      </c>
      <c r="E787" s="2">
        <v>2262.96</v>
      </c>
      <c r="G787" s="1" t="s">
        <v>1567</v>
      </c>
      <c r="H787" s="2">
        <v>1346.49</v>
      </c>
      <c r="I787" s="2">
        <v>1346.49</v>
      </c>
    </row>
    <row r="788">
      <c r="A788" s="1" t="s">
        <v>1568</v>
      </c>
      <c r="B788" s="2">
        <v>1292.67</v>
      </c>
      <c r="C788" s="2">
        <v>1292.67</v>
      </c>
      <c r="D788" s="2">
        <v>2283.17</v>
      </c>
      <c r="E788" s="2">
        <v>2283.17</v>
      </c>
      <c r="G788" s="1" t="s">
        <v>1569</v>
      </c>
      <c r="H788" s="2">
        <v>1340.58</v>
      </c>
      <c r="I788" s="2">
        <v>1340.58</v>
      </c>
    </row>
    <row r="789">
      <c r="A789" s="1" t="s">
        <v>1570</v>
      </c>
      <c r="B789" s="2">
        <v>1287.79</v>
      </c>
      <c r="C789" s="2">
        <v>1287.79</v>
      </c>
      <c r="D789" s="2">
        <v>2279.32</v>
      </c>
      <c r="E789" s="2">
        <v>2279.32</v>
      </c>
      <c r="G789" s="1" t="s">
        <v>1571</v>
      </c>
      <c r="H789" s="2">
        <v>1361.23</v>
      </c>
      <c r="I789" s="2">
        <v>1361.23</v>
      </c>
    </row>
    <row r="790">
      <c r="A790" s="1" t="s">
        <v>1572</v>
      </c>
      <c r="B790" s="2">
        <v>1289.43</v>
      </c>
      <c r="C790" s="2">
        <v>1289.43</v>
      </c>
      <c r="D790" s="2">
        <v>2287.04</v>
      </c>
      <c r="E790" s="2">
        <v>2287.04</v>
      </c>
      <c r="G790" s="1" t="s">
        <v>1573</v>
      </c>
      <c r="H790" s="2">
        <v>1365.82</v>
      </c>
      <c r="I790" s="2">
        <v>1365.82</v>
      </c>
    </row>
    <row r="791">
      <c r="A791" s="1" t="s">
        <v>1574</v>
      </c>
      <c r="B791" s="2" t="s">
        <v>0</v>
      </c>
      <c r="C791" s="2">
        <v>1289.43</v>
      </c>
      <c r="D791" s="2" t="s">
        <v>0</v>
      </c>
      <c r="E791" s="2">
        <v>2287.04</v>
      </c>
      <c r="G791" s="1" t="s">
        <v>1575</v>
      </c>
      <c r="H791" s="2" t="s">
        <v>0</v>
      </c>
      <c r="I791" s="2">
        <v>1365.82</v>
      </c>
    </row>
    <row r="792">
      <c r="A792" s="1" t="s">
        <v>1576</v>
      </c>
      <c r="B792" s="2" t="s">
        <v>0</v>
      </c>
      <c r="C792" s="2">
        <v>1289.43</v>
      </c>
      <c r="D792" s="2" t="s">
        <v>0</v>
      </c>
      <c r="E792" s="2">
        <v>2287.04</v>
      </c>
      <c r="G792" s="1" t="s">
        <v>1577</v>
      </c>
      <c r="H792" s="2" t="s">
        <v>0</v>
      </c>
      <c r="I792" s="2">
        <v>1365.82</v>
      </c>
    </row>
    <row r="793">
      <c r="A793" s="1" t="s">
        <v>1578</v>
      </c>
      <c r="B793" s="2">
        <v>1294.12</v>
      </c>
      <c r="C793" s="2">
        <v>1294.12</v>
      </c>
      <c r="D793" s="2">
        <v>2307.18</v>
      </c>
      <c r="E793" s="2">
        <v>2307.18</v>
      </c>
      <c r="G793" s="1" t="s">
        <v>1579</v>
      </c>
      <c r="H793" s="2">
        <v>1374.88</v>
      </c>
      <c r="I793" s="2">
        <v>1374.88</v>
      </c>
    </row>
    <row r="794">
      <c r="A794" s="1" t="s">
        <v>1580</v>
      </c>
      <c r="B794" s="2">
        <v>1280.66</v>
      </c>
      <c r="C794" s="2">
        <v>1280.66</v>
      </c>
      <c r="D794" s="2">
        <v>2281.39</v>
      </c>
      <c r="E794" s="2">
        <v>2281.39</v>
      </c>
      <c r="G794" s="1" t="s">
        <v>1581</v>
      </c>
      <c r="H794" s="2">
        <v>1371.59</v>
      </c>
      <c r="I794" s="2">
        <v>1371.59</v>
      </c>
    </row>
    <row r="795">
      <c r="A795" s="1" t="s">
        <v>1582</v>
      </c>
      <c r="B795" s="2">
        <v>1291.24</v>
      </c>
      <c r="C795" s="2">
        <v>1291.24</v>
      </c>
      <c r="D795" s="2">
        <v>2314.64</v>
      </c>
      <c r="E795" s="2">
        <v>2314.64</v>
      </c>
      <c r="G795" s="1" t="s">
        <v>1583</v>
      </c>
      <c r="H795" s="2" t="s">
        <v>0</v>
      </c>
      <c r="I795" s="2">
        <v>1371.59</v>
      </c>
    </row>
    <row r="796">
      <c r="A796" s="1" t="s">
        <v>1584</v>
      </c>
      <c r="B796" s="2">
        <v>1289.14</v>
      </c>
      <c r="C796" s="2">
        <v>1289.14</v>
      </c>
      <c r="D796" s="2">
        <v>2311.11</v>
      </c>
      <c r="E796" s="2">
        <v>2311.11</v>
      </c>
      <c r="G796" s="1" t="s">
        <v>1585</v>
      </c>
      <c r="H796" s="2">
        <v>1367.7</v>
      </c>
      <c r="I796" s="2">
        <v>1367.7</v>
      </c>
    </row>
    <row r="797">
      <c r="A797" s="1" t="s">
        <v>1586</v>
      </c>
      <c r="B797" s="2">
        <v>1287.23</v>
      </c>
      <c r="C797" s="2">
        <v>1287.23</v>
      </c>
      <c r="D797" s="2">
        <v>2302.6</v>
      </c>
      <c r="E797" s="2">
        <v>2302.6</v>
      </c>
      <c r="G797" s="1" t="s">
        <v>1587</v>
      </c>
      <c r="H797" s="2">
        <v>1328.95</v>
      </c>
      <c r="I797" s="2">
        <v>1328.95</v>
      </c>
    </row>
    <row r="798">
      <c r="A798" s="1" t="s">
        <v>1588</v>
      </c>
      <c r="B798" s="2" t="s">
        <v>0</v>
      </c>
      <c r="C798" s="2">
        <v>1287.23</v>
      </c>
      <c r="D798" s="2" t="s">
        <v>0</v>
      </c>
      <c r="E798" s="2">
        <v>2302.6</v>
      </c>
      <c r="G798" s="1" t="s">
        <v>1589</v>
      </c>
      <c r="H798" s="2" t="s">
        <v>0</v>
      </c>
      <c r="I798" s="2">
        <v>1328.95</v>
      </c>
    </row>
    <row r="799">
      <c r="A799" s="1" t="s">
        <v>1590</v>
      </c>
      <c r="B799" s="2" t="s">
        <v>0</v>
      </c>
      <c r="C799" s="2">
        <v>1287.23</v>
      </c>
      <c r="D799" s="2" t="s">
        <v>0</v>
      </c>
      <c r="E799" s="2">
        <v>2302.6</v>
      </c>
      <c r="G799" s="1" t="s">
        <v>1591</v>
      </c>
      <c r="H799" s="2" t="s">
        <v>0</v>
      </c>
      <c r="I799" s="2">
        <v>1328.95</v>
      </c>
    </row>
    <row r="800">
      <c r="A800" s="1" t="s">
        <v>1592</v>
      </c>
      <c r="B800" s="2">
        <v>1278.26</v>
      </c>
      <c r="C800" s="2">
        <v>1278.26</v>
      </c>
      <c r="D800" s="2">
        <v>2286.03</v>
      </c>
      <c r="E800" s="2">
        <v>2286.03</v>
      </c>
      <c r="G800" s="1" t="s">
        <v>1593</v>
      </c>
      <c r="H800" s="2">
        <v>1344.76</v>
      </c>
      <c r="I800" s="2">
        <v>1344.76</v>
      </c>
    </row>
    <row r="801">
      <c r="A801" s="1" t="s">
        <v>1594</v>
      </c>
      <c r="B801" s="2">
        <v>1275.88</v>
      </c>
      <c r="C801" s="2">
        <v>1275.88</v>
      </c>
      <c r="D801" s="2">
        <v>2268.38</v>
      </c>
      <c r="E801" s="2">
        <v>2268.38</v>
      </c>
      <c r="G801" s="1" t="s">
        <v>1595</v>
      </c>
      <c r="H801" s="2">
        <v>1316.67</v>
      </c>
      <c r="I801" s="2">
        <v>1316.67</v>
      </c>
    </row>
    <row r="802">
      <c r="A802" s="1" t="s">
        <v>1596</v>
      </c>
      <c r="B802" s="2">
        <v>1278.47</v>
      </c>
      <c r="C802" s="2">
        <v>1278.47</v>
      </c>
      <c r="D802" s="2">
        <v>2267.46</v>
      </c>
      <c r="E802" s="2">
        <v>2267.46</v>
      </c>
      <c r="G802" s="1" t="s">
        <v>1597</v>
      </c>
      <c r="H802" s="2">
        <v>1314.05</v>
      </c>
      <c r="I802" s="2">
        <v>1314.05</v>
      </c>
    </row>
    <row r="803">
      <c r="A803" s="1" t="s">
        <v>1598</v>
      </c>
      <c r="B803" s="2">
        <v>1272.23</v>
      </c>
      <c r="C803" s="2">
        <v>1272.23</v>
      </c>
      <c r="D803" s="2">
        <v>2249.72</v>
      </c>
      <c r="E803" s="2">
        <v>2249.72</v>
      </c>
      <c r="G803" s="1" t="s">
        <v>1599</v>
      </c>
      <c r="H803" s="2">
        <v>1311.21</v>
      </c>
      <c r="I803" s="2">
        <v>1311.21</v>
      </c>
    </row>
    <row r="804">
      <c r="A804" s="1" t="s">
        <v>1600</v>
      </c>
      <c r="B804" s="2">
        <v>1281.58</v>
      </c>
      <c r="C804" s="2">
        <v>1281.58</v>
      </c>
      <c r="D804" s="2">
        <v>2262.04</v>
      </c>
      <c r="E804" s="2">
        <v>2262.04</v>
      </c>
      <c r="G804" s="1" t="s">
        <v>1601</v>
      </c>
      <c r="H804" s="2">
        <v>1320.07</v>
      </c>
      <c r="I804" s="2">
        <v>1320.07</v>
      </c>
    </row>
    <row r="805">
      <c r="A805" s="1" t="s">
        <v>1602</v>
      </c>
      <c r="B805" s="2" t="s">
        <v>0</v>
      </c>
      <c r="C805" s="2">
        <v>1281.58</v>
      </c>
      <c r="D805" s="2" t="s">
        <v>0</v>
      </c>
      <c r="E805" s="2">
        <v>2262.04</v>
      </c>
      <c r="G805" s="1" t="s">
        <v>1603</v>
      </c>
      <c r="H805" s="2" t="s">
        <v>0</v>
      </c>
      <c r="I805" s="2">
        <v>1320.07</v>
      </c>
    </row>
    <row r="806">
      <c r="A806" s="1" t="s">
        <v>1604</v>
      </c>
      <c r="B806" s="2" t="s">
        <v>0</v>
      </c>
      <c r="C806" s="2">
        <v>1281.58</v>
      </c>
      <c r="D806" s="2" t="s">
        <v>0</v>
      </c>
      <c r="E806" s="2">
        <v>2262.04</v>
      </c>
      <c r="G806" s="1" t="s">
        <v>1605</v>
      </c>
      <c r="H806" s="2" t="s">
        <v>0</v>
      </c>
      <c r="I806" s="2">
        <v>1320.07</v>
      </c>
    </row>
    <row r="807">
      <c r="A807" s="1" t="s">
        <v>1606</v>
      </c>
      <c r="B807" s="2">
        <v>1284.13</v>
      </c>
      <c r="C807" s="2">
        <v>1284.13</v>
      </c>
      <c r="D807" s="2">
        <v>2267.03</v>
      </c>
      <c r="E807" s="2">
        <v>2267.03</v>
      </c>
      <c r="G807" s="1" t="s">
        <v>1607</v>
      </c>
      <c r="H807" s="2">
        <v>1338.28</v>
      </c>
      <c r="I807" s="2">
        <v>1338.28</v>
      </c>
    </row>
    <row r="808">
      <c r="A808" s="1" t="s">
        <v>1608</v>
      </c>
      <c r="B808" s="2">
        <v>1297.48</v>
      </c>
      <c r="C808" s="2">
        <v>1297.48</v>
      </c>
      <c r="D808" s="2">
        <v>2295.9</v>
      </c>
      <c r="E808" s="2">
        <v>2295.9</v>
      </c>
      <c r="G808" s="1" t="s">
        <v>1609</v>
      </c>
      <c r="H808" s="2">
        <v>1326.3</v>
      </c>
      <c r="I808" s="2">
        <v>1326.3</v>
      </c>
    </row>
    <row r="809">
      <c r="A809" s="1" t="s">
        <v>1610</v>
      </c>
      <c r="B809" s="2">
        <v>1303.02</v>
      </c>
      <c r="C809" s="2">
        <v>1303.02</v>
      </c>
      <c r="D809" s="2">
        <v>2311.84</v>
      </c>
      <c r="E809" s="2">
        <v>2311.84</v>
      </c>
      <c r="G809" s="1" t="s">
        <v>1611</v>
      </c>
      <c r="H809" s="2">
        <v>1333.98</v>
      </c>
      <c r="I809" s="2">
        <v>1333.98</v>
      </c>
    </row>
    <row r="810">
      <c r="A810" s="1" t="s">
        <v>1612</v>
      </c>
      <c r="B810" s="2">
        <v>1305.33</v>
      </c>
      <c r="C810" s="2">
        <v>1305.33</v>
      </c>
      <c r="D810" s="2">
        <v>2299.56</v>
      </c>
      <c r="E810" s="2">
        <v>2299.56</v>
      </c>
      <c r="G810" s="1" t="s">
        <v>1613</v>
      </c>
      <c r="H810" s="2">
        <v>1335.98</v>
      </c>
      <c r="I810" s="2">
        <v>1335.98</v>
      </c>
    </row>
    <row r="811">
      <c r="A811" s="1" t="s">
        <v>1614</v>
      </c>
      <c r="B811" s="2">
        <v>1307.25</v>
      </c>
      <c r="C811" s="2">
        <v>1307.25</v>
      </c>
      <c r="D811" s="2">
        <v>2306.48</v>
      </c>
      <c r="E811" s="2">
        <v>2306.48</v>
      </c>
      <c r="G811" s="1" t="s">
        <v>1615</v>
      </c>
      <c r="H811" s="2">
        <v>1341.12</v>
      </c>
      <c r="I811" s="2">
        <v>1341.12</v>
      </c>
    </row>
    <row r="812">
      <c r="A812" s="1" t="s">
        <v>1616</v>
      </c>
      <c r="B812" s="2" t="s">
        <v>0</v>
      </c>
      <c r="C812" s="2">
        <v>1307.25</v>
      </c>
      <c r="D812" s="2" t="s">
        <v>0</v>
      </c>
      <c r="E812" s="2">
        <v>2306.48</v>
      </c>
      <c r="G812" s="1" t="s">
        <v>1617</v>
      </c>
      <c r="H812" s="2" t="s">
        <v>0</v>
      </c>
      <c r="I812" s="2">
        <v>1341.12</v>
      </c>
    </row>
    <row r="813">
      <c r="A813" s="1" t="s">
        <v>1618</v>
      </c>
      <c r="B813" s="2" t="s">
        <v>0</v>
      </c>
      <c r="C813" s="2">
        <v>1307.25</v>
      </c>
      <c r="D813" s="2" t="s">
        <v>0</v>
      </c>
      <c r="E813" s="2">
        <v>2306.48</v>
      </c>
      <c r="G813" s="1" t="s">
        <v>1619</v>
      </c>
      <c r="H813" s="2" t="s">
        <v>0</v>
      </c>
      <c r="I813" s="2">
        <v>1341.12</v>
      </c>
    </row>
    <row r="814">
      <c r="A814" s="1" t="s">
        <v>1620</v>
      </c>
      <c r="B814" s="2">
        <v>1305.08</v>
      </c>
      <c r="C814" s="2">
        <v>1305.08</v>
      </c>
      <c r="D814" s="2">
        <v>2314.11</v>
      </c>
      <c r="E814" s="2">
        <v>2314.11</v>
      </c>
      <c r="G814" s="1" t="s">
        <v>1621</v>
      </c>
      <c r="H814" s="2">
        <v>1346.69</v>
      </c>
      <c r="I814" s="2">
        <v>1346.69</v>
      </c>
    </row>
    <row r="815">
      <c r="A815" s="1" t="s">
        <v>1622</v>
      </c>
      <c r="B815" s="2">
        <v>1297.23</v>
      </c>
      <c r="C815" s="2">
        <v>1297.23</v>
      </c>
      <c r="D815" s="2">
        <v>2294.23</v>
      </c>
      <c r="E815" s="2">
        <v>2294.23</v>
      </c>
      <c r="G815" s="1" t="s">
        <v>1623</v>
      </c>
      <c r="H815" s="2">
        <v>1336.65</v>
      </c>
      <c r="I815" s="2">
        <v>1336.65</v>
      </c>
    </row>
    <row r="816">
      <c r="A816" s="1" t="s">
        <v>1624</v>
      </c>
      <c r="B816" s="2">
        <v>1305.04</v>
      </c>
      <c r="C816" s="2">
        <v>1305.04</v>
      </c>
      <c r="D816" s="2">
        <v>2303.35</v>
      </c>
      <c r="E816" s="2">
        <v>2303.35</v>
      </c>
      <c r="G816" s="1" t="s">
        <v>1625</v>
      </c>
      <c r="H816" s="2">
        <v>1309.83</v>
      </c>
      <c r="I816" s="2">
        <v>1309.83</v>
      </c>
    </row>
    <row r="817">
      <c r="A817" s="1" t="s">
        <v>1626</v>
      </c>
      <c r="B817" s="2">
        <v>1301.67</v>
      </c>
      <c r="C817" s="2">
        <v>1301.67</v>
      </c>
      <c r="D817" s="2">
        <v>2300.15</v>
      </c>
      <c r="E817" s="2">
        <v>2300.15</v>
      </c>
      <c r="G817" s="1" t="s">
        <v>1627</v>
      </c>
      <c r="H817" s="2">
        <v>1312.26</v>
      </c>
      <c r="I817" s="2">
        <v>1312.26</v>
      </c>
    </row>
    <row r="818">
      <c r="A818" s="1" t="s">
        <v>1628</v>
      </c>
      <c r="B818" s="2">
        <v>1302.95</v>
      </c>
      <c r="C818" s="2">
        <v>1302.95</v>
      </c>
      <c r="D818" s="2">
        <v>2312.82</v>
      </c>
      <c r="E818" s="2">
        <v>2312.82</v>
      </c>
      <c r="G818" s="1" t="s">
        <v>1629</v>
      </c>
      <c r="H818" s="2">
        <v>1321.23</v>
      </c>
      <c r="I818" s="2">
        <v>1321.23</v>
      </c>
    </row>
    <row r="819">
      <c r="A819" s="1" t="s">
        <v>1630</v>
      </c>
      <c r="B819" s="2" t="s">
        <v>0</v>
      </c>
      <c r="C819" s="2">
        <v>1302.95</v>
      </c>
      <c r="D819" s="2" t="s">
        <v>0</v>
      </c>
      <c r="E819" s="2">
        <v>2312.82</v>
      </c>
      <c r="G819" s="1" t="s">
        <v>1631</v>
      </c>
      <c r="H819" s="2" t="s">
        <v>0</v>
      </c>
      <c r="I819" s="2">
        <v>1321.23</v>
      </c>
    </row>
    <row r="820">
      <c r="A820" s="1" t="s">
        <v>1632</v>
      </c>
      <c r="B820" s="2" t="s">
        <v>0</v>
      </c>
      <c r="C820" s="2">
        <v>1302.95</v>
      </c>
      <c r="D820" s="2" t="s">
        <v>0</v>
      </c>
      <c r="E820" s="2">
        <v>2312.82</v>
      </c>
      <c r="G820" s="1" t="s">
        <v>1633</v>
      </c>
      <c r="H820" s="2" t="s">
        <v>0</v>
      </c>
      <c r="I820" s="2">
        <v>1321.23</v>
      </c>
    </row>
    <row r="821">
      <c r="A821" s="1" t="s">
        <v>1634</v>
      </c>
      <c r="B821" s="2">
        <v>1301.61</v>
      </c>
      <c r="C821" s="2">
        <v>1301.61</v>
      </c>
      <c r="D821" s="2">
        <v>2315.58</v>
      </c>
      <c r="E821" s="2">
        <v>2315.58</v>
      </c>
      <c r="G821" s="1" t="s">
        <v>1635</v>
      </c>
      <c r="H821" s="2">
        <v>1330.34</v>
      </c>
      <c r="I821" s="2">
        <v>1330.34</v>
      </c>
    </row>
    <row r="822">
      <c r="A822" s="1" t="s">
        <v>1636</v>
      </c>
      <c r="B822" s="2">
        <v>1293.23</v>
      </c>
      <c r="C822" s="2">
        <v>1293.23</v>
      </c>
      <c r="D822" s="2">
        <v>2304.46</v>
      </c>
      <c r="E822" s="2">
        <v>2304.46</v>
      </c>
      <c r="G822" s="1" t="s">
        <v>1637</v>
      </c>
      <c r="H822" s="2">
        <v>1331.31</v>
      </c>
      <c r="I822" s="2">
        <v>1331.31</v>
      </c>
    </row>
    <row r="823">
      <c r="A823" s="1" t="s">
        <v>1638</v>
      </c>
      <c r="B823" s="2">
        <v>1302.89</v>
      </c>
      <c r="C823" s="2">
        <v>1302.89</v>
      </c>
      <c r="D823" s="2">
        <v>2337.78</v>
      </c>
      <c r="E823" s="2">
        <v>2337.78</v>
      </c>
      <c r="G823" s="1" t="s">
        <v>1639</v>
      </c>
      <c r="H823" s="2">
        <v>1332.72</v>
      </c>
      <c r="I823" s="2">
        <v>1332.72</v>
      </c>
    </row>
    <row r="824">
      <c r="A824" s="1" t="s">
        <v>1640</v>
      </c>
      <c r="B824" s="2">
        <v>1300.25</v>
      </c>
      <c r="C824" s="2">
        <v>1300.25</v>
      </c>
      <c r="D824" s="2">
        <v>2340.82</v>
      </c>
      <c r="E824" s="2">
        <v>2340.82</v>
      </c>
      <c r="G824" s="1" t="s">
        <v>1641</v>
      </c>
      <c r="H824" s="2">
        <v>1338.14</v>
      </c>
      <c r="I824" s="2">
        <v>1338.14</v>
      </c>
    </row>
    <row r="825">
      <c r="A825" s="1" t="s">
        <v>1642</v>
      </c>
      <c r="B825" s="2">
        <v>1294.83</v>
      </c>
      <c r="C825" s="2">
        <v>1294.83</v>
      </c>
      <c r="D825" s="2">
        <v>2339.79</v>
      </c>
      <c r="E825" s="2">
        <v>2339.79</v>
      </c>
      <c r="G825" s="1" t="s">
        <v>1643</v>
      </c>
      <c r="H825" s="2">
        <v>1359.6</v>
      </c>
      <c r="I825" s="2">
        <v>1359.6</v>
      </c>
    </row>
    <row r="826">
      <c r="A826" s="1" t="s">
        <v>1644</v>
      </c>
      <c r="B826" s="2" t="s">
        <v>0</v>
      </c>
      <c r="C826" s="2">
        <v>1294.83</v>
      </c>
      <c r="D826" s="2" t="s">
        <v>0</v>
      </c>
      <c r="E826" s="2">
        <v>2339.79</v>
      </c>
      <c r="G826" s="1" t="s">
        <v>1645</v>
      </c>
      <c r="H826" s="2" t="s">
        <v>0</v>
      </c>
      <c r="I826" s="2">
        <v>1359.6</v>
      </c>
    </row>
    <row r="827">
      <c r="A827" s="1" t="s">
        <v>1646</v>
      </c>
      <c r="B827" s="2" t="s">
        <v>0</v>
      </c>
      <c r="C827" s="2">
        <v>1294.83</v>
      </c>
      <c r="D827" s="2" t="s">
        <v>0</v>
      </c>
      <c r="E827" s="2">
        <v>2339.79</v>
      </c>
      <c r="G827" s="1" t="s">
        <v>1647</v>
      </c>
      <c r="H827" s="2" t="s">
        <v>0</v>
      </c>
      <c r="I827" s="2">
        <v>1359.6</v>
      </c>
    </row>
    <row r="828">
      <c r="A828" s="1" t="s">
        <v>1648</v>
      </c>
      <c r="B828" s="2">
        <v>1297.81</v>
      </c>
      <c r="C828" s="2">
        <v>1297.81</v>
      </c>
      <c r="D828" s="2">
        <v>2336.74</v>
      </c>
      <c r="E828" s="2">
        <v>2336.74</v>
      </c>
      <c r="G828" s="1" t="s">
        <v>1649</v>
      </c>
      <c r="H828" s="2">
        <v>1379.75</v>
      </c>
      <c r="I828" s="2">
        <v>1379.75</v>
      </c>
    </row>
    <row r="829">
      <c r="A829" s="1" t="s">
        <v>1650</v>
      </c>
      <c r="B829" s="2">
        <v>1305.93</v>
      </c>
      <c r="C829" s="2">
        <v>1305.93</v>
      </c>
      <c r="D829" s="2">
        <v>2345.36</v>
      </c>
      <c r="E829" s="2">
        <v>2345.36</v>
      </c>
      <c r="G829" s="1" t="s">
        <v>1651</v>
      </c>
      <c r="H829" s="2">
        <v>1385.64</v>
      </c>
      <c r="I829" s="2">
        <v>1385.64</v>
      </c>
    </row>
    <row r="830">
      <c r="A830" s="1" t="s">
        <v>1652</v>
      </c>
      <c r="B830" s="2">
        <v>1311.56</v>
      </c>
      <c r="C830" s="2">
        <v>1311.56</v>
      </c>
      <c r="D830" s="2">
        <v>2359.75</v>
      </c>
      <c r="E830" s="2">
        <v>2359.75</v>
      </c>
      <c r="G830" s="1" t="s">
        <v>1653</v>
      </c>
      <c r="H830" s="2">
        <v>1388.77</v>
      </c>
      <c r="I830" s="2">
        <v>1388.77</v>
      </c>
    </row>
    <row r="831">
      <c r="A831" s="1" t="s">
        <v>1654</v>
      </c>
      <c r="B831" s="2">
        <v>1309.04</v>
      </c>
      <c r="C831" s="2">
        <v>1309.04</v>
      </c>
      <c r="D831" s="2">
        <v>2361.17</v>
      </c>
      <c r="E831" s="2">
        <v>2361.17</v>
      </c>
      <c r="G831" s="1" t="s">
        <v>1655</v>
      </c>
      <c r="H831" s="2">
        <v>1397.0</v>
      </c>
      <c r="I831" s="2">
        <v>1397.0</v>
      </c>
    </row>
    <row r="832">
      <c r="A832" s="1" t="s">
        <v>1656</v>
      </c>
      <c r="B832" s="2">
        <v>1295.5</v>
      </c>
      <c r="C832" s="2">
        <v>1295.5</v>
      </c>
      <c r="D832" s="2">
        <v>2339.02</v>
      </c>
      <c r="E832" s="2">
        <v>2339.02</v>
      </c>
      <c r="G832" s="1" t="s">
        <v>1657</v>
      </c>
      <c r="H832" s="2">
        <v>1402.36</v>
      </c>
      <c r="I832" s="2">
        <v>1402.36</v>
      </c>
    </row>
    <row r="833">
      <c r="A833" s="1" t="s">
        <v>1658</v>
      </c>
      <c r="B833" s="2" t="s">
        <v>0</v>
      </c>
      <c r="C833" s="2">
        <v>1295.5</v>
      </c>
      <c r="D833" s="2" t="s">
        <v>0</v>
      </c>
      <c r="E833" s="2">
        <v>2339.02</v>
      </c>
      <c r="G833" s="1" t="s">
        <v>1659</v>
      </c>
      <c r="H833" s="2" t="s">
        <v>0</v>
      </c>
      <c r="I833" s="2">
        <v>1402.36</v>
      </c>
    </row>
    <row r="834">
      <c r="A834" s="1" t="s">
        <v>1660</v>
      </c>
      <c r="B834" s="2" t="s">
        <v>0</v>
      </c>
      <c r="C834" s="2">
        <v>1295.5</v>
      </c>
      <c r="D834" s="2" t="s">
        <v>0</v>
      </c>
      <c r="E834" s="2">
        <v>2339.02</v>
      </c>
      <c r="G834" s="1" t="s">
        <v>1661</v>
      </c>
      <c r="H834" s="2" t="s">
        <v>0</v>
      </c>
      <c r="I834" s="2">
        <v>1402.36</v>
      </c>
    </row>
    <row r="835">
      <c r="A835" s="1" t="s">
        <v>1662</v>
      </c>
      <c r="B835" s="2">
        <v>1296.62</v>
      </c>
      <c r="C835" s="2">
        <v>1296.62</v>
      </c>
      <c r="D835" s="2">
        <v>2333.27</v>
      </c>
      <c r="E835" s="2">
        <v>2333.27</v>
      </c>
      <c r="G835" s="1" t="s">
        <v>1663</v>
      </c>
      <c r="H835" s="2">
        <v>1398.29</v>
      </c>
      <c r="I835" s="2">
        <v>1398.29</v>
      </c>
    </row>
    <row r="836">
      <c r="A836" s="1" t="s">
        <v>1664</v>
      </c>
      <c r="B836" s="2">
        <v>1286.57</v>
      </c>
      <c r="C836" s="2">
        <v>1286.57</v>
      </c>
      <c r="D836" s="2">
        <v>2310.35</v>
      </c>
      <c r="E836" s="2">
        <v>2310.35</v>
      </c>
      <c r="G836" s="1" t="s">
        <v>1665</v>
      </c>
      <c r="H836" s="2">
        <v>1386.08</v>
      </c>
      <c r="I836" s="2">
        <v>1386.08</v>
      </c>
    </row>
    <row r="837">
      <c r="A837" s="1" t="s">
        <v>1666</v>
      </c>
      <c r="B837" s="2">
        <v>1288.12</v>
      </c>
      <c r="C837" s="2">
        <v>1288.12</v>
      </c>
      <c r="D837" s="2">
        <v>2314.68</v>
      </c>
      <c r="E837" s="2">
        <v>2314.68</v>
      </c>
      <c r="G837" s="1" t="s">
        <v>1667</v>
      </c>
      <c r="H837" s="2">
        <v>1383.59</v>
      </c>
      <c r="I837" s="2">
        <v>1383.59</v>
      </c>
    </row>
    <row r="838">
      <c r="A838" s="1" t="s">
        <v>1668</v>
      </c>
      <c r="B838" s="2">
        <v>1289.12</v>
      </c>
      <c r="C838" s="2">
        <v>1289.12</v>
      </c>
      <c r="D838" s="2">
        <v>2326.11</v>
      </c>
      <c r="E838" s="2">
        <v>2326.11</v>
      </c>
      <c r="G838" s="1" t="s">
        <v>1669</v>
      </c>
      <c r="H838" s="2">
        <v>1405.72</v>
      </c>
      <c r="I838" s="2">
        <v>1405.72</v>
      </c>
    </row>
    <row r="839">
      <c r="A839" s="1" t="s">
        <v>1670</v>
      </c>
      <c r="B839" s="2">
        <v>1270.52</v>
      </c>
      <c r="C839" s="2">
        <v>1270.52</v>
      </c>
      <c r="D839" s="2" t="s">
        <v>0</v>
      </c>
      <c r="E839" s="2">
        <v>2326.11</v>
      </c>
      <c r="G839" s="1" t="s">
        <v>1671</v>
      </c>
      <c r="H839" s="2">
        <v>1432.72</v>
      </c>
      <c r="I839" s="2">
        <v>1432.72</v>
      </c>
    </row>
    <row r="840">
      <c r="A840" s="1" t="s">
        <v>1672</v>
      </c>
      <c r="B840" s="2" t="s">
        <v>0</v>
      </c>
      <c r="C840" s="2">
        <v>1270.52</v>
      </c>
      <c r="D840" s="2" t="s">
        <v>0</v>
      </c>
      <c r="E840" s="2">
        <v>2326.11</v>
      </c>
      <c r="G840" s="1" t="s">
        <v>1673</v>
      </c>
      <c r="H840" s="2" t="s">
        <v>0</v>
      </c>
      <c r="I840" s="2">
        <v>1432.72</v>
      </c>
    </row>
    <row r="841">
      <c r="A841" s="1" t="s">
        <v>1674</v>
      </c>
      <c r="B841" s="2" t="s">
        <v>0</v>
      </c>
      <c r="C841" s="2">
        <v>1270.52</v>
      </c>
      <c r="D841" s="2" t="s">
        <v>0</v>
      </c>
      <c r="E841" s="2">
        <v>2326.11</v>
      </c>
      <c r="G841" s="1" t="s">
        <v>1675</v>
      </c>
      <c r="H841" s="2" t="s">
        <v>0</v>
      </c>
      <c r="I841" s="2">
        <v>1432.72</v>
      </c>
    </row>
    <row r="842">
      <c r="A842" s="1" t="s">
        <v>1676</v>
      </c>
      <c r="B842" s="2">
        <v>1285.33</v>
      </c>
      <c r="C842" s="2">
        <v>1285.33</v>
      </c>
      <c r="D842" s="2">
        <v>2311.16</v>
      </c>
      <c r="E842" s="2">
        <v>2311.16</v>
      </c>
      <c r="G842" s="1" t="s">
        <v>1677</v>
      </c>
      <c r="H842" s="2">
        <v>1422.63</v>
      </c>
      <c r="I842" s="2">
        <v>1422.63</v>
      </c>
    </row>
    <row r="843">
      <c r="A843" s="1" t="s">
        <v>1678</v>
      </c>
      <c r="B843" s="2">
        <v>1307.65</v>
      </c>
      <c r="C843" s="2">
        <v>1307.65</v>
      </c>
      <c r="D843" s="2">
        <v>2356.14</v>
      </c>
      <c r="E843" s="2">
        <v>2356.14</v>
      </c>
      <c r="G843" s="1" t="s">
        <v>1679</v>
      </c>
      <c r="H843" s="2">
        <v>1427.0</v>
      </c>
      <c r="I843" s="2">
        <v>1427.0</v>
      </c>
    </row>
    <row r="844">
      <c r="A844" s="1" t="s">
        <v>1680</v>
      </c>
      <c r="B844" s="2">
        <v>1309.93</v>
      </c>
      <c r="C844" s="2">
        <v>1309.93</v>
      </c>
      <c r="D844" s="2">
        <v>2370.88</v>
      </c>
      <c r="E844" s="2">
        <v>2370.88</v>
      </c>
      <c r="G844" s="1" t="s">
        <v>1681</v>
      </c>
      <c r="H844" s="2">
        <v>1437.84</v>
      </c>
      <c r="I844" s="2">
        <v>1437.84</v>
      </c>
    </row>
    <row r="845">
      <c r="A845" s="1" t="s">
        <v>1682</v>
      </c>
      <c r="B845" s="2">
        <v>1311.46</v>
      </c>
      <c r="C845" s="2">
        <v>1311.46</v>
      </c>
      <c r="D845" s="2">
        <v>2362.55</v>
      </c>
      <c r="E845" s="2">
        <v>2362.55</v>
      </c>
      <c r="G845" s="1" t="s">
        <v>1683</v>
      </c>
      <c r="H845" s="2">
        <v>1434.15</v>
      </c>
      <c r="I845" s="2">
        <v>1434.15</v>
      </c>
    </row>
    <row r="846">
      <c r="A846" s="1" t="s">
        <v>1684</v>
      </c>
      <c r="B846" s="2">
        <v>1311.28</v>
      </c>
      <c r="C846" s="2">
        <v>1311.28</v>
      </c>
      <c r="D846" s="2">
        <v>2342.86</v>
      </c>
      <c r="E846" s="2">
        <v>2342.86</v>
      </c>
      <c r="G846" s="1" t="s">
        <v>1685</v>
      </c>
      <c r="H846" s="2">
        <v>1451.31</v>
      </c>
      <c r="I846" s="2">
        <v>1451.31</v>
      </c>
    </row>
    <row r="847">
      <c r="A847" s="1" t="s">
        <v>1686</v>
      </c>
      <c r="B847" s="2" t="s">
        <v>0</v>
      </c>
      <c r="C847" s="2">
        <v>1311.28</v>
      </c>
      <c r="D847" s="2" t="s">
        <v>0</v>
      </c>
      <c r="E847" s="2">
        <v>2342.86</v>
      </c>
      <c r="G847" s="1" t="s">
        <v>1687</v>
      </c>
      <c r="H847" s="2" t="s">
        <v>0</v>
      </c>
      <c r="I847" s="2">
        <v>1451.31</v>
      </c>
    </row>
    <row r="848">
      <c r="A848" s="1" t="s">
        <v>1688</v>
      </c>
      <c r="B848" s="2" t="s">
        <v>0</v>
      </c>
      <c r="C848" s="2">
        <v>1311.28</v>
      </c>
      <c r="D848" s="2" t="s">
        <v>0</v>
      </c>
      <c r="E848" s="2">
        <v>2342.86</v>
      </c>
      <c r="G848" s="1" t="s">
        <v>1689</v>
      </c>
      <c r="H848" s="2" t="s">
        <v>0</v>
      </c>
      <c r="I848" s="2">
        <v>1451.31</v>
      </c>
    </row>
    <row r="849">
      <c r="A849" s="1" t="s">
        <v>1690</v>
      </c>
      <c r="B849" s="2">
        <v>1308.11</v>
      </c>
      <c r="C849" s="2">
        <v>1308.11</v>
      </c>
      <c r="D849" s="2">
        <v>2333.38</v>
      </c>
      <c r="E849" s="2">
        <v>2333.38</v>
      </c>
      <c r="G849" s="1" t="s">
        <v>1691</v>
      </c>
      <c r="H849" s="2">
        <v>1430.94</v>
      </c>
      <c r="I849" s="2">
        <v>1430.94</v>
      </c>
    </row>
    <row r="850">
      <c r="A850" s="1" t="s">
        <v>1692</v>
      </c>
      <c r="B850" s="2">
        <v>1301.74</v>
      </c>
      <c r="C850" s="2">
        <v>1301.74</v>
      </c>
      <c r="D850" s="2">
        <v>2330.3</v>
      </c>
      <c r="E850" s="2">
        <v>2330.3</v>
      </c>
      <c r="G850" s="1" t="s">
        <v>1693</v>
      </c>
      <c r="H850" s="2">
        <v>1431.15</v>
      </c>
      <c r="I850" s="2">
        <v>1431.15</v>
      </c>
    </row>
    <row r="851">
      <c r="A851" s="1" t="s">
        <v>1694</v>
      </c>
      <c r="B851" s="2">
        <v>1305.41</v>
      </c>
      <c r="C851" s="2">
        <v>1305.41</v>
      </c>
      <c r="D851" s="2">
        <v>2333.63</v>
      </c>
      <c r="E851" s="2">
        <v>2333.63</v>
      </c>
      <c r="G851" s="1" t="s">
        <v>1695</v>
      </c>
      <c r="H851" s="2">
        <v>1451.22</v>
      </c>
      <c r="I851" s="2">
        <v>1451.22</v>
      </c>
    </row>
    <row r="852">
      <c r="A852" s="1" t="s">
        <v>1696</v>
      </c>
      <c r="B852" s="2">
        <v>1309.72</v>
      </c>
      <c r="C852" s="2">
        <v>1309.72</v>
      </c>
      <c r="D852" s="2">
        <v>2344.95</v>
      </c>
      <c r="E852" s="2">
        <v>2344.95</v>
      </c>
      <c r="G852" s="1" t="s">
        <v>1697</v>
      </c>
      <c r="H852" s="2">
        <v>1452.53</v>
      </c>
      <c r="I852" s="2">
        <v>1452.53</v>
      </c>
    </row>
    <row r="853">
      <c r="A853" s="1" t="s">
        <v>1698</v>
      </c>
      <c r="B853" s="2">
        <v>1310.61</v>
      </c>
      <c r="C853" s="2">
        <v>1310.61</v>
      </c>
      <c r="D853" s="2">
        <v>2322.57</v>
      </c>
      <c r="E853" s="2">
        <v>2322.57</v>
      </c>
      <c r="G853" s="1" t="s">
        <v>1699</v>
      </c>
      <c r="H853" s="2">
        <v>1419.73</v>
      </c>
      <c r="I853" s="2">
        <v>1419.73</v>
      </c>
    </row>
    <row r="854">
      <c r="A854" s="1" t="s">
        <v>1700</v>
      </c>
      <c r="B854" s="2" t="s">
        <v>0</v>
      </c>
      <c r="C854" s="2">
        <v>1310.61</v>
      </c>
      <c r="D854" s="2" t="s">
        <v>0</v>
      </c>
      <c r="E854" s="2">
        <v>2322.57</v>
      </c>
      <c r="G854" s="1" t="s">
        <v>1701</v>
      </c>
      <c r="H854" s="2" t="s">
        <v>0</v>
      </c>
      <c r="I854" s="2">
        <v>1419.73</v>
      </c>
    </row>
    <row r="855">
      <c r="A855" s="1" t="s">
        <v>1702</v>
      </c>
      <c r="B855" s="2" t="s">
        <v>0</v>
      </c>
      <c r="C855" s="2">
        <v>1310.61</v>
      </c>
      <c r="D855" s="2" t="s">
        <v>0</v>
      </c>
      <c r="E855" s="2">
        <v>2322.57</v>
      </c>
      <c r="G855" s="1" t="s">
        <v>1703</v>
      </c>
      <c r="H855" s="2" t="s">
        <v>0</v>
      </c>
      <c r="I855" s="2">
        <v>1419.73</v>
      </c>
    </row>
    <row r="856">
      <c r="A856" s="1" t="s">
        <v>1704</v>
      </c>
      <c r="B856" s="2">
        <v>1305.19</v>
      </c>
      <c r="C856" s="2">
        <v>1305.19</v>
      </c>
      <c r="D856" s="2">
        <v>2304.79</v>
      </c>
      <c r="E856" s="2">
        <v>2304.79</v>
      </c>
      <c r="G856" s="1" t="s">
        <v>1705</v>
      </c>
      <c r="H856" s="2" t="s">
        <v>0</v>
      </c>
      <c r="I856" s="2">
        <v>1419.73</v>
      </c>
    </row>
    <row r="857">
      <c r="A857" s="1" t="s">
        <v>1706</v>
      </c>
      <c r="B857" s="2">
        <v>1313.21</v>
      </c>
      <c r="C857" s="2">
        <v>1313.21</v>
      </c>
      <c r="D857" s="2">
        <v>2309.84</v>
      </c>
      <c r="E857" s="2">
        <v>2309.84</v>
      </c>
      <c r="G857" s="1" t="s">
        <v>1707</v>
      </c>
      <c r="H857" s="2">
        <v>1434.9</v>
      </c>
      <c r="I857" s="2">
        <v>1434.9</v>
      </c>
    </row>
    <row r="858">
      <c r="A858" s="1" t="s">
        <v>1708</v>
      </c>
      <c r="B858" s="2">
        <v>1307.85</v>
      </c>
      <c r="C858" s="2">
        <v>1307.85</v>
      </c>
      <c r="D858" s="2">
        <v>2303.97</v>
      </c>
      <c r="E858" s="2">
        <v>2303.97</v>
      </c>
      <c r="G858" s="1" t="s">
        <v>1709</v>
      </c>
      <c r="H858" s="2">
        <v>1435.17</v>
      </c>
      <c r="I858" s="2">
        <v>1435.17</v>
      </c>
    </row>
    <row r="859">
      <c r="A859" s="1" t="s">
        <v>1710</v>
      </c>
      <c r="B859" s="2">
        <v>1312.25</v>
      </c>
      <c r="C859" s="2">
        <v>1312.25</v>
      </c>
      <c r="D859" s="2">
        <v>2323.9</v>
      </c>
      <c r="E859" s="2">
        <v>2323.9</v>
      </c>
      <c r="G859" s="1" t="s">
        <v>1711</v>
      </c>
      <c r="H859" s="2">
        <v>1441.02</v>
      </c>
      <c r="I859" s="2">
        <v>1441.02</v>
      </c>
    </row>
    <row r="860">
      <c r="A860" s="1" t="s">
        <v>1712</v>
      </c>
      <c r="B860" s="2">
        <v>1325.76</v>
      </c>
      <c r="C860" s="2">
        <v>1325.76</v>
      </c>
      <c r="D860" s="2">
        <v>2342.57</v>
      </c>
      <c r="E860" s="2">
        <v>2342.57</v>
      </c>
      <c r="G860" s="1" t="s">
        <v>1713</v>
      </c>
      <c r="H860" s="2" t="s">
        <v>0</v>
      </c>
      <c r="I860" s="2">
        <v>1441.02</v>
      </c>
    </row>
    <row r="861">
      <c r="A861" s="1" t="s">
        <v>1714</v>
      </c>
      <c r="B861" s="2" t="s">
        <v>0</v>
      </c>
      <c r="C861" s="2">
        <v>1325.76</v>
      </c>
      <c r="D861" s="2" t="s">
        <v>0</v>
      </c>
      <c r="E861" s="2">
        <v>2342.57</v>
      </c>
      <c r="G861" s="1" t="s">
        <v>1715</v>
      </c>
      <c r="H861" s="2" t="s">
        <v>0</v>
      </c>
      <c r="I861" s="2">
        <v>1441.02</v>
      </c>
    </row>
    <row r="862">
      <c r="A862" s="1" t="s">
        <v>1716</v>
      </c>
      <c r="B862" s="2" t="s">
        <v>0</v>
      </c>
      <c r="C862" s="2">
        <v>1325.76</v>
      </c>
      <c r="D862" s="2" t="s">
        <v>0</v>
      </c>
      <c r="E862" s="2">
        <v>2342.57</v>
      </c>
      <c r="G862" s="1" t="s">
        <v>1717</v>
      </c>
      <c r="H862" s="2" t="s">
        <v>0</v>
      </c>
      <c r="I862" s="2">
        <v>1441.02</v>
      </c>
    </row>
    <row r="863">
      <c r="A863" s="1" t="s">
        <v>1718</v>
      </c>
      <c r="B863" s="2">
        <v>1324.66</v>
      </c>
      <c r="C863" s="2">
        <v>1324.66</v>
      </c>
      <c r="D863" s="2">
        <v>2344.99</v>
      </c>
      <c r="E863" s="2">
        <v>2344.99</v>
      </c>
      <c r="G863" s="1" t="s">
        <v>1719</v>
      </c>
      <c r="H863" s="2">
        <v>1452.23</v>
      </c>
      <c r="I863" s="2">
        <v>1452.23</v>
      </c>
    </row>
    <row r="864">
      <c r="A864" s="1" t="s">
        <v>1720</v>
      </c>
      <c r="B864" s="2">
        <v>1325.14</v>
      </c>
      <c r="C864" s="2">
        <v>1325.14</v>
      </c>
      <c r="D864" s="2">
        <v>2338.25</v>
      </c>
      <c r="E864" s="2">
        <v>2338.25</v>
      </c>
      <c r="G864" s="1" t="s">
        <v>1721</v>
      </c>
      <c r="H864" s="2">
        <v>1450.44</v>
      </c>
      <c r="I864" s="2">
        <v>1450.44</v>
      </c>
    </row>
    <row r="865">
      <c r="A865" s="1" t="s">
        <v>1722</v>
      </c>
      <c r="B865" s="2">
        <v>1322.85</v>
      </c>
      <c r="C865" s="2">
        <v>1322.85</v>
      </c>
      <c r="D865" s="2">
        <v>2320.74</v>
      </c>
      <c r="E865" s="2">
        <v>2320.74</v>
      </c>
      <c r="G865" s="1" t="s">
        <v>1723</v>
      </c>
      <c r="H865" s="2">
        <v>1451.09</v>
      </c>
      <c r="I865" s="2">
        <v>1451.09</v>
      </c>
    </row>
    <row r="866">
      <c r="A866" s="1" t="s">
        <v>1724</v>
      </c>
      <c r="B866" s="2">
        <v>1305.92</v>
      </c>
      <c r="C866" s="2">
        <v>1305.92</v>
      </c>
      <c r="D866" s="2">
        <v>2272.7</v>
      </c>
      <c r="E866" s="2">
        <v>2272.7</v>
      </c>
      <c r="G866" s="1" t="s">
        <v>1725</v>
      </c>
      <c r="H866" s="2">
        <v>1464.7</v>
      </c>
      <c r="I866" s="2">
        <v>1464.7</v>
      </c>
    </row>
    <row r="867">
      <c r="A867" s="1" t="s">
        <v>1726</v>
      </c>
      <c r="B867" s="2">
        <v>1291.24</v>
      </c>
      <c r="C867" s="2">
        <v>1291.24</v>
      </c>
      <c r="D867" s="2">
        <v>2243.78</v>
      </c>
      <c r="E867" s="2">
        <v>2243.78</v>
      </c>
      <c r="G867" s="1" t="s">
        <v>1727</v>
      </c>
      <c r="H867" s="2">
        <v>1445.2</v>
      </c>
      <c r="I867" s="2">
        <v>1445.2</v>
      </c>
    </row>
    <row r="868">
      <c r="A868" s="1" t="s">
        <v>1728</v>
      </c>
      <c r="B868" s="2" t="s">
        <v>0</v>
      </c>
      <c r="C868" s="2">
        <v>1291.24</v>
      </c>
      <c r="D868" s="2" t="s">
        <v>0</v>
      </c>
      <c r="E868" s="2">
        <v>2243.78</v>
      </c>
      <c r="G868" s="1" t="s">
        <v>1729</v>
      </c>
      <c r="H868" s="2" t="s">
        <v>0</v>
      </c>
      <c r="I868" s="2">
        <v>1445.2</v>
      </c>
    </row>
    <row r="869">
      <c r="A869" s="1" t="s">
        <v>1730</v>
      </c>
      <c r="B869" s="2" t="s">
        <v>0</v>
      </c>
      <c r="C869" s="2">
        <v>1291.24</v>
      </c>
      <c r="D869" s="2" t="s">
        <v>0</v>
      </c>
      <c r="E869" s="2">
        <v>2243.78</v>
      </c>
      <c r="G869" s="1" t="s">
        <v>1731</v>
      </c>
      <c r="H869" s="2" t="s">
        <v>0</v>
      </c>
      <c r="I869" s="2">
        <v>1445.2</v>
      </c>
    </row>
    <row r="870">
      <c r="A870" s="1" t="s">
        <v>1732</v>
      </c>
      <c r="B870" s="2">
        <v>1294.5</v>
      </c>
      <c r="C870" s="2">
        <v>1294.5</v>
      </c>
      <c r="D870" s="2">
        <v>2238.52</v>
      </c>
      <c r="E870" s="2">
        <v>2238.52</v>
      </c>
      <c r="G870" s="1" t="s">
        <v>1733</v>
      </c>
      <c r="H870" s="2">
        <v>1413.98</v>
      </c>
      <c r="I870" s="2">
        <v>1413.98</v>
      </c>
    </row>
    <row r="871">
      <c r="A871" s="1" t="s">
        <v>1734</v>
      </c>
      <c r="B871" s="2">
        <v>1292.08</v>
      </c>
      <c r="C871" s="2">
        <v>1292.08</v>
      </c>
      <c r="D871" s="2">
        <v>2229.13</v>
      </c>
      <c r="E871" s="2">
        <v>2229.13</v>
      </c>
      <c r="G871" s="1" t="s">
        <v>1735</v>
      </c>
      <c r="H871" s="2">
        <v>1382.11</v>
      </c>
      <c r="I871" s="2">
        <v>1382.11</v>
      </c>
    </row>
    <row r="872">
      <c r="A872" s="1" t="s">
        <v>1736</v>
      </c>
      <c r="B872" s="2">
        <v>1270.32</v>
      </c>
      <c r="C872" s="2">
        <v>1270.32</v>
      </c>
      <c r="D872" s="2">
        <v>2195.8</v>
      </c>
      <c r="E872" s="2">
        <v>2195.8</v>
      </c>
      <c r="G872" s="1" t="s">
        <v>1737</v>
      </c>
      <c r="H872" s="2">
        <v>1401.47</v>
      </c>
      <c r="I872" s="2">
        <v>1401.47</v>
      </c>
    </row>
    <row r="873">
      <c r="A873" s="1" t="s">
        <v>1738</v>
      </c>
      <c r="B873" s="2">
        <v>1261.81</v>
      </c>
      <c r="C873" s="2">
        <v>1261.81</v>
      </c>
      <c r="D873" s="2">
        <v>2180.32</v>
      </c>
      <c r="E873" s="2">
        <v>2180.32</v>
      </c>
      <c r="G873" s="1" t="s">
        <v>1739</v>
      </c>
      <c r="H873" s="2">
        <v>1365.15</v>
      </c>
      <c r="I873" s="2">
        <v>1365.15</v>
      </c>
    </row>
    <row r="874">
      <c r="A874" s="1" t="s">
        <v>1740</v>
      </c>
      <c r="B874" s="2">
        <v>1267.03</v>
      </c>
      <c r="C874" s="2">
        <v>1267.03</v>
      </c>
      <c r="D874" s="2">
        <v>2193.88</v>
      </c>
      <c r="E874" s="2">
        <v>2193.88</v>
      </c>
      <c r="G874" s="1" t="s">
        <v>1741</v>
      </c>
      <c r="H874" s="2">
        <v>1372.29</v>
      </c>
      <c r="I874" s="2">
        <v>1372.29</v>
      </c>
    </row>
    <row r="875">
      <c r="A875" s="1" t="s">
        <v>1742</v>
      </c>
      <c r="B875" s="2" t="s">
        <v>0</v>
      </c>
      <c r="C875" s="2">
        <v>1267.03</v>
      </c>
      <c r="D875" s="2" t="s">
        <v>0</v>
      </c>
      <c r="E875" s="2">
        <v>2193.88</v>
      </c>
      <c r="G875" s="1" t="s">
        <v>1743</v>
      </c>
      <c r="H875" s="2" t="s">
        <v>0</v>
      </c>
      <c r="I875" s="2">
        <v>1372.29</v>
      </c>
    </row>
    <row r="876">
      <c r="A876" s="1" t="s">
        <v>1744</v>
      </c>
      <c r="B876" s="2" t="s">
        <v>0</v>
      </c>
      <c r="C876" s="2">
        <v>1267.03</v>
      </c>
      <c r="D876" s="2" t="s">
        <v>0</v>
      </c>
      <c r="E876" s="2">
        <v>2193.88</v>
      </c>
      <c r="G876" s="1" t="s">
        <v>1745</v>
      </c>
      <c r="H876" s="2" t="s">
        <v>0</v>
      </c>
      <c r="I876" s="2">
        <v>1372.29</v>
      </c>
    </row>
    <row r="877">
      <c r="A877" s="1" t="s">
        <v>1746</v>
      </c>
      <c r="B877" s="2">
        <v>1262.07</v>
      </c>
      <c r="C877" s="2">
        <v>1262.07</v>
      </c>
      <c r="D877" s="2">
        <v>2172.86</v>
      </c>
      <c r="E877" s="2">
        <v>2172.86</v>
      </c>
      <c r="G877" s="1" t="s">
        <v>1747</v>
      </c>
      <c r="H877" s="2">
        <v>1338.59</v>
      </c>
      <c r="I877" s="2">
        <v>1338.59</v>
      </c>
    </row>
    <row r="878">
      <c r="A878" s="1" t="s">
        <v>1748</v>
      </c>
      <c r="B878" s="2">
        <v>1256.58</v>
      </c>
      <c r="C878" s="2">
        <v>1256.58</v>
      </c>
      <c r="D878" s="2">
        <v>2158.76</v>
      </c>
      <c r="E878" s="2">
        <v>2158.76</v>
      </c>
      <c r="G878" s="1" t="s">
        <v>1749</v>
      </c>
      <c r="H878" s="2">
        <v>1329.86</v>
      </c>
      <c r="I878" s="2">
        <v>1329.86</v>
      </c>
    </row>
    <row r="879">
      <c r="A879" s="1" t="s">
        <v>1750</v>
      </c>
      <c r="B879" s="2">
        <v>1258.57</v>
      </c>
      <c r="C879" s="2">
        <v>1258.57</v>
      </c>
      <c r="D879" s="2">
        <v>2169.17</v>
      </c>
      <c r="E879" s="2">
        <v>2169.17</v>
      </c>
      <c r="G879" s="1" t="s">
        <v>1751</v>
      </c>
      <c r="H879" s="2">
        <v>1333.38</v>
      </c>
      <c r="I879" s="2">
        <v>1333.38</v>
      </c>
    </row>
    <row r="880">
      <c r="A880" s="1" t="s">
        <v>1752</v>
      </c>
      <c r="B880" s="2">
        <v>1272.88</v>
      </c>
      <c r="C880" s="2">
        <v>1272.88</v>
      </c>
      <c r="D880" s="2">
        <v>2198.24</v>
      </c>
      <c r="E880" s="2">
        <v>2198.24</v>
      </c>
      <c r="G880" s="1" t="s">
        <v>1753</v>
      </c>
      <c r="H880" s="2">
        <v>1295.76</v>
      </c>
      <c r="I880" s="2">
        <v>1295.76</v>
      </c>
    </row>
    <row r="881">
      <c r="A881" s="1" t="s">
        <v>1754</v>
      </c>
      <c r="B881" s="2">
        <v>1280.16</v>
      </c>
      <c r="C881" s="2">
        <v>1280.16</v>
      </c>
      <c r="D881" s="2">
        <v>2210.37</v>
      </c>
      <c r="E881" s="2">
        <v>2210.37</v>
      </c>
      <c r="G881" s="1" t="s">
        <v>1755</v>
      </c>
      <c r="H881" s="2">
        <v>1322.43</v>
      </c>
      <c r="I881" s="2">
        <v>1322.43</v>
      </c>
    </row>
    <row r="882">
      <c r="A882" s="1" t="s">
        <v>1756</v>
      </c>
      <c r="B882" s="2" t="s">
        <v>0</v>
      </c>
      <c r="C882" s="2">
        <v>1280.16</v>
      </c>
      <c r="D882" s="2" t="s">
        <v>0</v>
      </c>
      <c r="E882" s="2">
        <v>2210.37</v>
      </c>
      <c r="G882" s="1" t="s">
        <v>1757</v>
      </c>
      <c r="H882" s="2" t="s">
        <v>0</v>
      </c>
      <c r="I882" s="2">
        <v>1322.43</v>
      </c>
    </row>
    <row r="883">
      <c r="A883" s="1" t="s">
        <v>1758</v>
      </c>
      <c r="B883" s="2" t="s">
        <v>0</v>
      </c>
      <c r="C883" s="2">
        <v>1280.16</v>
      </c>
      <c r="D883" s="2" t="s">
        <v>0</v>
      </c>
      <c r="E883" s="2">
        <v>2210.37</v>
      </c>
      <c r="G883" s="1" t="s">
        <v>1759</v>
      </c>
      <c r="H883" s="2" t="s">
        <v>0</v>
      </c>
      <c r="I883" s="2">
        <v>1322.43</v>
      </c>
    </row>
    <row r="884">
      <c r="A884" s="1" t="s">
        <v>1760</v>
      </c>
      <c r="B884" s="2" t="s">
        <v>0</v>
      </c>
      <c r="C884" s="2">
        <v>1280.16</v>
      </c>
      <c r="D884" s="2" t="s">
        <v>0</v>
      </c>
      <c r="E884" s="2">
        <v>2210.37</v>
      </c>
      <c r="G884" s="1" t="s">
        <v>1761</v>
      </c>
      <c r="H884" s="2">
        <v>1329.22</v>
      </c>
      <c r="I884" s="2">
        <v>1329.22</v>
      </c>
    </row>
    <row r="885">
      <c r="A885" s="1" t="s">
        <v>1762</v>
      </c>
      <c r="B885" s="2">
        <v>1259.84</v>
      </c>
      <c r="C885" s="2">
        <v>1259.84</v>
      </c>
      <c r="D885" s="2">
        <v>2164.74</v>
      </c>
      <c r="E885" s="2">
        <v>2164.74</v>
      </c>
      <c r="G885" s="1" t="s">
        <v>1763</v>
      </c>
      <c r="H885" s="2">
        <v>1317.7</v>
      </c>
      <c r="I885" s="2">
        <v>1317.7</v>
      </c>
    </row>
    <row r="886">
      <c r="A886" s="1" t="s">
        <v>1764</v>
      </c>
      <c r="B886" s="2">
        <v>1270.09</v>
      </c>
      <c r="C886" s="2">
        <v>1270.09</v>
      </c>
      <c r="D886" s="2">
        <v>2178.88</v>
      </c>
      <c r="E886" s="2">
        <v>2178.88</v>
      </c>
      <c r="G886" s="1" t="s">
        <v>1765</v>
      </c>
      <c r="H886" s="2" t="s">
        <v>0</v>
      </c>
      <c r="I886" s="2">
        <v>1317.7</v>
      </c>
    </row>
    <row r="887">
      <c r="A887" s="1" t="s">
        <v>1766</v>
      </c>
      <c r="B887" s="2">
        <v>1285.71</v>
      </c>
      <c r="C887" s="2">
        <v>1285.71</v>
      </c>
      <c r="D887" s="2">
        <v>2219.86</v>
      </c>
      <c r="E887" s="2">
        <v>2219.86</v>
      </c>
      <c r="G887" s="1" t="s">
        <v>1767</v>
      </c>
      <c r="H887" s="2">
        <v>1295.09</v>
      </c>
      <c r="I887" s="2">
        <v>1295.09</v>
      </c>
    </row>
    <row r="888">
      <c r="A888" s="1" t="s">
        <v>1768</v>
      </c>
      <c r="B888" s="2">
        <v>1288.22</v>
      </c>
      <c r="C888" s="2">
        <v>1288.22</v>
      </c>
      <c r="D888" s="2">
        <v>2219.41</v>
      </c>
      <c r="E888" s="2">
        <v>2219.41</v>
      </c>
      <c r="G888" s="1" t="s">
        <v>1769</v>
      </c>
      <c r="H888" s="2">
        <v>1309.04</v>
      </c>
      <c r="I888" s="2">
        <v>1309.04</v>
      </c>
    </row>
    <row r="889">
      <c r="A889" s="1" t="s">
        <v>1770</v>
      </c>
      <c r="B889" s="2" t="s">
        <v>0</v>
      </c>
      <c r="C889" s="2">
        <v>1288.22</v>
      </c>
      <c r="D889" s="2" t="s">
        <v>0</v>
      </c>
      <c r="E889" s="2">
        <v>2219.41</v>
      </c>
      <c r="G889" s="1" t="s">
        <v>1771</v>
      </c>
      <c r="H889" s="2" t="s">
        <v>0</v>
      </c>
      <c r="I889" s="2">
        <v>1309.04</v>
      </c>
    </row>
    <row r="890">
      <c r="A890" s="1" t="s">
        <v>1772</v>
      </c>
      <c r="B890" s="2" t="s">
        <v>0</v>
      </c>
      <c r="C890" s="2">
        <v>1288.22</v>
      </c>
      <c r="D890" s="2" t="s">
        <v>0</v>
      </c>
      <c r="E890" s="2">
        <v>2219.41</v>
      </c>
      <c r="G890" s="1" t="s">
        <v>1773</v>
      </c>
      <c r="H890" s="2" t="s">
        <v>0</v>
      </c>
      <c r="I890" s="2">
        <v>1309.04</v>
      </c>
    </row>
    <row r="891">
      <c r="A891" s="1" t="s">
        <v>1774</v>
      </c>
      <c r="B891" s="2">
        <v>1265.29</v>
      </c>
      <c r="C891" s="2">
        <v>1265.29</v>
      </c>
      <c r="D891" s="2">
        <v>2169.62</v>
      </c>
      <c r="E891" s="2">
        <v>2169.62</v>
      </c>
      <c r="G891" s="1" t="s">
        <v>1775</v>
      </c>
      <c r="H891" s="2">
        <v>1301.62</v>
      </c>
      <c r="I891" s="2">
        <v>1301.62</v>
      </c>
    </row>
    <row r="892">
      <c r="A892" s="1" t="s">
        <v>1776</v>
      </c>
      <c r="B892" s="2">
        <v>1263.85</v>
      </c>
      <c r="C892" s="2">
        <v>1263.85</v>
      </c>
      <c r="D892" s="2">
        <v>2162.78</v>
      </c>
      <c r="E892" s="2">
        <v>2162.78</v>
      </c>
      <c r="G892" s="1" t="s">
        <v>1777</v>
      </c>
      <c r="H892" s="2" t="s">
        <v>0</v>
      </c>
      <c r="I892" s="2">
        <v>1301.62</v>
      </c>
    </row>
    <row r="893">
      <c r="A893" s="1" t="s">
        <v>1778</v>
      </c>
      <c r="B893" s="2">
        <v>1256.15</v>
      </c>
      <c r="C893" s="2">
        <v>1256.15</v>
      </c>
      <c r="D893" s="2">
        <v>2151.8</v>
      </c>
      <c r="E893" s="2">
        <v>2151.8</v>
      </c>
      <c r="G893" s="1" t="s">
        <v>1779</v>
      </c>
      <c r="H893" s="2">
        <v>1266.84</v>
      </c>
      <c r="I893" s="2">
        <v>1266.84</v>
      </c>
    </row>
    <row r="894">
      <c r="A894" s="1" t="s">
        <v>1780</v>
      </c>
      <c r="B894" s="2">
        <v>1257.93</v>
      </c>
      <c r="C894" s="2">
        <v>1257.93</v>
      </c>
      <c r="D894" s="2">
        <v>2145.32</v>
      </c>
      <c r="E894" s="2">
        <v>2145.32</v>
      </c>
      <c r="G894" s="1" t="s">
        <v>1781</v>
      </c>
      <c r="H894" s="2">
        <v>1223.13</v>
      </c>
      <c r="I894" s="2">
        <v>1223.13</v>
      </c>
    </row>
    <row r="895">
      <c r="A895" s="1" t="s">
        <v>1782</v>
      </c>
      <c r="B895" s="2">
        <v>1252.3</v>
      </c>
      <c r="C895" s="2">
        <v>1252.3</v>
      </c>
      <c r="D895" s="2">
        <v>2135.06</v>
      </c>
      <c r="E895" s="2">
        <v>2135.06</v>
      </c>
      <c r="G895" s="1" t="s">
        <v>1783</v>
      </c>
      <c r="H895" s="2">
        <v>1235.65</v>
      </c>
      <c r="I895" s="2">
        <v>1235.65</v>
      </c>
    </row>
    <row r="896">
      <c r="A896" s="1" t="s">
        <v>1784</v>
      </c>
      <c r="B896" s="2" t="s">
        <v>0</v>
      </c>
      <c r="C896" s="2">
        <v>1252.3</v>
      </c>
      <c r="D896" s="2" t="s">
        <v>0</v>
      </c>
      <c r="E896" s="2">
        <v>2135.06</v>
      </c>
      <c r="G896" s="1" t="s">
        <v>1785</v>
      </c>
      <c r="H896" s="2" t="s">
        <v>0</v>
      </c>
      <c r="I896" s="2">
        <v>1235.65</v>
      </c>
    </row>
    <row r="897">
      <c r="A897" s="1" t="s">
        <v>1786</v>
      </c>
      <c r="B897" s="2" t="s">
        <v>0</v>
      </c>
      <c r="C897" s="2">
        <v>1252.3</v>
      </c>
      <c r="D897" s="2" t="s">
        <v>0</v>
      </c>
      <c r="E897" s="2">
        <v>2135.06</v>
      </c>
      <c r="G897" s="1" t="s">
        <v>1787</v>
      </c>
      <c r="H897" s="2" t="s">
        <v>0</v>
      </c>
      <c r="I897" s="2">
        <v>1235.65</v>
      </c>
    </row>
    <row r="898">
      <c r="A898" s="1" t="s">
        <v>1788</v>
      </c>
      <c r="B898" s="2">
        <v>1236.4</v>
      </c>
      <c r="C898" s="2">
        <v>1236.4</v>
      </c>
      <c r="D898" s="2">
        <v>2091.32</v>
      </c>
      <c r="E898" s="2">
        <v>2091.32</v>
      </c>
      <c r="G898" s="1" t="s">
        <v>1789</v>
      </c>
      <c r="H898" s="2">
        <v>1239.84</v>
      </c>
      <c r="I898" s="2">
        <v>1239.84</v>
      </c>
    </row>
    <row r="899">
      <c r="A899" s="1" t="s">
        <v>1790</v>
      </c>
      <c r="B899" s="2">
        <v>1223.69</v>
      </c>
      <c r="C899" s="2">
        <v>1223.69</v>
      </c>
      <c r="D899" s="2">
        <v>2072.47</v>
      </c>
      <c r="E899" s="2">
        <v>2072.47</v>
      </c>
      <c r="G899" s="1" t="s">
        <v>1791</v>
      </c>
      <c r="H899" s="2">
        <v>1203.86</v>
      </c>
      <c r="I899" s="2">
        <v>1203.86</v>
      </c>
    </row>
    <row r="900">
      <c r="A900" s="1" t="s">
        <v>1792</v>
      </c>
      <c r="B900" s="2">
        <v>1230.04</v>
      </c>
      <c r="C900" s="2">
        <v>1230.04</v>
      </c>
      <c r="D900" s="2">
        <v>2086.0</v>
      </c>
      <c r="E900" s="2">
        <v>2086.0</v>
      </c>
      <c r="G900" s="1" t="s">
        <v>1793</v>
      </c>
      <c r="H900" s="2">
        <v>1221.73</v>
      </c>
      <c r="I900" s="2">
        <v>1221.73</v>
      </c>
    </row>
    <row r="901">
      <c r="A901" s="1" t="s">
        <v>1794</v>
      </c>
      <c r="B901" s="2">
        <v>1256.16</v>
      </c>
      <c r="C901" s="2">
        <v>1256.16</v>
      </c>
      <c r="D901" s="2">
        <v>2144.15</v>
      </c>
      <c r="E901" s="2">
        <v>2144.15</v>
      </c>
      <c r="G901" s="1" t="s">
        <v>1795</v>
      </c>
      <c r="H901" s="2">
        <v>1219.4</v>
      </c>
      <c r="I901" s="2">
        <v>1219.4</v>
      </c>
    </row>
    <row r="902">
      <c r="A902" s="1" t="s">
        <v>1796</v>
      </c>
      <c r="B902" s="2">
        <v>1251.54</v>
      </c>
      <c r="C902" s="2">
        <v>1251.54</v>
      </c>
      <c r="D902" s="2">
        <v>2129.95</v>
      </c>
      <c r="E902" s="2">
        <v>2129.95</v>
      </c>
      <c r="G902" s="1" t="s">
        <v>1797</v>
      </c>
      <c r="H902" s="2">
        <v>1262.19</v>
      </c>
      <c r="I902" s="2">
        <v>1262.19</v>
      </c>
    </row>
    <row r="903">
      <c r="A903" s="1" t="s">
        <v>1798</v>
      </c>
      <c r="B903" s="2" t="s">
        <v>0</v>
      </c>
      <c r="C903" s="2">
        <v>1251.54</v>
      </c>
      <c r="D903" s="2" t="s">
        <v>0</v>
      </c>
      <c r="E903" s="2">
        <v>2129.95</v>
      </c>
      <c r="G903" s="1" t="s">
        <v>1799</v>
      </c>
      <c r="H903" s="2" t="s">
        <v>0</v>
      </c>
      <c r="I903" s="2">
        <v>1262.19</v>
      </c>
    </row>
    <row r="904">
      <c r="A904" s="1" t="s">
        <v>1800</v>
      </c>
      <c r="B904" s="2" t="s">
        <v>0</v>
      </c>
      <c r="C904" s="2">
        <v>1251.54</v>
      </c>
      <c r="D904" s="2" t="s">
        <v>0</v>
      </c>
      <c r="E904" s="2">
        <v>2129.95</v>
      </c>
      <c r="G904" s="1" t="s">
        <v>1801</v>
      </c>
      <c r="H904" s="2" t="s">
        <v>0</v>
      </c>
      <c r="I904" s="2">
        <v>1262.19</v>
      </c>
    </row>
    <row r="905">
      <c r="A905" s="1" t="s">
        <v>1802</v>
      </c>
      <c r="B905" s="2">
        <v>1240.14</v>
      </c>
      <c r="C905" s="2">
        <v>1240.14</v>
      </c>
      <c r="D905" s="2">
        <v>2110.42</v>
      </c>
      <c r="E905" s="2">
        <v>2110.42</v>
      </c>
      <c r="G905" s="1" t="s">
        <v>1803</v>
      </c>
      <c r="H905" s="2">
        <v>1251.67</v>
      </c>
      <c r="I905" s="2">
        <v>1251.67</v>
      </c>
    </row>
    <row r="906">
      <c r="A906" s="1" t="s">
        <v>1804</v>
      </c>
      <c r="B906" s="2">
        <v>1240.12</v>
      </c>
      <c r="C906" s="2">
        <v>1240.12</v>
      </c>
      <c r="D906" s="2">
        <v>2107.06</v>
      </c>
      <c r="E906" s="2">
        <v>2107.06</v>
      </c>
      <c r="G906" s="1" t="s">
        <v>1805</v>
      </c>
      <c r="H906" s="2">
        <v>1225.83</v>
      </c>
      <c r="I906" s="2">
        <v>1225.83</v>
      </c>
    </row>
    <row r="907">
      <c r="A907" s="1" t="s">
        <v>1806</v>
      </c>
      <c r="B907" s="2">
        <v>1252.2</v>
      </c>
      <c r="C907" s="2">
        <v>1252.2</v>
      </c>
      <c r="D907" s="2">
        <v>2141.2</v>
      </c>
      <c r="E907" s="2">
        <v>2141.2</v>
      </c>
      <c r="G907" s="1" t="s">
        <v>1807</v>
      </c>
      <c r="H907" s="2">
        <v>1227.19</v>
      </c>
      <c r="I907" s="2">
        <v>1227.19</v>
      </c>
    </row>
    <row r="908">
      <c r="A908" s="1" t="s">
        <v>1808</v>
      </c>
      <c r="B908" s="2">
        <v>1245.6</v>
      </c>
      <c r="C908" s="2">
        <v>1245.6</v>
      </c>
      <c r="D908" s="2">
        <v>2122.98</v>
      </c>
      <c r="E908" s="2">
        <v>2122.98</v>
      </c>
      <c r="G908" s="1" t="s">
        <v>1809</v>
      </c>
      <c r="H908" s="2">
        <v>1238.83</v>
      </c>
      <c r="I908" s="2">
        <v>1238.83</v>
      </c>
    </row>
    <row r="909">
      <c r="A909" s="1" t="s">
        <v>1810</v>
      </c>
      <c r="B909" s="2">
        <v>1244.5</v>
      </c>
      <c r="C909" s="2">
        <v>1244.5</v>
      </c>
      <c r="D909" s="2">
        <v>2121.47</v>
      </c>
      <c r="E909" s="2">
        <v>2121.47</v>
      </c>
      <c r="G909" s="1" t="s">
        <v>1811</v>
      </c>
      <c r="H909" s="2">
        <v>1228.62</v>
      </c>
      <c r="I909" s="2">
        <v>1228.62</v>
      </c>
    </row>
    <row r="910">
      <c r="A910" s="1" t="s">
        <v>1812</v>
      </c>
      <c r="B910" s="2" t="s">
        <v>0</v>
      </c>
      <c r="C910" s="2">
        <v>1244.5</v>
      </c>
      <c r="D910" s="2" t="s">
        <v>0</v>
      </c>
      <c r="E910" s="2">
        <v>2121.47</v>
      </c>
      <c r="G910" s="1" t="s">
        <v>1813</v>
      </c>
      <c r="H910" s="2" t="s">
        <v>0</v>
      </c>
      <c r="I910" s="2">
        <v>1228.62</v>
      </c>
    </row>
    <row r="911">
      <c r="A911" s="1" t="s">
        <v>1814</v>
      </c>
      <c r="B911" s="2" t="s">
        <v>0</v>
      </c>
      <c r="C911" s="2">
        <v>1244.5</v>
      </c>
      <c r="D911" s="2" t="s">
        <v>0</v>
      </c>
      <c r="E911" s="2">
        <v>2121.47</v>
      </c>
      <c r="G911" s="1" t="s">
        <v>1815</v>
      </c>
      <c r="H911" s="2" t="s">
        <v>0</v>
      </c>
      <c r="I911" s="2">
        <v>1228.62</v>
      </c>
    </row>
    <row r="912">
      <c r="A912" s="1" t="s">
        <v>1816</v>
      </c>
      <c r="B912" s="2">
        <v>1250.56</v>
      </c>
      <c r="C912" s="2">
        <v>1250.56</v>
      </c>
      <c r="D912" s="2">
        <v>2133.67</v>
      </c>
      <c r="E912" s="2">
        <v>2133.67</v>
      </c>
      <c r="G912" s="1" t="s">
        <v>1817</v>
      </c>
      <c r="H912" s="2">
        <v>1238.05</v>
      </c>
      <c r="I912" s="2">
        <v>1238.05</v>
      </c>
    </row>
    <row r="913">
      <c r="A913" s="1" t="s">
        <v>1818</v>
      </c>
      <c r="B913" s="2">
        <v>1239.2</v>
      </c>
      <c r="C913" s="2">
        <v>1239.2</v>
      </c>
      <c r="D913" s="2">
        <v>2100.25</v>
      </c>
      <c r="E913" s="2">
        <v>2100.25</v>
      </c>
      <c r="G913" s="1" t="s">
        <v>1819</v>
      </c>
      <c r="H913" s="2">
        <v>1247.54</v>
      </c>
      <c r="I913" s="2">
        <v>1247.54</v>
      </c>
    </row>
    <row r="914">
      <c r="A914" s="1" t="s">
        <v>1820</v>
      </c>
      <c r="B914" s="2">
        <v>1246.0</v>
      </c>
      <c r="C914" s="2">
        <v>1246.0</v>
      </c>
      <c r="D914" s="2">
        <v>2111.84</v>
      </c>
      <c r="E914" s="2">
        <v>2111.84</v>
      </c>
      <c r="G914" s="1" t="s">
        <v>1821</v>
      </c>
      <c r="H914" s="2">
        <v>1238.71</v>
      </c>
      <c r="I914" s="2">
        <v>1238.71</v>
      </c>
    </row>
    <row r="915">
      <c r="A915" s="1" t="s">
        <v>1822</v>
      </c>
      <c r="B915" s="2">
        <v>1272.87</v>
      </c>
      <c r="C915" s="2">
        <v>1272.87</v>
      </c>
      <c r="D915" s="2">
        <v>2174.38</v>
      </c>
      <c r="E915" s="2">
        <v>2174.38</v>
      </c>
      <c r="G915" s="1" t="s">
        <v>1823</v>
      </c>
      <c r="H915" s="2">
        <v>1263.02</v>
      </c>
      <c r="I915" s="2">
        <v>1263.02</v>
      </c>
    </row>
    <row r="916">
      <c r="A916" s="1" t="s">
        <v>1824</v>
      </c>
      <c r="B916" s="2">
        <v>1270.2</v>
      </c>
      <c r="C916" s="2">
        <v>1270.2</v>
      </c>
      <c r="D916" s="2">
        <v>2172.09</v>
      </c>
      <c r="E916" s="2">
        <v>2172.09</v>
      </c>
      <c r="G916" s="1" t="s">
        <v>1825</v>
      </c>
      <c r="H916" s="2">
        <v>1295.15</v>
      </c>
      <c r="I916" s="2">
        <v>1295.15</v>
      </c>
    </row>
    <row r="917">
      <c r="A917" s="1" t="s">
        <v>1826</v>
      </c>
      <c r="B917" s="2" t="s">
        <v>0</v>
      </c>
      <c r="C917" s="2">
        <v>1270.2</v>
      </c>
      <c r="D917" s="2" t="s">
        <v>0</v>
      </c>
      <c r="E917" s="2">
        <v>2172.09</v>
      </c>
      <c r="G917" s="1" t="s">
        <v>1827</v>
      </c>
      <c r="H917" s="2" t="s">
        <v>0</v>
      </c>
      <c r="I917" s="2">
        <v>1295.15</v>
      </c>
    </row>
    <row r="918">
      <c r="A918" s="1" t="s">
        <v>1828</v>
      </c>
      <c r="B918" s="2" t="s">
        <v>0</v>
      </c>
      <c r="C918" s="2">
        <v>1270.2</v>
      </c>
      <c r="D918" s="2" t="s">
        <v>0</v>
      </c>
      <c r="E918" s="2">
        <v>2172.09</v>
      </c>
      <c r="G918" s="1" t="s">
        <v>1829</v>
      </c>
      <c r="H918" s="2" t="s">
        <v>0</v>
      </c>
      <c r="I918" s="2">
        <v>1295.15</v>
      </c>
    </row>
    <row r="919">
      <c r="A919" s="1" t="s">
        <v>1830</v>
      </c>
      <c r="B919" s="2">
        <v>1280.19</v>
      </c>
      <c r="C919" s="2">
        <v>1280.19</v>
      </c>
      <c r="D919" s="2">
        <v>2190.43</v>
      </c>
      <c r="E919" s="2">
        <v>2190.43</v>
      </c>
      <c r="G919" s="1" t="s">
        <v>1831</v>
      </c>
      <c r="H919" s="2">
        <v>1294.61</v>
      </c>
      <c r="I919" s="2">
        <v>1294.61</v>
      </c>
    </row>
    <row r="920">
      <c r="A920" s="1" t="s">
        <v>1832</v>
      </c>
      <c r="B920" s="2" t="s">
        <v>0</v>
      </c>
      <c r="C920" s="2">
        <v>1280.19</v>
      </c>
      <c r="D920" s="2" t="s">
        <v>0</v>
      </c>
      <c r="E920" s="2">
        <v>2190.43</v>
      </c>
      <c r="G920" s="1" t="s">
        <v>1833</v>
      </c>
      <c r="H920" s="2">
        <v>1285.92</v>
      </c>
      <c r="I920" s="2">
        <v>1285.92</v>
      </c>
    </row>
    <row r="921">
      <c r="A921" s="1" t="s">
        <v>1834</v>
      </c>
      <c r="B921" s="2">
        <v>1270.91</v>
      </c>
      <c r="C921" s="2">
        <v>1270.91</v>
      </c>
      <c r="D921" s="2">
        <v>2153.34</v>
      </c>
      <c r="E921" s="2">
        <v>2153.34</v>
      </c>
      <c r="G921" s="1" t="s">
        <v>1835</v>
      </c>
      <c r="H921" s="2">
        <v>1279.85</v>
      </c>
      <c r="I921" s="2">
        <v>1279.85</v>
      </c>
    </row>
    <row r="922">
      <c r="A922" s="1" t="s">
        <v>1836</v>
      </c>
      <c r="B922" s="2">
        <v>1274.08</v>
      </c>
      <c r="C922" s="2">
        <v>1274.08</v>
      </c>
      <c r="D922" s="2">
        <v>2155.09</v>
      </c>
      <c r="E922" s="2">
        <v>2155.09</v>
      </c>
      <c r="G922" s="1" t="s">
        <v>1837</v>
      </c>
      <c r="H922" s="2">
        <v>1263.96</v>
      </c>
      <c r="I922" s="2">
        <v>1263.96</v>
      </c>
    </row>
    <row r="923">
      <c r="A923" s="1" t="s">
        <v>1838</v>
      </c>
      <c r="B923" s="2">
        <v>1265.48</v>
      </c>
      <c r="C923" s="2">
        <v>1265.48</v>
      </c>
      <c r="D923" s="2">
        <v>2130.06</v>
      </c>
      <c r="E923" s="2">
        <v>2130.06</v>
      </c>
      <c r="G923" s="1" t="s">
        <v>1839</v>
      </c>
      <c r="H923" s="2">
        <v>1273.93</v>
      </c>
      <c r="I923" s="2">
        <v>1273.93</v>
      </c>
    </row>
    <row r="924">
      <c r="A924" s="1" t="s">
        <v>1840</v>
      </c>
      <c r="B924" s="2" t="s">
        <v>0</v>
      </c>
      <c r="C924" s="2">
        <v>1265.48</v>
      </c>
      <c r="D924" s="2" t="s">
        <v>0</v>
      </c>
      <c r="E924" s="2">
        <v>2130.06</v>
      </c>
      <c r="G924" s="1" t="s">
        <v>1841</v>
      </c>
      <c r="H924" s="2" t="s">
        <v>0</v>
      </c>
      <c r="I924" s="2">
        <v>1273.93</v>
      </c>
    </row>
    <row r="925">
      <c r="A925" s="1" t="s">
        <v>1842</v>
      </c>
      <c r="B925" s="2" t="s">
        <v>0</v>
      </c>
      <c r="C925" s="2">
        <v>1265.48</v>
      </c>
      <c r="D925" s="2" t="s">
        <v>0</v>
      </c>
      <c r="E925" s="2">
        <v>2130.06</v>
      </c>
      <c r="G925" s="1" t="s">
        <v>1843</v>
      </c>
      <c r="H925" s="2" t="s">
        <v>0</v>
      </c>
      <c r="I925" s="2">
        <v>1273.93</v>
      </c>
    </row>
    <row r="926">
      <c r="A926" s="1" t="s">
        <v>1844</v>
      </c>
      <c r="B926" s="2">
        <v>1267.34</v>
      </c>
      <c r="C926" s="2">
        <v>1267.34</v>
      </c>
      <c r="D926" s="2">
        <v>2116.93</v>
      </c>
      <c r="E926" s="2">
        <v>2116.93</v>
      </c>
      <c r="G926" s="1" t="s">
        <v>1845</v>
      </c>
      <c r="H926" s="2">
        <v>1299.29</v>
      </c>
      <c r="I926" s="2">
        <v>1299.29</v>
      </c>
    </row>
    <row r="927">
      <c r="A927" s="1" t="s">
        <v>1846</v>
      </c>
      <c r="B927" s="2">
        <v>1272.52</v>
      </c>
      <c r="C927" s="2">
        <v>1272.52</v>
      </c>
      <c r="D927" s="2">
        <v>2128.86</v>
      </c>
      <c r="E927" s="2">
        <v>2128.86</v>
      </c>
      <c r="G927" s="1" t="s">
        <v>1847</v>
      </c>
      <c r="H927" s="2">
        <v>1300.44</v>
      </c>
      <c r="I927" s="2">
        <v>1300.44</v>
      </c>
    </row>
    <row r="928">
      <c r="A928" s="1" t="s">
        <v>1848</v>
      </c>
      <c r="B928" s="2">
        <v>1258.6</v>
      </c>
      <c r="C928" s="2">
        <v>1258.6</v>
      </c>
      <c r="D928" s="2">
        <v>2090.24</v>
      </c>
      <c r="E928" s="2">
        <v>2090.24</v>
      </c>
      <c r="G928" s="1" t="s">
        <v>1849</v>
      </c>
      <c r="H928" s="2">
        <v>1296.69</v>
      </c>
      <c r="I928" s="2">
        <v>1296.69</v>
      </c>
    </row>
    <row r="929">
      <c r="A929" s="1" t="s">
        <v>1850</v>
      </c>
      <c r="B929" s="2">
        <v>1242.29</v>
      </c>
      <c r="C929" s="2">
        <v>1242.29</v>
      </c>
      <c r="D929" s="2">
        <v>2054.11</v>
      </c>
      <c r="E929" s="2">
        <v>2054.11</v>
      </c>
      <c r="G929" s="1" t="s">
        <v>1851</v>
      </c>
      <c r="H929" s="2">
        <v>1285.02</v>
      </c>
      <c r="I929" s="2">
        <v>1285.02</v>
      </c>
    </row>
    <row r="930">
      <c r="A930" s="1" t="s">
        <v>1852</v>
      </c>
      <c r="B930" s="2">
        <v>1236.2</v>
      </c>
      <c r="C930" s="2">
        <v>1236.2</v>
      </c>
      <c r="D930" s="2">
        <v>2037.35</v>
      </c>
      <c r="E930" s="2">
        <v>2037.35</v>
      </c>
      <c r="G930" s="1" t="s">
        <v>1853</v>
      </c>
      <c r="H930" s="2">
        <v>1255.13</v>
      </c>
      <c r="I930" s="2">
        <v>1255.13</v>
      </c>
    </row>
    <row r="931">
      <c r="A931" s="1" t="s">
        <v>1854</v>
      </c>
      <c r="B931" s="2" t="s">
        <v>0</v>
      </c>
      <c r="C931" s="2">
        <v>1236.2</v>
      </c>
      <c r="D931" s="2" t="s">
        <v>0</v>
      </c>
      <c r="E931" s="2">
        <v>2037.35</v>
      </c>
      <c r="G931" s="1" t="s">
        <v>1855</v>
      </c>
      <c r="H931" s="2" t="s">
        <v>0</v>
      </c>
      <c r="I931" s="2">
        <v>1255.13</v>
      </c>
    </row>
    <row r="932">
      <c r="A932" s="1" t="s">
        <v>1856</v>
      </c>
      <c r="B932" s="2" t="s">
        <v>0</v>
      </c>
      <c r="C932" s="2">
        <v>1236.2</v>
      </c>
      <c r="D932" s="2" t="s">
        <v>0</v>
      </c>
      <c r="E932" s="2">
        <v>2037.35</v>
      </c>
      <c r="G932" s="1" t="s">
        <v>1857</v>
      </c>
      <c r="H932" s="2" t="s">
        <v>0</v>
      </c>
      <c r="I932" s="2">
        <v>1255.13</v>
      </c>
    </row>
    <row r="933">
      <c r="A933" s="1" t="s">
        <v>1858</v>
      </c>
      <c r="B933" s="2">
        <v>1234.49</v>
      </c>
      <c r="C933" s="2">
        <v>1234.49</v>
      </c>
      <c r="D933" s="2">
        <v>2037.72</v>
      </c>
      <c r="E933" s="2">
        <v>2037.72</v>
      </c>
      <c r="G933" s="1" t="s">
        <v>1859</v>
      </c>
      <c r="H933" s="2" t="s">
        <v>0</v>
      </c>
      <c r="I933" s="2">
        <v>1255.13</v>
      </c>
    </row>
    <row r="934">
      <c r="A934" s="1" t="s">
        <v>1860</v>
      </c>
      <c r="B934" s="2">
        <v>1236.86</v>
      </c>
      <c r="C934" s="2">
        <v>1236.86</v>
      </c>
      <c r="D934" s="2">
        <v>2043.22</v>
      </c>
      <c r="E934" s="2">
        <v>2043.22</v>
      </c>
      <c r="G934" s="1" t="s">
        <v>1861</v>
      </c>
      <c r="H934" s="2">
        <v>1233.42</v>
      </c>
      <c r="I934" s="2">
        <v>1233.42</v>
      </c>
    </row>
    <row r="935">
      <c r="A935" s="1" t="s">
        <v>1862</v>
      </c>
      <c r="B935" s="2">
        <v>1259.81</v>
      </c>
      <c r="C935" s="2">
        <v>1259.81</v>
      </c>
      <c r="D935" s="2">
        <v>2080.71</v>
      </c>
      <c r="E935" s="2">
        <v>2080.71</v>
      </c>
      <c r="G935" s="1" t="s">
        <v>1863</v>
      </c>
      <c r="H935" s="2">
        <v>1233.65</v>
      </c>
      <c r="I935" s="2">
        <v>1233.65</v>
      </c>
    </row>
    <row r="936">
      <c r="A936" s="1" t="s">
        <v>1864</v>
      </c>
      <c r="B936" s="2">
        <v>1249.13</v>
      </c>
      <c r="C936" s="2">
        <v>1249.13</v>
      </c>
      <c r="D936" s="2">
        <v>2039.42</v>
      </c>
      <c r="E936" s="2">
        <v>2039.42</v>
      </c>
      <c r="G936" s="1" t="s">
        <v>1865</v>
      </c>
      <c r="H936" s="2">
        <v>1273.3</v>
      </c>
      <c r="I936" s="2">
        <v>1273.3</v>
      </c>
    </row>
    <row r="937">
      <c r="A937" s="1" t="s">
        <v>1866</v>
      </c>
      <c r="B937" s="2">
        <v>1240.29</v>
      </c>
      <c r="C937" s="2">
        <v>1240.29</v>
      </c>
      <c r="D937" s="2">
        <v>2020.39</v>
      </c>
      <c r="E937" s="2">
        <v>2020.39</v>
      </c>
      <c r="G937" s="1" t="s">
        <v>1867</v>
      </c>
      <c r="H937" s="2">
        <v>1271.33</v>
      </c>
      <c r="I937" s="2">
        <v>1271.33</v>
      </c>
    </row>
    <row r="938">
      <c r="A938" s="1" t="s">
        <v>1868</v>
      </c>
      <c r="B938" s="2" t="s">
        <v>0</v>
      </c>
      <c r="C938" s="2">
        <v>1240.29</v>
      </c>
      <c r="D938" s="2" t="s">
        <v>0</v>
      </c>
      <c r="E938" s="2">
        <v>2020.39</v>
      </c>
      <c r="G938" s="1" t="s">
        <v>1869</v>
      </c>
      <c r="H938" s="2" t="s">
        <v>0</v>
      </c>
      <c r="I938" s="2">
        <v>1271.33</v>
      </c>
    </row>
    <row r="939">
      <c r="A939" s="1" t="s">
        <v>1870</v>
      </c>
      <c r="B939" s="2" t="s">
        <v>0</v>
      </c>
      <c r="C939" s="2">
        <v>1240.29</v>
      </c>
      <c r="D939" s="2" t="s">
        <v>0</v>
      </c>
      <c r="E939" s="2">
        <v>2020.39</v>
      </c>
      <c r="G939" s="1" t="s">
        <v>1871</v>
      </c>
      <c r="H939" s="2" t="s">
        <v>0</v>
      </c>
      <c r="I939" s="2">
        <v>1271.33</v>
      </c>
    </row>
    <row r="940">
      <c r="A940" s="1" t="s">
        <v>1872</v>
      </c>
      <c r="B940" s="2">
        <v>1260.91</v>
      </c>
      <c r="C940" s="2">
        <v>1260.91</v>
      </c>
      <c r="D940" s="2">
        <v>2061.84</v>
      </c>
      <c r="E940" s="2">
        <v>2061.84</v>
      </c>
      <c r="G940" s="1" t="s">
        <v>1873</v>
      </c>
      <c r="H940" s="2">
        <v>1263.35</v>
      </c>
      <c r="I940" s="2">
        <v>1263.35</v>
      </c>
    </row>
    <row r="941">
      <c r="A941" s="1" t="s">
        <v>1874</v>
      </c>
      <c r="B941" s="2">
        <v>1268.88</v>
      </c>
      <c r="C941" s="2">
        <v>1268.88</v>
      </c>
      <c r="D941" s="2">
        <v>2073.9</v>
      </c>
      <c r="E941" s="2">
        <v>2073.9</v>
      </c>
      <c r="G941" s="1" t="s">
        <v>1875</v>
      </c>
      <c r="H941" s="2">
        <v>1279.77</v>
      </c>
      <c r="I941" s="2">
        <v>1279.77</v>
      </c>
    </row>
    <row r="942">
      <c r="A942" s="1" t="s">
        <v>1876</v>
      </c>
      <c r="B942" s="2">
        <v>1268.4</v>
      </c>
      <c r="C942" s="2">
        <v>1268.4</v>
      </c>
      <c r="D942" s="2">
        <v>2070.46</v>
      </c>
      <c r="E942" s="2">
        <v>2070.46</v>
      </c>
      <c r="G942" s="1" t="s">
        <v>1877</v>
      </c>
      <c r="H942" s="2">
        <v>1279.08</v>
      </c>
      <c r="I942" s="2">
        <v>1279.08</v>
      </c>
    </row>
    <row r="943">
      <c r="A943" s="1" t="s">
        <v>1878</v>
      </c>
      <c r="B943" s="2">
        <v>1263.2</v>
      </c>
      <c r="C943" s="2">
        <v>1263.2</v>
      </c>
      <c r="D943" s="2">
        <v>2054.47</v>
      </c>
      <c r="E943" s="2">
        <v>2054.47</v>
      </c>
      <c r="G943" s="1" t="s">
        <v>1879</v>
      </c>
      <c r="H943" s="2">
        <v>1296.27</v>
      </c>
      <c r="I943" s="2">
        <v>1296.27</v>
      </c>
    </row>
    <row r="944">
      <c r="A944" s="1" t="s">
        <v>1880</v>
      </c>
      <c r="B944" s="2">
        <v>1278.55</v>
      </c>
      <c r="C944" s="2">
        <v>1278.55</v>
      </c>
      <c r="D944" s="2">
        <v>2094.14</v>
      </c>
      <c r="E944" s="2">
        <v>2094.14</v>
      </c>
      <c r="G944" s="1" t="s">
        <v>1881</v>
      </c>
      <c r="H944" s="2">
        <v>1297.07</v>
      </c>
      <c r="I944" s="2">
        <v>1297.07</v>
      </c>
    </row>
    <row r="945">
      <c r="A945" s="1" t="s">
        <v>1882</v>
      </c>
      <c r="B945" s="2" t="s">
        <v>0</v>
      </c>
      <c r="C945" s="2">
        <v>1278.55</v>
      </c>
      <c r="D945" s="2" t="s">
        <v>0</v>
      </c>
      <c r="E945" s="2">
        <v>2094.14</v>
      </c>
      <c r="G945" s="1" t="s">
        <v>1883</v>
      </c>
      <c r="H945" s="2" t="s">
        <v>0</v>
      </c>
      <c r="I945" s="2">
        <v>1297.07</v>
      </c>
    </row>
    <row r="946">
      <c r="A946" s="1" t="s">
        <v>1884</v>
      </c>
      <c r="B946" s="2" t="s">
        <v>0</v>
      </c>
      <c r="C946" s="2">
        <v>1278.55</v>
      </c>
      <c r="D946" s="2" t="s">
        <v>0</v>
      </c>
      <c r="E946" s="2">
        <v>2094.14</v>
      </c>
      <c r="G946" s="1" t="s">
        <v>1885</v>
      </c>
      <c r="H946" s="2" t="s">
        <v>0</v>
      </c>
      <c r="I946" s="2">
        <v>1297.07</v>
      </c>
    </row>
    <row r="947">
      <c r="A947" s="1" t="s">
        <v>1886</v>
      </c>
      <c r="B947" s="2">
        <v>1276.66</v>
      </c>
      <c r="C947" s="2">
        <v>1276.66</v>
      </c>
      <c r="D947" s="2">
        <v>2091.47</v>
      </c>
      <c r="E947" s="2">
        <v>2091.47</v>
      </c>
      <c r="G947" s="1" t="s">
        <v>1887</v>
      </c>
      <c r="H947" s="2">
        <v>1297.82</v>
      </c>
      <c r="I947" s="2">
        <v>1297.82</v>
      </c>
    </row>
    <row r="948">
      <c r="A948" s="1" t="s">
        <v>1888</v>
      </c>
      <c r="B948" s="2">
        <v>1270.92</v>
      </c>
      <c r="C948" s="2">
        <v>1270.92</v>
      </c>
      <c r="D948" s="2">
        <v>2061.99</v>
      </c>
      <c r="E948" s="2">
        <v>2061.99</v>
      </c>
      <c r="G948" s="1" t="s">
        <v>1889</v>
      </c>
      <c r="H948" s="2">
        <v>1287.36</v>
      </c>
      <c r="I948" s="2">
        <v>1287.36</v>
      </c>
    </row>
    <row r="949">
      <c r="A949" s="1" t="s">
        <v>1890</v>
      </c>
      <c r="B949" s="2">
        <v>1278.55</v>
      </c>
      <c r="C949" s="2">
        <v>1278.55</v>
      </c>
      <c r="D949" s="2">
        <v>2078.81</v>
      </c>
      <c r="E949" s="2">
        <v>2078.81</v>
      </c>
      <c r="G949" s="1" t="s">
        <v>1891</v>
      </c>
      <c r="H949" s="2">
        <v>1295.11</v>
      </c>
      <c r="I949" s="2">
        <v>1295.11</v>
      </c>
    </row>
    <row r="950">
      <c r="A950" s="1" t="s">
        <v>1892</v>
      </c>
      <c r="B950" s="2">
        <v>1280.27</v>
      </c>
      <c r="C950" s="2">
        <v>1280.27</v>
      </c>
      <c r="D950" s="2">
        <v>2092.34</v>
      </c>
      <c r="E950" s="2">
        <v>2092.34</v>
      </c>
      <c r="G950" s="1" t="s">
        <v>1893</v>
      </c>
      <c r="H950" s="2">
        <v>1292.05</v>
      </c>
      <c r="I950" s="2">
        <v>1292.05</v>
      </c>
    </row>
    <row r="951">
      <c r="A951" s="1" t="s">
        <v>1894</v>
      </c>
      <c r="B951" s="2">
        <v>1279.36</v>
      </c>
      <c r="C951" s="2">
        <v>1279.36</v>
      </c>
      <c r="D951" s="2">
        <v>2085.05</v>
      </c>
      <c r="E951" s="2">
        <v>2085.05</v>
      </c>
      <c r="G951" s="1" t="s">
        <v>1895</v>
      </c>
      <c r="H951" s="2">
        <v>1304.51</v>
      </c>
      <c r="I951" s="2">
        <v>1304.51</v>
      </c>
    </row>
    <row r="952">
      <c r="A952" s="1" t="s">
        <v>1896</v>
      </c>
      <c r="B952" s="2" t="s">
        <v>0</v>
      </c>
      <c r="C952" s="2">
        <v>1279.36</v>
      </c>
      <c r="D952" s="2" t="s">
        <v>0</v>
      </c>
      <c r="E952" s="2">
        <v>2085.05</v>
      </c>
      <c r="G952" s="1" t="s">
        <v>1897</v>
      </c>
      <c r="H952" s="2" t="s">
        <v>0</v>
      </c>
      <c r="I952" s="2">
        <v>1304.51</v>
      </c>
    </row>
    <row r="953">
      <c r="A953" s="1" t="s">
        <v>1898</v>
      </c>
      <c r="B953" s="2" t="s">
        <v>0</v>
      </c>
      <c r="C953" s="2">
        <v>1279.36</v>
      </c>
      <c r="D953" s="2" t="s">
        <v>0</v>
      </c>
      <c r="E953" s="2">
        <v>2085.05</v>
      </c>
      <c r="G953" s="1" t="s">
        <v>1899</v>
      </c>
      <c r="H953" s="2" t="s">
        <v>0</v>
      </c>
      <c r="I953" s="2">
        <v>1304.51</v>
      </c>
    </row>
    <row r="954">
      <c r="A954" s="1" t="s">
        <v>1900</v>
      </c>
      <c r="B954" s="2">
        <v>1275.77</v>
      </c>
      <c r="C954" s="2">
        <v>1275.77</v>
      </c>
      <c r="D954" s="2">
        <v>2072.5</v>
      </c>
      <c r="E954" s="2">
        <v>2072.5</v>
      </c>
      <c r="G954" s="1" t="s">
        <v>1901</v>
      </c>
      <c r="H954" s="2">
        <v>1289.54</v>
      </c>
      <c r="I954" s="2">
        <v>1289.54</v>
      </c>
    </row>
    <row r="955">
      <c r="A955" s="1" t="s">
        <v>1902</v>
      </c>
      <c r="B955" s="2">
        <v>1271.48</v>
      </c>
      <c r="C955" s="2">
        <v>1271.48</v>
      </c>
      <c r="D955" s="2">
        <v>2060.85</v>
      </c>
      <c r="E955" s="2">
        <v>2060.85</v>
      </c>
      <c r="G955" s="1" t="s">
        <v>1903</v>
      </c>
      <c r="H955" s="2">
        <v>1311.1</v>
      </c>
      <c r="I955" s="2">
        <v>1311.1</v>
      </c>
    </row>
    <row r="956">
      <c r="A956" s="1" t="s">
        <v>1904</v>
      </c>
      <c r="B956" s="2">
        <v>1265.95</v>
      </c>
      <c r="C956" s="2">
        <v>1265.95</v>
      </c>
      <c r="D956" s="2">
        <v>2060.28</v>
      </c>
      <c r="E956" s="2">
        <v>2060.28</v>
      </c>
      <c r="G956" s="1" t="s">
        <v>1905</v>
      </c>
      <c r="H956" s="2">
        <v>1314.93</v>
      </c>
      <c r="I956" s="2">
        <v>1314.93</v>
      </c>
    </row>
    <row r="957">
      <c r="A957" s="1" t="s">
        <v>1906</v>
      </c>
      <c r="B957" s="2">
        <v>1271.81</v>
      </c>
      <c r="C957" s="2">
        <v>1271.81</v>
      </c>
      <c r="D957" s="2">
        <v>2071.74</v>
      </c>
      <c r="E957" s="2">
        <v>2071.74</v>
      </c>
      <c r="G957" s="1" t="s">
        <v>1907</v>
      </c>
      <c r="H957" s="2">
        <v>1304.31</v>
      </c>
      <c r="I957" s="2">
        <v>1304.31</v>
      </c>
    </row>
    <row r="958">
      <c r="A958" s="1" t="s">
        <v>1908</v>
      </c>
      <c r="B958" s="2">
        <v>1266.74</v>
      </c>
      <c r="C958" s="2">
        <v>1266.74</v>
      </c>
      <c r="D958" s="2">
        <v>2057.71</v>
      </c>
      <c r="E958" s="2">
        <v>2057.71</v>
      </c>
      <c r="G958" s="1" t="s">
        <v>1909</v>
      </c>
      <c r="H958" s="2">
        <v>1292.1</v>
      </c>
      <c r="I958" s="2">
        <v>1292.1</v>
      </c>
    </row>
    <row r="959">
      <c r="A959" s="1" t="s">
        <v>1910</v>
      </c>
      <c r="B959" s="2" t="s">
        <v>0</v>
      </c>
      <c r="C959" s="2">
        <v>1266.74</v>
      </c>
      <c r="D959" s="2" t="s">
        <v>0</v>
      </c>
      <c r="E959" s="2">
        <v>2057.71</v>
      </c>
      <c r="G959" s="1" t="s">
        <v>1911</v>
      </c>
      <c r="H959" s="2" t="s">
        <v>0</v>
      </c>
      <c r="I959" s="2">
        <v>1292.1</v>
      </c>
    </row>
    <row r="960">
      <c r="A960" s="1" t="s">
        <v>1912</v>
      </c>
      <c r="B960" s="2" t="s">
        <v>0</v>
      </c>
      <c r="C960" s="2">
        <v>1266.74</v>
      </c>
      <c r="D960" s="2" t="s">
        <v>0</v>
      </c>
      <c r="E960" s="2">
        <v>2057.71</v>
      </c>
      <c r="G960" s="1" t="s">
        <v>1913</v>
      </c>
      <c r="H960" s="2" t="s">
        <v>0</v>
      </c>
      <c r="I960" s="2">
        <v>1292.1</v>
      </c>
    </row>
    <row r="961">
      <c r="A961" s="1" t="s">
        <v>1914</v>
      </c>
      <c r="B961" s="2">
        <v>1268.21</v>
      </c>
      <c r="C961" s="2">
        <v>1268.21</v>
      </c>
      <c r="D961" s="2">
        <v>2069.04</v>
      </c>
      <c r="E961" s="2">
        <v>2069.04</v>
      </c>
      <c r="G961" s="1" t="s">
        <v>1915</v>
      </c>
      <c r="H961" s="2">
        <v>1295.11</v>
      </c>
      <c r="I961" s="2">
        <v>1295.11</v>
      </c>
    </row>
    <row r="962">
      <c r="A962" s="1" t="s">
        <v>1916</v>
      </c>
      <c r="B962" s="2">
        <v>1285.58</v>
      </c>
      <c r="C962" s="2">
        <v>1285.58</v>
      </c>
      <c r="D962" s="2">
        <v>2115.01</v>
      </c>
      <c r="E962" s="2">
        <v>2115.01</v>
      </c>
      <c r="G962" s="1" t="s">
        <v>1917</v>
      </c>
      <c r="H962" s="2" t="s">
        <v>0</v>
      </c>
      <c r="I962" s="2">
        <v>1295.11</v>
      </c>
    </row>
    <row r="963">
      <c r="A963" s="1" t="s">
        <v>1918</v>
      </c>
      <c r="B963" s="2">
        <v>1295.43</v>
      </c>
      <c r="C963" s="2">
        <v>1295.43</v>
      </c>
      <c r="D963" s="2">
        <v>2149.54</v>
      </c>
      <c r="E963" s="2">
        <v>2149.54</v>
      </c>
      <c r="G963" s="1" t="s">
        <v>1919</v>
      </c>
      <c r="H963" s="2">
        <v>1315.61</v>
      </c>
      <c r="I963" s="2">
        <v>1315.61</v>
      </c>
    </row>
    <row r="964">
      <c r="A964" s="1" t="s">
        <v>1920</v>
      </c>
      <c r="B964" s="2">
        <v>1297.48</v>
      </c>
      <c r="C964" s="2">
        <v>1297.48</v>
      </c>
      <c r="D964" s="2">
        <v>2157.61</v>
      </c>
      <c r="E964" s="2">
        <v>2157.61</v>
      </c>
      <c r="G964" s="1" t="s">
        <v>1921</v>
      </c>
      <c r="H964" s="2">
        <v>1327.78</v>
      </c>
      <c r="I964" s="2">
        <v>1327.78</v>
      </c>
    </row>
    <row r="965">
      <c r="A965" s="1" t="s">
        <v>1922</v>
      </c>
      <c r="B965" s="2">
        <v>1302.3</v>
      </c>
      <c r="C965" s="2">
        <v>1302.3</v>
      </c>
      <c r="D965" s="2">
        <v>2163.95</v>
      </c>
      <c r="E965" s="2">
        <v>2163.95</v>
      </c>
      <c r="G965" s="1" t="s">
        <v>1923</v>
      </c>
      <c r="H965" s="2">
        <v>1331.1</v>
      </c>
      <c r="I965" s="2">
        <v>1331.1</v>
      </c>
    </row>
    <row r="966">
      <c r="A966" s="1" t="s">
        <v>1924</v>
      </c>
      <c r="B966" s="2" t="s">
        <v>0</v>
      </c>
      <c r="C966" s="2">
        <v>1302.3</v>
      </c>
      <c r="D966" s="2" t="s">
        <v>0</v>
      </c>
      <c r="E966" s="2">
        <v>2163.95</v>
      </c>
      <c r="G966" s="1" t="s">
        <v>1925</v>
      </c>
      <c r="H966" s="2" t="s">
        <v>0</v>
      </c>
      <c r="I966" s="2">
        <v>1331.1</v>
      </c>
    </row>
    <row r="967">
      <c r="A967" s="1" t="s">
        <v>1926</v>
      </c>
      <c r="B967" s="2" t="s">
        <v>0</v>
      </c>
      <c r="C967" s="2">
        <v>1302.3</v>
      </c>
      <c r="D967" s="2" t="s">
        <v>0</v>
      </c>
      <c r="E967" s="2">
        <v>2163.95</v>
      </c>
      <c r="G967" s="1" t="s">
        <v>1927</v>
      </c>
      <c r="H967" s="2" t="s">
        <v>0</v>
      </c>
      <c r="I967" s="2">
        <v>1331.1</v>
      </c>
    </row>
    <row r="968">
      <c r="A968" s="1" t="s">
        <v>1928</v>
      </c>
      <c r="B968" s="2">
        <v>1297.52</v>
      </c>
      <c r="C968" s="2">
        <v>1297.52</v>
      </c>
      <c r="D968" s="2">
        <v>2147.75</v>
      </c>
      <c r="E968" s="2">
        <v>2147.75</v>
      </c>
      <c r="G968" s="1" t="s">
        <v>1929</v>
      </c>
      <c r="H968" s="2">
        <v>1321.67</v>
      </c>
      <c r="I968" s="2">
        <v>1321.67</v>
      </c>
    </row>
    <row r="969">
      <c r="A969" s="1" t="s">
        <v>1930</v>
      </c>
      <c r="B969" s="2">
        <v>1298.82</v>
      </c>
      <c r="C969" s="2">
        <v>1298.82</v>
      </c>
      <c r="D969" s="2">
        <v>2150.02</v>
      </c>
      <c r="E969" s="2">
        <v>2150.02</v>
      </c>
      <c r="G969" s="1" t="s">
        <v>1931</v>
      </c>
      <c r="H969" s="2">
        <v>1334.96</v>
      </c>
      <c r="I969" s="2">
        <v>1334.96</v>
      </c>
    </row>
    <row r="970">
      <c r="A970" s="1" t="s">
        <v>1932</v>
      </c>
      <c r="B970" s="2">
        <v>1292.99</v>
      </c>
      <c r="C970" s="2">
        <v>1292.99</v>
      </c>
      <c r="D970" s="2">
        <v>2134.66</v>
      </c>
      <c r="E970" s="2">
        <v>2134.66</v>
      </c>
      <c r="G970" s="1" t="s">
        <v>1933</v>
      </c>
      <c r="H970" s="2">
        <v>1324.95</v>
      </c>
      <c r="I970" s="2">
        <v>1324.95</v>
      </c>
    </row>
    <row r="971">
      <c r="A971" s="1" t="s">
        <v>1934</v>
      </c>
      <c r="B971" s="2">
        <v>1296.06</v>
      </c>
      <c r="C971" s="2">
        <v>1296.06</v>
      </c>
      <c r="D971" s="2">
        <v>2137.11</v>
      </c>
      <c r="E971" s="2">
        <v>2137.11</v>
      </c>
      <c r="G971" s="1" t="s">
        <v>1935</v>
      </c>
      <c r="H971" s="2">
        <v>1315.73</v>
      </c>
      <c r="I971" s="2">
        <v>1315.73</v>
      </c>
    </row>
    <row r="972">
      <c r="A972" s="1" t="s">
        <v>1936</v>
      </c>
      <c r="B972" s="2">
        <v>1295.09</v>
      </c>
      <c r="C972" s="2">
        <v>1295.09</v>
      </c>
      <c r="D972" s="2">
        <v>2140.29</v>
      </c>
      <c r="E972" s="2">
        <v>2140.29</v>
      </c>
      <c r="G972" s="1" t="s">
        <v>1937</v>
      </c>
      <c r="H972" s="2">
        <v>1329.35</v>
      </c>
      <c r="I972" s="2">
        <v>1329.35</v>
      </c>
    </row>
    <row r="973">
      <c r="A973" s="1" t="s">
        <v>1938</v>
      </c>
      <c r="B973" s="2" t="s">
        <v>0</v>
      </c>
      <c r="C973" s="2">
        <v>1295.09</v>
      </c>
      <c r="D973" s="2" t="s">
        <v>0</v>
      </c>
      <c r="E973" s="2">
        <v>2140.29</v>
      </c>
      <c r="G973" s="1" t="s">
        <v>1939</v>
      </c>
      <c r="H973" s="2" t="s">
        <v>0</v>
      </c>
      <c r="I973" s="2">
        <v>1329.35</v>
      </c>
    </row>
    <row r="974">
      <c r="A974" s="1" t="s">
        <v>1940</v>
      </c>
      <c r="B974" s="2" t="s">
        <v>0</v>
      </c>
      <c r="C974" s="2">
        <v>1295.09</v>
      </c>
      <c r="D974" s="2" t="s">
        <v>0</v>
      </c>
      <c r="E974" s="2">
        <v>2140.29</v>
      </c>
      <c r="G974" s="1" t="s">
        <v>1941</v>
      </c>
      <c r="H974" s="2" t="s">
        <v>0</v>
      </c>
      <c r="I974" s="2">
        <v>1329.35</v>
      </c>
    </row>
    <row r="975">
      <c r="A975" s="1" t="s">
        <v>1942</v>
      </c>
      <c r="B975" s="2">
        <v>1301.78</v>
      </c>
      <c r="C975" s="2">
        <v>1301.78</v>
      </c>
      <c r="D975" s="2">
        <v>2160.7</v>
      </c>
      <c r="E975" s="2">
        <v>2160.7</v>
      </c>
      <c r="G975" s="1" t="s">
        <v>1943</v>
      </c>
      <c r="H975" s="2">
        <v>1327.89</v>
      </c>
      <c r="I975" s="2">
        <v>1327.89</v>
      </c>
    </row>
    <row r="976">
      <c r="A976" s="1" t="s">
        <v>1944</v>
      </c>
      <c r="B976" s="2">
        <v>1304.28</v>
      </c>
      <c r="C976" s="2">
        <v>1304.28</v>
      </c>
      <c r="D976" s="2">
        <v>2172.3</v>
      </c>
      <c r="E976" s="2">
        <v>2172.3</v>
      </c>
      <c r="G976" s="1" t="s">
        <v>1945</v>
      </c>
      <c r="H976" s="2">
        <v>1344.61</v>
      </c>
      <c r="I976" s="2">
        <v>1344.61</v>
      </c>
    </row>
    <row r="977">
      <c r="A977" s="1" t="s">
        <v>1946</v>
      </c>
      <c r="B977" s="2">
        <v>1304.27</v>
      </c>
      <c r="C977" s="2">
        <v>1304.27</v>
      </c>
      <c r="D977" s="2">
        <v>2185.73</v>
      </c>
      <c r="E977" s="2">
        <v>2185.73</v>
      </c>
      <c r="G977" s="1" t="s">
        <v>1947</v>
      </c>
      <c r="H977" s="2">
        <v>1341.35</v>
      </c>
      <c r="I977" s="2">
        <v>1341.35</v>
      </c>
    </row>
    <row r="978">
      <c r="A978" s="1" t="s">
        <v>1948</v>
      </c>
      <c r="B978" s="2">
        <v>1303.82</v>
      </c>
      <c r="C978" s="2">
        <v>1303.82</v>
      </c>
      <c r="D978" s="2">
        <v>2183.75</v>
      </c>
      <c r="E978" s="2">
        <v>2183.75</v>
      </c>
      <c r="G978" s="1" t="s">
        <v>1949</v>
      </c>
      <c r="H978" s="2">
        <v>1352.74</v>
      </c>
      <c r="I978" s="2">
        <v>1352.74</v>
      </c>
    </row>
    <row r="979">
      <c r="A979" s="1" t="s">
        <v>1950</v>
      </c>
      <c r="B979" s="2">
        <v>1311.01</v>
      </c>
      <c r="C979" s="2">
        <v>1311.01</v>
      </c>
      <c r="D979" s="2">
        <v>2193.16</v>
      </c>
      <c r="E979" s="2">
        <v>2193.16</v>
      </c>
      <c r="G979" s="1" t="s">
        <v>1951</v>
      </c>
      <c r="H979" s="2">
        <v>1356.67</v>
      </c>
      <c r="I979" s="2">
        <v>1356.67</v>
      </c>
    </row>
    <row r="980">
      <c r="A980" s="1" t="s">
        <v>1952</v>
      </c>
      <c r="B980" s="2" t="s">
        <v>0</v>
      </c>
      <c r="C980" s="2">
        <v>1311.01</v>
      </c>
      <c r="D980" s="2" t="s">
        <v>0</v>
      </c>
      <c r="E980" s="2">
        <v>2193.16</v>
      </c>
      <c r="G980" s="1" t="s">
        <v>1953</v>
      </c>
      <c r="H980" s="2" t="s">
        <v>0</v>
      </c>
      <c r="I980" s="2">
        <v>1356.67</v>
      </c>
    </row>
    <row r="981">
      <c r="A981" s="1" t="s">
        <v>1954</v>
      </c>
      <c r="B981" s="2" t="s">
        <v>0</v>
      </c>
      <c r="C981" s="2">
        <v>1311.01</v>
      </c>
      <c r="D981" s="2" t="s">
        <v>0</v>
      </c>
      <c r="E981" s="2">
        <v>2193.16</v>
      </c>
      <c r="G981" s="1" t="s">
        <v>1955</v>
      </c>
      <c r="H981" s="2" t="s">
        <v>0</v>
      </c>
      <c r="I981" s="2">
        <v>1356.67</v>
      </c>
    </row>
    <row r="982">
      <c r="A982" s="1" t="s">
        <v>1956</v>
      </c>
      <c r="B982" s="2" t="s">
        <v>0</v>
      </c>
      <c r="C982" s="2">
        <v>1311.01</v>
      </c>
      <c r="D982" s="2" t="s">
        <v>0</v>
      </c>
      <c r="E982" s="2">
        <v>2193.16</v>
      </c>
      <c r="G982" s="1" t="s">
        <v>1957</v>
      </c>
      <c r="H982" s="2">
        <v>1359.06</v>
      </c>
      <c r="I982" s="2">
        <v>1359.06</v>
      </c>
    </row>
    <row r="983">
      <c r="A983" s="1" t="s">
        <v>1958</v>
      </c>
      <c r="B983" s="2">
        <v>1313.25</v>
      </c>
      <c r="C983" s="2">
        <v>1313.25</v>
      </c>
      <c r="D983" s="2">
        <v>2205.7</v>
      </c>
      <c r="E983" s="2">
        <v>2205.7</v>
      </c>
      <c r="G983" s="1" t="s">
        <v>1959</v>
      </c>
      <c r="H983" s="2">
        <v>1361.24</v>
      </c>
      <c r="I983" s="2">
        <v>1361.24</v>
      </c>
    </row>
    <row r="984">
      <c r="A984" s="1" t="s">
        <v>1960</v>
      </c>
      <c r="B984" s="2">
        <v>1300.26</v>
      </c>
      <c r="C984" s="2">
        <v>1300.26</v>
      </c>
      <c r="D984" s="2">
        <v>2167.84</v>
      </c>
      <c r="E984" s="2">
        <v>2167.84</v>
      </c>
      <c r="G984" s="1" t="s">
        <v>1961</v>
      </c>
      <c r="H984" s="2">
        <v>1357.01</v>
      </c>
      <c r="I984" s="2">
        <v>1357.01</v>
      </c>
    </row>
    <row r="985">
      <c r="A985" s="1" t="s">
        <v>1962</v>
      </c>
      <c r="B985" s="2">
        <v>1294.02</v>
      </c>
      <c r="C985" s="2">
        <v>1294.02</v>
      </c>
      <c r="D985" s="2">
        <v>2155.29</v>
      </c>
      <c r="E985" s="2">
        <v>2155.29</v>
      </c>
      <c r="G985" s="1" t="s">
        <v>1963</v>
      </c>
      <c r="H985" s="2">
        <v>1351.17</v>
      </c>
      <c r="I985" s="2">
        <v>1351.17</v>
      </c>
    </row>
    <row r="986">
      <c r="A986" s="1" t="s">
        <v>1964</v>
      </c>
      <c r="B986" s="2">
        <v>1298.92</v>
      </c>
      <c r="C986" s="2">
        <v>1298.92</v>
      </c>
      <c r="D986" s="2">
        <v>2165.79</v>
      </c>
      <c r="E986" s="2">
        <v>2165.79</v>
      </c>
      <c r="G986" s="1" t="s">
        <v>1965</v>
      </c>
      <c r="H986" s="2">
        <v>1354.89</v>
      </c>
      <c r="I986" s="2">
        <v>1354.89</v>
      </c>
    </row>
    <row r="987">
      <c r="A987" s="1" t="s">
        <v>1966</v>
      </c>
      <c r="B987" s="2" t="s">
        <v>0</v>
      </c>
      <c r="C987" s="2">
        <v>1298.92</v>
      </c>
      <c r="D987" s="2" t="s">
        <v>0</v>
      </c>
      <c r="E987" s="2">
        <v>2165.79</v>
      </c>
      <c r="G987" s="1" t="s">
        <v>1967</v>
      </c>
      <c r="H987" s="2" t="s">
        <v>0</v>
      </c>
      <c r="I987" s="2">
        <v>1354.89</v>
      </c>
    </row>
    <row r="988">
      <c r="A988" s="1" t="s">
        <v>1968</v>
      </c>
      <c r="B988" s="2" t="s">
        <v>0</v>
      </c>
      <c r="C988" s="2">
        <v>1298.92</v>
      </c>
      <c r="D988" s="2" t="s">
        <v>0</v>
      </c>
      <c r="E988" s="2">
        <v>2165.79</v>
      </c>
      <c r="G988" s="1" t="s">
        <v>1969</v>
      </c>
      <c r="H988" s="2" t="s">
        <v>0</v>
      </c>
      <c r="I988" s="2">
        <v>1354.89</v>
      </c>
    </row>
    <row r="989">
      <c r="A989" s="1" t="s">
        <v>1970</v>
      </c>
      <c r="B989" s="2">
        <v>1299.54</v>
      </c>
      <c r="C989" s="2">
        <v>1299.54</v>
      </c>
      <c r="D989" s="2">
        <v>2173.25</v>
      </c>
      <c r="E989" s="2">
        <v>2173.25</v>
      </c>
      <c r="G989" s="1" t="s">
        <v>1971</v>
      </c>
      <c r="H989" s="2">
        <v>1334.08</v>
      </c>
      <c r="I989" s="2">
        <v>1334.08</v>
      </c>
    </row>
    <row r="990">
      <c r="A990" s="1" t="s">
        <v>1972</v>
      </c>
      <c r="B990" s="2">
        <v>1313.11</v>
      </c>
      <c r="C990" s="2">
        <v>1313.11</v>
      </c>
      <c r="D990" s="2">
        <v>2215.82</v>
      </c>
      <c r="E990" s="2">
        <v>2215.82</v>
      </c>
      <c r="G990" s="1" t="s">
        <v>1973</v>
      </c>
      <c r="H990" s="2">
        <v>1328.04</v>
      </c>
      <c r="I990" s="2">
        <v>1328.04</v>
      </c>
    </row>
    <row r="991">
      <c r="A991" s="1" t="s">
        <v>1974</v>
      </c>
      <c r="B991" s="2">
        <v>1318.07</v>
      </c>
      <c r="C991" s="2">
        <v>1318.07</v>
      </c>
      <c r="D991" s="2">
        <v>2227.67</v>
      </c>
      <c r="E991" s="2">
        <v>2227.67</v>
      </c>
      <c r="G991" s="1" t="s">
        <v>1975</v>
      </c>
      <c r="H991" s="2">
        <v>1333.13</v>
      </c>
      <c r="I991" s="2">
        <v>1333.13</v>
      </c>
    </row>
    <row r="992">
      <c r="A992" s="1" t="s">
        <v>1976</v>
      </c>
      <c r="B992" s="2">
        <v>1316.28</v>
      </c>
      <c r="C992" s="2">
        <v>1316.28</v>
      </c>
      <c r="D992" s="2">
        <v>2228.73</v>
      </c>
      <c r="E992" s="2">
        <v>2228.73</v>
      </c>
      <c r="G992" s="1" t="s">
        <v>1977</v>
      </c>
      <c r="H992" s="2">
        <v>1358.75</v>
      </c>
      <c r="I992" s="2">
        <v>1358.75</v>
      </c>
    </row>
    <row r="993">
      <c r="A993" s="1" t="s">
        <v>1978</v>
      </c>
      <c r="B993" s="2">
        <v>1319.87</v>
      </c>
      <c r="C993" s="2">
        <v>1319.87</v>
      </c>
      <c r="D993" s="2">
        <v>2235.59</v>
      </c>
      <c r="E993" s="2">
        <v>2235.59</v>
      </c>
      <c r="G993" s="1" t="s">
        <v>1979</v>
      </c>
      <c r="H993" s="2">
        <v>1361.1</v>
      </c>
      <c r="I993" s="2">
        <v>1361.1</v>
      </c>
    </row>
    <row r="994">
      <c r="A994" s="1" t="s">
        <v>1980</v>
      </c>
      <c r="B994" s="2" t="s">
        <v>0</v>
      </c>
      <c r="C994" s="2">
        <v>1319.87</v>
      </c>
      <c r="D994" s="2" t="s">
        <v>0</v>
      </c>
      <c r="E994" s="2">
        <v>2235.59</v>
      </c>
      <c r="G994" s="1" t="s">
        <v>1981</v>
      </c>
      <c r="H994" s="2" t="s">
        <v>0</v>
      </c>
      <c r="I994" s="2">
        <v>1361.1</v>
      </c>
    </row>
    <row r="995">
      <c r="A995" s="1" t="s">
        <v>1982</v>
      </c>
      <c r="B995" s="2" t="s">
        <v>0</v>
      </c>
      <c r="C995" s="2">
        <v>1319.87</v>
      </c>
      <c r="D995" s="2" t="s">
        <v>0</v>
      </c>
      <c r="E995" s="2">
        <v>2235.59</v>
      </c>
      <c r="G995" s="1" t="s">
        <v>1983</v>
      </c>
      <c r="H995" s="2" t="s">
        <v>0</v>
      </c>
      <c r="I995" s="2">
        <v>1361.1</v>
      </c>
    </row>
    <row r="996">
      <c r="A996" s="1" t="s">
        <v>1984</v>
      </c>
      <c r="B996" s="2">
        <v>1321.18</v>
      </c>
      <c r="C996" s="2">
        <v>1321.18</v>
      </c>
      <c r="D996" s="2">
        <v>2235.75</v>
      </c>
      <c r="E996" s="2">
        <v>2235.75</v>
      </c>
      <c r="G996" s="1" t="s">
        <v>1985</v>
      </c>
      <c r="H996" s="2">
        <v>1374.3</v>
      </c>
      <c r="I996" s="2">
        <v>1374.3</v>
      </c>
    </row>
    <row r="997">
      <c r="A997" s="1" t="s">
        <v>1986</v>
      </c>
      <c r="B997" s="2">
        <v>1318.31</v>
      </c>
      <c r="C997" s="2">
        <v>1318.31</v>
      </c>
      <c r="D997" s="2">
        <v>2222.37</v>
      </c>
      <c r="E997" s="2">
        <v>2222.37</v>
      </c>
      <c r="G997" s="1" t="s">
        <v>1987</v>
      </c>
      <c r="H997" s="2">
        <v>1373.95</v>
      </c>
      <c r="I997" s="2">
        <v>1373.95</v>
      </c>
    </row>
    <row r="998">
      <c r="A998" s="1" t="s">
        <v>1988</v>
      </c>
      <c r="B998" s="2">
        <v>1325.18</v>
      </c>
      <c r="C998" s="2">
        <v>1325.18</v>
      </c>
      <c r="D998" s="2">
        <v>2252.89</v>
      </c>
      <c r="E998" s="2">
        <v>2252.89</v>
      </c>
      <c r="G998" s="1" t="s">
        <v>1989</v>
      </c>
      <c r="H998" s="2">
        <v>1366.44</v>
      </c>
      <c r="I998" s="2">
        <v>1366.44</v>
      </c>
    </row>
    <row r="999">
      <c r="A999" s="1" t="s">
        <v>1990</v>
      </c>
      <c r="B999" s="2">
        <v>1318.03</v>
      </c>
      <c r="C999" s="2">
        <v>1318.03</v>
      </c>
      <c r="D999" s="2">
        <v>2237.75</v>
      </c>
      <c r="E999" s="2">
        <v>2237.75</v>
      </c>
      <c r="G999" s="1" t="s">
        <v>1991</v>
      </c>
      <c r="H999" s="2">
        <v>1366.79</v>
      </c>
      <c r="I999" s="2">
        <v>1366.79</v>
      </c>
    </row>
    <row r="1000">
      <c r="A1000" s="1" t="s">
        <v>1992</v>
      </c>
      <c r="B1000" s="2">
        <v>1314.78</v>
      </c>
      <c r="C1000" s="2">
        <v>1314.78</v>
      </c>
      <c r="D1000" s="2">
        <v>2218.93</v>
      </c>
      <c r="E1000" s="2">
        <v>2218.93</v>
      </c>
      <c r="G1000" s="1" t="s">
        <v>1993</v>
      </c>
      <c r="H1000" s="2">
        <v>1348.38</v>
      </c>
      <c r="I1000" s="2">
        <v>1348.38</v>
      </c>
    </row>
    <row r="1001">
      <c r="A1001" s="1" t="s">
        <v>1994</v>
      </c>
      <c r="B1001" s="2" t="s">
        <v>0</v>
      </c>
      <c r="C1001" s="2">
        <v>1314.78</v>
      </c>
      <c r="D1001" s="2" t="s">
        <v>0</v>
      </c>
      <c r="E1001" s="2">
        <v>2218.93</v>
      </c>
      <c r="G1001" s="1" t="s">
        <v>1995</v>
      </c>
      <c r="H1001" s="2" t="s">
        <v>0</v>
      </c>
      <c r="I1001" s="2">
        <v>1348.38</v>
      </c>
    </row>
    <row r="1002">
      <c r="A1002" s="1" t="s">
        <v>1996</v>
      </c>
      <c r="B1002" s="2" t="s">
        <v>0</v>
      </c>
      <c r="C1002" s="2">
        <v>1314.78</v>
      </c>
      <c r="D1002" s="2" t="s">
        <v>0</v>
      </c>
      <c r="E1002" s="2">
        <v>2218.93</v>
      </c>
      <c r="G1002" s="1" t="s">
        <v>1997</v>
      </c>
      <c r="H1002" s="2" t="s">
        <v>0</v>
      </c>
      <c r="I1002" s="2">
        <v>1348.38</v>
      </c>
    </row>
    <row r="1003">
      <c r="A1003" s="1" t="s">
        <v>1998</v>
      </c>
      <c r="B1003" s="2">
        <v>1326.37</v>
      </c>
      <c r="C1003" s="2">
        <v>1326.37</v>
      </c>
      <c r="D1003" s="2">
        <v>2249.07</v>
      </c>
      <c r="E1003" s="2">
        <v>2249.07</v>
      </c>
      <c r="G1003" s="1" t="s">
        <v>1999</v>
      </c>
      <c r="H1003" s="2">
        <v>1355.21</v>
      </c>
      <c r="I1003" s="2">
        <v>1355.21</v>
      </c>
    </row>
    <row r="1004">
      <c r="A1004" s="1" t="s">
        <v>2000</v>
      </c>
      <c r="B1004" s="2">
        <v>1336.34</v>
      </c>
      <c r="C1004" s="2">
        <v>1336.34</v>
      </c>
      <c r="D1004" s="2">
        <v>2261.34</v>
      </c>
      <c r="E1004" s="2">
        <v>2261.34</v>
      </c>
      <c r="G1004" s="1" t="s">
        <v>2001</v>
      </c>
      <c r="H1004" s="2">
        <v>1343.97</v>
      </c>
      <c r="I1004" s="2">
        <v>1343.97</v>
      </c>
    </row>
    <row r="1005">
      <c r="A1005" s="1" t="s">
        <v>2002</v>
      </c>
      <c r="B1005" s="2">
        <v>1336.59</v>
      </c>
      <c r="C1005" s="2">
        <v>1336.59</v>
      </c>
      <c r="D1005" s="2">
        <v>2263.39</v>
      </c>
      <c r="E1005" s="2">
        <v>2263.39</v>
      </c>
      <c r="G1005" s="1" t="s">
        <v>2003</v>
      </c>
      <c r="H1005" s="2">
        <v>1360.03</v>
      </c>
      <c r="I1005" s="2">
        <v>1360.03</v>
      </c>
    </row>
    <row r="1006">
      <c r="A1006" s="1" t="s">
        <v>2004</v>
      </c>
      <c r="B1006" s="2">
        <v>1339.15</v>
      </c>
      <c r="C1006" s="2">
        <v>1339.15</v>
      </c>
      <c r="D1006" s="2">
        <v>2270.02</v>
      </c>
      <c r="E1006" s="2">
        <v>2270.02</v>
      </c>
      <c r="G1006" s="1" t="s">
        <v>2005</v>
      </c>
      <c r="H1006" s="2">
        <v>1371.43</v>
      </c>
      <c r="I1006" s="2">
        <v>1371.43</v>
      </c>
    </row>
    <row r="1007">
      <c r="A1007" s="1" t="s">
        <v>2006</v>
      </c>
      <c r="B1007" s="2">
        <v>1335.85</v>
      </c>
      <c r="C1007" s="2">
        <v>1335.85</v>
      </c>
      <c r="D1007" s="2">
        <v>2258.43</v>
      </c>
      <c r="E1007" s="2">
        <v>2258.43</v>
      </c>
      <c r="G1007" s="1" t="s">
        <v>2007</v>
      </c>
      <c r="H1007" s="2">
        <v>1371.41</v>
      </c>
      <c r="I1007" s="2">
        <v>1371.41</v>
      </c>
    </row>
    <row r="1008">
      <c r="A1008" s="1" t="s">
        <v>2008</v>
      </c>
      <c r="B1008" s="2" t="s">
        <v>0</v>
      </c>
      <c r="C1008" s="2">
        <v>1335.85</v>
      </c>
      <c r="D1008" s="2" t="s">
        <v>0</v>
      </c>
      <c r="E1008" s="2">
        <v>2258.43</v>
      </c>
      <c r="G1008" s="1" t="s">
        <v>2009</v>
      </c>
      <c r="H1008" s="2" t="s">
        <v>0</v>
      </c>
      <c r="I1008" s="2">
        <v>1371.41</v>
      </c>
    </row>
    <row r="1009">
      <c r="A1009" s="1" t="s">
        <v>2010</v>
      </c>
      <c r="B1009" s="2" t="s">
        <v>0</v>
      </c>
      <c r="C1009" s="2">
        <v>1335.85</v>
      </c>
      <c r="D1009" s="2" t="s">
        <v>0</v>
      </c>
      <c r="E1009" s="2">
        <v>2258.43</v>
      </c>
      <c r="G1009" s="1" t="s">
        <v>2011</v>
      </c>
      <c r="H1009" s="2" t="s">
        <v>0</v>
      </c>
      <c r="I1009" s="2">
        <v>1371.41</v>
      </c>
    </row>
    <row r="1010">
      <c r="A1010" s="1" t="s">
        <v>2012</v>
      </c>
      <c r="B1010" s="2">
        <v>1331.32</v>
      </c>
      <c r="C1010" s="2">
        <v>1331.32</v>
      </c>
      <c r="D1010" s="2">
        <v>2237.6</v>
      </c>
      <c r="E1010" s="2">
        <v>2237.6</v>
      </c>
      <c r="G1010" s="1" t="s">
        <v>2013</v>
      </c>
      <c r="H1010" s="2">
        <v>1374.22</v>
      </c>
      <c r="I1010" s="2">
        <v>1374.22</v>
      </c>
    </row>
    <row r="1011">
      <c r="A1011" s="1" t="s">
        <v>2014</v>
      </c>
      <c r="B1011" s="2">
        <v>1334.11</v>
      </c>
      <c r="C1011" s="2">
        <v>1334.11</v>
      </c>
      <c r="D1011" s="2">
        <v>2243.65</v>
      </c>
      <c r="E1011" s="2">
        <v>2243.65</v>
      </c>
      <c r="G1011" s="1" t="s">
        <v>2015</v>
      </c>
      <c r="H1011" s="2" t="s">
        <v>0</v>
      </c>
      <c r="I1011" s="2">
        <v>1374.22</v>
      </c>
    </row>
    <row r="1012">
      <c r="A1012" s="1" t="s">
        <v>2016</v>
      </c>
      <c r="B1012" s="2">
        <v>1350.22</v>
      </c>
      <c r="C1012" s="2">
        <v>1350.22</v>
      </c>
      <c r="D1012" s="2">
        <v>2290.95</v>
      </c>
      <c r="E1012" s="2">
        <v>2290.95</v>
      </c>
      <c r="G1012" s="1" t="s">
        <v>2017</v>
      </c>
      <c r="H1012" s="2">
        <v>1352.0</v>
      </c>
      <c r="I1012" s="2">
        <v>1352.0</v>
      </c>
    </row>
    <row r="1013">
      <c r="A1013" s="1" t="s">
        <v>2018</v>
      </c>
      <c r="B1013" s="2">
        <v>1353.22</v>
      </c>
      <c r="C1013" s="2">
        <v>1353.22</v>
      </c>
      <c r="D1013" s="2">
        <v>2306.34</v>
      </c>
      <c r="E1013" s="2">
        <v>2306.34</v>
      </c>
      <c r="G1013" s="1" t="s">
        <v>2019</v>
      </c>
      <c r="H1013" s="2" t="s">
        <v>0</v>
      </c>
      <c r="I1013" s="2">
        <v>1352.0</v>
      </c>
    </row>
    <row r="1014">
      <c r="A1014" s="1" t="s">
        <v>2020</v>
      </c>
      <c r="B1014" s="2">
        <v>1349.58</v>
      </c>
      <c r="C1014" s="2">
        <v>1349.58</v>
      </c>
      <c r="D1014" s="2">
        <v>2299.99</v>
      </c>
      <c r="E1014" s="2">
        <v>2299.99</v>
      </c>
      <c r="G1014" s="1" t="s">
        <v>2021</v>
      </c>
      <c r="H1014" s="2" t="s">
        <v>0</v>
      </c>
      <c r="I1014" s="2">
        <v>1352.0</v>
      </c>
    </row>
    <row r="1015">
      <c r="A1015" s="1" t="s">
        <v>2022</v>
      </c>
      <c r="B1015" s="2" t="s">
        <v>0</v>
      </c>
      <c r="C1015" s="2">
        <v>1349.58</v>
      </c>
      <c r="D1015" s="2" t="s">
        <v>0</v>
      </c>
      <c r="E1015" s="2">
        <v>2299.99</v>
      </c>
      <c r="G1015" s="1" t="s">
        <v>2023</v>
      </c>
      <c r="H1015" s="2" t="s">
        <v>0</v>
      </c>
      <c r="I1015" s="2">
        <v>1352.0</v>
      </c>
    </row>
    <row r="1016">
      <c r="A1016" s="1" t="s">
        <v>2024</v>
      </c>
      <c r="B1016" s="2" t="s">
        <v>0</v>
      </c>
      <c r="C1016" s="2">
        <v>1349.58</v>
      </c>
      <c r="D1016" s="2" t="s">
        <v>0</v>
      </c>
      <c r="E1016" s="2">
        <v>2299.99</v>
      </c>
      <c r="G1016" s="1" t="s">
        <v>2025</v>
      </c>
      <c r="H1016" s="2" t="s">
        <v>0</v>
      </c>
      <c r="I1016" s="2">
        <v>1352.0</v>
      </c>
    </row>
    <row r="1017">
      <c r="A1017" s="1" t="s">
        <v>2026</v>
      </c>
      <c r="B1017" s="2">
        <v>1350.66</v>
      </c>
      <c r="C1017" s="2">
        <v>1350.66</v>
      </c>
      <c r="D1017" s="2">
        <v>2311.77</v>
      </c>
      <c r="E1017" s="2">
        <v>2311.77</v>
      </c>
      <c r="G1017" s="1" t="s">
        <v>2027</v>
      </c>
      <c r="H1017" s="2">
        <v>1319.4</v>
      </c>
      <c r="I1017" s="2">
        <v>1319.4</v>
      </c>
    </row>
    <row r="1018">
      <c r="A1018" s="1" t="s">
        <v>2028</v>
      </c>
      <c r="B1018" s="2">
        <v>1353.42</v>
      </c>
      <c r="C1018" s="2">
        <v>1353.42</v>
      </c>
      <c r="D1018" s="2">
        <v>2315.43</v>
      </c>
      <c r="E1018" s="2">
        <v>2315.43</v>
      </c>
      <c r="G1018" s="1" t="s">
        <v>2029</v>
      </c>
      <c r="H1018" s="2">
        <v>1328.37</v>
      </c>
      <c r="I1018" s="2">
        <v>1328.37</v>
      </c>
    </row>
    <row r="1019">
      <c r="A1019" s="1" t="s">
        <v>2030</v>
      </c>
      <c r="B1019" s="2">
        <v>1349.95</v>
      </c>
      <c r="C1019" s="2">
        <v>1349.95</v>
      </c>
      <c r="D1019" s="2">
        <v>2308.27</v>
      </c>
      <c r="E1019" s="2">
        <v>2308.27</v>
      </c>
      <c r="G1019" s="1" t="s">
        <v>2031</v>
      </c>
      <c r="H1019" s="2">
        <v>1325.49</v>
      </c>
      <c r="I1019" s="2">
        <v>1325.49</v>
      </c>
    </row>
    <row r="1020">
      <c r="A1020" s="1" t="s">
        <v>2032</v>
      </c>
      <c r="B1020" s="2">
        <v>1362.83</v>
      </c>
      <c r="C1020" s="2">
        <v>1362.83</v>
      </c>
      <c r="D1020" s="2">
        <v>2346.18</v>
      </c>
      <c r="E1020" s="2">
        <v>2346.18</v>
      </c>
      <c r="G1020" s="1" t="s">
        <v>2033</v>
      </c>
      <c r="H1020" s="2">
        <v>1331.78</v>
      </c>
      <c r="I1020" s="2">
        <v>1331.78</v>
      </c>
    </row>
    <row r="1021">
      <c r="A1021" s="1" t="s">
        <v>2034</v>
      </c>
      <c r="B1021" s="2">
        <v>1365.62</v>
      </c>
      <c r="C1021" s="2">
        <v>1365.62</v>
      </c>
      <c r="D1021" s="2">
        <v>2357.29</v>
      </c>
      <c r="E1021" s="2">
        <v>2357.29</v>
      </c>
      <c r="G1021" s="1" t="s">
        <v>2035</v>
      </c>
      <c r="H1021" s="2">
        <v>1348.6</v>
      </c>
      <c r="I1021" s="2">
        <v>1348.6</v>
      </c>
    </row>
    <row r="1022">
      <c r="A1022" s="1" t="s">
        <v>2036</v>
      </c>
      <c r="B1022" s="2" t="s">
        <v>0</v>
      </c>
      <c r="C1022" s="2">
        <v>1365.62</v>
      </c>
      <c r="D1022" s="2" t="s">
        <v>0</v>
      </c>
      <c r="E1022" s="2">
        <v>2357.29</v>
      </c>
      <c r="G1022" s="1" t="s">
        <v>2037</v>
      </c>
      <c r="H1022" s="2" t="s">
        <v>0</v>
      </c>
      <c r="I1022" s="2">
        <v>1348.6</v>
      </c>
    </row>
    <row r="1023">
      <c r="A1023" s="1" t="s">
        <v>2038</v>
      </c>
      <c r="B1023" s="2" t="s">
        <v>0</v>
      </c>
      <c r="C1023" s="2">
        <v>1365.62</v>
      </c>
      <c r="D1023" s="2" t="s">
        <v>0</v>
      </c>
      <c r="E1023" s="2">
        <v>2357.29</v>
      </c>
      <c r="G1023" s="1" t="s">
        <v>2039</v>
      </c>
      <c r="H1023" s="2" t="s">
        <v>0</v>
      </c>
      <c r="I1023" s="2">
        <v>1348.6</v>
      </c>
    </row>
    <row r="1024">
      <c r="A1024" s="1" t="s">
        <v>2040</v>
      </c>
      <c r="B1024" s="2">
        <v>1369.05</v>
      </c>
      <c r="C1024" s="2">
        <v>1369.05</v>
      </c>
      <c r="D1024" s="2">
        <v>2363.84</v>
      </c>
      <c r="E1024" s="2">
        <v>2363.84</v>
      </c>
      <c r="G1024" s="1" t="s">
        <v>2041</v>
      </c>
      <c r="H1024" s="2">
        <v>1356.72</v>
      </c>
      <c r="I1024" s="2">
        <v>1356.72</v>
      </c>
    </row>
    <row r="1025">
      <c r="A1025" s="1" t="s">
        <v>2042</v>
      </c>
      <c r="B1025" s="2">
        <v>1364.05</v>
      </c>
      <c r="C1025" s="2">
        <v>1364.05</v>
      </c>
      <c r="D1025" s="2">
        <v>2344.95</v>
      </c>
      <c r="E1025" s="2">
        <v>2344.95</v>
      </c>
      <c r="G1025" s="1" t="s">
        <v>2043</v>
      </c>
      <c r="H1025" s="2">
        <v>1351.3</v>
      </c>
      <c r="I1025" s="2">
        <v>1351.3</v>
      </c>
    </row>
    <row r="1026">
      <c r="A1026" s="1" t="s">
        <v>2044</v>
      </c>
      <c r="B1026" s="2">
        <v>1365.96</v>
      </c>
      <c r="C1026" s="2">
        <v>1365.96</v>
      </c>
      <c r="D1026" s="2">
        <v>2337.15</v>
      </c>
      <c r="E1026" s="2">
        <v>2337.15</v>
      </c>
      <c r="G1026" s="1" t="s">
        <v>2045</v>
      </c>
      <c r="H1026" s="2">
        <v>1354.26</v>
      </c>
      <c r="I1026" s="2">
        <v>1354.26</v>
      </c>
    </row>
    <row r="1027">
      <c r="A1027" s="1" t="s">
        <v>2046</v>
      </c>
      <c r="B1027" s="2">
        <v>1366.96</v>
      </c>
      <c r="C1027" s="2">
        <v>1366.96</v>
      </c>
      <c r="D1027" s="2">
        <v>2340.94</v>
      </c>
      <c r="E1027" s="2">
        <v>2340.94</v>
      </c>
      <c r="G1027" s="1" t="s">
        <v>2047</v>
      </c>
      <c r="H1027" s="2">
        <v>1354.06</v>
      </c>
      <c r="I1027" s="2">
        <v>1354.06</v>
      </c>
    </row>
    <row r="1028">
      <c r="A1028" s="1" t="s">
        <v>2048</v>
      </c>
      <c r="B1028" s="2">
        <v>1368.6</v>
      </c>
      <c r="C1028" s="2">
        <v>1368.6</v>
      </c>
      <c r="D1028" s="2">
        <v>2342.3</v>
      </c>
      <c r="E1028" s="2">
        <v>2342.3</v>
      </c>
      <c r="G1028" s="1" t="s">
        <v>2049</v>
      </c>
      <c r="H1028" s="2">
        <v>1364.24</v>
      </c>
      <c r="I1028" s="2">
        <v>1364.24</v>
      </c>
    </row>
    <row r="1029">
      <c r="A1029" s="1" t="s">
        <v>2050</v>
      </c>
      <c r="B1029" s="2" t="s">
        <v>0</v>
      </c>
      <c r="C1029" s="2">
        <v>1368.6</v>
      </c>
      <c r="D1029" s="2" t="s">
        <v>0</v>
      </c>
      <c r="E1029" s="2">
        <v>2342.3</v>
      </c>
      <c r="G1029" s="1" t="s">
        <v>2051</v>
      </c>
      <c r="H1029" s="2" t="s">
        <v>0</v>
      </c>
      <c r="I1029" s="2">
        <v>1364.24</v>
      </c>
    </row>
    <row r="1030">
      <c r="A1030" s="1" t="s">
        <v>2052</v>
      </c>
      <c r="B1030" s="2" t="s">
        <v>0</v>
      </c>
      <c r="C1030" s="2">
        <v>1368.6</v>
      </c>
      <c r="D1030" s="2" t="s">
        <v>0</v>
      </c>
      <c r="E1030" s="2">
        <v>2342.3</v>
      </c>
      <c r="G1030" s="1" t="s">
        <v>2053</v>
      </c>
      <c r="H1030" s="2" t="s">
        <v>0</v>
      </c>
      <c r="I1030" s="2">
        <v>1364.24</v>
      </c>
    </row>
    <row r="1031">
      <c r="A1031" s="1" t="s">
        <v>2054</v>
      </c>
      <c r="B1031" s="2">
        <v>1377.02</v>
      </c>
      <c r="C1031" s="2">
        <v>1377.02</v>
      </c>
      <c r="D1031" s="2">
        <v>2355.56</v>
      </c>
      <c r="E1031" s="2">
        <v>2355.56</v>
      </c>
      <c r="G1031" s="1" t="s">
        <v>2055</v>
      </c>
      <c r="H1031" s="2">
        <v>1364.95</v>
      </c>
      <c r="I1031" s="2">
        <v>1364.95</v>
      </c>
    </row>
    <row r="1032">
      <c r="A1032" s="1" t="s">
        <v>2056</v>
      </c>
      <c r="B1032" s="2">
        <v>1377.38</v>
      </c>
      <c r="C1032" s="2">
        <v>1377.38</v>
      </c>
      <c r="D1032" s="2">
        <v>2344.84</v>
      </c>
      <c r="E1032" s="2">
        <v>2344.84</v>
      </c>
      <c r="G1032" s="1" t="s">
        <v>2057</v>
      </c>
      <c r="H1032" s="2">
        <v>1366.5</v>
      </c>
      <c r="I1032" s="2">
        <v>1366.5</v>
      </c>
    </row>
    <row r="1033">
      <c r="A1033" s="1" t="s">
        <v>2058</v>
      </c>
      <c r="B1033" s="2">
        <v>1382.22</v>
      </c>
      <c r="C1033" s="2">
        <v>1382.22</v>
      </c>
      <c r="D1033" s="2">
        <v>2356.59</v>
      </c>
      <c r="E1033" s="2">
        <v>2356.59</v>
      </c>
      <c r="G1033" s="1" t="s">
        <v>2059</v>
      </c>
      <c r="H1033" s="2">
        <v>1371.43</v>
      </c>
      <c r="I1033" s="2">
        <v>1371.43</v>
      </c>
    </row>
    <row r="1034">
      <c r="A1034" s="1" t="s">
        <v>2060</v>
      </c>
      <c r="B1034" s="2">
        <v>1389.08</v>
      </c>
      <c r="C1034" s="2">
        <v>1389.08</v>
      </c>
      <c r="D1034" s="2">
        <v>2379.1</v>
      </c>
      <c r="E1034" s="2">
        <v>2379.1</v>
      </c>
      <c r="G1034" s="1" t="s">
        <v>2061</v>
      </c>
      <c r="H1034" s="2">
        <v>1373.65</v>
      </c>
      <c r="I1034" s="2">
        <v>1373.65</v>
      </c>
    </row>
    <row r="1035">
      <c r="A1035" s="1" t="s">
        <v>2062</v>
      </c>
      <c r="B1035" s="2">
        <v>1377.34</v>
      </c>
      <c r="C1035" s="2">
        <v>1377.34</v>
      </c>
      <c r="D1035" s="2">
        <v>2350.62</v>
      </c>
      <c r="E1035" s="2">
        <v>2350.62</v>
      </c>
      <c r="G1035" s="1" t="s">
        <v>2063</v>
      </c>
      <c r="H1035" s="2">
        <v>1369.09</v>
      </c>
      <c r="I1035" s="2">
        <v>1369.09</v>
      </c>
    </row>
    <row r="1036">
      <c r="A1036" s="1" t="s">
        <v>2064</v>
      </c>
      <c r="B1036" s="2" t="s">
        <v>0</v>
      </c>
      <c r="C1036" s="2">
        <v>1377.34</v>
      </c>
      <c r="D1036" s="2" t="s">
        <v>0</v>
      </c>
      <c r="E1036" s="2">
        <v>2350.62</v>
      </c>
      <c r="G1036" s="1" t="s">
        <v>2065</v>
      </c>
      <c r="H1036" s="2" t="s">
        <v>0</v>
      </c>
      <c r="I1036" s="2">
        <v>1369.09</v>
      </c>
    </row>
    <row r="1037">
      <c r="A1037" s="1" t="s">
        <v>2066</v>
      </c>
      <c r="B1037" s="2" t="s">
        <v>0</v>
      </c>
      <c r="C1037" s="2">
        <v>1377.34</v>
      </c>
      <c r="D1037" s="2" t="s">
        <v>0</v>
      </c>
      <c r="E1037" s="2">
        <v>2350.62</v>
      </c>
      <c r="G1037" s="1" t="s">
        <v>2067</v>
      </c>
      <c r="H1037" s="2" t="s">
        <v>0</v>
      </c>
      <c r="I1037" s="2">
        <v>1369.09</v>
      </c>
    </row>
    <row r="1038">
      <c r="A1038" s="1" t="s">
        <v>2068</v>
      </c>
      <c r="B1038" s="2">
        <v>1377.93</v>
      </c>
      <c r="C1038" s="2">
        <v>1377.93</v>
      </c>
      <c r="D1038" s="2">
        <v>2363.77</v>
      </c>
      <c r="E1038" s="2">
        <v>2363.77</v>
      </c>
      <c r="G1038" s="1" t="s">
        <v>2069</v>
      </c>
      <c r="H1038" s="2">
        <v>1356.11</v>
      </c>
      <c r="I1038" s="2">
        <v>1356.11</v>
      </c>
    </row>
    <row r="1039">
      <c r="A1039" s="1" t="s">
        <v>2070</v>
      </c>
      <c r="B1039" s="2">
        <v>1377.94</v>
      </c>
      <c r="C1039" s="2">
        <v>1377.94</v>
      </c>
      <c r="D1039" s="2">
        <v>2366.71</v>
      </c>
      <c r="E1039" s="2">
        <v>2366.71</v>
      </c>
      <c r="G1039" s="1" t="s">
        <v>2071</v>
      </c>
      <c r="H1039" s="2">
        <v>1364.55</v>
      </c>
      <c r="I1039" s="2">
        <v>1364.55</v>
      </c>
    </row>
    <row r="1040">
      <c r="A1040" s="1" t="s">
        <v>2072</v>
      </c>
      <c r="B1040" s="2">
        <v>1367.81</v>
      </c>
      <c r="C1040" s="2">
        <v>1367.81</v>
      </c>
      <c r="D1040" s="2">
        <v>2334.35</v>
      </c>
      <c r="E1040" s="2">
        <v>2334.35</v>
      </c>
      <c r="G1040" s="1" t="s">
        <v>2073</v>
      </c>
      <c r="H1040" s="2">
        <v>1374.35</v>
      </c>
      <c r="I1040" s="2">
        <v>1374.35</v>
      </c>
    </row>
    <row r="1041">
      <c r="A1041" s="1" t="s">
        <v>2074</v>
      </c>
      <c r="B1041" s="2">
        <v>1367.34</v>
      </c>
      <c r="C1041" s="2">
        <v>1367.34</v>
      </c>
      <c r="D1041" s="2">
        <v>2334.02</v>
      </c>
      <c r="E1041" s="2">
        <v>2334.02</v>
      </c>
      <c r="G1041" s="1" t="s">
        <v>2075</v>
      </c>
      <c r="H1041" s="2">
        <v>1383.73</v>
      </c>
      <c r="I1041" s="2">
        <v>1383.73</v>
      </c>
    </row>
    <row r="1042">
      <c r="A1042" s="1" t="s">
        <v>2076</v>
      </c>
      <c r="B1042" s="2">
        <v>1364.3</v>
      </c>
      <c r="C1042" s="2">
        <v>1364.3</v>
      </c>
      <c r="D1042" s="2">
        <v>2330.79</v>
      </c>
      <c r="E1042" s="2">
        <v>2330.79</v>
      </c>
      <c r="G1042" s="1" t="s">
        <v>2077</v>
      </c>
      <c r="H1042" s="2">
        <v>1383.88</v>
      </c>
      <c r="I1042" s="2">
        <v>1383.88</v>
      </c>
    </row>
    <row r="1043">
      <c r="A1043" s="1" t="s">
        <v>2078</v>
      </c>
      <c r="B1043" s="2" t="s">
        <v>0</v>
      </c>
      <c r="C1043" s="2">
        <v>1364.3</v>
      </c>
      <c r="D1043" s="2" t="s">
        <v>0</v>
      </c>
      <c r="E1043" s="2">
        <v>2330.79</v>
      </c>
      <c r="G1043" s="1" t="s">
        <v>2079</v>
      </c>
      <c r="H1043" s="2" t="s">
        <v>0</v>
      </c>
      <c r="I1043" s="2">
        <v>1383.88</v>
      </c>
    </row>
    <row r="1044">
      <c r="A1044" s="1" t="s">
        <v>2080</v>
      </c>
      <c r="B1044" s="2" t="s">
        <v>0</v>
      </c>
      <c r="C1044" s="2">
        <v>1364.3</v>
      </c>
      <c r="D1044" s="2" t="s">
        <v>0</v>
      </c>
      <c r="E1044" s="2">
        <v>2330.79</v>
      </c>
      <c r="G1044" s="1" t="s">
        <v>2081</v>
      </c>
      <c r="H1044" s="2" t="s">
        <v>0</v>
      </c>
      <c r="I1044" s="2">
        <v>1383.88</v>
      </c>
    </row>
    <row r="1045">
      <c r="A1045" s="1" t="s">
        <v>2082</v>
      </c>
      <c r="B1045" s="2">
        <v>1379.78</v>
      </c>
      <c r="C1045" s="2">
        <v>1379.78</v>
      </c>
      <c r="D1045" s="2">
        <v>2365.95</v>
      </c>
      <c r="E1045" s="2">
        <v>2365.95</v>
      </c>
      <c r="G1045" s="1" t="s">
        <v>2083</v>
      </c>
      <c r="H1045" s="2">
        <v>1379.19</v>
      </c>
      <c r="I1045" s="2">
        <v>1379.19</v>
      </c>
    </row>
    <row r="1046">
      <c r="A1046" s="1" t="s">
        <v>2084</v>
      </c>
      <c r="B1046" s="2">
        <v>1382.84</v>
      </c>
      <c r="C1046" s="2">
        <v>1382.84</v>
      </c>
      <c r="D1046" s="2">
        <v>2375.88</v>
      </c>
      <c r="E1046" s="2">
        <v>2375.88</v>
      </c>
      <c r="G1046" s="1" t="s">
        <v>2085</v>
      </c>
      <c r="H1046" s="2">
        <v>1387.44</v>
      </c>
      <c r="I1046" s="2">
        <v>1387.44</v>
      </c>
    </row>
    <row r="1047">
      <c r="A1047" s="1" t="s">
        <v>2086</v>
      </c>
      <c r="B1047" s="2">
        <v>1385.72</v>
      </c>
      <c r="C1047" s="2">
        <v>1385.72</v>
      </c>
      <c r="D1047" s="2">
        <v>2384.94</v>
      </c>
      <c r="E1047" s="2">
        <v>2384.94</v>
      </c>
      <c r="G1047" s="1" t="s">
        <v>2087</v>
      </c>
      <c r="H1047" s="2">
        <v>1380.07</v>
      </c>
      <c r="I1047" s="2">
        <v>1380.07</v>
      </c>
    </row>
    <row r="1048">
      <c r="A1048" s="1" t="s">
        <v>2088</v>
      </c>
      <c r="B1048" s="2">
        <v>1378.33</v>
      </c>
      <c r="C1048" s="2">
        <v>1378.33</v>
      </c>
      <c r="D1048" s="2">
        <v>2376.01</v>
      </c>
      <c r="E1048" s="2">
        <v>2376.01</v>
      </c>
      <c r="G1048" s="1" t="s">
        <v>2089</v>
      </c>
      <c r="H1048" s="2">
        <v>1399.44</v>
      </c>
      <c r="I1048" s="2">
        <v>1399.44</v>
      </c>
    </row>
    <row r="1049">
      <c r="A1049" s="1" t="s">
        <v>2090</v>
      </c>
      <c r="B1049" s="2">
        <v>1380.9</v>
      </c>
      <c r="C1049" s="2">
        <v>1380.9</v>
      </c>
      <c r="D1049" s="2">
        <v>2389.72</v>
      </c>
      <c r="E1049" s="2">
        <v>2389.72</v>
      </c>
      <c r="G1049" s="1" t="s">
        <v>2091</v>
      </c>
      <c r="H1049" s="2">
        <v>1395.73</v>
      </c>
      <c r="I1049" s="2">
        <v>1395.73</v>
      </c>
    </row>
    <row r="1050">
      <c r="A1050" s="1" t="s">
        <v>2092</v>
      </c>
      <c r="B1050" s="2" t="s">
        <v>0</v>
      </c>
      <c r="C1050" s="2">
        <v>1380.9</v>
      </c>
      <c r="D1050" s="2" t="s">
        <v>0</v>
      </c>
      <c r="E1050" s="2">
        <v>2389.72</v>
      </c>
      <c r="G1050" s="1" t="s">
        <v>2093</v>
      </c>
      <c r="H1050" s="2" t="s">
        <v>0</v>
      </c>
      <c r="I1050" s="2">
        <v>1395.73</v>
      </c>
    </row>
    <row r="1051">
      <c r="A1051" s="1" t="s">
        <v>2094</v>
      </c>
      <c r="B1051" s="2" t="s">
        <v>0</v>
      </c>
      <c r="C1051" s="2">
        <v>1380.9</v>
      </c>
      <c r="D1051" s="2" t="s">
        <v>0</v>
      </c>
      <c r="E1051" s="2">
        <v>2389.72</v>
      </c>
      <c r="G1051" s="1" t="s">
        <v>2095</v>
      </c>
      <c r="H1051" s="2" t="s">
        <v>0</v>
      </c>
      <c r="I1051" s="2">
        <v>1395.73</v>
      </c>
    </row>
    <row r="1052">
      <c r="A1052" s="1" t="s">
        <v>2096</v>
      </c>
      <c r="B1052" s="2">
        <v>1384.42</v>
      </c>
      <c r="C1052" s="2">
        <v>1384.42</v>
      </c>
      <c r="D1052" s="2">
        <v>2406.38</v>
      </c>
      <c r="E1052" s="2">
        <v>2406.38</v>
      </c>
      <c r="G1052" s="1" t="s">
        <v>2097</v>
      </c>
      <c r="H1052" s="2">
        <v>1396.69</v>
      </c>
      <c r="I1052" s="2">
        <v>1396.69</v>
      </c>
    </row>
    <row r="1053">
      <c r="A1053" s="1" t="s">
        <v>2098</v>
      </c>
      <c r="B1053" s="2">
        <v>1393.22</v>
      </c>
      <c r="C1053" s="2">
        <v>1393.22</v>
      </c>
      <c r="D1053" s="2">
        <v>2430.66</v>
      </c>
      <c r="E1053" s="2">
        <v>2430.66</v>
      </c>
      <c r="G1053" s="1" t="s">
        <v>2099</v>
      </c>
      <c r="H1053" s="2">
        <v>1407.37</v>
      </c>
      <c r="I1053" s="2">
        <v>1407.37</v>
      </c>
    </row>
    <row r="1054">
      <c r="A1054" s="1" t="s">
        <v>2100</v>
      </c>
      <c r="B1054" s="2">
        <v>1396.57</v>
      </c>
      <c r="C1054" s="2">
        <v>1396.57</v>
      </c>
      <c r="D1054" s="2">
        <v>2442.75</v>
      </c>
      <c r="E1054" s="2">
        <v>2442.75</v>
      </c>
      <c r="G1054" s="1" t="s">
        <v>2101</v>
      </c>
      <c r="H1054" s="2">
        <v>1412.54</v>
      </c>
      <c r="I1054" s="2">
        <v>1412.54</v>
      </c>
    </row>
    <row r="1055">
      <c r="A1055" s="1" t="s">
        <v>2102</v>
      </c>
      <c r="B1055" s="2">
        <v>1399.76</v>
      </c>
      <c r="C1055" s="2">
        <v>1399.76</v>
      </c>
      <c r="D1055" s="2">
        <v>2449.06</v>
      </c>
      <c r="E1055" s="2">
        <v>2449.06</v>
      </c>
      <c r="G1055" s="1" t="s">
        <v>2103</v>
      </c>
      <c r="H1055" s="2">
        <v>1410.75</v>
      </c>
      <c r="I1055" s="2">
        <v>1410.75</v>
      </c>
    </row>
    <row r="1056">
      <c r="A1056" s="1" t="s">
        <v>2104</v>
      </c>
      <c r="B1056" s="2">
        <v>1401.2</v>
      </c>
      <c r="C1056" s="2">
        <v>1401.2</v>
      </c>
      <c r="D1056" s="2">
        <v>2445.86</v>
      </c>
      <c r="E1056" s="2">
        <v>2445.86</v>
      </c>
      <c r="G1056" s="1" t="s">
        <v>2105</v>
      </c>
      <c r="H1056" s="2">
        <v>1412.22</v>
      </c>
      <c r="I1056" s="2">
        <v>1412.22</v>
      </c>
    </row>
    <row r="1057">
      <c r="A1057" s="1" t="s">
        <v>2106</v>
      </c>
      <c r="B1057" s="2" t="s">
        <v>0</v>
      </c>
      <c r="C1057" s="2">
        <v>1401.2</v>
      </c>
      <c r="D1057" s="2" t="s">
        <v>0</v>
      </c>
      <c r="E1057" s="2">
        <v>2445.86</v>
      </c>
      <c r="G1057" s="1" t="s">
        <v>2107</v>
      </c>
      <c r="H1057" s="2" t="s">
        <v>0</v>
      </c>
      <c r="I1057" s="2">
        <v>1412.22</v>
      </c>
    </row>
    <row r="1058">
      <c r="A1058" s="1" t="s">
        <v>2108</v>
      </c>
      <c r="B1058" s="2" t="s">
        <v>0</v>
      </c>
      <c r="C1058" s="2">
        <v>1401.2</v>
      </c>
      <c r="D1058" s="2" t="s">
        <v>0</v>
      </c>
      <c r="E1058" s="2">
        <v>2445.86</v>
      </c>
      <c r="G1058" s="1" t="s">
        <v>2109</v>
      </c>
      <c r="H1058" s="2" t="s">
        <v>0</v>
      </c>
      <c r="I1058" s="2">
        <v>1412.22</v>
      </c>
    </row>
    <row r="1059">
      <c r="A1059" s="1" t="s">
        <v>2110</v>
      </c>
      <c r="B1059" s="2">
        <v>1400.5</v>
      </c>
      <c r="C1059" s="2">
        <v>1400.5</v>
      </c>
      <c r="D1059" s="2">
        <v>2452.72</v>
      </c>
      <c r="E1059" s="2">
        <v>2452.72</v>
      </c>
      <c r="G1059" s="1" t="s">
        <v>2111</v>
      </c>
      <c r="H1059" s="2">
        <v>1402.21</v>
      </c>
      <c r="I1059" s="2">
        <v>1402.21</v>
      </c>
    </row>
    <row r="1060">
      <c r="A1060" s="1" t="s">
        <v>2112</v>
      </c>
      <c r="B1060" s="2">
        <v>1402.81</v>
      </c>
      <c r="C1060" s="2">
        <v>1402.81</v>
      </c>
      <c r="D1060" s="2">
        <v>2454.84</v>
      </c>
      <c r="E1060" s="2">
        <v>2454.84</v>
      </c>
      <c r="G1060" s="1" t="s">
        <v>2113</v>
      </c>
      <c r="H1060" s="2">
        <v>1405.9</v>
      </c>
      <c r="I1060" s="2">
        <v>1405.9</v>
      </c>
    </row>
    <row r="1061">
      <c r="A1061" s="1" t="s">
        <v>2114</v>
      </c>
      <c r="B1061" s="2">
        <v>1406.09</v>
      </c>
      <c r="C1061" s="2">
        <v>1406.09</v>
      </c>
      <c r="D1061" s="2">
        <v>2465.98</v>
      </c>
      <c r="E1061" s="2">
        <v>2465.98</v>
      </c>
      <c r="G1061" s="1" t="s">
        <v>2115</v>
      </c>
      <c r="H1061" s="2">
        <v>1422.54</v>
      </c>
      <c r="I1061" s="2">
        <v>1422.54</v>
      </c>
    </row>
    <row r="1062">
      <c r="A1062" s="1" t="s">
        <v>2116</v>
      </c>
      <c r="B1062" s="2" t="s">
        <v>0</v>
      </c>
      <c r="C1062" s="2">
        <v>1406.09</v>
      </c>
      <c r="D1062" s="2" t="s">
        <v>0</v>
      </c>
      <c r="E1062" s="2">
        <v>2465.98</v>
      </c>
      <c r="G1062" s="1" t="s">
        <v>2117</v>
      </c>
      <c r="H1062" s="2">
        <v>1419.23</v>
      </c>
      <c r="I1062" s="2">
        <v>1419.23</v>
      </c>
    </row>
    <row r="1063">
      <c r="A1063" s="1" t="s">
        <v>2118</v>
      </c>
      <c r="B1063" s="2">
        <v>1400.95</v>
      </c>
      <c r="C1063" s="2">
        <v>1400.95</v>
      </c>
      <c r="D1063" s="2">
        <v>2460.26</v>
      </c>
      <c r="E1063" s="2">
        <v>2460.26</v>
      </c>
      <c r="G1063" s="1" t="s">
        <v>2119</v>
      </c>
      <c r="H1063" s="2">
        <v>1421.73</v>
      </c>
      <c r="I1063" s="2">
        <v>1421.73</v>
      </c>
    </row>
    <row r="1064">
      <c r="A1064" s="1" t="s">
        <v>2120</v>
      </c>
      <c r="B1064" s="2" t="s">
        <v>0</v>
      </c>
      <c r="C1064" s="2">
        <v>1400.95</v>
      </c>
      <c r="D1064" s="2" t="s">
        <v>0</v>
      </c>
      <c r="E1064" s="2">
        <v>2460.26</v>
      </c>
      <c r="G1064" s="1" t="s">
        <v>2121</v>
      </c>
      <c r="H1064" s="2" t="s">
        <v>0</v>
      </c>
      <c r="I1064" s="2">
        <v>1421.73</v>
      </c>
    </row>
    <row r="1065">
      <c r="A1065" s="1" t="s">
        <v>2122</v>
      </c>
      <c r="B1065" s="2" t="s">
        <v>0</v>
      </c>
      <c r="C1065" s="2">
        <v>1400.95</v>
      </c>
      <c r="D1065" s="2" t="s">
        <v>0</v>
      </c>
      <c r="E1065" s="2">
        <v>2460.26</v>
      </c>
      <c r="G1065" s="1" t="s">
        <v>2123</v>
      </c>
      <c r="H1065" s="2" t="s">
        <v>0</v>
      </c>
      <c r="I1065" s="2">
        <v>1421.73</v>
      </c>
    </row>
    <row r="1066">
      <c r="A1066" s="1" t="s">
        <v>2124</v>
      </c>
      <c r="B1066" s="2">
        <v>1381.9</v>
      </c>
      <c r="C1066" s="2">
        <v>1381.9</v>
      </c>
      <c r="D1066" s="2">
        <v>2405.92</v>
      </c>
      <c r="E1066" s="2">
        <v>2405.92</v>
      </c>
      <c r="G1066" s="1" t="s">
        <v>2125</v>
      </c>
      <c r="H1066" s="2">
        <v>1425.13</v>
      </c>
      <c r="I1066" s="2">
        <v>1425.13</v>
      </c>
    </row>
    <row r="1067">
      <c r="A1067" s="1" t="s">
        <v>2126</v>
      </c>
      <c r="B1067" s="2">
        <v>1386.72</v>
      </c>
      <c r="C1067" s="2">
        <v>1386.72</v>
      </c>
      <c r="D1067" s="2">
        <v>2412.61</v>
      </c>
      <c r="E1067" s="2">
        <v>2412.61</v>
      </c>
      <c r="G1067" s="1" t="s">
        <v>2127</v>
      </c>
      <c r="H1067" s="2">
        <v>1411.47</v>
      </c>
      <c r="I1067" s="2">
        <v>1411.47</v>
      </c>
    </row>
    <row r="1068">
      <c r="A1068" s="1" t="s">
        <v>2128</v>
      </c>
      <c r="B1068" s="2">
        <v>1399.48</v>
      </c>
      <c r="C1068" s="2">
        <v>1399.48</v>
      </c>
      <c r="D1068" s="2">
        <v>2432.23</v>
      </c>
      <c r="E1068" s="2">
        <v>2432.23</v>
      </c>
      <c r="G1068" s="1" t="s">
        <v>2129</v>
      </c>
      <c r="H1068" s="2">
        <v>1422.55</v>
      </c>
      <c r="I1068" s="2">
        <v>1422.55</v>
      </c>
    </row>
    <row r="1069">
      <c r="A1069" s="1" t="s">
        <v>2130</v>
      </c>
      <c r="B1069" s="2">
        <v>1400.63</v>
      </c>
      <c r="C1069" s="2">
        <v>1400.63</v>
      </c>
      <c r="D1069" s="2">
        <v>2431.77</v>
      </c>
      <c r="E1069" s="2">
        <v>2431.77</v>
      </c>
      <c r="G1069" s="1" t="s">
        <v>2131</v>
      </c>
      <c r="H1069" s="2">
        <v>1432.21</v>
      </c>
      <c r="I1069" s="2">
        <v>1432.21</v>
      </c>
    </row>
    <row r="1070">
      <c r="A1070" s="1" t="s">
        <v>2132</v>
      </c>
      <c r="B1070" s="2">
        <v>1396.71</v>
      </c>
      <c r="C1070" s="2">
        <v>1396.71</v>
      </c>
      <c r="D1070" s="2">
        <v>2413.21</v>
      </c>
      <c r="E1070" s="2">
        <v>2413.21</v>
      </c>
      <c r="G1070" s="1" t="s">
        <v>2133</v>
      </c>
      <c r="H1070" s="2">
        <v>1434.36</v>
      </c>
      <c r="I1070" s="2">
        <v>1434.36</v>
      </c>
    </row>
    <row r="1071">
      <c r="A1071" s="1" t="s">
        <v>2134</v>
      </c>
      <c r="B1071" s="2" t="s">
        <v>0</v>
      </c>
      <c r="C1071" s="2">
        <v>1396.71</v>
      </c>
      <c r="D1071" s="2" t="s">
        <v>0</v>
      </c>
      <c r="E1071" s="2">
        <v>2413.21</v>
      </c>
      <c r="G1071" s="1" t="s">
        <v>2135</v>
      </c>
      <c r="H1071" s="2" t="s">
        <v>0</v>
      </c>
      <c r="I1071" s="2">
        <v>1434.36</v>
      </c>
    </row>
    <row r="1072">
      <c r="A1072" s="1" t="s">
        <v>2136</v>
      </c>
      <c r="B1072" s="2" t="s">
        <v>0</v>
      </c>
      <c r="C1072" s="2">
        <v>1396.71</v>
      </c>
      <c r="D1072" s="2" t="s">
        <v>0</v>
      </c>
      <c r="E1072" s="2">
        <v>2413.21</v>
      </c>
      <c r="G1072" s="1" t="s">
        <v>2137</v>
      </c>
      <c r="H1072" s="2" t="s">
        <v>0</v>
      </c>
      <c r="I1072" s="2">
        <v>1434.36</v>
      </c>
    </row>
    <row r="1073">
      <c r="A1073" s="1" t="s">
        <v>2138</v>
      </c>
      <c r="B1073" s="2">
        <v>1409.12</v>
      </c>
      <c r="C1073" s="2">
        <v>1409.12</v>
      </c>
      <c r="D1073" s="2">
        <v>2448.39</v>
      </c>
      <c r="E1073" s="2">
        <v>2448.39</v>
      </c>
      <c r="G1073" s="1" t="s">
        <v>2139</v>
      </c>
      <c r="H1073" s="2">
        <v>1426.46</v>
      </c>
      <c r="I1073" s="2">
        <v>1426.46</v>
      </c>
    </row>
    <row r="1074">
      <c r="A1074" s="1" t="s">
        <v>2140</v>
      </c>
      <c r="B1074" s="2">
        <v>1414.76</v>
      </c>
      <c r="C1074" s="2">
        <v>1414.76</v>
      </c>
      <c r="D1074" s="2">
        <v>2452.38</v>
      </c>
      <c r="E1074" s="2">
        <v>2452.38</v>
      </c>
      <c r="G1074" s="1" t="s">
        <v>2141</v>
      </c>
      <c r="H1074" s="2">
        <v>1420.59</v>
      </c>
      <c r="I1074" s="2">
        <v>1420.59</v>
      </c>
    </row>
    <row r="1075">
      <c r="A1075" s="1" t="s">
        <v>2142</v>
      </c>
      <c r="B1075" s="2">
        <v>1412.9</v>
      </c>
      <c r="C1075" s="2">
        <v>1412.9</v>
      </c>
      <c r="D1075" s="2">
        <v>2445.86</v>
      </c>
      <c r="E1075" s="2">
        <v>2445.86</v>
      </c>
      <c r="G1075" s="1" t="s">
        <v>2143</v>
      </c>
      <c r="H1075" s="2">
        <v>1413.73</v>
      </c>
      <c r="I1075" s="2">
        <v>1413.73</v>
      </c>
    </row>
    <row r="1076">
      <c r="A1076" s="1" t="s">
        <v>2144</v>
      </c>
      <c r="B1076" s="2">
        <v>1407.29</v>
      </c>
      <c r="C1076" s="2">
        <v>1407.29</v>
      </c>
      <c r="D1076" s="2">
        <v>2427.69</v>
      </c>
      <c r="E1076" s="2">
        <v>2427.69</v>
      </c>
      <c r="G1076" s="1" t="s">
        <v>2145</v>
      </c>
      <c r="H1076" s="2">
        <v>1410.3</v>
      </c>
      <c r="I1076" s="2">
        <v>1410.3</v>
      </c>
    </row>
    <row r="1077">
      <c r="A1077" s="1" t="s">
        <v>2146</v>
      </c>
      <c r="B1077" s="2">
        <v>1409.84</v>
      </c>
      <c r="C1077" s="2">
        <v>1409.84</v>
      </c>
      <c r="D1077" s="2">
        <v>2437.36</v>
      </c>
      <c r="E1077" s="2">
        <v>2437.36</v>
      </c>
      <c r="G1077" s="1" t="s">
        <v>2147</v>
      </c>
      <c r="H1077" s="2">
        <v>1390.43</v>
      </c>
      <c r="I1077" s="2">
        <v>1390.43</v>
      </c>
    </row>
    <row r="1078">
      <c r="A1078" s="1" t="s">
        <v>2148</v>
      </c>
      <c r="B1078" s="2" t="s">
        <v>0</v>
      </c>
      <c r="C1078" s="2">
        <v>1409.84</v>
      </c>
      <c r="D1078" s="2" t="s">
        <v>0</v>
      </c>
      <c r="E1078" s="2">
        <v>2437.36</v>
      </c>
      <c r="G1078" s="1" t="s">
        <v>2149</v>
      </c>
      <c r="H1078" s="2" t="s">
        <v>0</v>
      </c>
      <c r="I1078" s="2">
        <v>1390.43</v>
      </c>
    </row>
    <row r="1079">
      <c r="A1079" s="1" t="s">
        <v>2150</v>
      </c>
      <c r="B1079" s="2" t="s">
        <v>0</v>
      </c>
      <c r="C1079" s="2">
        <v>1409.84</v>
      </c>
      <c r="D1079" s="2" t="s">
        <v>0</v>
      </c>
      <c r="E1079" s="2">
        <v>2437.36</v>
      </c>
      <c r="G1079" s="1" t="s">
        <v>2151</v>
      </c>
      <c r="H1079" s="2" t="s">
        <v>0</v>
      </c>
      <c r="I1079" s="2">
        <v>1390.43</v>
      </c>
    </row>
    <row r="1080">
      <c r="A1080" s="1" t="s">
        <v>2152</v>
      </c>
      <c r="B1080" s="2">
        <v>1413.04</v>
      </c>
      <c r="C1080" s="2">
        <v>1413.04</v>
      </c>
      <c r="D1080" s="2">
        <v>2442.86</v>
      </c>
      <c r="E1080" s="2">
        <v>2442.86</v>
      </c>
      <c r="G1080" s="1" t="s">
        <v>2153</v>
      </c>
      <c r="H1080" s="2">
        <v>1390.73</v>
      </c>
      <c r="I1080" s="2">
        <v>1390.73</v>
      </c>
    </row>
    <row r="1081">
      <c r="A1081" s="1" t="s">
        <v>2154</v>
      </c>
      <c r="B1081" s="2">
        <v>1411.56</v>
      </c>
      <c r="C1081" s="2">
        <v>1411.56</v>
      </c>
      <c r="D1081" s="2">
        <v>2431.6</v>
      </c>
      <c r="E1081" s="2">
        <v>2431.6</v>
      </c>
      <c r="G1081" s="1" t="s">
        <v>2155</v>
      </c>
      <c r="H1081" s="2">
        <v>1376.98</v>
      </c>
      <c r="I1081" s="2">
        <v>1376.98</v>
      </c>
    </row>
    <row r="1082">
      <c r="A1082" s="1" t="s">
        <v>2156</v>
      </c>
      <c r="B1082" s="2">
        <v>1413.21</v>
      </c>
      <c r="C1082" s="2">
        <v>1413.21</v>
      </c>
      <c r="D1082" s="2">
        <v>2432.41</v>
      </c>
      <c r="E1082" s="2">
        <v>2432.41</v>
      </c>
      <c r="G1082" s="1" t="s">
        <v>2157</v>
      </c>
      <c r="H1082" s="2">
        <v>1383.28</v>
      </c>
      <c r="I1082" s="2">
        <v>1383.28</v>
      </c>
    </row>
    <row r="1083">
      <c r="A1083" s="1" t="s">
        <v>2158</v>
      </c>
      <c r="B1083" s="2">
        <v>1425.49</v>
      </c>
      <c r="C1083" s="2">
        <v>1425.49</v>
      </c>
      <c r="D1083" s="2">
        <v>2453.85</v>
      </c>
      <c r="E1083" s="2">
        <v>2453.85</v>
      </c>
      <c r="G1083" s="1" t="s">
        <v>2159</v>
      </c>
      <c r="H1083" s="2">
        <v>1418.38</v>
      </c>
      <c r="I1083" s="2">
        <v>1418.38</v>
      </c>
    </row>
    <row r="1084">
      <c r="A1084" s="1" t="s">
        <v>2160</v>
      </c>
      <c r="B1084" s="2">
        <v>1427.09</v>
      </c>
      <c r="C1084" s="2">
        <v>1427.09</v>
      </c>
      <c r="D1084" s="2">
        <v>2457.2</v>
      </c>
      <c r="E1084" s="2">
        <v>2457.2</v>
      </c>
      <c r="G1084" s="1" t="s">
        <v>2161</v>
      </c>
      <c r="H1084" s="2">
        <v>1421.87</v>
      </c>
      <c r="I1084" s="2">
        <v>1421.87</v>
      </c>
    </row>
    <row r="1085">
      <c r="A1085" s="1" t="s">
        <v>2162</v>
      </c>
      <c r="B1085" s="2" t="s">
        <v>0</v>
      </c>
      <c r="C1085" s="2">
        <v>1427.09</v>
      </c>
      <c r="D1085" s="2" t="s">
        <v>0</v>
      </c>
      <c r="E1085" s="2">
        <v>2457.2</v>
      </c>
      <c r="G1085" s="1" t="s">
        <v>2163</v>
      </c>
      <c r="H1085" s="2" t="s">
        <v>0</v>
      </c>
      <c r="I1085" s="2">
        <v>1421.87</v>
      </c>
    </row>
    <row r="1086">
      <c r="A1086" s="1" t="s">
        <v>2164</v>
      </c>
      <c r="B1086" s="2" t="s">
        <v>0</v>
      </c>
      <c r="C1086" s="2">
        <v>1427.09</v>
      </c>
      <c r="D1086" s="2" t="s">
        <v>0</v>
      </c>
      <c r="E1086" s="2">
        <v>2457.2</v>
      </c>
      <c r="G1086" s="1" t="s">
        <v>2165</v>
      </c>
      <c r="H1086" s="2" t="s">
        <v>0</v>
      </c>
      <c r="I1086" s="2">
        <v>1421.87</v>
      </c>
    </row>
    <row r="1087">
      <c r="A1087" s="1" t="s">
        <v>2166</v>
      </c>
      <c r="B1087" s="2">
        <v>1422.48</v>
      </c>
      <c r="C1087" s="2">
        <v>1422.48</v>
      </c>
      <c r="D1087" s="2">
        <v>2435.57</v>
      </c>
      <c r="E1087" s="2">
        <v>2435.57</v>
      </c>
      <c r="G1087" s="1" t="s">
        <v>2167</v>
      </c>
      <c r="H1087" s="2">
        <v>1433.23</v>
      </c>
      <c r="I1087" s="2">
        <v>1433.23</v>
      </c>
    </row>
    <row r="1088">
      <c r="A1088" s="1" t="s">
        <v>2168</v>
      </c>
      <c r="B1088" s="2">
        <v>1425.55</v>
      </c>
      <c r="C1088" s="2">
        <v>1425.55</v>
      </c>
      <c r="D1088" s="2">
        <v>2429.55</v>
      </c>
      <c r="E1088" s="2">
        <v>2429.55</v>
      </c>
      <c r="G1088" s="1" t="s">
        <v>2169</v>
      </c>
      <c r="H1088" s="2">
        <v>1427.76</v>
      </c>
      <c r="I1088" s="2">
        <v>1427.76</v>
      </c>
    </row>
    <row r="1089">
      <c r="A1089" s="1" t="s">
        <v>2170</v>
      </c>
      <c r="B1089" s="2">
        <v>1423.53</v>
      </c>
      <c r="C1089" s="2">
        <v>1423.53</v>
      </c>
      <c r="D1089" s="2">
        <v>2427.61</v>
      </c>
      <c r="E1089" s="2">
        <v>2427.61</v>
      </c>
      <c r="G1089" s="1" t="s">
        <v>2171</v>
      </c>
      <c r="H1089" s="2">
        <v>1442.28</v>
      </c>
      <c r="I1089" s="2">
        <v>1442.28</v>
      </c>
    </row>
    <row r="1090">
      <c r="A1090" s="1" t="s">
        <v>2172</v>
      </c>
      <c r="B1090" s="2">
        <v>1418.3</v>
      </c>
      <c r="C1090" s="2">
        <v>1418.3</v>
      </c>
      <c r="D1090" s="2">
        <v>2415.85</v>
      </c>
      <c r="E1090" s="2">
        <v>2415.85</v>
      </c>
      <c r="G1090" s="1" t="s">
        <v>2173</v>
      </c>
      <c r="H1090" s="2">
        <v>1436.47</v>
      </c>
      <c r="I1090" s="2">
        <v>1436.47</v>
      </c>
    </row>
    <row r="1091">
      <c r="A1091" s="1" t="s">
        <v>2174</v>
      </c>
      <c r="B1091" s="2">
        <v>1410.76</v>
      </c>
      <c r="C1091" s="2">
        <v>1410.76</v>
      </c>
      <c r="D1091" s="2">
        <v>2401.18</v>
      </c>
      <c r="E1091" s="2">
        <v>2401.18</v>
      </c>
      <c r="G1091" s="1" t="s">
        <v>2175</v>
      </c>
      <c r="H1091" s="2">
        <v>1437.49</v>
      </c>
      <c r="I1091" s="2">
        <v>1437.49</v>
      </c>
    </row>
    <row r="1092">
      <c r="A1092" s="1" t="s">
        <v>2176</v>
      </c>
      <c r="B1092" s="2" t="s">
        <v>0</v>
      </c>
      <c r="C1092" s="2">
        <v>1410.76</v>
      </c>
      <c r="D1092" s="2" t="s">
        <v>0</v>
      </c>
      <c r="E1092" s="2">
        <v>2401.18</v>
      </c>
      <c r="G1092" s="1" t="s">
        <v>2177</v>
      </c>
      <c r="H1092" s="2" t="s">
        <v>0</v>
      </c>
      <c r="I1092" s="2">
        <v>1437.49</v>
      </c>
    </row>
    <row r="1093">
      <c r="A1093" s="1" t="s">
        <v>2178</v>
      </c>
      <c r="B1093" s="2" t="s">
        <v>0</v>
      </c>
      <c r="C1093" s="2">
        <v>1410.76</v>
      </c>
      <c r="D1093" s="2" t="s">
        <v>0</v>
      </c>
      <c r="E1093" s="2">
        <v>2401.18</v>
      </c>
      <c r="G1093" s="1" t="s">
        <v>2179</v>
      </c>
      <c r="H1093" s="2" t="s">
        <v>0</v>
      </c>
      <c r="I1093" s="2">
        <v>1437.49</v>
      </c>
    </row>
    <row r="1094">
      <c r="A1094" s="1" t="s">
        <v>2180</v>
      </c>
      <c r="B1094" s="2" t="s">
        <v>0</v>
      </c>
      <c r="C1094" s="2">
        <v>1410.76</v>
      </c>
      <c r="D1094" s="2" t="s">
        <v>0</v>
      </c>
      <c r="E1094" s="2">
        <v>2401.18</v>
      </c>
      <c r="G1094" s="1" t="s">
        <v>2181</v>
      </c>
      <c r="H1094" s="2" t="s">
        <v>0</v>
      </c>
      <c r="I1094" s="2">
        <v>1437.49</v>
      </c>
    </row>
    <row r="1095">
      <c r="A1095" s="1" t="s">
        <v>2182</v>
      </c>
      <c r="B1095" s="2">
        <v>1416.9</v>
      </c>
      <c r="C1095" s="2">
        <v>1416.9</v>
      </c>
      <c r="D1095" s="2">
        <v>2413.51</v>
      </c>
      <c r="E1095" s="2">
        <v>2413.51</v>
      </c>
      <c r="G1095" s="1" t="s">
        <v>2183</v>
      </c>
      <c r="H1095" s="2">
        <v>1433.92</v>
      </c>
      <c r="I1095" s="2">
        <v>1433.92</v>
      </c>
    </row>
    <row r="1096">
      <c r="A1096" s="1" t="s">
        <v>2184</v>
      </c>
      <c r="B1096" s="2">
        <v>1426.84</v>
      </c>
      <c r="C1096" s="2">
        <v>1426.84</v>
      </c>
      <c r="D1096" s="2">
        <v>2431.22</v>
      </c>
      <c r="E1096" s="2">
        <v>2431.22</v>
      </c>
      <c r="G1096" s="1" t="s">
        <v>2185</v>
      </c>
      <c r="H1096" s="2">
        <v>1425.1</v>
      </c>
      <c r="I1096" s="2">
        <v>1425.1</v>
      </c>
    </row>
    <row r="1097">
      <c r="A1097" s="1" t="s">
        <v>2186</v>
      </c>
      <c r="B1097" s="2">
        <v>1424.73</v>
      </c>
      <c r="C1097" s="2">
        <v>1424.73</v>
      </c>
      <c r="D1097" s="2">
        <v>2425.57</v>
      </c>
      <c r="E1097" s="2">
        <v>2425.57</v>
      </c>
      <c r="G1097" s="1" t="s">
        <v>2187</v>
      </c>
      <c r="H1097" s="2">
        <v>1434.46</v>
      </c>
      <c r="I1097" s="2">
        <v>1434.46</v>
      </c>
    </row>
    <row r="1098">
      <c r="A1098" s="1" t="s">
        <v>2188</v>
      </c>
      <c r="B1098" s="2">
        <v>1418.3</v>
      </c>
      <c r="C1098" s="2">
        <v>1418.3</v>
      </c>
      <c r="D1098" s="2">
        <v>2415.29</v>
      </c>
      <c r="E1098" s="2">
        <v>2415.29</v>
      </c>
      <c r="G1098" s="1" t="s">
        <v>2189</v>
      </c>
      <c r="H1098" s="2" t="s">
        <v>0</v>
      </c>
      <c r="I1098" s="2">
        <v>1434.46</v>
      </c>
    </row>
    <row r="1099">
      <c r="A1099" s="1" t="s">
        <v>2190</v>
      </c>
      <c r="B1099" s="2" t="s">
        <v>0</v>
      </c>
      <c r="C1099" s="2">
        <v>1418.3</v>
      </c>
      <c r="D1099" s="2" t="s">
        <v>0</v>
      </c>
      <c r="E1099" s="2">
        <v>2415.29</v>
      </c>
      <c r="G1099" s="1" t="s">
        <v>2191</v>
      </c>
      <c r="H1099" s="2" t="s">
        <v>0</v>
      </c>
      <c r="I1099" s="2">
        <v>1434.46</v>
      </c>
    </row>
    <row r="1100">
      <c r="A1100" s="1" t="s">
        <v>2192</v>
      </c>
      <c r="B1100" s="2" t="s">
        <v>0</v>
      </c>
      <c r="C1100" s="2">
        <v>1418.3</v>
      </c>
      <c r="D1100" s="2" t="s">
        <v>0</v>
      </c>
      <c r="E1100" s="2">
        <v>2415.29</v>
      </c>
      <c r="G1100" s="1" t="s">
        <v>2193</v>
      </c>
      <c r="H1100" s="2" t="s">
        <v>0</v>
      </c>
      <c r="I1100" s="2">
        <v>1434.46</v>
      </c>
    </row>
    <row r="1101">
      <c r="A1101" s="1" t="s">
        <v>2194</v>
      </c>
      <c r="B1101" s="2" t="s">
        <v>0</v>
      </c>
      <c r="C1101" s="2">
        <v>1418.3</v>
      </c>
      <c r="D1101" s="2" t="s">
        <v>0</v>
      </c>
      <c r="E1101" s="2">
        <v>2415.29</v>
      </c>
      <c r="G1101" s="1" t="s">
        <v>2195</v>
      </c>
      <c r="H1101" s="2" t="s">
        <v>0</v>
      </c>
      <c r="I1101" s="2">
        <v>1434.46</v>
      </c>
    </row>
    <row r="1102">
      <c r="A1102" s="1" t="s">
        <v>2196</v>
      </c>
      <c r="B1102" s="2" t="s">
        <v>0</v>
      </c>
      <c r="C1102" s="2">
        <v>1418.3</v>
      </c>
      <c r="D1102" s="2" t="s">
        <v>0</v>
      </c>
      <c r="E1102" s="2">
        <v>2415.29</v>
      </c>
      <c r="G1102" s="1" t="s">
        <v>2197</v>
      </c>
      <c r="H1102" s="2">
        <v>1435.26</v>
      </c>
      <c r="I1102" s="2">
        <v>1435.26</v>
      </c>
    </row>
    <row r="1103">
      <c r="A1103" s="1" t="s">
        <v>2198</v>
      </c>
      <c r="B1103" s="2">
        <v>1416.63</v>
      </c>
      <c r="C1103" s="2">
        <v>1416.63</v>
      </c>
      <c r="D1103" s="2">
        <v>2423.16</v>
      </c>
      <c r="E1103" s="2">
        <v>2423.16</v>
      </c>
      <c r="G1103" s="1" t="s">
        <v>2199</v>
      </c>
      <c r="H1103" s="2">
        <v>1409.35</v>
      </c>
      <c r="I1103" s="2">
        <v>1409.35</v>
      </c>
    </row>
    <row r="1104">
      <c r="A1104" s="1" t="s">
        <v>2200</v>
      </c>
      <c r="B1104" s="2">
        <v>1418.34</v>
      </c>
      <c r="C1104" s="2">
        <v>1418.34</v>
      </c>
      <c r="D1104" s="2">
        <v>2453.43</v>
      </c>
      <c r="E1104" s="2">
        <v>2453.43</v>
      </c>
      <c r="G1104" s="1" t="s">
        <v>2201</v>
      </c>
      <c r="H1104" s="2">
        <v>1397.29</v>
      </c>
      <c r="I1104" s="2">
        <v>1397.29</v>
      </c>
    </row>
    <row r="1105">
      <c r="A1105" s="1" t="s">
        <v>2202</v>
      </c>
      <c r="B1105" s="2">
        <v>1409.71</v>
      </c>
      <c r="C1105" s="2">
        <v>1409.71</v>
      </c>
      <c r="D1105" s="2">
        <v>2434.25</v>
      </c>
      <c r="E1105" s="2">
        <v>2434.25</v>
      </c>
      <c r="G1105" s="1" t="s">
        <v>2203</v>
      </c>
      <c r="H1105" s="2">
        <v>1385.76</v>
      </c>
      <c r="I1105" s="2">
        <v>1385.76</v>
      </c>
    </row>
    <row r="1106">
      <c r="A1106" s="1" t="s">
        <v>2204</v>
      </c>
      <c r="B1106" s="2" t="s">
        <v>0</v>
      </c>
      <c r="C1106" s="2">
        <v>1409.71</v>
      </c>
      <c r="D1106" s="2" t="s">
        <v>0</v>
      </c>
      <c r="E1106" s="2">
        <v>2434.25</v>
      </c>
      <c r="G1106" s="1" t="s">
        <v>2205</v>
      </c>
      <c r="H1106" s="2" t="s">
        <v>0</v>
      </c>
      <c r="I1106" s="2">
        <v>1385.76</v>
      </c>
    </row>
    <row r="1107">
      <c r="A1107" s="1" t="s">
        <v>2206</v>
      </c>
      <c r="B1107" s="2" t="s">
        <v>0</v>
      </c>
      <c r="C1107" s="2">
        <v>1409.71</v>
      </c>
      <c r="D1107" s="2" t="s">
        <v>0</v>
      </c>
      <c r="E1107" s="2">
        <v>2434.25</v>
      </c>
      <c r="G1107" s="1" t="s">
        <v>2207</v>
      </c>
      <c r="H1107" s="2" t="s">
        <v>0</v>
      </c>
      <c r="I1107" s="2">
        <v>1385.76</v>
      </c>
    </row>
    <row r="1108">
      <c r="A1108" s="1" t="s">
        <v>2208</v>
      </c>
      <c r="B1108" s="2">
        <v>1412.84</v>
      </c>
      <c r="C1108" s="2">
        <v>1412.84</v>
      </c>
      <c r="D1108" s="2">
        <v>2438.2</v>
      </c>
      <c r="E1108" s="2">
        <v>2438.2</v>
      </c>
      <c r="G1108" s="1" t="s">
        <v>2209</v>
      </c>
      <c r="H1108" s="2">
        <v>1370.81</v>
      </c>
      <c r="I1108" s="2">
        <v>1370.81</v>
      </c>
    </row>
    <row r="1109">
      <c r="A1109" s="1" t="s">
        <v>2210</v>
      </c>
      <c r="B1109" s="2">
        <v>1412.11</v>
      </c>
      <c r="C1109" s="2">
        <v>1412.11</v>
      </c>
      <c r="D1109" s="2">
        <v>2443.83</v>
      </c>
      <c r="E1109" s="2">
        <v>2443.83</v>
      </c>
      <c r="G1109" s="1" t="s">
        <v>2211</v>
      </c>
      <c r="H1109" s="2">
        <v>1374.34</v>
      </c>
      <c r="I1109" s="2">
        <v>1374.34</v>
      </c>
    </row>
    <row r="1110">
      <c r="A1110" s="1" t="s">
        <v>2212</v>
      </c>
      <c r="B1110" s="2">
        <v>1414.85</v>
      </c>
      <c r="C1110" s="2">
        <v>1414.85</v>
      </c>
      <c r="D1110" s="2">
        <v>2459.33</v>
      </c>
      <c r="E1110" s="2">
        <v>2459.33</v>
      </c>
      <c r="G1110" s="1" t="s">
        <v>2213</v>
      </c>
      <c r="H1110" s="2">
        <v>1355.79</v>
      </c>
      <c r="I1110" s="2">
        <v>1355.79</v>
      </c>
    </row>
    <row r="1111">
      <c r="A1111" s="1" t="s">
        <v>2214</v>
      </c>
      <c r="B1111" s="2">
        <v>1423.82</v>
      </c>
      <c r="C1111" s="2">
        <v>1423.82</v>
      </c>
      <c r="D1111" s="2">
        <v>2484.85</v>
      </c>
      <c r="E1111" s="2">
        <v>2484.85</v>
      </c>
      <c r="G1111" s="1" t="s">
        <v>2215</v>
      </c>
      <c r="H1111" s="2">
        <v>1365.31</v>
      </c>
      <c r="I1111" s="2">
        <v>1365.31</v>
      </c>
    </row>
    <row r="1112">
      <c r="A1112" s="1" t="s">
        <v>2216</v>
      </c>
      <c r="B1112" s="2">
        <v>1430.73</v>
      </c>
      <c r="C1112" s="2">
        <v>1430.73</v>
      </c>
      <c r="D1112" s="2">
        <v>2502.82</v>
      </c>
      <c r="E1112" s="2">
        <v>2502.82</v>
      </c>
      <c r="G1112" s="1" t="s">
        <v>2217</v>
      </c>
      <c r="H1112" s="2">
        <v>1388.37</v>
      </c>
      <c r="I1112" s="2">
        <v>1388.37</v>
      </c>
    </row>
    <row r="1113">
      <c r="A1113" s="1" t="s">
        <v>2218</v>
      </c>
      <c r="B1113" s="2" t="s">
        <v>0</v>
      </c>
      <c r="C1113" s="2">
        <v>1430.73</v>
      </c>
      <c r="D1113" s="2" t="s">
        <v>0</v>
      </c>
      <c r="E1113" s="2">
        <v>2502.82</v>
      </c>
      <c r="G1113" s="1" t="s">
        <v>2219</v>
      </c>
      <c r="H1113" s="2" t="s">
        <v>0</v>
      </c>
      <c r="I1113" s="2">
        <v>1388.37</v>
      </c>
    </row>
    <row r="1114">
      <c r="A1114" s="1" t="s">
        <v>2220</v>
      </c>
      <c r="B1114" s="2" t="s">
        <v>0</v>
      </c>
      <c r="C1114" s="2">
        <v>1430.73</v>
      </c>
      <c r="D1114" s="2" t="s">
        <v>0</v>
      </c>
      <c r="E1114" s="2">
        <v>2502.82</v>
      </c>
      <c r="G1114" s="1" t="s">
        <v>2221</v>
      </c>
      <c r="H1114" s="2" t="s">
        <v>0</v>
      </c>
      <c r="I1114" s="2">
        <v>1388.37</v>
      </c>
    </row>
    <row r="1115">
      <c r="A1115" s="1" t="s">
        <v>2222</v>
      </c>
      <c r="B1115" s="2" t="s">
        <v>0</v>
      </c>
      <c r="C1115" s="2">
        <v>1430.73</v>
      </c>
      <c r="D1115" s="2" t="s">
        <v>0</v>
      </c>
      <c r="E1115" s="2">
        <v>2502.82</v>
      </c>
      <c r="G1115" s="1" t="s">
        <v>2223</v>
      </c>
      <c r="H1115" s="2">
        <v>1390.96</v>
      </c>
      <c r="I1115" s="2">
        <v>1390.96</v>
      </c>
    </row>
    <row r="1116">
      <c r="A1116" s="1" t="s">
        <v>2224</v>
      </c>
      <c r="B1116" s="2">
        <v>1431.9</v>
      </c>
      <c r="C1116" s="2">
        <v>1431.9</v>
      </c>
      <c r="D1116" s="2">
        <v>2497.78</v>
      </c>
      <c r="E1116" s="2">
        <v>2497.78</v>
      </c>
      <c r="G1116" s="1" t="s">
        <v>2225</v>
      </c>
      <c r="H1116" s="2">
        <v>1389.71</v>
      </c>
      <c r="I1116" s="2">
        <v>1389.71</v>
      </c>
    </row>
    <row r="1117">
      <c r="A1117" s="1" t="s">
        <v>2226</v>
      </c>
      <c r="B1117" s="2">
        <v>1430.62</v>
      </c>
      <c r="C1117" s="2">
        <v>1430.62</v>
      </c>
      <c r="D1117" s="2">
        <v>2479.42</v>
      </c>
      <c r="E1117" s="2">
        <v>2479.42</v>
      </c>
      <c r="G1117" s="1" t="s">
        <v>2227</v>
      </c>
      <c r="H1117" s="2">
        <v>1379.48</v>
      </c>
      <c r="I1117" s="2">
        <v>1379.48</v>
      </c>
    </row>
    <row r="1118">
      <c r="A1118" s="1" t="s">
        <v>2228</v>
      </c>
      <c r="B1118" s="2">
        <v>1426.37</v>
      </c>
      <c r="C1118" s="2">
        <v>1426.37</v>
      </c>
      <c r="D1118" s="2">
        <v>2443.21</v>
      </c>
      <c r="E1118" s="2">
        <v>2443.21</v>
      </c>
      <c r="G1118" s="1" t="s">
        <v>2229</v>
      </c>
      <c r="H1118" s="2">
        <v>1383.21</v>
      </c>
      <c r="I1118" s="2">
        <v>1383.21</v>
      </c>
    </row>
    <row r="1119">
      <c r="A1119" s="1" t="s">
        <v>2230</v>
      </c>
      <c r="B1119" s="2">
        <v>1430.5</v>
      </c>
      <c r="C1119" s="2">
        <v>1430.5</v>
      </c>
      <c r="D1119" s="2">
        <v>2451.31</v>
      </c>
      <c r="E1119" s="2">
        <v>2451.31</v>
      </c>
      <c r="G1119" s="1" t="s">
        <v>2231</v>
      </c>
      <c r="H1119" s="2">
        <v>1360.56</v>
      </c>
      <c r="I1119" s="2">
        <v>1360.56</v>
      </c>
    </row>
    <row r="1120">
      <c r="A1120" s="1" t="s">
        <v>2232</v>
      </c>
      <c r="B1120" s="2" t="s">
        <v>0</v>
      </c>
      <c r="C1120" s="2">
        <v>1430.5</v>
      </c>
      <c r="D1120" s="2" t="s">
        <v>0</v>
      </c>
      <c r="E1120" s="2">
        <v>2451.31</v>
      </c>
      <c r="G1120" s="1" t="s">
        <v>2233</v>
      </c>
      <c r="H1120" s="2" t="s">
        <v>0</v>
      </c>
      <c r="I1120" s="2">
        <v>1360.56</v>
      </c>
    </row>
    <row r="1121">
      <c r="A1121" s="1" t="s">
        <v>2234</v>
      </c>
      <c r="B1121" s="2" t="s">
        <v>0</v>
      </c>
      <c r="C1121" s="2">
        <v>1430.5</v>
      </c>
      <c r="D1121" s="2" t="s">
        <v>0</v>
      </c>
      <c r="E1121" s="2">
        <v>2451.31</v>
      </c>
      <c r="G1121" s="1" t="s">
        <v>2235</v>
      </c>
      <c r="H1121" s="2" t="s">
        <v>0</v>
      </c>
      <c r="I1121" s="2">
        <v>1360.56</v>
      </c>
    </row>
    <row r="1122">
      <c r="A1122" s="1" t="s">
        <v>2236</v>
      </c>
      <c r="B1122" s="2">
        <v>1422.95</v>
      </c>
      <c r="C1122" s="2">
        <v>1422.95</v>
      </c>
      <c r="D1122" s="2">
        <v>2431.07</v>
      </c>
      <c r="E1122" s="2">
        <v>2431.07</v>
      </c>
      <c r="G1122" s="1" t="s">
        <v>2237</v>
      </c>
      <c r="H1122" s="2">
        <v>1363.41</v>
      </c>
      <c r="I1122" s="2">
        <v>1363.41</v>
      </c>
    </row>
    <row r="1123">
      <c r="A1123" s="1" t="s">
        <v>2238</v>
      </c>
      <c r="B1123" s="2">
        <v>1427.99</v>
      </c>
      <c r="C1123" s="2">
        <v>1427.99</v>
      </c>
      <c r="D1123" s="2">
        <v>2431.41</v>
      </c>
      <c r="E1123" s="2">
        <v>2431.41</v>
      </c>
      <c r="G1123" s="1" t="s">
        <v>2239</v>
      </c>
      <c r="H1123" s="2">
        <v>1363.09</v>
      </c>
      <c r="I1123" s="2">
        <v>1363.09</v>
      </c>
    </row>
    <row r="1124">
      <c r="A1124" s="1" t="s">
        <v>2240</v>
      </c>
      <c r="B1124" s="2">
        <v>1440.13</v>
      </c>
      <c r="C1124" s="2">
        <v>1440.13</v>
      </c>
      <c r="D1124" s="2">
        <v>2466.28</v>
      </c>
      <c r="E1124" s="2">
        <v>2466.28</v>
      </c>
      <c r="G1124" s="1" t="s">
        <v>2241</v>
      </c>
      <c r="H1124" s="2">
        <v>1383.06</v>
      </c>
      <c r="I1124" s="2">
        <v>1383.06</v>
      </c>
    </row>
    <row r="1125">
      <c r="A1125" s="1" t="s">
        <v>2242</v>
      </c>
      <c r="B1125" s="2">
        <v>1423.9</v>
      </c>
      <c r="C1125" s="2">
        <v>1423.9</v>
      </c>
      <c r="D1125" s="2">
        <v>2434.24</v>
      </c>
      <c r="E1125" s="2">
        <v>2434.24</v>
      </c>
      <c r="G1125" s="1" t="s">
        <v>2243</v>
      </c>
      <c r="H1125" s="2">
        <v>1382.36</v>
      </c>
      <c r="I1125" s="2">
        <v>1382.36</v>
      </c>
    </row>
    <row r="1126">
      <c r="A1126" s="1" t="s">
        <v>2244</v>
      </c>
      <c r="B1126" s="2">
        <v>1422.18</v>
      </c>
      <c r="C1126" s="2">
        <v>1422.18</v>
      </c>
      <c r="D1126" s="2">
        <v>2435.49</v>
      </c>
      <c r="E1126" s="2">
        <v>2435.49</v>
      </c>
      <c r="G1126" s="1" t="s">
        <v>2245</v>
      </c>
      <c r="H1126" s="2">
        <v>1371.33</v>
      </c>
      <c r="I1126" s="2">
        <v>1371.33</v>
      </c>
    </row>
    <row r="1127">
      <c r="A1127" s="1" t="s">
        <v>2246</v>
      </c>
      <c r="B1127" s="2" t="s">
        <v>0</v>
      </c>
      <c r="C1127" s="2">
        <v>1422.18</v>
      </c>
      <c r="D1127" s="2" t="s">
        <v>0</v>
      </c>
      <c r="E1127" s="2">
        <v>2435.49</v>
      </c>
      <c r="G1127" s="1" t="s">
        <v>2247</v>
      </c>
      <c r="H1127" s="2" t="s">
        <v>0</v>
      </c>
      <c r="I1127" s="2">
        <v>1371.33</v>
      </c>
    </row>
    <row r="1128">
      <c r="A1128" s="1" t="s">
        <v>2248</v>
      </c>
      <c r="B1128" s="2" t="s">
        <v>0</v>
      </c>
      <c r="C1128" s="2">
        <v>1422.18</v>
      </c>
      <c r="D1128" s="2" t="s">
        <v>0</v>
      </c>
      <c r="E1128" s="2">
        <v>2435.49</v>
      </c>
      <c r="G1128" s="1" t="s">
        <v>2249</v>
      </c>
      <c r="H1128" s="2" t="s">
        <v>0</v>
      </c>
      <c r="I1128" s="2">
        <v>1371.33</v>
      </c>
    </row>
    <row r="1129">
      <c r="A1129" s="1" t="s">
        <v>2250</v>
      </c>
      <c r="B1129" s="2">
        <v>1420.62</v>
      </c>
      <c r="C1129" s="2">
        <v>1420.62</v>
      </c>
      <c r="D1129" s="2">
        <v>2441.09</v>
      </c>
      <c r="E1129" s="2">
        <v>2441.09</v>
      </c>
      <c r="G1129" s="1" t="s">
        <v>2251</v>
      </c>
      <c r="H1129" s="2">
        <v>1363.1</v>
      </c>
      <c r="I1129" s="2">
        <v>1363.1</v>
      </c>
    </row>
    <row r="1130">
      <c r="A1130" s="1" t="s">
        <v>2252</v>
      </c>
      <c r="B1130" s="2">
        <v>1428.82</v>
      </c>
      <c r="C1130" s="2">
        <v>1428.82</v>
      </c>
      <c r="D1130" s="2">
        <v>2448.64</v>
      </c>
      <c r="E1130" s="2">
        <v>2448.64</v>
      </c>
      <c r="G1130" s="1" t="s">
        <v>2253</v>
      </c>
      <c r="H1130" s="2">
        <v>1370.72</v>
      </c>
      <c r="I1130" s="2">
        <v>1370.72</v>
      </c>
    </row>
    <row r="1131">
      <c r="A1131" s="1" t="s">
        <v>2254</v>
      </c>
      <c r="B1131" s="2">
        <v>1438.24</v>
      </c>
      <c r="C1131" s="2">
        <v>1438.24</v>
      </c>
      <c r="D1131" s="2">
        <v>2463.93</v>
      </c>
      <c r="E1131" s="2">
        <v>2463.93</v>
      </c>
      <c r="G1131" s="1" t="s">
        <v>2255</v>
      </c>
      <c r="H1131" s="2">
        <v>1360.23</v>
      </c>
      <c r="I1131" s="2">
        <v>1360.23</v>
      </c>
    </row>
    <row r="1132">
      <c r="A1132" s="1" t="s">
        <v>2256</v>
      </c>
      <c r="B1132" s="2">
        <v>1445.94</v>
      </c>
      <c r="C1132" s="2">
        <v>1445.94</v>
      </c>
      <c r="D1132" s="2">
        <v>2468.38</v>
      </c>
      <c r="E1132" s="2">
        <v>2468.38</v>
      </c>
      <c r="G1132" s="1" t="s">
        <v>2257</v>
      </c>
      <c r="H1132" s="2">
        <v>1382.9</v>
      </c>
      <c r="I1132" s="2">
        <v>1382.9</v>
      </c>
    </row>
    <row r="1133">
      <c r="A1133" s="1" t="s">
        <v>2258</v>
      </c>
      <c r="B1133" s="2">
        <v>1448.39</v>
      </c>
      <c r="C1133" s="2">
        <v>1448.39</v>
      </c>
      <c r="D1133" s="2">
        <v>2475.88</v>
      </c>
      <c r="E1133" s="2">
        <v>2475.88</v>
      </c>
      <c r="G1133" s="1" t="s">
        <v>2259</v>
      </c>
      <c r="H1133" s="2">
        <v>1413.14</v>
      </c>
      <c r="I1133" s="2">
        <v>1413.14</v>
      </c>
    </row>
    <row r="1134">
      <c r="A1134" s="1" t="s">
        <v>2260</v>
      </c>
      <c r="B1134" s="2" t="s">
        <v>0</v>
      </c>
      <c r="C1134" s="2">
        <v>1448.39</v>
      </c>
      <c r="D1134" s="2" t="s">
        <v>0</v>
      </c>
      <c r="E1134" s="2">
        <v>2475.88</v>
      </c>
      <c r="G1134" s="1" t="s">
        <v>2261</v>
      </c>
      <c r="H1134" s="2" t="s">
        <v>0</v>
      </c>
      <c r="I1134" s="2">
        <v>1413.14</v>
      </c>
    </row>
    <row r="1135">
      <c r="A1135" s="1" t="s">
        <v>2262</v>
      </c>
      <c r="B1135" s="2" t="s">
        <v>0</v>
      </c>
      <c r="C1135" s="2">
        <v>1448.39</v>
      </c>
      <c r="D1135" s="2" t="s">
        <v>0</v>
      </c>
      <c r="E1135" s="2">
        <v>2475.88</v>
      </c>
      <c r="G1135" s="1" t="s">
        <v>2263</v>
      </c>
      <c r="H1135" s="2" t="s">
        <v>0</v>
      </c>
      <c r="I1135" s="2">
        <v>1413.14</v>
      </c>
    </row>
    <row r="1136">
      <c r="A1136" s="1" t="s">
        <v>2264</v>
      </c>
      <c r="B1136" s="2">
        <v>1446.99</v>
      </c>
      <c r="C1136" s="2">
        <v>1446.99</v>
      </c>
      <c r="D1136" s="2">
        <v>2470.6</v>
      </c>
      <c r="E1136" s="2">
        <v>2470.6</v>
      </c>
      <c r="G1136" s="1" t="s">
        <v>2265</v>
      </c>
      <c r="H1136" s="2">
        <v>1417.95</v>
      </c>
      <c r="I1136" s="2">
        <v>1417.95</v>
      </c>
    </row>
    <row r="1137">
      <c r="A1137" s="1" t="s">
        <v>2266</v>
      </c>
      <c r="B1137" s="2">
        <v>1448.0</v>
      </c>
      <c r="C1137" s="2">
        <v>1448.0</v>
      </c>
      <c r="D1137" s="2">
        <v>2471.49</v>
      </c>
      <c r="E1137" s="2">
        <v>2471.49</v>
      </c>
      <c r="G1137" s="1" t="s">
        <v>2267</v>
      </c>
      <c r="H1137" s="2">
        <v>1428.58</v>
      </c>
      <c r="I1137" s="2">
        <v>1428.58</v>
      </c>
    </row>
    <row r="1138">
      <c r="A1138" s="1" t="s">
        <v>2268</v>
      </c>
      <c r="B1138" s="2">
        <v>1450.02</v>
      </c>
      <c r="C1138" s="2">
        <v>1450.02</v>
      </c>
      <c r="D1138" s="2">
        <v>2490.5</v>
      </c>
      <c r="E1138" s="2">
        <v>2490.5</v>
      </c>
      <c r="G1138" s="1" t="s">
        <v>2269</v>
      </c>
      <c r="H1138" s="2">
        <v>1426.29</v>
      </c>
      <c r="I1138" s="2">
        <v>1426.29</v>
      </c>
    </row>
    <row r="1139">
      <c r="A1139" s="1" t="s">
        <v>2270</v>
      </c>
      <c r="B1139" s="2">
        <v>1448.31</v>
      </c>
      <c r="C1139" s="2">
        <v>1448.31</v>
      </c>
      <c r="D1139" s="2">
        <v>2488.67</v>
      </c>
      <c r="E1139" s="2">
        <v>2488.67</v>
      </c>
      <c r="G1139" s="1" t="s">
        <v>2271</v>
      </c>
      <c r="H1139" s="2">
        <v>1423.58</v>
      </c>
      <c r="I1139" s="2">
        <v>1423.58</v>
      </c>
    </row>
    <row r="1140">
      <c r="A1140" s="1" t="s">
        <v>2272</v>
      </c>
      <c r="B1140" s="2">
        <v>1438.06</v>
      </c>
      <c r="C1140" s="2">
        <v>1438.06</v>
      </c>
      <c r="D1140" s="2">
        <v>2459.82</v>
      </c>
      <c r="E1140" s="2">
        <v>2459.82</v>
      </c>
      <c r="G1140" s="1" t="s">
        <v>2273</v>
      </c>
      <c r="H1140" s="2">
        <v>1427.68</v>
      </c>
      <c r="I1140" s="2">
        <v>1427.68</v>
      </c>
    </row>
    <row r="1141">
      <c r="A1141" s="1" t="s">
        <v>2274</v>
      </c>
      <c r="B1141" s="2" t="s">
        <v>0</v>
      </c>
      <c r="C1141" s="2">
        <v>1438.06</v>
      </c>
      <c r="D1141" s="2" t="s">
        <v>0</v>
      </c>
      <c r="E1141" s="2">
        <v>2459.82</v>
      </c>
      <c r="G1141" s="1" t="s">
        <v>2275</v>
      </c>
      <c r="H1141" s="2" t="s">
        <v>0</v>
      </c>
      <c r="I1141" s="2">
        <v>1427.68</v>
      </c>
    </row>
    <row r="1142">
      <c r="A1142" s="1" t="s">
        <v>2276</v>
      </c>
      <c r="B1142" s="2" t="s">
        <v>0</v>
      </c>
      <c r="C1142" s="2">
        <v>1438.06</v>
      </c>
      <c r="D1142" s="2" t="s">
        <v>0</v>
      </c>
      <c r="E1142" s="2">
        <v>2459.82</v>
      </c>
      <c r="G1142" s="1" t="s">
        <v>2277</v>
      </c>
      <c r="H1142" s="2" t="s">
        <v>0</v>
      </c>
      <c r="I1142" s="2">
        <v>1427.68</v>
      </c>
    </row>
    <row r="1143">
      <c r="A1143" s="1" t="s">
        <v>2278</v>
      </c>
      <c r="B1143" s="2">
        <v>1433.37</v>
      </c>
      <c r="C1143" s="2">
        <v>1433.37</v>
      </c>
      <c r="D1143" s="2">
        <v>2450.38</v>
      </c>
      <c r="E1143" s="2">
        <v>2450.38</v>
      </c>
      <c r="G1143" s="1" t="s">
        <v>2279</v>
      </c>
      <c r="H1143" s="2">
        <v>1414.29</v>
      </c>
      <c r="I1143" s="2">
        <v>1414.29</v>
      </c>
    </row>
    <row r="1144">
      <c r="A1144" s="1" t="s">
        <v>2280</v>
      </c>
      <c r="B1144" s="2">
        <v>1444.26</v>
      </c>
      <c r="C1144" s="2">
        <v>1444.26</v>
      </c>
      <c r="D1144" s="2">
        <v>2459.88</v>
      </c>
      <c r="E1144" s="2">
        <v>2459.88</v>
      </c>
      <c r="G1144" s="1" t="s">
        <v>2281</v>
      </c>
      <c r="H1144" s="2">
        <v>1418.44</v>
      </c>
      <c r="I1144" s="2">
        <v>1418.44</v>
      </c>
    </row>
    <row r="1145">
      <c r="A1145" s="1" t="s">
        <v>2282</v>
      </c>
      <c r="B1145" s="2">
        <v>1455.3</v>
      </c>
      <c r="C1145" s="2">
        <v>1455.3</v>
      </c>
      <c r="D1145" s="2">
        <v>2488.38</v>
      </c>
      <c r="E1145" s="2">
        <v>2488.38</v>
      </c>
      <c r="G1145" s="1" t="s">
        <v>2283</v>
      </c>
      <c r="H1145" s="2">
        <v>1436.1</v>
      </c>
      <c r="I1145" s="2">
        <v>1436.1</v>
      </c>
    </row>
    <row r="1146">
      <c r="A1146" s="1" t="s">
        <v>2284</v>
      </c>
      <c r="B1146" s="2">
        <v>1456.81</v>
      </c>
      <c r="C1146" s="2">
        <v>1456.81</v>
      </c>
      <c r="D1146" s="2">
        <v>2497.1</v>
      </c>
      <c r="E1146" s="2">
        <v>2497.1</v>
      </c>
      <c r="G1146" s="1" t="s">
        <v>2285</v>
      </c>
      <c r="H1146" s="2">
        <v>1443.63</v>
      </c>
      <c r="I1146" s="2">
        <v>1443.63</v>
      </c>
    </row>
    <row r="1147">
      <c r="A1147" s="1" t="s">
        <v>2286</v>
      </c>
      <c r="B1147" s="2">
        <v>1455.54</v>
      </c>
      <c r="C1147" s="2">
        <v>1455.54</v>
      </c>
      <c r="D1147" s="2">
        <v>2496.31</v>
      </c>
      <c r="E1147" s="2">
        <v>2496.31</v>
      </c>
      <c r="G1147" s="1" t="s">
        <v>2287</v>
      </c>
      <c r="H1147" s="2">
        <v>1448.81</v>
      </c>
      <c r="I1147" s="2">
        <v>1448.81</v>
      </c>
    </row>
    <row r="1148">
      <c r="A1148" s="1" t="s">
        <v>2288</v>
      </c>
      <c r="B1148" s="2" t="s">
        <v>0</v>
      </c>
      <c r="C1148" s="2">
        <v>1455.54</v>
      </c>
      <c r="D1148" s="2" t="s">
        <v>0</v>
      </c>
      <c r="E1148" s="2">
        <v>2496.31</v>
      </c>
      <c r="G1148" s="1" t="s">
        <v>2289</v>
      </c>
      <c r="H1148" s="2" t="s">
        <v>0</v>
      </c>
      <c r="I1148" s="2">
        <v>1448.81</v>
      </c>
    </row>
    <row r="1149">
      <c r="A1149" s="1" t="s">
        <v>2290</v>
      </c>
      <c r="B1149" s="2" t="s">
        <v>0</v>
      </c>
      <c r="C1149" s="2">
        <v>1455.54</v>
      </c>
      <c r="D1149" s="2" t="s">
        <v>0</v>
      </c>
      <c r="E1149" s="2">
        <v>2496.31</v>
      </c>
      <c r="G1149" s="1" t="s">
        <v>2291</v>
      </c>
      <c r="H1149" s="2" t="s">
        <v>0</v>
      </c>
      <c r="I1149" s="2">
        <v>1448.81</v>
      </c>
    </row>
    <row r="1150">
      <c r="A1150" s="1" t="s">
        <v>2292</v>
      </c>
      <c r="B1150" s="2" t="s">
        <v>0</v>
      </c>
      <c r="C1150" s="2">
        <v>1455.54</v>
      </c>
      <c r="D1150" s="2" t="s">
        <v>0</v>
      </c>
      <c r="E1150" s="2">
        <v>2496.31</v>
      </c>
      <c r="G1150" s="1" t="s">
        <v>2293</v>
      </c>
      <c r="H1150" s="2" t="s">
        <v>0</v>
      </c>
      <c r="I1150" s="2">
        <v>1448.81</v>
      </c>
    </row>
    <row r="1151">
      <c r="A1151" s="1" t="s">
        <v>2294</v>
      </c>
      <c r="B1151" s="2">
        <v>1459.68</v>
      </c>
      <c r="C1151" s="2">
        <v>1459.68</v>
      </c>
      <c r="D1151" s="2">
        <v>2513.04</v>
      </c>
      <c r="E1151" s="2">
        <v>2513.04</v>
      </c>
      <c r="G1151" s="1" t="s">
        <v>2295</v>
      </c>
      <c r="H1151" s="2">
        <v>1452.96</v>
      </c>
      <c r="I1151" s="2">
        <v>1452.96</v>
      </c>
    </row>
    <row r="1152">
      <c r="A1152" s="1" t="s">
        <v>2296</v>
      </c>
      <c r="B1152" s="2">
        <v>1457.63</v>
      </c>
      <c r="C1152" s="2">
        <v>1457.63</v>
      </c>
      <c r="D1152" s="2">
        <v>2518.42</v>
      </c>
      <c r="E1152" s="2">
        <v>2518.42</v>
      </c>
      <c r="G1152" s="1" t="s">
        <v>2297</v>
      </c>
      <c r="H1152" s="2">
        <v>1451.38</v>
      </c>
      <c r="I1152" s="2">
        <v>1451.38</v>
      </c>
    </row>
    <row r="1153">
      <c r="A1153" s="1" t="s">
        <v>2298</v>
      </c>
      <c r="B1153" s="2">
        <v>1456.38</v>
      </c>
      <c r="C1153" s="2">
        <v>1456.38</v>
      </c>
      <c r="D1153" s="2">
        <v>2524.94</v>
      </c>
      <c r="E1153" s="2">
        <v>2524.94</v>
      </c>
      <c r="G1153" s="1" t="s">
        <v>2299</v>
      </c>
      <c r="H1153" s="2">
        <v>1465.41</v>
      </c>
      <c r="I1153" s="2">
        <v>1465.41</v>
      </c>
    </row>
    <row r="1154">
      <c r="A1154" s="1" t="s">
        <v>2300</v>
      </c>
      <c r="B1154" s="2">
        <v>1451.19</v>
      </c>
      <c r="C1154" s="2">
        <v>1451.19</v>
      </c>
      <c r="D1154" s="2">
        <v>2515.1</v>
      </c>
      <c r="E1154" s="2">
        <v>2515.1</v>
      </c>
      <c r="G1154" s="1" t="s">
        <v>2301</v>
      </c>
      <c r="H1154" s="2">
        <v>1469.88</v>
      </c>
      <c r="I1154" s="2">
        <v>1469.88</v>
      </c>
    </row>
    <row r="1155">
      <c r="A1155" s="1" t="s">
        <v>2302</v>
      </c>
      <c r="B1155" s="2" t="s">
        <v>0</v>
      </c>
      <c r="C1155" s="2">
        <v>1451.19</v>
      </c>
      <c r="D1155" s="2" t="s">
        <v>0</v>
      </c>
      <c r="E1155" s="2">
        <v>2515.1</v>
      </c>
      <c r="G1155" s="1" t="s">
        <v>2303</v>
      </c>
      <c r="H1155" s="2" t="s">
        <v>0</v>
      </c>
      <c r="I1155" s="2">
        <v>1469.88</v>
      </c>
    </row>
    <row r="1156">
      <c r="A1156" s="1" t="s">
        <v>2304</v>
      </c>
      <c r="B1156" s="2" t="s">
        <v>0</v>
      </c>
      <c r="C1156" s="2">
        <v>1451.19</v>
      </c>
      <c r="D1156" s="2" t="s">
        <v>0</v>
      </c>
      <c r="E1156" s="2">
        <v>2515.1</v>
      </c>
      <c r="G1156" s="1" t="s">
        <v>2305</v>
      </c>
      <c r="H1156" s="2" t="s">
        <v>0</v>
      </c>
      <c r="I1156" s="2">
        <v>1469.88</v>
      </c>
    </row>
    <row r="1157">
      <c r="A1157" s="1" t="s">
        <v>2306</v>
      </c>
      <c r="B1157" s="2">
        <v>1449.37</v>
      </c>
      <c r="C1157" s="2">
        <v>1449.37</v>
      </c>
      <c r="D1157" s="2">
        <v>2504.52</v>
      </c>
      <c r="E1157" s="2">
        <v>2504.52</v>
      </c>
      <c r="G1157" s="1" t="s">
        <v>2307</v>
      </c>
      <c r="H1157" s="2">
        <v>1470.03</v>
      </c>
      <c r="I1157" s="2">
        <v>1470.03</v>
      </c>
    </row>
    <row r="1158">
      <c r="A1158" s="1" t="s">
        <v>2308</v>
      </c>
      <c r="B1158" s="2">
        <v>1399.04</v>
      </c>
      <c r="C1158" s="2">
        <v>1399.04</v>
      </c>
      <c r="D1158" s="2">
        <v>2407.86</v>
      </c>
      <c r="E1158" s="2">
        <v>2407.86</v>
      </c>
      <c r="G1158" s="1" t="s">
        <v>2309</v>
      </c>
      <c r="H1158" s="2">
        <v>1454.6</v>
      </c>
      <c r="I1158" s="2">
        <v>1454.6</v>
      </c>
    </row>
    <row r="1159">
      <c r="A1159" s="1" t="s">
        <v>2310</v>
      </c>
      <c r="B1159" s="2">
        <v>1406.82</v>
      </c>
      <c r="C1159" s="2">
        <v>1406.82</v>
      </c>
      <c r="D1159" s="2">
        <v>2416.15</v>
      </c>
      <c r="E1159" s="2">
        <v>2416.15</v>
      </c>
      <c r="G1159" s="1" t="s">
        <v>2311</v>
      </c>
      <c r="H1159" s="2">
        <v>1417.34</v>
      </c>
      <c r="I1159" s="2">
        <v>1417.34</v>
      </c>
    </row>
    <row r="1160">
      <c r="A1160" s="1" t="s">
        <v>2312</v>
      </c>
      <c r="B1160" s="2">
        <v>1403.17</v>
      </c>
      <c r="C1160" s="2">
        <v>1403.17</v>
      </c>
      <c r="D1160" s="2">
        <v>2404.21</v>
      </c>
      <c r="E1160" s="2">
        <v>2404.21</v>
      </c>
      <c r="G1160" s="1" t="s">
        <v>2313</v>
      </c>
      <c r="H1160" s="2" t="s">
        <v>0</v>
      </c>
      <c r="I1160" s="2">
        <v>1417.34</v>
      </c>
    </row>
    <row r="1161">
      <c r="A1161" s="1" t="s">
        <v>2314</v>
      </c>
      <c r="B1161" s="2">
        <v>1387.17</v>
      </c>
      <c r="C1161" s="2">
        <v>1387.17</v>
      </c>
      <c r="D1161" s="2">
        <v>2368.0</v>
      </c>
      <c r="E1161" s="2">
        <v>2368.0</v>
      </c>
      <c r="G1161" s="1" t="s">
        <v>2315</v>
      </c>
      <c r="H1161" s="2">
        <v>1414.47</v>
      </c>
      <c r="I1161" s="2">
        <v>1414.47</v>
      </c>
    </row>
    <row r="1162">
      <c r="A1162" s="1" t="s">
        <v>2316</v>
      </c>
      <c r="B1162" s="2" t="s">
        <v>0</v>
      </c>
      <c r="C1162" s="2">
        <v>1387.17</v>
      </c>
      <c r="D1162" s="2" t="s">
        <v>0</v>
      </c>
      <c r="E1162" s="2">
        <v>2368.0</v>
      </c>
      <c r="G1162" s="1" t="s">
        <v>2317</v>
      </c>
      <c r="H1162" s="2" t="s">
        <v>0</v>
      </c>
      <c r="I1162" s="2">
        <v>1414.47</v>
      </c>
    </row>
    <row r="1163">
      <c r="A1163" s="1" t="s">
        <v>2318</v>
      </c>
      <c r="B1163" s="2" t="s">
        <v>0</v>
      </c>
      <c r="C1163" s="2">
        <v>1387.17</v>
      </c>
      <c r="D1163" s="2" t="s">
        <v>0</v>
      </c>
      <c r="E1163" s="2">
        <v>2368.0</v>
      </c>
      <c r="G1163" s="1" t="s">
        <v>2319</v>
      </c>
      <c r="H1163" s="2" t="s">
        <v>0</v>
      </c>
      <c r="I1163" s="2">
        <v>1414.47</v>
      </c>
    </row>
    <row r="1164">
      <c r="A1164" s="1" t="s">
        <v>2320</v>
      </c>
      <c r="B1164" s="2">
        <v>1374.12</v>
      </c>
      <c r="C1164" s="2">
        <v>1374.12</v>
      </c>
      <c r="D1164" s="2">
        <v>2340.68</v>
      </c>
      <c r="E1164" s="2">
        <v>2340.68</v>
      </c>
      <c r="G1164" s="1" t="s">
        <v>2321</v>
      </c>
      <c r="H1164" s="2">
        <v>1376.15</v>
      </c>
      <c r="I1164" s="2">
        <v>1376.15</v>
      </c>
    </row>
    <row r="1165">
      <c r="A1165" s="1" t="s">
        <v>2322</v>
      </c>
      <c r="B1165" s="2">
        <v>1395.41</v>
      </c>
      <c r="C1165" s="2">
        <v>1395.41</v>
      </c>
      <c r="D1165" s="2">
        <v>2385.14</v>
      </c>
      <c r="E1165" s="2">
        <v>2385.14</v>
      </c>
      <c r="G1165" s="1" t="s">
        <v>2323</v>
      </c>
      <c r="H1165" s="2">
        <v>1402.93</v>
      </c>
      <c r="I1165" s="2">
        <v>1402.93</v>
      </c>
    </row>
    <row r="1166">
      <c r="A1166" s="1" t="s">
        <v>2324</v>
      </c>
      <c r="B1166" s="2">
        <v>1391.97</v>
      </c>
      <c r="C1166" s="2">
        <v>1391.97</v>
      </c>
      <c r="D1166" s="2">
        <v>2374.64</v>
      </c>
      <c r="E1166" s="2">
        <v>2374.64</v>
      </c>
      <c r="G1166" s="1" t="s">
        <v>2325</v>
      </c>
      <c r="H1166" s="2">
        <v>1410.95</v>
      </c>
      <c r="I1166" s="2">
        <v>1410.95</v>
      </c>
    </row>
    <row r="1167">
      <c r="A1167" s="1" t="s">
        <v>2326</v>
      </c>
      <c r="B1167" s="2">
        <v>1401.89</v>
      </c>
      <c r="C1167" s="2">
        <v>1401.89</v>
      </c>
      <c r="D1167" s="2">
        <v>2387.73</v>
      </c>
      <c r="E1167" s="2">
        <v>2387.73</v>
      </c>
      <c r="G1167" s="1" t="s">
        <v>2327</v>
      </c>
      <c r="H1167" s="2">
        <v>1423.89</v>
      </c>
      <c r="I1167" s="2">
        <v>1423.89</v>
      </c>
    </row>
    <row r="1168">
      <c r="A1168" s="1" t="s">
        <v>2328</v>
      </c>
      <c r="B1168" s="2">
        <v>1402.85</v>
      </c>
      <c r="C1168" s="2">
        <v>1402.85</v>
      </c>
      <c r="D1168" s="2">
        <v>2387.55</v>
      </c>
      <c r="E1168" s="2">
        <v>2387.55</v>
      </c>
      <c r="G1168" s="1" t="s">
        <v>2329</v>
      </c>
      <c r="H1168" s="2">
        <v>1423.58</v>
      </c>
      <c r="I1168" s="2">
        <v>1423.58</v>
      </c>
    </row>
    <row r="1169">
      <c r="A1169" s="1" t="s">
        <v>2330</v>
      </c>
      <c r="B1169" s="2" t="s">
        <v>0</v>
      </c>
      <c r="C1169" s="2">
        <v>1402.85</v>
      </c>
      <c r="D1169" s="2" t="s">
        <v>0</v>
      </c>
      <c r="E1169" s="2">
        <v>2387.55</v>
      </c>
      <c r="G1169" s="1" t="s">
        <v>2331</v>
      </c>
      <c r="H1169" s="2" t="s">
        <v>0</v>
      </c>
      <c r="I1169" s="2">
        <v>1423.58</v>
      </c>
    </row>
    <row r="1170">
      <c r="A1170" s="1" t="s">
        <v>2332</v>
      </c>
      <c r="B1170" s="2" t="s">
        <v>0</v>
      </c>
      <c r="C1170" s="2">
        <v>1402.85</v>
      </c>
      <c r="D1170" s="2" t="s">
        <v>0</v>
      </c>
      <c r="E1170" s="2">
        <v>2387.55</v>
      </c>
      <c r="G1170" s="1" t="s">
        <v>2333</v>
      </c>
      <c r="H1170" s="2" t="s">
        <v>0</v>
      </c>
      <c r="I1170" s="2">
        <v>1423.58</v>
      </c>
    </row>
    <row r="1171">
      <c r="A1171" s="1" t="s">
        <v>2334</v>
      </c>
      <c r="B1171" s="2">
        <v>1406.6</v>
      </c>
      <c r="C1171" s="2">
        <v>1406.6</v>
      </c>
      <c r="D1171" s="2">
        <v>2402.29</v>
      </c>
      <c r="E1171" s="2">
        <v>2402.29</v>
      </c>
      <c r="G1171" s="1" t="s">
        <v>2335</v>
      </c>
      <c r="H1171" s="2">
        <v>1441.33</v>
      </c>
      <c r="I1171" s="2">
        <v>1441.33</v>
      </c>
    </row>
    <row r="1172">
      <c r="A1172" s="1" t="s">
        <v>2336</v>
      </c>
      <c r="B1172" s="2">
        <v>1377.95</v>
      </c>
      <c r="C1172" s="2">
        <v>1377.95</v>
      </c>
      <c r="D1172" s="2">
        <v>2350.57</v>
      </c>
      <c r="E1172" s="2">
        <v>2350.57</v>
      </c>
      <c r="G1172" s="1" t="s">
        <v>2337</v>
      </c>
      <c r="H1172" s="2">
        <v>1436.05</v>
      </c>
      <c r="I1172" s="2">
        <v>1436.05</v>
      </c>
    </row>
    <row r="1173">
      <c r="A1173" s="1" t="s">
        <v>2338</v>
      </c>
      <c r="B1173" s="2">
        <v>1387.17</v>
      </c>
      <c r="C1173" s="2">
        <v>1387.17</v>
      </c>
      <c r="D1173" s="2">
        <v>2371.74</v>
      </c>
      <c r="E1173" s="2">
        <v>2371.74</v>
      </c>
      <c r="G1173" s="1" t="s">
        <v>2339</v>
      </c>
      <c r="H1173" s="2">
        <v>1407.37</v>
      </c>
      <c r="I1173" s="2">
        <v>1407.37</v>
      </c>
    </row>
    <row r="1174">
      <c r="A1174" s="1" t="s">
        <v>2340</v>
      </c>
      <c r="B1174" s="2">
        <v>1392.28</v>
      </c>
      <c r="C1174" s="2">
        <v>1392.28</v>
      </c>
      <c r="D1174" s="2">
        <v>2378.7</v>
      </c>
      <c r="E1174" s="2">
        <v>2378.7</v>
      </c>
      <c r="G1174" s="1" t="s">
        <v>2341</v>
      </c>
      <c r="H1174" s="2">
        <v>1426.93</v>
      </c>
      <c r="I1174" s="2">
        <v>1426.93</v>
      </c>
    </row>
    <row r="1175">
      <c r="A1175" s="1" t="s">
        <v>2342</v>
      </c>
      <c r="B1175" s="2">
        <v>1386.95</v>
      </c>
      <c r="C1175" s="2">
        <v>1386.95</v>
      </c>
      <c r="D1175" s="2">
        <v>2372.66</v>
      </c>
      <c r="E1175" s="2">
        <v>2372.66</v>
      </c>
      <c r="G1175" s="1" t="s">
        <v>2343</v>
      </c>
      <c r="H1175" s="2">
        <v>1427.88</v>
      </c>
      <c r="I1175" s="2">
        <v>1427.88</v>
      </c>
    </row>
    <row r="1176">
      <c r="A1176" s="1" t="s">
        <v>2344</v>
      </c>
      <c r="B1176" s="2" t="s">
        <v>0</v>
      </c>
      <c r="C1176" s="2">
        <v>1386.95</v>
      </c>
      <c r="D1176" s="2" t="s">
        <v>0</v>
      </c>
      <c r="E1176" s="2">
        <v>2372.66</v>
      </c>
      <c r="G1176" s="1" t="s">
        <v>2345</v>
      </c>
      <c r="H1176" s="2" t="s">
        <v>0</v>
      </c>
      <c r="I1176" s="2">
        <v>1427.88</v>
      </c>
    </row>
    <row r="1177">
      <c r="A1177" s="1" t="s">
        <v>2346</v>
      </c>
      <c r="B1177" s="2" t="s">
        <v>0</v>
      </c>
      <c r="C1177" s="2">
        <v>1386.95</v>
      </c>
      <c r="D1177" s="2" t="s">
        <v>0</v>
      </c>
      <c r="E1177" s="2">
        <v>2372.66</v>
      </c>
      <c r="G1177" s="1" t="s">
        <v>2347</v>
      </c>
      <c r="H1177" s="2" t="s">
        <v>0</v>
      </c>
      <c r="I1177" s="2">
        <v>1427.88</v>
      </c>
    </row>
    <row r="1178">
      <c r="A1178" s="1" t="s">
        <v>2348</v>
      </c>
      <c r="B1178" s="2">
        <v>1402.06</v>
      </c>
      <c r="C1178" s="2">
        <v>1402.06</v>
      </c>
      <c r="D1178" s="2">
        <v>2394.41</v>
      </c>
      <c r="E1178" s="2">
        <v>2394.41</v>
      </c>
      <c r="G1178" s="1" t="s">
        <v>2349</v>
      </c>
      <c r="H1178" s="2">
        <v>1443.39</v>
      </c>
      <c r="I1178" s="2">
        <v>1443.39</v>
      </c>
    </row>
    <row r="1179">
      <c r="A1179" s="1" t="s">
        <v>2350</v>
      </c>
      <c r="B1179" s="2">
        <v>1410.94</v>
      </c>
      <c r="C1179" s="2">
        <v>1410.94</v>
      </c>
      <c r="D1179" s="2">
        <v>2408.21</v>
      </c>
      <c r="E1179" s="2">
        <v>2408.21</v>
      </c>
      <c r="G1179" s="1" t="s">
        <v>2351</v>
      </c>
      <c r="H1179" s="2">
        <v>1444.17</v>
      </c>
      <c r="I1179" s="2">
        <v>1444.17</v>
      </c>
    </row>
    <row r="1180">
      <c r="A1180" s="1" t="s">
        <v>2352</v>
      </c>
      <c r="B1180" s="2">
        <v>1435.04</v>
      </c>
      <c r="C1180" s="2">
        <v>1435.04</v>
      </c>
      <c r="D1180" s="2">
        <v>2455.92</v>
      </c>
      <c r="E1180" s="2">
        <v>2455.92</v>
      </c>
      <c r="G1180" s="1" t="s">
        <v>2353</v>
      </c>
      <c r="H1180" s="2">
        <v>1442.85</v>
      </c>
      <c r="I1180" s="2">
        <v>1442.85</v>
      </c>
    </row>
    <row r="1181">
      <c r="A1181" s="1" t="s">
        <v>2354</v>
      </c>
      <c r="B1181" s="2">
        <v>1434.54</v>
      </c>
      <c r="C1181" s="2">
        <v>1434.54</v>
      </c>
      <c r="D1181" s="2">
        <v>2451.74</v>
      </c>
      <c r="E1181" s="2">
        <v>2451.74</v>
      </c>
      <c r="G1181" s="1" t="s">
        <v>2355</v>
      </c>
      <c r="H1181" s="2">
        <v>1448.53</v>
      </c>
      <c r="I1181" s="2">
        <v>1448.53</v>
      </c>
    </row>
    <row r="1182">
      <c r="A1182" s="1" t="s">
        <v>2356</v>
      </c>
      <c r="B1182" s="2">
        <v>1436.11</v>
      </c>
      <c r="C1182" s="2">
        <v>1436.11</v>
      </c>
      <c r="D1182" s="2">
        <v>2448.93</v>
      </c>
      <c r="E1182" s="2">
        <v>2448.93</v>
      </c>
      <c r="G1182" s="1" t="s">
        <v>2357</v>
      </c>
      <c r="H1182" s="2">
        <v>1447.38</v>
      </c>
      <c r="I1182" s="2">
        <v>1447.38</v>
      </c>
    </row>
    <row r="1183">
      <c r="A1183" s="1" t="s">
        <v>2358</v>
      </c>
      <c r="B1183" s="2" t="s">
        <v>0</v>
      </c>
      <c r="C1183" s="2">
        <v>1436.11</v>
      </c>
      <c r="D1183" s="2" t="s">
        <v>0</v>
      </c>
      <c r="E1183" s="2">
        <v>2448.93</v>
      </c>
      <c r="G1183" s="1" t="s">
        <v>2359</v>
      </c>
      <c r="H1183" s="2" t="s">
        <v>0</v>
      </c>
      <c r="I1183" s="2">
        <v>1447.38</v>
      </c>
    </row>
    <row r="1184">
      <c r="A1184" s="1" t="s">
        <v>2360</v>
      </c>
      <c r="B1184" s="2" t="s">
        <v>0</v>
      </c>
      <c r="C1184" s="2">
        <v>1436.11</v>
      </c>
      <c r="D1184" s="2" t="s">
        <v>0</v>
      </c>
      <c r="E1184" s="2">
        <v>2448.93</v>
      </c>
      <c r="G1184" s="1" t="s">
        <v>2361</v>
      </c>
      <c r="H1184" s="2" t="s">
        <v>0</v>
      </c>
      <c r="I1184" s="2">
        <v>1447.38</v>
      </c>
    </row>
    <row r="1185">
      <c r="A1185" s="1" t="s">
        <v>2362</v>
      </c>
      <c r="B1185" s="2">
        <v>1437.5</v>
      </c>
      <c r="C1185" s="2">
        <v>1437.5</v>
      </c>
      <c r="D1185" s="2">
        <v>2455.63</v>
      </c>
      <c r="E1185" s="2">
        <v>2455.63</v>
      </c>
      <c r="G1185" s="1" t="s">
        <v>2363</v>
      </c>
      <c r="H1185" s="2">
        <v>1449.77</v>
      </c>
      <c r="I1185" s="2">
        <v>1449.77</v>
      </c>
    </row>
    <row r="1186">
      <c r="A1186" s="1" t="s">
        <v>2364</v>
      </c>
      <c r="B1186" s="2">
        <v>1428.61</v>
      </c>
      <c r="C1186" s="2">
        <v>1428.61</v>
      </c>
      <c r="D1186" s="2">
        <v>2437.43</v>
      </c>
      <c r="E1186" s="2">
        <v>2437.43</v>
      </c>
      <c r="G1186" s="1" t="s">
        <v>2365</v>
      </c>
      <c r="H1186" s="2">
        <v>1453.23</v>
      </c>
      <c r="I1186" s="2">
        <v>1453.23</v>
      </c>
    </row>
    <row r="1187">
      <c r="A1187" s="1" t="s">
        <v>2366</v>
      </c>
      <c r="B1187" s="2">
        <v>1417.23</v>
      </c>
      <c r="C1187" s="2">
        <v>1417.23</v>
      </c>
      <c r="D1187" s="2">
        <v>2417.1</v>
      </c>
      <c r="E1187" s="2">
        <v>2417.1</v>
      </c>
      <c r="G1187" s="1" t="s">
        <v>2367</v>
      </c>
      <c r="H1187" s="2">
        <v>1439.74</v>
      </c>
      <c r="I1187" s="2">
        <v>1439.74</v>
      </c>
    </row>
    <row r="1188">
      <c r="A1188" s="1" t="s">
        <v>2368</v>
      </c>
      <c r="B1188" s="2">
        <v>1422.53</v>
      </c>
      <c r="C1188" s="2">
        <v>1422.53</v>
      </c>
      <c r="D1188" s="2">
        <v>2417.88</v>
      </c>
      <c r="E1188" s="2">
        <v>2417.88</v>
      </c>
      <c r="G1188" s="1" t="s">
        <v>2369</v>
      </c>
      <c r="H1188" s="2">
        <v>1450.95</v>
      </c>
      <c r="I1188" s="2">
        <v>1450.95</v>
      </c>
    </row>
    <row r="1189">
      <c r="A1189" s="1" t="s">
        <v>2370</v>
      </c>
      <c r="B1189" s="2">
        <v>1420.86</v>
      </c>
      <c r="C1189" s="2">
        <v>1420.86</v>
      </c>
      <c r="D1189" s="2">
        <v>2421.64</v>
      </c>
      <c r="E1189" s="2">
        <v>2421.64</v>
      </c>
      <c r="G1189" s="1" t="s">
        <v>2371</v>
      </c>
      <c r="H1189" s="2">
        <v>1452.55</v>
      </c>
      <c r="I1189" s="2">
        <v>1452.55</v>
      </c>
    </row>
    <row r="1190">
      <c r="A1190" s="1" t="s">
        <v>2372</v>
      </c>
      <c r="B1190" s="2" t="s">
        <v>0</v>
      </c>
      <c r="C1190" s="2">
        <v>1420.86</v>
      </c>
      <c r="D1190" s="2" t="s">
        <v>0</v>
      </c>
      <c r="E1190" s="2">
        <v>2421.64</v>
      </c>
      <c r="G1190" s="1" t="s">
        <v>2373</v>
      </c>
      <c r="H1190" s="2" t="s">
        <v>0</v>
      </c>
      <c r="I1190" s="2">
        <v>1452.55</v>
      </c>
    </row>
    <row r="1191">
      <c r="A1191" s="1" t="s">
        <v>2374</v>
      </c>
      <c r="B1191" s="2" t="s">
        <v>0</v>
      </c>
      <c r="C1191" s="2">
        <v>1420.86</v>
      </c>
      <c r="D1191" s="2" t="s">
        <v>0</v>
      </c>
      <c r="E1191" s="2">
        <v>2421.64</v>
      </c>
      <c r="G1191" s="1" t="s">
        <v>2375</v>
      </c>
      <c r="H1191" s="2" t="s">
        <v>0</v>
      </c>
      <c r="I1191" s="2">
        <v>1452.55</v>
      </c>
    </row>
    <row r="1192">
      <c r="A1192" s="1" t="s">
        <v>2376</v>
      </c>
      <c r="B1192" s="2">
        <v>1424.55</v>
      </c>
      <c r="C1192" s="2">
        <v>1424.55</v>
      </c>
      <c r="D1192" s="2">
        <v>2422.26</v>
      </c>
      <c r="E1192" s="2">
        <v>2422.26</v>
      </c>
      <c r="G1192" s="1" t="s">
        <v>2377</v>
      </c>
      <c r="H1192" s="2">
        <v>1459.53</v>
      </c>
      <c r="I1192" s="2">
        <v>1459.53</v>
      </c>
    </row>
    <row r="1193">
      <c r="A1193" s="1" t="s">
        <v>2378</v>
      </c>
      <c r="B1193" s="2">
        <v>1437.77</v>
      </c>
      <c r="C1193" s="2">
        <v>1437.77</v>
      </c>
      <c r="D1193" s="2">
        <v>2450.33</v>
      </c>
      <c r="E1193" s="2">
        <v>2450.33</v>
      </c>
      <c r="G1193" s="1" t="s">
        <v>2379</v>
      </c>
      <c r="H1193" s="2">
        <v>1463.75</v>
      </c>
      <c r="I1193" s="2">
        <v>1463.75</v>
      </c>
    </row>
    <row r="1194">
      <c r="A1194" s="1" t="s">
        <v>2380</v>
      </c>
      <c r="B1194" s="2">
        <v>1439.37</v>
      </c>
      <c r="C1194" s="2">
        <v>1439.37</v>
      </c>
      <c r="D1194" s="2">
        <v>2458.69</v>
      </c>
      <c r="E1194" s="2">
        <v>2458.69</v>
      </c>
      <c r="G1194" s="1" t="s">
        <v>2381</v>
      </c>
      <c r="H1194" s="2">
        <v>1483.41</v>
      </c>
      <c r="I1194" s="2">
        <v>1483.41</v>
      </c>
    </row>
    <row r="1195">
      <c r="A1195" s="1" t="s">
        <v>2382</v>
      </c>
      <c r="B1195" s="2">
        <v>1443.76</v>
      </c>
      <c r="C1195" s="2">
        <v>1443.76</v>
      </c>
      <c r="D1195" s="2">
        <v>2471.34</v>
      </c>
      <c r="E1195" s="2">
        <v>2471.34</v>
      </c>
      <c r="G1195" s="1" t="s">
        <v>2383</v>
      </c>
      <c r="H1195" s="2">
        <v>1482.04</v>
      </c>
      <c r="I1195" s="2">
        <v>1482.04</v>
      </c>
    </row>
    <row r="1196">
      <c r="A1196" s="1" t="s">
        <v>2384</v>
      </c>
      <c r="B1196" s="2">
        <v>1437.34</v>
      </c>
      <c r="C1196" s="2">
        <v>1437.34</v>
      </c>
      <c r="D1196" s="2" t="s">
        <v>0</v>
      </c>
      <c r="E1196" s="2">
        <v>2471.34</v>
      </c>
      <c r="G1196" s="1" t="s">
        <v>2385</v>
      </c>
      <c r="H1196" s="2">
        <v>1484.15</v>
      </c>
      <c r="I1196" s="2">
        <v>1484.15</v>
      </c>
    </row>
    <row r="1197">
      <c r="A1197" s="1" t="s">
        <v>2386</v>
      </c>
      <c r="B1197" s="2" t="s">
        <v>0</v>
      </c>
      <c r="C1197" s="2">
        <v>1437.34</v>
      </c>
      <c r="D1197" s="2" t="s">
        <v>0</v>
      </c>
      <c r="E1197" s="2">
        <v>2471.34</v>
      </c>
      <c r="G1197" s="1" t="s">
        <v>2387</v>
      </c>
      <c r="H1197" s="2" t="s">
        <v>0</v>
      </c>
      <c r="I1197" s="2">
        <v>1484.15</v>
      </c>
    </row>
    <row r="1198">
      <c r="A1198" s="1" t="s">
        <v>2388</v>
      </c>
      <c r="B1198" s="2" t="s">
        <v>0</v>
      </c>
      <c r="C1198" s="2">
        <v>1437.34</v>
      </c>
      <c r="D1198" s="2" t="s">
        <v>0</v>
      </c>
      <c r="E1198" s="2">
        <v>2471.34</v>
      </c>
      <c r="G1198" s="1" t="s">
        <v>2389</v>
      </c>
      <c r="H1198" s="2" t="s">
        <v>0</v>
      </c>
      <c r="I1198" s="2">
        <v>1484.15</v>
      </c>
    </row>
    <row r="1199">
      <c r="A1199" s="1" t="s">
        <v>2390</v>
      </c>
      <c r="B1199" s="2">
        <v>1444.61</v>
      </c>
      <c r="C1199" s="2">
        <v>1444.61</v>
      </c>
      <c r="D1199" s="2">
        <v>2469.18</v>
      </c>
      <c r="E1199" s="2">
        <v>2469.18</v>
      </c>
      <c r="G1199" s="1" t="s">
        <v>2391</v>
      </c>
      <c r="H1199" s="2">
        <v>1501.06</v>
      </c>
      <c r="I1199" s="2">
        <v>1501.06</v>
      </c>
    </row>
    <row r="1200">
      <c r="A1200" s="1" t="s">
        <v>2392</v>
      </c>
      <c r="B1200" s="2">
        <v>1448.39</v>
      </c>
      <c r="C1200" s="2">
        <v>1448.39</v>
      </c>
      <c r="D1200" s="2">
        <v>2477.61</v>
      </c>
      <c r="E1200" s="2">
        <v>2477.61</v>
      </c>
      <c r="G1200" s="1" t="s">
        <v>2393</v>
      </c>
      <c r="H1200" s="2">
        <v>1499.16</v>
      </c>
      <c r="I1200" s="2">
        <v>1499.16</v>
      </c>
    </row>
    <row r="1201">
      <c r="A1201" s="1" t="s">
        <v>2394</v>
      </c>
      <c r="B1201" s="2">
        <v>1438.87</v>
      </c>
      <c r="C1201" s="2">
        <v>1438.87</v>
      </c>
      <c r="D1201" s="2">
        <v>2459.31</v>
      </c>
      <c r="E1201" s="2">
        <v>2459.31</v>
      </c>
      <c r="G1201" s="1" t="s">
        <v>2395</v>
      </c>
      <c r="H1201" s="2">
        <v>1513.42</v>
      </c>
      <c r="I1201" s="2">
        <v>1513.42</v>
      </c>
    </row>
    <row r="1202">
      <c r="A1202" s="1" t="s">
        <v>2396</v>
      </c>
      <c r="B1202" s="2">
        <v>1447.8</v>
      </c>
      <c r="C1202" s="2">
        <v>1447.8</v>
      </c>
      <c r="D1202" s="2">
        <v>2480.32</v>
      </c>
      <c r="E1202" s="2">
        <v>2480.32</v>
      </c>
      <c r="G1202" s="1" t="s">
        <v>2397</v>
      </c>
      <c r="H1202" s="2">
        <v>1525.61</v>
      </c>
      <c r="I1202" s="2">
        <v>1525.61</v>
      </c>
    </row>
    <row r="1203">
      <c r="A1203" s="1" t="s">
        <v>2398</v>
      </c>
      <c r="B1203" s="2">
        <v>1452.85</v>
      </c>
      <c r="C1203" s="2">
        <v>1452.85</v>
      </c>
      <c r="D1203" s="2">
        <v>2491.94</v>
      </c>
      <c r="E1203" s="2">
        <v>2491.94</v>
      </c>
      <c r="G1203" s="1" t="s">
        <v>2399</v>
      </c>
      <c r="H1203" s="2">
        <v>1520.78</v>
      </c>
      <c r="I1203" s="2">
        <v>1520.78</v>
      </c>
    </row>
    <row r="1204">
      <c r="A1204" s="1" t="s">
        <v>2400</v>
      </c>
      <c r="B1204" s="2" t="s">
        <v>0</v>
      </c>
      <c r="C1204" s="2">
        <v>1452.85</v>
      </c>
      <c r="D1204" s="2" t="s">
        <v>0</v>
      </c>
      <c r="E1204" s="2">
        <v>2491.94</v>
      </c>
      <c r="G1204" s="1" t="s">
        <v>2401</v>
      </c>
      <c r="H1204" s="2" t="s">
        <v>0</v>
      </c>
      <c r="I1204" s="2">
        <v>1520.78</v>
      </c>
    </row>
    <row r="1205">
      <c r="A1205" s="1" t="s">
        <v>2402</v>
      </c>
      <c r="B1205" s="2" t="s">
        <v>0</v>
      </c>
      <c r="C1205" s="2">
        <v>1452.85</v>
      </c>
      <c r="D1205" s="2" t="s">
        <v>0</v>
      </c>
      <c r="E1205" s="2">
        <v>2491.94</v>
      </c>
      <c r="G1205" s="1" t="s">
        <v>2403</v>
      </c>
      <c r="H1205" s="2" t="s">
        <v>0</v>
      </c>
      <c r="I1205" s="2">
        <v>1520.78</v>
      </c>
    </row>
    <row r="1206">
      <c r="A1206" s="1" t="s">
        <v>2404</v>
      </c>
      <c r="B1206" s="2">
        <v>1468.47</v>
      </c>
      <c r="C1206" s="2">
        <v>1468.47</v>
      </c>
      <c r="D1206" s="2">
        <v>2518.33</v>
      </c>
      <c r="E1206" s="2">
        <v>2518.33</v>
      </c>
      <c r="G1206" s="1" t="s">
        <v>2405</v>
      </c>
      <c r="H1206" s="2">
        <v>1532.04</v>
      </c>
      <c r="I1206" s="2">
        <v>1532.04</v>
      </c>
    </row>
    <row r="1207">
      <c r="A1207" s="1" t="s">
        <v>2406</v>
      </c>
      <c r="B1207" s="2">
        <v>1471.48</v>
      </c>
      <c r="C1207" s="2">
        <v>1471.48</v>
      </c>
      <c r="D1207" s="2">
        <v>2516.95</v>
      </c>
      <c r="E1207" s="2">
        <v>2516.95</v>
      </c>
      <c r="G1207" s="1" t="s">
        <v>2407</v>
      </c>
      <c r="H1207" s="2">
        <v>1528.66</v>
      </c>
      <c r="I1207" s="2">
        <v>1528.66</v>
      </c>
    </row>
    <row r="1208">
      <c r="A1208" s="1" t="s">
        <v>2408</v>
      </c>
      <c r="B1208" s="2">
        <v>1472.5</v>
      </c>
      <c r="C1208" s="2">
        <v>1472.5</v>
      </c>
      <c r="D1208" s="2">
        <v>2510.5</v>
      </c>
      <c r="E1208" s="2">
        <v>2510.5</v>
      </c>
      <c r="G1208" s="1" t="s">
        <v>2409</v>
      </c>
      <c r="H1208" s="2">
        <v>1534.58</v>
      </c>
      <c r="I1208" s="2">
        <v>1534.58</v>
      </c>
    </row>
    <row r="1209">
      <c r="A1209" s="1" t="s">
        <v>2410</v>
      </c>
      <c r="B1209" s="2">
        <v>1470.73</v>
      </c>
      <c r="C1209" s="2">
        <v>1470.73</v>
      </c>
      <c r="D1209" s="2">
        <v>2505.35</v>
      </c>
      <c r="E1209" s="2">
        <v>2505.35</v>
      </c>
      <c r="G1209" s="1" t="s">
        <v>2411</v>
      </c>
      <c r="H1209" s="2">
        <v>1513.66</v>
      </c>
      <c r="I1209" s="2">
        <v>1513.66</v>
      </c>
    </row>
    <row r="1210">
      <c r="A1210" s="1" t="s">
        <v>2412</v>
      </c>
      <c r="B1210" s="2">
        <v>1484.35</v>
      </c>
      <c r="C1210" s="2">
        <v>1484.35</v>
      </c>
      <c r="D1210" s="2">
        <v>2526.39</v>
      </c>
      <c r="E1210" s="2">
        <v>2526.39</v>
      </c>
      <c r="G1210" s="1" t="s">
        <v>2413</v>
      </c>
      <c r="H1210" s="2">
        <v>1533.08</v>
      </c>
      <c r="I1210" s="2">
        <v>1533.08</v>
      </c>
    </row>
    <row r="1211">
      <c r="A1211" s="1" t="s">
        <v>2414</v>
      </c>
      <c r="B1211" s="2" t="s">
        <v>0</v>
      </c>
      <c r="C1211" s="2">
        <v>1484.35</v>
      </c>
      <c r="D1211" s="2" t="s">
        <v>0</v>
      </c>
      <c r="E1211" s="2">
        <v>2526.39</v>
      </c>
      <c r="G1211" s="1" t="s">
        <v>2415</v>
      </c>
      <c r="H1211" s="2" t="s">
        <v>0</v>
      </c>
      <c r="I1211" s="2">
        <v>1533.08</v>
      </c>
    </row>
    <row r="1212">
      <c r="A1212" s="1" t="s">
        <v>2416</v>
      </c>
      <c r="B1212" s="2" t="s">
        <v>0</v>
      </c>
      <c r="C1212" s="2">
        <v>1484.35</v>
      </c>
      <c r="D1212" s="2" t="s">
        <v>0</v>
      </c>
      <c r="E1212" s="2">
        <v>2526.39</v>
      </c>
      <c r="G1212" s="1" t="s">
        <v>2417</v>
      </c>
      <c r="H1212" s="2" t="s">
        <v>0</v>
      </c>
      <c r="I1212" s="2">
        <v>1533.08</v>
      </c>
    </row>
    <row r="1213">
      <c r="A1213" s="1" t="s">
        <v>2418</v>
      </c>
      <c r="B1213" s="2">
        <v>1480.93</v>
      </c>
      <c r="C1213" s="2">
        <v>1480.93</v>
      </c>
      <c r="D1213" s="2">
        <v>2523.67</v>
      </c>
      <c r="E1213" s="2">
        <v>2523.67</v>
      </c>
      <c r="G1213" s="1" t="s">
        <v>2419</v>
      </c>
      <c r="H1213" s="2">
        <v>1544.35</v>
      </c>
      <c r="I1213" s="2">
        <v>1544.35</v>
      </c>
    </row>
    <row r="1214">
      <c r="A1214" s="1" t="s">
        <v>2420</v>
      </c>
      <c r="B1214" s="2">
        <v>1480.41</v>
      </c>
      <c r="C1214" s="2">
        <v>1480.41</v>
      </c>
      <c r="D1214" s="2">
        <v>2524.54</v>
      </c>
      <c r="E1214" s="2">
        <v>2524.54</v>
      </c>
      <c r="G1214" s="1" t="s">
        <v>2421</v>
      </c>
      <c r="H1214" s="2">
        <v>1556.71</v>
      </c>
      <c r="I1214" s="2">
        <v>1556.71</v>
      </c>
    </row>
    <row r="1215">
      <c r="A1215" s="1" t="s">
        <v>2422</v>
      </c>
      <c r="B1215" s="2">
        <v>1495.42</v>
      </c>
      <c r="C1215" s="2">
        <v>1495.42</v>
      </c>
      <c r="D1215" s="2">
        <v>2547.89</v>
      </c>
      <c r="E1215" s="2">
        <v>2547.89</v>
      </c>
      <c r="G1215" s="1" t="s">
        <v>2423</v>
      </c>
      <c r="H1215" s="2">
        <v>1545.55</v>
      </c>
      <c r="I1215" s="2">
        <v>1545.55</v>
      </c>
    </row>
    <row r="1216">
      <c r="A1216" s="1" t="s">
        <v>2424</v>
      </c>
      <c r="B1216" s="2">
        <v>1494.25</v>
      </c>
      <c r="C1216" s="2">
        <v>1494.25</v>
      </c>
      <c r="D1216" s="2">
        <v>2554.46</v>
      </c>
      <c r="E1216" s="2">
        <v>2554.46</v>
      </c>
      <c r="G1216" s="1" t="s">
        <v>2425</v>
      </c>
      <c r="H1216" s="2">
        <v>1553.13</v>
      </c>
      <c r="I1216" s="2">
        <v>1553.13</v>
      </c>
    </row>
    <row r="1217">
      <c r="A1217" s="1" t="s">
        <v>2426</v>
      </c>
      <c r="B1217" s="2">
        <v>1494.07</v>
      </c>
      <c r="C1217" s="2">
        <v>1494.07</v>
      </c>
      <c r="D1217" s="2">
        <v>2557.21</v>
      </c>
      <c r="E1217" s="2">
        <v>2557.21</v>
      </c>
      <c r="G1217" s="1" t="s">
        <v>2427</v>
      </c>
      <c r="H1217" s="2">
        <v>1542.52</v>
      </c>
      <c r="I1217" s="2">
        <v>1542.52</v>
      </c>
    </row>
    <row r="1218">
      <c r="A1218" s="1" t="s">
        <v>2428</v>
      </c>
      <c r="B1218" s="2" t="s">
        <v>0</v>
      </c>
      <c r="C1218" s="2">
        <v>1494.07</v>
      </c>
      <c r="D1218" s="2" t="s">
        <v>0</v>
      </c>
      <c r="E1218" s="2">
        <v>2557.21</v>
      </c>
      <c r="G1218" s="1" t="s">
        <v>2429</v>
      </c>
      <c r="H1218" s="2" t="s">
        <v>0</v>
      </c>
      <c r="I1218" s="2">
        <v>1542.52</v>
      </c>
    </row>
    <row r="1219">
      <c r="A1219" s="1" t="s">
        <v>2430</v>
      </c>
      <c r="B1219" s="2" t="s">
        <v>0</v>
      </c>
      <c r="C1219" s="2">
        <v>1494.07</v>
      </c>
      <c r="D1219" s="2" t="s">
        <v>0</v>
      </c>
      <c r="E1219" s="2">
        <v>2557.21</v>
      </c>
      <c r="G1219" s="1" t="s">
        <v>2431</v>
      </c>
      <c r="H1219" s="2" t="s">
        <v>0</v>
      </c>
      <c r="I1219" s="2">
        <v>1542.52</v>
      </c>
    </row>
    <row r="1220">
      <c r="A1220" s="1" t="s">
        <v>2432</v>
      </c>
      <c r="B1220" s="2">
        <v>1482.37</v>
      </c>
      <c r="C1220" s="2">
        <v>1482.37</v>
      </c>
      <c r="D1220" s="2">
        <v>2525.09</v>
      </c>
      <c r="E1220" s="2">
        <v>2525.09</v>
      </c>
      <c r="G1220" s="1" t="s">
        <v>2433</v>
      </c>
      <c r="H1220" s="2">
        <v>1542.24</v>
      </c>
      <c r="I1220" s="2">
        <v>1542.24</v>
      </c>
    </row>
    <row r="1221">
      <c r="A1221" s="1" t="s">
        <v>2434</v>
      </c>
      <c r="B1221" s="2">
        <v>1486.3</v>
      </c>
      <c r="C1221" s="2">
        <v>1486.3</v>
      </c>
      <c r="D1221" s="2">
        <v>2531.53</v>
      </c>
      <c r="E1221" s="2">
        <v>2531.53</v>
      </c>
      <c r="G1221" s="1" t="s">
        <v>2435</v>
      </c>
      <c r="H1221" s="2" t="s">
        <v>0</v>
      </c>
      <c r="I1221" s="2">
        <v>1542.24</v>
      </c>
    </row>
    <row r="1222">
      <c r="A1222" s="1" t="s">
        <v>2436</v>
      </c>
      <c r="B1222" s="2">
        <v>1495.92</v>
      </c>
      <c r="C1222" s="2">
        <v>1495.92</v>
      </c>
      <c r="D1222" s="2">
        <v>2557.84</v>
      </c>
      <c r="E1222" s="2">
        <v>2557.84</v>
      </c>
      <c r="G1222" s="1" t="s">
        <v>2437</v>
      </c>
      <c r="H1222" s="2">
        <v>1553.3</v>
      </c>
      <c r="I1222" s="2">
        <v>1553.3</v>
      </c>
    </row>
    <row r="1223">
      <c r="A1223" s="1" t="s">
        <v>2438</v>
      </c>
      <c r="B1223" s="2">
        <v>1502.39</v>
      </c>
      <c r="C1223" s="2">
        <v>1502.39</v>
      </c>
      <c r="D1223" s="2">
        <v>2565.46</v>
      </c>
      <c r="E1223" s="2">
        <v>2565.46</v>
      </c>
      <c r="G1223" s="1" t="s">
        <v>2439</v>
      </c>
      <c r="H1223" s="2">
        <v>1559.86</v>
      </c>
      <c r="I1223" s="2">
        <v>1559.86</v>
      </c>
    </row>
    <row r="1224">
      <c r="A1224" s="1" t="s">
        <v>2440</v>
      </c>
      <c r="B1224" s="2">
        <v>1505.62</v>
      </c>
      <c r="C1224" s="2">
        <v>1505.62</v>
      </c>
      <c r="D1224" s="2">
        <v>2572.15</v>
      </c>
      <c r="E1224" s="2">
        <v>2572.15</v>
      </c>
      <c r="G1224" s="1" t="s">
        <v>2441</v>
      </c>
      <c r="H1224" s="2">
        <v>1567.74</v>
      </c>
      <c r="I1224" s="2">
        <v>1567.74</v>
      </c>
    </row>
    <row r="1225">
      <c r="A1225" s="1" t="s">
        <v>2442</v>
      </c>
      <c r="B1225" s="2" t="s">
        <v>0</v>
      </c>
      <c r="C1225" s="2">
        <v>1505.62</v>
      </c>
      <c r="D1225" s="2" t="s">
        <v>0</v>
      </c>
      <c r="E1225" s="2">
        <v>2572.15</v>
      </c>
      <c r="G1225" s="1" t="s">
        <v>2443</v>
      </c>
      <c r="H1225" s="2" t="s">
        <v>0</v>
      </c>
      <c r="I1225" s="2">
        <v>1567.74</v>
      </c>
    </row>
    <row r="1226">
      <c r="A1226" s="1" t="s">
        <v>2444</v>
      </c>
      <c r="B1226" s="2" t="s">
        <v>0</v>
      </c>
      <c r="C1226" s="2">
        <v>1505.62</v>
      </c>
      <c r="D1226" s="2" t="s">
        <v>0</v>
      </c>
      <c r="E1226" s="2">
        <v>2572.15</v>
      </c>
      <c r="G1226" s="1" t="s">
        <v>2445</v>
      </c>
      <c r="H1226" s="2" t="s">
        <v>0</v>
      </c>
      <c r="I1226" s="2">
        <v>1567.74</v>
      </c>
    </row>
    <row r="1227">
      <c r="A1227" s="1" t="s">
        <v>2446</v>
      </c>
      <c r="B1227" s="2">
        <v>1509.48</v>
      </c>
      <c r="C1227" s="2">
        <v>1509.48</v>
      </c>
      <c r="D1227" s="2">
        <v>2570.95</v>
      </c>
      <c r="E1227" s="2">
        <v>2570.95</v>
      </c>
      <c r="G1227" s="1" t="s">
        <v>2447</v>
      </c>
      <c r="H1227" s="2">
        <v>1584.46</v>
      </c>
      <c r="I1227" s="2">
        <v>1584.46</v>
      </c>
    </row>
    <row r="1228">
      <c r="A1228" s="1" t="s">
        <v>2448</v>
      </c>
      <c r="B1228" s="2">
        <v>1507.72</v>
      </c>
      <c r="C1228" s="2">
        <v>1507.72</v>
      </c>
      <c r="D1228" s="2">
        <v>2571.75</v>
      </c>
      <c r="E1228" s="2">
        <v>2571.75</v>
      </c>
      <c r="G1228" s="1" t="s">
        <v>2449</v>
      </c>
      <c r="H1228" s="2">
        <v>1582.65</v>
      </c>
      <c r="I1228" s="2">
        <v>1582.65</v>
      </c>
    </row>
    <row r="1229">
      <c r="A1229" s="1" t="s">
        <v>2450</v>
      </c>
      <c r="B1229" s="2">
        <v>1512.58</v>
      </c>
      <c r="C1229" s="2">
        <v>1512.58</v>
      </c>
      <c r="D1229" s="2">
        <v>2576.34</v>
      </c>
      <c r="E1229" s="2">
        <v>2576.34</v>
      </c>
      <c r="G1229" s="1" t="s">
        <v>2451</v>
      </c>
      <c r="H1229" s="2">
        <v>1593.42</v>
      </c>
      <c r="I1229" s="2">
        <v>1593.42</v>
      </c>
    </row>
    <row r="1230">
      <c r="A1230" s="1" t="s">
        <v>2452</v>
      </c>
      <c r="B1230" s="2">
        <v>1491.47</v>
      </c>
      <c r="C1230" s="2">
        <v>1491.47</v>
      </c>
      <c r="D1230" s="2">
        <v>2533.74</v>
      </c>
      <c r="E1230" s="2">
        <v>2533.74</v>
      </c>
      <c r="G1230" s="1" t="s">
        <v>2453</v>
      </c>
      <c r="H1230" s="2">
        <v>1599.68</v>
      </c>
      <c r="I1230" s="2">
        <v>1599.68</v>
      </c>
    </row>
    <row r="1231">
      <c r="A1231" s="1" t="s">
        <v>2454</v>
      </c>
      <c r="B1231" s="2">
        <v>1505.85</v>
      </c>
      <c r="C1231" s="2">
        <v>1505.85</v>
      </c>
      <c r="D1231" s="2">
        <v>2562.22</v>
      </c>
      <c r="E1231" s="2">
        <v>2562.22</v>
      </c>
      <c r="G1231" s="1" t="s">
        <v>2455</v>
      </c>
      <c r="H1231" s="2">
        <v>1603.56</v>
      </c>
      <c r="I1231" s="2">
        <v>1603.56</v>
      </c>
    </row>
    <row r="1232">
      <c r="A1232" s="1" t="s">
        <v>2456</v>
      </c>
      <c r="B1232" s="2" t="s">
        <v>0</v>
      </c>
      <c r="C1232" s="2">
        <v>1505.85</v>
      </c>
      <c r="D1232" s="2" t="s">
        <v>0</v>
      </c>
      <c r="E1232" s="2">
        <v>2562.22</v>
      </c>
      <c r="G1232" s="1" t="s">
        <v>2457</v>
      </c>
      <c r="H1232" s="2" t="s">
        <v>0</v>
      </c>
      <c r="I1232" s="2">
        <v>1603.56</v>
      </c>
    </row>
    <row r="1233">
      <c r="A1233" s="1" t="s">
        <v>2458</v>
      </c>
      <c r="B1233" s="2" t="s">
        <v>0</v>
      </c>
      <c r="C1233" s="2">
        <v>1505.85</v>
      </c>
      <c r="D1233" s="2" t="s">
        <v>0</v>
      </c>
      <c r="E1233" s="2">
        <v>2562.22</v>
      </c>
      <c r="G1233" s="1" t="s">
        <v>2459</v>
      </c>
      <c r="H1233" s="2" t="s">
        <v>0</v>
      </c>
      <c r="I1233" s="2">
        <v>1603.56</v>
      </c>
    </row>
    <row r="1234">
      <c r="A1234" s="1" t="s">
        <v>2460</v>
      </c>
      <c r="B1234" s="2">
        <v>1503.15</v>
      </c>
      <c r="C1234" s="2">
        <v>1503.15</v>
      </c>
      <c r="D1234" s="2">
        <v>2546.44</v>
      </c>
      <c r="E1234" s="2">
        <v>2546.44</v>
      </c>
      <c r="G1234" s="1" t="s">
        <v>2461</v>
      </c>
      <c r="H1234" s="2">
        <v>1605.77</v>
      </c>
      <c r="I1234" s="2">
        <v>1605.77</v>
      </c>
    </row>
    <row r="1235">
      <c r="A1235" s="1" t="s">
        <v>2462</v>
      </c>
      <c r="B1235" s="2">
        <v>1501.19</v>
      </c>
      <c r="C1235" s="2">
        <v>1501.19</v>
      </c>
      <c r="D1235" s="2">
        <v>2525.29</v>
      </c>
      <c r="E1235" s="2">
        <v>2525.29</v>
      </c>
      <c r="G1235" s="1" t="s">
        <v>2463</v>
      </c>
      <c r="H1235" s="2">
        <v>1589.37</v>
      </c>
      <c r="I1235" s="2">
        <v>1589.37</v>
      </c>
    </row>
    <row r="1236">
      <c r="A1236" s="1" t="s">
        <v>2464</v>
      </c>
      <c r="B1236" s="2">
        <v>1514.14</v>
      </c>
      <c r="C1236" s="2">
        <v>1514.14</v>
      </c>
      <c r="D1236" s="2">
        <v>2547.42</v>
      </c>
      <c r="E1236" s="2">
        <v>2547.42</v>
      </c>
      <c r="G1236" s="1" t="s">
        <v>2465</v>
      </c>
      <c r="H1236" s="2">
        <v>1600.6</v>
      </c>
      <c r="I1236" s="2">
        <v>1600.6</v>
      </c>
    </row>
    <row r="1237">
      <c r="A1237" s="1" t="s">
        <v>2466</v>
      </c>
      <c r="B1237" s="2">
        <v>1512.75</v>
      </c>
      <c r="C1237" s="2">
        <v>1512.75</v>
      </c>
      <c r="D1237" s="2">
        <v>2539.38</v>
      </c>
      <c r="E1237" s="2">
        <v>2539.38</v>
      </c>
      <c r="G1237" s="1" t="s">
        <v>2467</v>
      </c>
      <c r="H1237" s="2">
        <v>1615.58</v>
      </c>
      <c r="I1237" s="2">
        <v>1615.58</v>
      </c>
    </row>
    <row r="1238">
      <c r="A1238" s="1" t="s">
        <v>2468</v>
      </c>
      <c r="B1238" s="2">
        <v>1522.75</v>
      </c>
      <c r="C1238" s="2">
        <v>1522.75</v>
      </c>
      <c r="D1238" s="2">
        <v>2558.45</v>
      </c>
      <c r="E1238" s="2">
        <v>2558.45</v>
      </c>
      <c r="G1238" s="1" t="s">
        <v>2469</v>
      </c>
      <c r="H1238" s="2">
        <v>1612.25</v>
      </c>
      <c r="I1238" s="2">
        <v>1612.25</v>
      </c>
    </row>
    <row r="1239">
      <c r="A1239" s="1" t="s">
        <v>2470</v>
      </c>
      <c r="B1239" s="2" t="s">
        <v>0</v>
      </c>
      <c r="C1239" s="2">
        <v>1522.75</v>
      </c>
      <c r="D1239" s="2" t="s">
        <v>0</v>
      </c>
      <c r="E1239" s="2">
        <v>2558.45</v>
      </c>
      <c r="G1239" s="1" t="s">
        <v>2471</v>
      </c>
      <c r="H1239" s="2" t="s">
        <v>0</v>
      </c>
      <c r="I1239" s="2">
        <v>1612.25</v>
      </c>
    </row>
    <row r="1240">
      <c r="A1240" s="1" t="s">
        <v>2472</v>
      </c>
      <c r="B1240" s="2" t="s">
        <v>0</v>
      </c>
      <c r="C1240" s="2">
        <v>1522.75</v>
      </c>
      <c r="D1240" s="2" t="s">
        <v>0</v>
      </c>
      <c r="E1240" s="2">
        <v>2558.45</v>
      </c>
      <c r="G1240" s="1" t="s">
        <v>2473</v>
      </c>
      <c r="H1240" s="2" t="s">
        <v>0</v>
      </c>
      <c r="I1240" s="2">
        <v>1612.25</v>
      </c>
    </row>
    <row r="1241">
      <c r="A1241" s="1" t="s">
        <v>2474</v>
      </c>
      <c r="B1241" s="2">
        <v>1525.1</v>
      </c>
      <c r="C1241" s="2">
        <v>1525.1</v>
      </c>
      <c r="D1241" s="2">
        <v>2578.79</v>
      </c>
      <c r="E1241" s="2">
        <v>2578.79</v>
      </c>
      <c r="G1241" s="1" t="s">
        <v>2475</v>
      </c>
      <c r="H1241" s="2">
        <v>1628.2</v>
      </c>
      <c r="I1241" s="2">
        <v>1628.2</v>
      </c>
    </row>
    <row r="1242">
      <c r="A1242" s="1" t="s">
        <v>2476</v>
      </c>
      <c r="B1242" s="2">
        <v>1524.12</v>
      </c>
      <c r="C1242" s="2">
        <v>1524.12</v>
      </c>
      <c r="D1242" s="2">
        <v>2588.02</v>
      </c>
      <c r="E1242" s="2">
        <v>2588.02</v>
      </c>
      <c r="G1242" s="1" t="s">
        <v>2477</v>
      </c>
      <c r="H1242" s="2">
        <v>1642.88</v>
      </c>
      <c r="I1242" s="2">
        <v>1642.88</v>
      </c>
    </row>
    <row r="1243">
      <c r="A1243" s="1" t="s">
        <v>2478</v>
      </c>
      <c r="B1243" s="2">
        <v>1522.28</v>
      </c>
      <c r="C1243" s="2">
        <v>1522.28</v>
      </c>
      <c r="D1243" s="2">
        <v>2577.05</v>
      </c>
      <c r="E1243" s="2">
        <v>2577.05</v>
      </c>
      <c r="G1243" s="1" t="s">
        <v>2479</v>
      </c>
      <c r="H1243" s="2">
        <v>1646.59</v>
      </c>
      <c r="I1243" s="2">
        <v>1646.59</v>
      </c>
    </row>
    <row r="1244">
      <c r="A1244" s="1" t="s">
        <v>2480</v>
      </c>
      <c r="B1244" s="2">
        <v>1507.51</v>
      </c>
      <c r="C1244" s="2">
        <v>1507.51</v>
      </c>
      <c r="D1244" s="2">
        <v>2537.92</v>
      </c>
      <c r="E1244" s="2">
        <v>2537.92</v>
      </c>
      <c r="G1244" s="1" t="s">
        <v>2481</v>
      </c>
      <c r="H1244" s="2" t="s">
        <v>0</v>
      </c>
      <c r="I1244" s="2">
        <v>1646.59</v>
      </c>
    </row>
    <row r="1245">
      <c r="A1245" s="1" t="s">
        <v>2482</v>
      </c>
      <c r="B1245" s="2">
        <v>1515.73</v>
      </c>
      <c r="C1245" s="2">
        <v>1515.73</v>
      </c>
      <c r="D1245" s="2">
        <v>2557.19</v>
      </c>
      <c r="E1245" s="2">
        <v>2557.19</v>
      </c>
      <c r="G1245" s="1" t="s">
        <v>2483</v>
      </c>
      <c r="H1245" s="2">
        <v>1644.56</v>
      </c>
      <c r="I1245" s="2">
        <v>1644.56</v>
      </c>
    </row>
    <row r="1246">
      <c r="A1246" s="1" t="s">
        <v>2484</v>
      </c>
      <c r="B1246" s="2" t="s">
        <v>0</v>
      </c>
      <c r="C1246" s="2">
        <v>1515.73</v>
      </c>
      <c r="D1246" s="2" t="s">
        <v>0</v>
      </c>
      <c r="E1246" s="2">
        <v>2557.19</v>
      </c>
      <c r="G1246" s="1" t="s">
        <v>2485</v>
      </c>
      <c r="H1246" s="2" t="s">
        <v>0</v>
      </c>
      <c r="I1246" s="2">
        <v>1644.56</v>
      </c>
    </row>
    <row r="1247">
      <c r="A1247" s="1" t="s">
        <v>2486</v>
      </c>
      <c r="B1247" s="2" t="s">
        <v>0</v>
      </c>
      <c r="C1247" s="2">
        <v>1515.73</v>
      </c>
      <c r="D1247" s="2" t="s">
        <v>0</v>
      </c>
      <c r="E1247" s="2">
        <v>2557.19</v>
      </c>
      <c r="G1247" s="1" t="s">
        <v>2487</v>
      </c>
      <c r="H1247" s="2" t="s">
        <v>0</v>
      </c>
      <c r="I1247" s="2">
        <v>1644.56</v>
      </c>
    </row>
    <row r="1248">
      <c r="A1248" s="1" t="s">
        <v>2488</v>
      </c>
      <c r="B1248" s="2" t="s">
        <v>0</v>
      </c>
      <c r="C1248" s="2">
        <v>1515.73</v>
      </c>
      <c r="D1248" s="2" t="s">
        <v>0</v>
      </c>
      <c r="E1248" s="2">
        <v>2557.19</v>
      </c>
      <c r="G1248" s="1" t="s">
        <v>2489</v>
      </c>
      <c r="H1248" s="2">
        <v>1657.91</v>
      </c>
      <c r="I1248" s="2">
        <v>1657.91</v>
      </c>
    </row>
    <row r="1249">
      <c r="A1249" s="1" t="s">
        <v>2490</v>
      </c>
      <c r="B1249" s="2">
        <v>1518.11</v>
      </c>
      <c r="C1249" s="2">
        <v>1518.11</v>
      </c>
      <c r="D1249" s="2">
        <v>2572.06</v>
      </c>
      <c r="E1249" s="2">
        <v>2572.06</v>
      </c>
      <c r="G1249" s="1" t="s">
        <v>2491</v>
      </c>
      <c r="H1249" s="2">
        <v>1661.8</v>
      </c>
      <c r="I1249" s="2">
        <v>1661.8</v>
      </c>
    </row>
    <row r="1250">
      <c r="A1250" s="1" t="s">
        <v>2492</v>
      </c>
      <c r="B1250" s="2">
        <v>1530.23</v>
      </c>
      <c r="C1250" s="2">
        <v>1530.23</v>
      </c>
      <c r="D1250" s="2">
        <v>2592.59</v>
      </c>
      <c r="E1250" s="2">
        <v>2592.59</v>
      </c>
      <c r="G1250" s="1" t="s">
        <v>2493</v>
      </c>
      <c r="H1250" s="2">
        <v>1662.72</v>
      </c>
      <c r="I1250" s="2">
        <v>1662.72</v>
      </c>
    </row>
    <row r="1251">
      <c r="A1251" s="1" t="s">
        <v>2494</v>
      </c>
      <c r="B1251" s="2">
        <v>1530.62</v>
      </c>
      <c r="C1251" s="2">
        <v>1530.62</v>
      </c>
      <c r="D1251" s="2">
        <v>2604.52</v>
      </c>
      <c r="E1251" s="2">
        <v>2604.52</v>
      </c>
      <c r="G1251" s="1" t="s">
        <v>2495</v>
      </c>
      <c r="H1251" s="2">
        <v>1700.91</v>
      </c>
      <c r="I1251" s="2">
        <v>1700.91</v>
      </c>
    </row>
    <row r="1252">
      <c r="A1252" s="1" t="s">
        <v>2496</v>
      </c>
      <c r="B1252" s="2">
        <v>1536.34</v>
      </c>
      <c r="C1252" s="2">
        <v>1536.34</v>
      </c>
      <c r="D1252" s="2">
        <v>2613.92</v>
      </c>
      <c r="E1252" s="2">
        <v>2613.92</v>
      </c>
      <c r="G1252" s="1" t="s">
        <v>2497</v>
      </c>
      <c r="H1252" s="2">
        <v>1716.24</v>
      </c>
      <c r="I1252" s="2">
        <v>1716.24</v>
      </c>
    </row>
    <row r="1253">
      <c r="A1253" s="1" t="s">
        <v>2498</v>
      </c>
      <c r="B1253" s="2" t="s">
        <v>0</v>
      </c>
      <c r="C1253" s="2">
        <v>1536.34</v>
      </c>
      <c r="D1253" s="2" t="s">
        <v>0</v>
      </c>
      <c r="E1253" s="2">
        <v>2613.92</v>
      </c>
      <c r="G1253" s="1" t="s">
        <v>2499</v>
      </c>
      <c r="H1253" s="2" t="s">
        <v>0</v>
      </c>
      <c r="I1253" s="2">
        <v>1716.24</v>
      </c>
    </row>
    <row r="1254">
      <c r="A1254" s="1" t="s">
        <v>2500</v>
      </c>
      <c r="B1254" s="2" t="s">
        <v>0</v>
      </c>
      <c r="C1254" s="2">
        <v>1536.34</v>
      </c>
      <c r="D1254" s="2" t="s">
        <v>0</v>
      </c>
      <c r="E1254" s="2">
        <v>2613.92</v>
      </c>
      <c r="G1254" s="1" t="s">
        <v>2501</v>
      </c>
      <c r="H1254" s="2" t="s">
        <v>0</v>
      </c>
      <c r="I1254" s="2">
        <v>1716.24</v>
      </c>
    </row>
    <row r="1255">
      <c r="A1255" s="1" t="s">
        <v>2502</v>
      </c>
      <c r="B1255" s="2">
        <v>1539.18</v>
      </c>
      <c r="C1255" s="2">
        <v>1539.18</v>
      </c>
      <c r="D1255" s="2">
        <v>2618.29</v>
      </c>
      <c r="E1255" s="2">
        <v>2618.29</v>
      </c>
      <c r="G1255" s="1" t="s">
        <v>2503</v>
      </c>
      <c r="H1255" s="2">
        <v>1737.59</v>
      </c>
      <c r="I1255" s="2">
        <v>1737.59</v>
      </c>
    </row>
    <row r="1256">
      <c r="A1256" s="1" t="s">
        <v>2504</v>
      </c>
      <c r="B1256" s="2">
        <v>1530.95</v>
      </c>
      <c r="C1256" s="2">
        <v>1530.95</v>
      </c>
      <c r="D1256" s="2">
        <v>2611.23</v>
      </c>
      <c r="E1256" s="2">
        <v>2611.23</v>
      </c>
      <c r="G1256" s="1" t="s">
        <v>2505</v>
      </c>
      <c r="H1256" s="2">
        <v>1742.19</v>
      </c>
      <c r="I1256" s="2">
        <v>1742.19</v>
      </c>
    </row>
    <row r="1257">
      <c r="A1257" s="1" t="s">
        <v>2506</v>
      </c>
      <c r="B1257" s="2">
        <v>1517.38</v>
      </c>
      <c r="C1257" s="2">
        <v>1517.38</v>
      </c>
      <c r="D1257" s="2">
        <v>2587.18</v>
      </c>
      <c r="E1257" s="2">
        <v>2587.18</v>
      </c>
      <c r="G1257" s="1" t="s">
        <v>2507</v>
      </c>
      <c r="H1257" s="2" t="s">
        <v>0</v>
      </c>
      <c r="I1257" s="2">
        <v>1742.19</v>
      </c>
    </row>
    <row r="1258">
      <c r="A1258" s="1" t="s">
        <v>2508</v>
      </c>
      <c r="B1258" s="2">
        <v>1490.72</v>
      </c>
      <c r="C1258" s="2">
        <v>1490.72</v>
      </c>
      <c r="D1258" s="2">
        <v>2541.38</v>
      </c>
      <c r="E1258" s="2">
        <v>2541.38</v>
      </c>
      <c r="G1258" s="1" t="s">
        <v>2509</v>
      </c>
      <c r="H1258" s="2">
        <v>1753.04</v>
      </c>
      <c r="I1258" s="2">
        <v>1753.04</v>
      </c>
    </row>
    <row r="1259">
      <c r="A1259" s="1" t="s">
        <v>2510</v>
      </c>
      <c r="B1259" s="2">
        <v>1507.67</v>
      </c>
      <c r="C1259" s="2">
        <v>1507.67</v>
      </c>
      <c r="D1259" s="2">
        <v>2573.54</v>
      </c>
      <c r="E1259" s="2">
        <v>2573.54</v>
      </c>
      <c r="G1259" s="1" t="s">
        <v>2511</v>
      </c>
      <c r="H1259" s="2">
        <v>1727.28</v>
      </c>
      <c r="I1259" s="2">
        <v>1727.28</v>
      </c>
    </row>
    <row r="1260">
      <c r="A1260" s="1" t="s">
        <v>2512</v>
      </c>
      <c r="B1260" s="2" t="s">
        <v>0</v>
      </c>
      <c r="C1260" s="2">
        <v>1507.67</v>
      </c>
      <c r="D1260" s="2" t="s">
        <v>0</v>
      </c>
      <c r="E1260" s="2">
        <v>2573.54</v>
      </c>
      <c r="G1260" s="1" t="s">
        <v>2513</v>
      </c>
      <c r="H1260" s="2" t="s">
        <v>0</v>
      </c>
      <c r="I1260" s="2">
        <v>1727.28</v>
      </c>
    </row>
    <row r="1261">
      <c r="A1261" s="1" t="s">
        <v>2514</v>
      </c>
      <c r="B1261" s="2" t="s">
        <v>0</v>
      </c>
      <c r="C1261" s="2">
        <v>1507.67</v>
      </c>
      <c r="D1261" s="2" t="s">
        <v>0</v>
      </c>
      <c r="E1261" s="2">
        <v>2573.54</v>
      </c>
      <c r="G1261" s="1" t="s">
        <v>2515</v>
      </c>
      <c r="H1261" s="2" t="s">
        <v>0</v>
      </c>
      <c r="I1261" s="2">
        <v>1727.28</v>
      </c>
    </row>
    <row r="1262">
      <c r="A1262" s="1" t="s">
        <v>2516</v>
      </c>
      <c r="B1262" s="2">
        <v>1509.12</v>
      </c>
      <c r="C1262" s="2">
        <v>1509.12</v>
      </c>
      <c r="D1262" s="2">
        <v>2572.15</v>
      </c>
      <c r="E1262" s="2">
        <v>2572.15</v>
      </c>
      <c r="G1262" s="1" t="s">
        <v>2517</v>
      </c>
      <c r="H1262" s="2">
        <v>1716.56</v>
      </c>
      <c r="I1262" s="2">
        <v>1716.56</v>
      </c>
    </row>
    <row r="1263">
      <c r="A1263" s="1" t="s">
        <v>2518</v>
      </c>
      <c r="B1263" s="2">
        <v>1493.0</v>
      </c>
      <c r="C1263" s="2">
        <v>1493.0</v>
      </c>
      <c r="D1263" s="2">
        <v>2549.77</v>
      </c>
      <c r="E1263" s="2">
        <v>2549.77</v>
      </c>
      <c r="G1263" s="1" t="s">
        <v>2519</v>
      </c>
      <c r="H1263" s="2">
        <v>1729.88</v>
      </c>
      <c r="I1263" s="2">
        <v>1729.88</v>
      </c>
    </row>
    <row r="1264">
      <c r="A1264" s="1" t="s">
        <v>2520</v>
      </c>
      <c r="B1264" s="2">
        <v>1515.67</v>
      </c>
      <c r="C1264" s="2">
        <v>1515.67</v>
      </c>
      <c r="D1264" s="2">
        <v>2582.31</v>
      </c>
      <c r="E1264" s="2">
        <v>2582.31</v>
      </c>
      <c r="G1264" s="1" t="s">
        <v>2521</v>
      </c>
      <c r="H1264" s="2">
        <v>1721.99</v>
      </c>
      <c r="I1264" s="2">
        <v>1721.99</v>
      </c>
    </row>
    <row r="1265">
      <c r="A1265" s="1" t="s">
        <v>2522</v>
      </c>
      <c r="B1265" s="2">
        <v>1522.97</v>
      </c>
      <c r="C1265" s="2">
        <v>1522.97</v>
      </c>
      <c r="D1265" s="2">
        <v>2599.41</v>
      </c>
      <c r="E1265" s="2">
        <v>2599.41</v>
      </c>
      <c r="G1265" s="1" t="s">
        <v>2523</v>
      </c>
      <c r="H1265" s="2">
        <v>1769.18</v>
      </c>
      <c r="I1265" s="2">
        <v>1769.18</v>
      </c>
    </row>
    <row r="1266">
      <c r="A1266" s="1" t="s">
        <v>2524</v>
      </c>
      <c r="B1266" s="2">
        <v>1532.91</v>
      </c>
      <c r="C1266" s="2">
        <v>1532.91</v>
      </c>
      <c r="D1266" s="2">
        <v>2626.71</v>
      </c>
      <c r="E1266" s="2">
        <v>2626.71</v>
      </c>
      <c r="G1266" s="1" t="s">
        <v>2525</v>
      </c>
      <c r="H1266" s="2">
        <v>1772.26</v>
      </c>
      <c r="I1266" s="2">
        <v>1772.26</v>
      </c>
    </row>
    <row r="1267">
      <c r="A1267" s="1" t="s">
        <v>2526</v>
      </c>
      <c r="B1267" s="2" t="s">
        <v>0</v>
      </c>
      <c r="C1267" s="2">
        <v>1532.91</v>
      </c>
      <c r="D1267" s="2" t="s">
        <v>0</v>
      </c>
      <c r="E1267" s="2">
        <v>2626.71</v>
      </c>
      <c r="G1267" s="1" t="s">
        <v>2527</v>
      </c>
      <c r="H1267" s="2" t="s">
        <v>0</v>
      </c>
      <c r="I1267" s="2">
        <v>1772.26</v>
      </c>
    </row>
    <row r="1268">
      <c r="A1268" s="1" t="s">
        <v>2528</v>
      </c>
      <c r="B1268" s="2" t="s">
        <v>0</v>
      </c>
      <c r="C1268" s="2">
        <v>1532.91</v>
      </c>
      <c r="D1268" s="2" t="s">
        <v>0</v>
      </c>
      <c r="E1268" s="2">
        <v>2626.71</v>
      </c>
      <c r="G1268" s="1" t="s">
        <v>2529</v>
      </c>
      <c r="H1268" s="2" t="s">
        <v>0</v>
      </c>
      <c r="I1268" s="2">
        <v>1772.26</v>
      </c>
    </row>
    <row r="1269">
      <c r="A1269" s="1" t="s">
        <v>2530</v>
      </c>
      <c r="B1269" s="2">
        <v>1531.05</v>
      </c>
      <c r="C1269" s="2">
        <v>1531.05</v>
      </c>
      <c r="D1269" s="2">
        <v>2626.6</v>
      </c>
      <c r="E1269" s="2">
        <v>2626.6</v>
      </c>
      <c r="G1269" s="1" t="s">
        <v>2531</v>
      </c>
      <c r="H1269" s="2">
        <v>1806.88</v>
      </c>
      <c r="I1269" s="2">
        <v>1806.88</v>
      </c>
    </row>
    <row r="1270">
      <c r="A1270" s="1" t="s">
        <v>2532</v>
      </c>
      <c r="B1270" s="2">
        <v>1533.7</v>
      </c>
      <c r="C1270" s="2">
        <v>1533.7</v>
      </c>
      <c r="D1270" s="2">
        <v>2626.76</v>
      </c>
      <c r="E1270" s="2">
        <v>2626.76</v>
      </c>
      <c r="G1270" s="1" t="s">
        <v>2533</v>
      </c>
      <c r="H1270" s="2">
        <v>1807.85</v>
      </c>
      <c r="I1270" s="2">
        <v>1807.85</v>
      </c>
    </row>
    <row r="1271">
      <c r="A1271" s="1" t="s">
        <v>2534</v>
      </c>
      <c r="B1271" s="2">
        <v>1512.84</v>
      </c>
      <c r="C1271" s="2">
        <v>1512.84</v>
      </c>
      <c r="D1271" s="2">
        <v>2599.96</v>
      </c>
      <c r="E1271" s="2">
        <v>2599.96</v>
      </c>
      <c r="G1271" s="1" t="s">
        <v>2535</v>
      </c>
      <c r="H1271" s="2">
        <v>1783.79</v>
      </c>
      <c r="I1271" s="2">
        <v>1783.79</v>
      </c>
    </row>
    <row r="1272">
      <c r="A1272" s="1" t="s">
        <v>2536</v>
      </c>
      <c r="B1272" s="2">
        <v>1522.19</v>
      </c>
      <c r="C1272" s="2">
        <v>1522.19</v>
      </c>
      <c r="D1272" s="2">
        <v>2616.96</v>
      </c>
      <c r="E1272" s="2">
        <v>2616.96</v>
      </c>
      <c r="G1272" s="1" t="s">
        <v>2537</v>
      </c>
      <c r="H1272" s="2">
        <v>1794.24</v>
      </c>
      <c r="I1272" s="2">
        <v>1794.24</v>
      </c>
    </row>
    <row r="1273">
      <c r="A1273" s="1" t="s">
        <v>2538</v>
      </c>
      <c r="B1273" s="2">
        <v>1502.56</v>
      </c>
      <c r="C1273" s="2">
        <v>1502.56</v>
      </c>
      <c r="D1273" s="2">
        <v>2588.96</v>
      </c>
      <c r="E1273" s="2">
        <v>2588.96</v>
      </c>
      <c r="G1273" s="1" t="s">
        <v>2539</v>
      </c>
      <c r="H1273" s="2">
        <v>1770.98</v>
      </c>
      <c r="I1273" s="2">
        <v>1770.98</v>
      </c>
    </row>
    <row r="1274">
      <c r="A1274" s="1" t="s">
        <v>2540</v>
      </c>
      <c r="B1274" s="2" t="s">
        <v>0</v>
      </c>
      <c r="C1274" s="2">
        <v>1502.56</v>
      </c>
      <c r="D1274" s="2" t="s">
        <v>0</v>
      </c>
      <c r="E1274" s="2">
        <v>2588.96</v>
      </c>
      <c r="G1274" s="1" t="s">
        <v>2541</v>
      </c>
      <c r="H1274" s="2" t="s">
        <v>0</v>
      </c>
      <c r="I1274" s="2">
        <v>1770.98</v>
      </c>
    </row>
    <row r="1275">
      <c r="A1275" s="1" t="s">
        <v>2542</v>
      </c>
      <c r="B1275" s="2" t="s">
        <v>0</v>
      </c>
      <c r="C1275" s="2">
        <v>1502.56</v>
      </c>
      <c r="D1275" s="2" t="s">
        <v>0</v>
      </c>
      <c r="E1275" s="2">
        <v>2588.96</v>
      </c>
      <c r="G1275" s="1" t="s">
        <v>2543</v>
      </c>
      <c r="H1275" s="2" t="s">
        <v>0</v>
      </c>
      <c r="I1275" s="2">
        <v>1770.98</v>
      </c>
    </row>
    <row r="1276">
      <c r="A1276" s="1" t="s">
        <v>2544</v>
      </c>
      <c r="B1276" s="2">
        <v>1497.74</v>
      </c>
      <c r="C1276" s="2">
        <v>1497.74</v>
      </c>
      <c r="D1276" s="2">
        <v>2577.08</v>
      </c>
      <c r="E1276" s="2">
        <v>2577.08</v>
      </c>
      <c r="G1276" s="1" t="s">
        <v>2545</v>
      </c>
      <c r="H1276" s="2">
        <v>1757.73</v>
      </c>
      <c r="I1276" s="2">
        <v>1757.73</v>
      </c>
    </row>
    <row r="1277">
      <c r="A1277" s="1" t="s">
        <v>2546</v>
      </c>
      <c r="B1277" s="2">
        <v>1492.89</v>
      </c>
      <c r="C1277" s="2">
        <v>1492.89</v>
      </c>
      <c r="D1277" s="2">
        <v>2574.16</v>
      </c>
      <c r="E1277" s="2">
        <v>2574.16</v>
      </c>
      <c r="G1277" s="1" t="s">
        <v>2547</v>
      </c>
      <c r="H1277" s="2">
        <v>1749.55</v>
      </c>
      <c r="I1277" s="2">
        <v>1749.55</v>
      </c>
    </row>
    <row r="1278">
      <c r="A1278" s="1" t="s">
        <v>2548</v>
      </c>
      <c r="B1278" s="2">
        <v>1506.34</v>
      </c>
      <c r="C1278" s="2">
        <v>1506.34</v>
      </c>
      <c r="D1278" s="2">
        <v>2605.35</v>
      </c>
      <c r="E1278" s="2">
        <v>2605.35</v>
      </c>
      <c r="G1278" s="1" t="s">
        <v>2549</v>
      </c>
      <c r="H1278" s="2">
        <v>1733.1</v>
      </c>
      <c r="I1278" s="2">
        <v>1733.1</v>
      </c>
    </row>
    <row r="1279">
      <c r="A1279" s="1" t="s">
        <v>2550</v>
      </c>
      <c r="B1279" s="2">
        <v>1505.71</v>
      </c>
      <c r="C1279" s="2">
        <v>1505.71</v>
      </c>
      <c r="D1279" s="2">
        <v>2608.37</v>
      </c>
      <c r="E1279" s="2">
        <v>2608.37</v>
      </c>
      <c r="G1279" s="1" t="s">
        <v>2551</v>
      </c>
      <c r="H1279" s="2">
        <v>1751.75</v>
      </c>
      <c r="I1279" s="2">
        <v>1751.75</v>
      </c>
    </row>
    <row r="1280">
      <c r="A1280" s="1" t="s">
        <v>2552</v>
      </c>
      <c r="B1280" s="2">
        <v>1503.35</v>
      </c>
      <c r="C1280" s="2">
        <v>1503.35</v>
      </c>
      <c r="D1280" s="2">
        <v>2603.23</v>
      </c>
      <c r="E1280" s="2">
        <v>2603.23</v>
      </c>
      <c r="G1280" s="1" t="s">
        <v>2553</v>
      </c>
      <c r="H1280" s="2">
        <v>1743.6</v>
      </c>
      <c r="I1280" s="2">
        <v>1743.6</v>
      </c>
    </row>
    <row r="1281">
      <c r="A1281" s="1" t="s">
        <v>2554</v>
      </c>
      <c r="B1281" s="2" t="s">
        <v>0</v>
      </c>
      <c r="C1281" s="2">
        <v>1503.35</v>
      </c>
      <c r="D1281" s="2" t="s">
        <v>0</v>
      </c>
      <c r="E1281" s="2">
        <v>2603.23</v>
      </c>
      <c r="G1281" s="1" t="s">
        <v>2555</v>
      </c>
      <c r="H1281" s="2" t="s">
        <v>0</v>
      </c>
      <c r="I1281" s="2">
        <v>1743.6</v>
      </c>
    </row>
    <row r="1282">
      <c r="A1282" s="1" t="s">
        <v>2556</v>
      </c>
      <c r="B1282" s="2" t="s">
        <v>0</v>
      </c>
      <c r="C1282" s="2">
        <v>1503.35</v>
      </c>
      <c r="D1282" s="2" t="s">
        <v>0</v>
      </c>
      <c r="E1282" s="2">
        <v>2603.23</v>
      </c>
      <c r="G1282" s="1" t="s">
        <v>2557</v>
      </c>
      <c r="H1282" s="2" t="s">
        <v>0</v>
      </c>
      <c r="I1282" s="2">
        <v>1743.6</v>
      </c>
    </row>
    <row r="1283">
      <c r="A1283" s="1" t="s">
        <v>2558</v>
      </c>
      <c r="B1283" s="2">
        <v>1519.43</v>
      </c>
      <c r="C1283" s="2">
        <v>1519.43</v>
      </c>
      <c r="D1283" s="2">
        <v>2632.3</v>
      </c>
      <c r="E1283" s="2">
        <v>2632.3</v>
      </c>
      <c r="G1283" s="1" t="s">
        <v>2559</v>
      </c>
      <c r="H1283" s="2">
        <v>1771.35</v>
      </c>
      <c r="I1283" s="2">
        <v>1771.35</v>
      </c>
    </row>
    <row r="1284">
      <c r="A1284" s="1" t="s">
        <v>2560</v>
      </c>
      <c r="B1284" s="2">
        <v>1524.87</v>
      </c>
      <c r="C1284" s="2">
        <v>1524.87</v>
      </c>
      <c r="D1284" s="2">
        <v>2644.95</v>
      </c>
      <c r="E1284" s="2">
        <v>2644.95</v>
      </c>
      <c r="G1284" s="1" t="s">
        <v>2561</v>
      </c>
      <c r="H1284" s="2">
        <v>1805.5</v>
      </c>
      <c r="I1284" s="2">
        <v>1805.5</v>
      </c>
    </row>
    <row r="1285">
      <c r="A1285" s="1" t="s">
        <v>2562</v>
      </c>
      <c r="B1285" s="2" t="s">
        <v>0</v>
      </c>
      <c r="C1285" s="2">
        <v>1524.87</v>
      </c>
      <c r="D1285" s="2" t="s">
        <v>0</v>
      </c>
      <c r="E1285" s="2">
        <v>2644.95</v>
      </c>
      <c r="G1285" s="1" t="s">
        <v>2563</v>
      </c>
      <c r="H1285" s="2">
        <v>1838.41</v>
      </c>
      <c r="I1285" s="2">
        <v>1838.41</v>
      </c>
    </row>
    <row r="1286">
      <c r="A1286" s="1" t="s">
        <v>2564</v>
      </c>
      <c r="B1286" s="2">
        <v>1525.4</v>
      </c>
      <c r="C1286" s="2">
        <v>1525.4</v>
      </c>
      <c r="D1286" s="2">
        <v>2656.65</v>
      </c>
      <c r="E1286" s="2">
        <v>2656.65</v>
      </c>
      <c r="G1286" s="1" t="s">
        <v>2565</v>
      </c>
      <c r="H1286" s="2">
        <v>1847.79</v>
      </c>
      <c r="I1286" s="2">
        <v>1847.79</v>
      </c>
    </row>
    <row r="1287">
      <c r="A1287" s="1" t="s">
        <v>2566</v>
      </c>
      <c r="B1287" s="2">
        <v>1530.44</v>
      </c>
      <c r="C1287" s="2">
        <v>1530.44</v>
      </c>
      <c r="D1287" s="2">
        <v>2666.51</v>
      </c>
      <c r="E1287" s="2">
        <v>2666.51</v>
      </c>
      <c r="G1287" s="1" t="s">
        <v>2567</v>
      </c>
      <c r="H1287" s="2">
        <v>1861.01</v>
      </c>
      <c r="I1287" s="2">
        <v>1861.01</v>
      </c>
    </row>
    <row r="1288">
      <c r="A1288" s="1" t="s">
        <v>2568</v>
      </c>
      <c r="B1288" s="2" t="s">
        <v>0</v>
      </c>
      <c r="C1288" s="2">
        <v>1530.44</v>
      </c>
      <c r="D1288" s="2" t="s">
        <v>0</v>
      </c>
      <c r="E1288" s="2">
        <v>2666.51</v>
      </c>
      <c r="G1288" s="1" t="s">
        <v>2569</v>
      </c>
      <c r="H1288" s="2" t="s">
        <v>0</v>
      </c>
      <c r="I1288" s="2">
        <v>1861.01</v>
      </c>
    </row>
    <row r="1289">
      <c r="A1289" s="1" t="s">
        <v>2570</v>
      </c>
      <c r="B1289" s="2" t="s">
        <v>0</v>
      </c>
      <c r="C1289" s="2">
        <v>1530.44</v>
      </c>
      <c r="D1289" s="2" t="s">
        <v>0</v>
      </c>
      <c r="E1289" s="2">
        <v>2666.51</v>
      </c>
      <c r="G1289" s="1" t="s">
        <v>2571</v>
      </c>
      <c r="H1289" s="2" t="s">
        <v>0</v>
      </c>
      <c r="I1289" s="2">
        <v>1861.01</v>
      </c>
    </row>
    <row r="1290">
      <c r="A1290" s="1" t="s">
        <v>2572</v>
      </c>
      <c r="B1290" s="2">
        <v>1531.85</v>
      </c>
      <c r="C1290" s="2">
        <v>1531.85</v>
      </c>
      <c r="D1290" s="2">
        <v>2670.02</v>
      </c>
      <c r="E1290" s="2">
        <v>2670.02</v>
      </c>
      <c r="G1290" s="1" t="s">
        <v>2573</v>
      </c>
      <c r="H1290" s="2">
        <v>1883.59</v>
      </c>
      <c r="I1290" s="2">
        <v>1883.59</v>
      </c>
    </row>
    <row r="1291">
      <c r="A1291" s="1" t="s">
        <v>2574</v>
      </c>
      <c r="B1291" s="2">
        <v>1510.12</v>
      </c>
      <c r="C1291" s="2">
        <v>1510.12</v>
      </c>
      <c r="D1291" s="2">
        <v>2639.16</v>
      </c>
      <c r="E1291" s="2">
        <v>2639.16</v>
      </c>
      <c r="G1291" s="1" t="s">
        <v>2575</v>
      </c>
      <c r="H1291" s="2">
        <v>1894.53</v>
      </c>
      <c r="I1291" s="2">
        <v>1894.53</v>
      </c>
    </row>
    <row r="1292">
      <c r="A1292" s="1" t="s">
        <v>2576</v>
      </c>
      <c r="B1292" s="2">
        <v>1518.76</v>
      </c>
      <c r="C1292" s="2">
        <v>1518.76</v>
      </c>
      <c r="D1292" s="2">
        <v>2651.79</v>
      </c>
      <c r="E1292" s="2">
        <v>2651.79</v>
      </c>
      <c r="G1292" s="1" t="s">
        <v>2577</v>
      </c>
      <c r="H1292" s="2">
        <v>1889.96</v>
      </c>
      <c r="I1292" s="2">
        <v>1889.96</v>
      </c>
    </row>
    <row r="1293">
      <c r="A1293" s="1" t="s">
        <v>2578</v>
      </c>
      <c r="B1293" s="2">
        <v>1547.7</v>
      </c>
      <c r="C1293" s="2">
        <v>1547.7</v>
      </c>
      <c r="D1293" s="2">
        <v>2701.73</v>
      </c>
      <c r="E1293" s="2">
        <v>2701.73</v>
      </c>
      <c r="G1293" s="1" t="s">
        <v>2579</v>
      </c>
      <c r="H1293" s="2">
        <v>1909.75</v>
      </c>
      <c r="I1293" s="2">
        <v>1909.75</v>
      </c>
    </row>
    <row r="1294">
      <c r="A1294" s="1" t="s">
        <v>2580</v>
      </c>
      <c r="B1294" s="2">
        <v>1552.5</v>
      </c>
      <c r="C1294" s="2">
        <v>1552.5</v>
      </c>
      <c r="D1294" s="2">
        <v>2707.0</v>
      </c>
      <c r="E1294" s="2">
        <v>2707.0</v>
      </c>
      <c r="G1294" s="1" t="s">
        <v>2581</v>
      </c>
      <c r="H1294" s="2">
        <v>1962.93</v>
      </c>
      <c r="I1294" s="2">
        <v>1962.93</v>
      </c>
    </row>
    <row r="1295">
      <c r="A1295" s="1" t="s">
        <v>2582</v>
      </c>
      <c r="B1295" s="2" t="s">
        <v>0</v>
      </c>
      <c r="C1295" s="2">
        <v>1552.5</v>
      </c>
      <c r="D1295" s="2" t="s">
        <v>0</v>
      </c>
      <c r="E1295" s="2">
        <v>2707.0</v>
      </c>
      <c r="G1295" s="1" t="s">
        <v>2583</v>
      </c>
      <c r="H1295" s="2" t="s">
        <v>0</v>
      </c>
      <c r="I1295" s="2">
        <v>1962.93</v>
      </c>
    </row>
    <row r="1296">
      <c r="A1296" s="1" t="s">
        <v>2584</v>
      </c>
      <c r="B1296" s="2" t="s">
        <v>0</v>
      </c>
      <c r="C1296" s="2">
        <v>1552.5</v>
      </c>
      <c r="D1296" s="2" t="s">
        <v>0</v>
      </c>
      <c r="E1296" s="2">
        <v>2707.0</v>
      </c>
      <c r="G1296" s="1" t="s">
        <v>2585</v>
      </c>
      <c r="H1296" s="2" t="s">
        <v>0</v>
      </c>
      <c r="I1296" s="2">
        <v>1962.93</v>
      </c>
    </row>
    <row r="1297">
      <c r="A1297" s="1" t="s">
        <v>2586</v>
      </c>
      <c r="B1297" s="2">
        <v>1549.52</v>
      </c>
      <c r="C1297" s="2">
        <v>1549.52</v>
      </c>
      <c r="D1297" s="2">
        <v>2697.33</v>
      </c>
      <c r="E1297" s="2">
        <v>2697.33</v>
      </c>
      <c r="G1297" s="1" t="s">
        <v>2587</v>
      </c>
      <c r="H1297" s="2">
        <v>1949.51</v>
      </c>
      <c r="I1297" s="2">
        <v>1949.51</v>
      </c>
    </row>
    <row r="1298">
      <c r="A1298" s="1" t="s">
        <v>2588</v>
      </c>
      <c r="B1298" s="2">
        <v>1549.37</v>
      </c>
      <c r="C1298" s="2">
        <v>1549.37</v>
      </c>
      <c r="D1298" s="2">
        <v>2712.29</v>
      </c>
      <c r="E1298" s="2">
        <v>2712.29</v>
      </c>
      <c r="G1298" s="1" t="s">
        <v>2589</v>
      </c>
      <c r="H1298" s="2" t="s">
        <v>0</v>
      </c>
      <c r="I1298" s="2">
        <v>1949.51</v>
      </c>
    </row>
    <row r="1299">
      <c r="A1299" s="1" t="s">
        <v>2590</v>
      </c>
      <c r="B1299" s="2">
        <v>1546.17</v>
      </c>
      <c r="C1299" s="2">
        <v>1546.17</v>
      </c>
      <c r="D1299" s="2">
        <v>2699.49</v>
      </c>
      <c r="E1299" s="2">
        <v>2699.49</v>
      </c>
      <c r="G1299" s="1" t="s">
        <v>2591</v>
      </c>
      <c r="H1299" s="2">
        <v>1930.7</v>
      </c>
      <c r="I1299" s="2">
        <v>1930.7</v>
      </c>
    </row>
    <row r="1300">
      <c r="A1300" s="1" t="s">
        <v>2592</v>
      </c>
      <c r="B1300" s="2">
        <v>1553.08</v>
      </c>
      <c r="C1300" s="2">
        <v>1553.08</v>
      </c>
      <c r="D1300" s="2">
        <v>2720.04</v>
      </c>
      <c r="E1300" s="2">
        <v>2720.04</v>
      </c>
      <c r="G1300" s="1" t="s">
        <v>2593</v>
      </c>
      <c r="H1300" s="2">
        <v>1937.9</v>
      </c>
      <c r="I1300" s="2">
        <v>1937.9</v>
      </c>
    </row>
    <row r="1301">
      <c r="A1301" s="1" t="s">
        <v>2594</v>
      </c>
      <c r="B1301" s="2">
        <v>1534.1</v>
      </c>
      <c r="C1301" s="2">
        <v>1534.1</v>
      </c>
      <c r="D1301" s="2">
        <v>2687.6</v>
      </c>
      <c r="E1301" s="2">
        <v>2687.6</v>
      </c>
      <c r="G1301" s="1" t="s">
        <v>2595</v>
      </c>
      <c r="H1301" s="2">
        <v>1983.54</v>
      </c>
      <c r="I1301" s="2">
        <v>1983.54</v>
      </c>
    </row>
    <row r="1302">
      <c r="A1302" s="1" t="s">
        <v>2596</v>
      </c>
      <c r="B1302" s="2" t="s">
        <v>0</v>
      </c>
      <c r="C1302" s="2">
        <v>1534.1</v>
      </c>
      <c r="D1302" s="2" t="s">
        <v>0</v>
      </c>
      <c r="E1302" s="2">
        <v>2687.6</v>
      </c>
      <c r="G1302" s="1" t="s">
        <v>2597</v>
      </c>
      <c r="H1302" s="2" t="s">
        <v>0</v>
      </c>
      <c r="I1302" s="2">
        <v>1983.54</v>
      </c>
    </row>
    <row r="1303">
      <c r="A1303" s="1" t="s">
        <v>2598</v>
      </c>
      <c r="B1303" s="2" t="s">
        <v>0</v>
      </c>
      <c r="C1303" s="2">
        <v>1534.1</v>
      </c>
      <c r="D1303" s="2" t="s">
        <v>0</v>
      </c>
      <c r="E1303" s="2">
        <v>2687.6</v>
      </c>
      <c r="G1303" s="1" t="s">
        <v>2599</v>
      </c>
      <c r="H1303" s="2" t="s">
        <v>0</v>
      </c>
      <c r="I1303" s="2">
        <v>1983.54</v>
      </c>
    </row>
    <row r="1304">
      <c r="A1304" s="1" t="s">
        <v>2600</v>
      </c>
      <c r="B1304" s="2">
        <v>1541.57</v>
      </c>
      <c r="C1304" s="2">
        <v>1541.57</v>
      </c>
      <c r="D1304" s="2">
        <v>2690.58</v>
      </c>
      <c r="E1304" s="2">
        <v>2690.58</v>
      </c>
      <c r="G1304" s="1" t="s">
        <v>2601</v>
      </c>
      <c r="H1304" s="2">
        <v>1993.05</v>
      </c>
      <c r="I1304" s="2">
        <v>1993.05</v>
      </c>
    </row>
    <row r="1305">
      <c r="A1305" s="1" t="s">
        <v>2602</v>
      </c>
      <c r="B1305" s="2">
        <v>1511.04</v>
      </c>
      <c r="C1305" s="2">
        <v>1511.04</v>
      </c>
      <c r="D1305" s="2">
        <v>2639.86</v>
      </c>
      <c r="E1305" s="2">
        <v>2639.86</v>
      </c>
      <c r="G1305" s="1" t="s">
        <v>2603</v>
      </c>
      <c r="H1305" s="2">
        <v>1992.26</v>
      </c>
      <c r="I1305" s="2">
        <v>1992.26</v>
      </c>
    </row>
    <row r="1306">
      <c r="A1306" s="1" t="s">
        <v>2604</v>
      </c>
      <c r="B1306" s="2">
        <v>1518.09</v>
      </c>
      <c r="C1306" s="2">
        <v>1518.09</v>
      </c>
      <c r="D1306" s="2">
        <v>2648.17</v>
      </c>
      <c r="E1306" s="2">
        <v>2648.17</v>
      </c>
      <c r="G1306" s="1" t="s">
        <v>2605</v>
      </c>
      <c r="H1306" s="2">
        <v>2004.22</v>
      </c>
      <c r="I1306" s="2">
        <v>2004.22</v>
      </c>
    </row>
    <row r="1307">
      <c r="A1307" s="1" t="s">
        <v>2606</v>
      </c>
      <c r="B1307" s="2">
        <v>1482.66</v>
      </c>
      <c r="C1307" s="2">
        <v>1482.66</v>
      </c>
      <c r="D1307" s="2">
        <v>2599.34</v>
      </c>
      <c r="E1307" s="2">
        <v>2599.34</v>
      </c>
      <c r="G1307" s="1" t="s">
        <v>2607</v>
      </c>
      <c r="H1307" s="2">
        <v>1963.54</v>
      </c>
      <c r="I1307" s="2">
        <v>1963.54</v>
      </c>
    </row>
    <row r="1308">
      <c r="A1308" s="1" t="s">
        <v>2608</v>
      </c>
      <c r="B1308" s="2">
        <v>1458.95</v>
      </c>
      <c r="C1308" s="2">
        <v>1458.95</v>
      </c>
      <c r="D1308" s="2">
        <v>2562.24</v>
      </c>
      <c r="E1308" s="2">
        <v>2562.24</v>
      </c>
      <c r="G1308" s="1" t="s">
        <v>2609</v>
      </c>
      <c r="H1308" s="2">
        <v>1883.22</v>
      </c>
      <c r="I1308" s="2">
        <v>1883.22</v>
      </c>
    </row>
    <row r="1309">
      <c r="A1309" s="1" t="s">
        <v>2610</v>
      </c>
      <c r="B1309" s="2" t="s">
        <v>0</v>
      </c>
      <c r="C1309" s="2">
        <v>1458.95</v>
      </c>
      <c r="D1309" s="2" t="s">
        <v>0</v>
      </c>
      <c r="E1309" s="2">
        <v>2562.24</v>
      </c>
      <c r="G1309" s="1" t="s">
        <v>2611</v>
      </c>
      <c r="H1309" s="2" t="s">
        <v>0</v>
      </c>
      <c r="I1309" s="2">
        <v>1883.22</v>
      </c>
    </row>
    <row r="1310">
      <c r="A1310" s="1" t="s">
        <v>2612</v>
      </c>
      <c r="B1310" s="2" t="s">
        <v>0</v>
      </c>
      <c r="C1310" s="2">
        <v>1458.95</v>
      </c>
      <c r="D1310" s="2" t="s">
        <v>0</v>
      </c>
      <c r="E1310" s="2">
        <v>2562.24</v>
      </c>
      <c r="G1310" s="1" t="s">
        <v>2613</v>
      </c>
      <c r="H1310" s="2" t="s">
        <v>0</v>
      </c>
      <c r="I1310" s="2">
        <v>1883.22</v>
      </c>
    </row>
    <row r="1311">
      <c r="A1311" s="1" t="s">
        <v>2614</v>
      </c>
      <c r="B1311" s="2">
        <v>1473.91</v>
      </c>
      <c r="C1311" s="2">
        <v>1473.91</v>
      </c>
      <c r="D1311" s="2">
        <v>2583.28</v>
      </c>
      <c r="E1311" s="2">
        <v>2583.28</v>
      </c>
      <c r="G1311" s="1" t="s">
        <v>2615</v>
      </c>
      <c r="H1311" s="2">
        <v>1906.71</v>
      </c>
      <c r="I1311" s="2">
        <v>1906.71</v>
      </c>
    </row>
    <row r="1312">
      <c r="A1312" s="1" t="s">
        <v>2616</v>
      </c>
      <c r="B1312" s="2">
        <v>1455.27</v>
      </c>
      <c r="C1312" s="2">
        <v>1455.27</v>
      </c>
      <c r="D1312" s="2">
        <v>2546.27</v>
      </c>
      <c r="E1312" s="2">
        <v>2546.27</v>
      </c>
      <c r="G1312" s="1" t="s">
        <v>2617</v>
      </c>
      <c r="H1312" s="2">
        <v>1933.27</v>
      </c>
      <c r="I1312" s="2">
        <v>1933.27</v>
      </c>
    </row>
    <row r="1313">
      <c r="A1313" s="1" t="s">
        <v>2618</v>
      </c>
      <c r="B1313" s="2">
        <v>1465.81</v>
      </c>
      <c r="C1313" s="2">
        <v>1465.81</v>
      </c>
      <c r="D1313" s="2">
        <v>2553.87</v>
      </c>
      <c r="E1313" s="2">
        <v>2553.87</v>
      </c>
      <c r="G1313" s="1" t="s">
        <v>2619</v>
      </c>
      <c r="H1313" s="2">
        <v>1856.45</v>
      </c>
      <c r="I1313" s="2">
        <v>1856.45</v>
      </c>
    </row>
    <row r="1314">
      <c r="A1314" s="1" t="s">
        <v>2620</v>
      </c>
      <c r="B1314" s="2">
        <v>1472.2</v>
      </c>
      <c r="C1314" s="2">
        <v>1472.2</v>
      </c>
      <c r="D1314" s="2">
        <v>2575.98</v>
      </c>
      <c r="E1314" s="2">
        <v>2575.98</v>
      </c>
      <c r="G1314" s="1" t="s">
        <v>2621</v>
      </c>
      <c r="H1314" s="2">
        <v>1853.07</v>
      </c>
      <c r="I1314" s="2">
        <v>1853.07</v>
      </c>
    </row>
    <row r="1315">
      <c r="A1315" s="1" t="s">
        <v>2622</v>
      </c>
      <c r="B1315" s="2">
        <v>1433.06</v>
      </c>
      <c r="C1315" s="2">
        <v>1433.06</v>
      </c>
      <c r="D1315" s="2">
        <v>2511.25</v>
      </c>
      <c r="E1315" s="2">
        <v>2511.25</v>
      </c>
      <c r="G1315" s="1" t="s">
        <v>2623</v>
      </c>
      <c r="H1315" s="2">
        <v>1876.8</v>
      </c>
      <c r="I1315" s="2">
        <v>1876.8</v>
      </c>
    </row>
    <row r="1316">
      <c r="A1316" s="1" t="s">
        <v>2624</v>
      </c>
      <c r="B1316" s="2" t="s">
        <v>0</v>
      </c>
      <c r="C1316" s="2">
        <v>1433.06</v>
      </c>
      <c r="D1316" s="2" t="s">
        <v>0</v>
      </c>
      <c r="E1316" s="2">
        <v>2511.25</v>
      </c>
      <c r="G1316" s="1" t="s">
        <v>2625</v>
      </c>
      <c r="H1316" s="2" t="s">
        <v>0</v>
      </c>
      <c r="I1316" s="2">
        <v>1876.8</v>
      </c>
    </row>
    <row r="1317">
      <c r="A1317" s="1" t="s">
        <v>2626</v>
      </c>
      <c r="B1317" s="2" t="s">
        <v>0</v>
      </c>
      <c r="C1317" s="2">
        <v>1433.06</v>
      </c>
      <c r="D1317" s="2" t="s">
        <v>0</v>
      </c>
      <c r="E1317" s="2">
        <v>2511.25</v>
      </c>
      <c r="G1317" s="1" t="s">
        <v>2627</v>
      </c>
      <c r="H1317" s="2" t="s">
        <v>0</v>
      </c>
      <c r="I1317" s="2">
        <v>1876.8</v>
      </c>
    </row>
    <row r="1318">
      <c r="A1318" s="1" t="s">
        <v>2628</v>
      </c>
      <c r="B1318" s="2">
        <v>1467.67</v>
      </c>
      <c r="C1318" s="2">
        <v>1467.67</v>
      </c>
      <c r="D1318" s="2">
        <v>2547.33</v>
      </c>
      <c r="E1318" s="2">
        <v>2547.33</v>
      </c>
      <c r="G1318" s="1" t="s">
        <v>2629</v>
      </c>
      <c r="H1318" s="2">
        <v>1855.05</v>
      </c>
      <c r="I1318" s="2">
        <v>1855.05</v>
      </c>
    </row>
    <row r="1319">
      <c r="A1319" s="1" t="s">
        <v>2630</v>
      </c>
      <c r="B1319" s="2">
        <v>1476.71</v>
      </c>
      <c r="C1319" s="2">
        <v>1476.71</v>
      </c>
      <c r="D1319" s="2">
        <v>2561.6</v>
      </c>
      <c r="E1319" s="2">
        <v>2561.6</v>
      </c>
      <c r="G1319" s="1" t="s">
        <v>2631</v>
      </c>
      <c r="H1319" s="2">
        <v>1859.82</v>
      </c>
      <c r="I1319" s="2">
        <v>1859.82</v>
      </c>
    </row>
    <row r="1320">
      <c r="A1320" s="1" t="s">
        <v>2632</v>
      </c>
      <c r="B1320" s="2">
        <v>1497.49</v>
      </c>
      <c r="C1320" s="2">
        <v>1497.49</v>
      </c>
      <c r="D1320" s="2">
        <v>2612.98</v>
      </c>
      <c r="E1320" s="2">
        <v>2612.98</v>
      </c>
      <c r="G1320" s="1" t="s">
        <v>2633</v>
      </c>
      <c r="H1320" s="2">
        <v>1903.41</v>
      </c>
      <c r="I1320" s="2">
        <v>1903.41</v>
      </c>
    </row>
    <row r="1321">
      <c r="A1321" s="1" t="s">
        <v>2634</v>
      </c>
      <c r="B1321" s="2">
        <v>1453.09</v>
      </c>
      <c r="C1321" s="2">
        <v>1453.09</v>
      </c>
      <c r="D1321" s="2">
        <v>2556.49</v>
      </c>
      <c r="E1321" s="2">
        <v>2556.49</v>
      </c>
      <c r="G1321" s="1" t="s">
        <v>2635</v>
      </c>
      <c r="H1321" s="2">
        <v>1908.68</v>
      </c>
      <c r="I1321" s="2">
        <v>1908.68</v>
      </c>
    </row>
    <row r="1322">
      <c r="A1322" s="1" t="s">
        <v>2636</v>
      </c>
      <c r="B1322" s="2">
        <v>1453.64</v>
      </c>
      <c r="C1322" s="2">
        <v>1453.64</v>
      </c>
      <c r="D1322" s="2">
        <v>2544.89</v>
      </c>
      <c r="E1322" s="2">
        <v>2544.89</v>
      </c>
      <c r="G1322" s="1" t="s">
        <v>2637</v>
      </c>
      <c r="H1322" s="2">
        <v>1828.49</v>
      </c>
      <c r="I1322" s="2">
        <v>1828.49</v>
      </c>
    </row>
    <row r="1323">
      <c r="A1323" s="1" t="s">
        <v>2638</v>
      </c>
      <c r="B1323" s="2" t="s">
        <v>0</v>
      </c>
      <c r="C1323" s="2">
        <v>1453.64</v>
      </c>
      <c r="D1323" s="2" t="s">
        <v>0</v>
      </c>
      <c r="E1323" s="2">
        <v>2544.89</v>
      </c>
      <c r="G1323" s="1" t="s">
        <v>2639</v>
      </c>
      <c r="H1323" s="2" t="s">
        <v>0</v>
      </c>
      <c r="I1323" s="2">
        <v>1828.49</v>
      </c>
    </row>
    <row r="1324">
      <c r="A1324" s="1" t="s">
        <v>2640</v>
      </c>
      <c r="B1324" s="2" t="s">
        <v>0</v>
      </c>
      <c r="C1324" s="2">
        <v>1453.64</v>
      </c>
      <c r="D1324" s="2" t="s">
        <v>0</v>
      </c>
      <c r="E1324" s="2">
        <v>2544.89</v>
      </c>
      <c r="G1324" s="1" t="s">
        <v>2641</v>
      </c>
      <c r="H1324" s="2" t="s">
        <v>0</v>
      </c>
      <c r="I1324" s="2">
        <v>1828.49</v>
      </c>
    </row>
    <row r="1325">
      <c r="A1325" s="1" t="s">
        <v>2642</v>
      </c>
      <c r="B1325" s="2">
        <v>1452.92</v>
      </c>
      <c r="C1325" s="2">
        <v>1452.92</v>
      </c>
      <c r="D1325" s="2">
        <v>2542.24</v>
      </c>
      <c r="E1325" s="2">
        <v>2542.24</v>
      </c>
      <c r="G1325" s="1" t="s">
        <v>2643</v>
      </c>
      <c r="H1325" s="2">
        <v>1849.26</v>
      </c>
      <c r="I1325" s="2">
        <v>1849.26</v>
      </c>
    </row>
    <row r="1326">
      <c r="A1326" s="1" t="s">
        <v>2644</v>
      </c>
      <c r="B1326" s="2">
        <v>1426.54</v>
      </c>
      <c r="C1326" s="2">
        <v>1426.54</v>
      </c>
      <c r="D1326" s="2">
        <v>2499.12</v>
      </c>
      <c r="E1326" s="2">
        <v>2499.12</v>
      </c>
      <c r="G1326" s="1" t="s">
        <v>2645</v>
      </c>
      <c r="H1326" s="2">
        <v>1817.89</v>
      </c>
      <c r="I1326" s="2">
        <v>1817.89</v>
      </c>
    </row>
    <row r="1327">
      <c r="A1327" s="1" t="s">
        <v>2646</v>
      </c>
      <c r="B1327" s="2">
        <v>1406.7</v>
      </c>
      <c r="C1327" s="2">
        <v>1406.7</v>
      </c>
      <c r="D1327" s="2">
        <v>2458.83</v>
      </c>
      <c r="E1327" s="2">
        <v>2458.83</v>
      </c>
      <c r="G1327" s="1" t="s">
        <v>2647</v>
      </c>
      <c r="H1327" s="2" t="s">
        <v>0</v>
      </c>
      <c r="I1327" s="2">
        <v>1817.89</v>
      </c>
    </row>
    <row r="1328">
      <c r="A1328" s="1" t="s">
        <v>2648</v>
      </c>
      <c r="B1328" s="2">
        <v>1411.27</v>
      </c>
      <c r="C1328" s="2">
        <v>1411.27</v>
      </c>
      <c r="D1328" s="2">
        <v>2451.07</v>
      </c>
      <c r="E1328" s="2">
        <v>2451.07</v>
      </c>
      <c r="G1328" s="1" t="s">
        <v>2649</v>
      </c>
      <c r="H1328" s="2">
        <v>1691.98</v>
      </c>
      <c r="I1328" s="2">
        <v>1691.98</v>
      </c>
    </row>
    <row r="1329">
      <c r="A1329" s="1" t="s">
        <v>2650</v>
      </c>
      <c r="B1329" s="2">
        <v>1445.94</v>
      </c>
      <c r="C1329" s="2">
        <v>1445.94</v>
      </c>
      <c r="D1329" s="2">
        <v>2505.03</v>
      </c>
      <c r="E1329" s="2">
        <v>2505.03</v>
      </c>
      <c r="G1329" s="1" t="s">
        <v>2651</v>
      </c>
      <c r="H1329" s="2">
        <v>1638.07</v>
      </c>
      <c r="I1329" s="2">
        <v>1638.07</v>
      </c>
    </row>
    <row r="1330">
      <c r="A1330" s="1" t="s">
        <v>2652</v>
      </c>
      <c r="B1330" s="2" t="s">
        <v>0</v>
      </c>
      <c r="C1330" s="2">
        <v>1445.94</v>
      </c>
      <c r="D1330" s="2" t="s">
        <v>0</v>
      </c>
      <c r="E1330" s="2">
        <v>2505.03</v>
      </c>
      <c r="G1330" s="1" t="s">
        <v>2653</v>
      </c>
      <c r="H1330" s="2" t="s">
        <v>0</v>
      </c>
      <c r="I1330" s="2">
        <v>1638.07</v>
      </c>
    </row>
    <row r="1331">
      <c r="A1331" s="1" t="s">
        <v>2654</v>
      </c>
      <c r="B1331" s="2" t="s">
        <v>0</v>
      </c>
      <c r="C1331" s="2">
        <v>1445.94</v>
      </c>
      <c r="D1331" s="2" t="s">
        <v>0</v>
      </c>
      <c r="E1331" s="2">
        <v>2505.03</v>
      </c>
      <c r="G1331" s="1" t="s">
        <v>2655</v>
      </c>
      <c r="H1331" s="2" t="s">
        <v>0</v>
      </c>
      <c r="I1331" s="2">
        <v>1638.07</v>
      </c>
    </row>
    <row r="1332">
      <c r="A1332" s="1" t="s">
        <v>2656</v>
      </c>
      <c r="B1332" s="2">
        <v>1445.55</v>
      </c>
      <c r="C1332" s="2">
        <v>1445.55</v>
      </c>
      <c r="D1332" s="2">
        <v>2508.59</v>
      </c>
      <c r="E1332" s="2">
        <v>2508.59</v>
      </c>
      <c r="G1332" s="1" t="s">
        <v>2657</v>
      </c>
      <c r="H1332" s="2">
        <v>1731.27</v>
      </c>
      <c r="I1332" s="2">
        <v>1731.27</v>
      </c>
    </row>
    <row r="1333">
      <c r="A1333" s="1" t="s">
        <v>2658</v>
      </c>
      <c r="B1333" s="2">
        <v>1447.12</v>
      </c>
      <c r="C1333" s="2">
        <v>1447.12</v>
      </c>
      <c r="D1333" s="2">
        <v>2521.3</v>
      </c>
      <c r="E1333" s="2">
        <v>2521.3</v>
      </c>
      <c r="G1333" s="1" t="s">
        <v>2659</v>
      </c>
      <c r="H1333" s="2">
        <v>1736.18</v>
      </c>
      <c r="I1333" s="2">
        <v>1736.18</v>
      </c>
    </row>
    <row r="1334">
      <c r="A1334" s="1" t="s">
        <v>2660</v>
      </c>
      <c r="B1334" s="2">
        <v>1464.07</v>
      </c>
      <c r="C1334" s="2">
        <v>1464.07</v>
      </c>
      <c r="D1334" s="2">
        <v>2552.8</v>
      </c>
      <c r="E1334" s="2">
        <v>2552.8</v>
      </c>
      <c r="G1334" s="1" t="s">
        <v>2661</v>
      </c>
      <c r="H1334" s="2">
        <v>1759.5</v>
      </c>
      <c r="I1334" s="2">
        <v>1759.5</v>
      </c>
    </row>
    <row r="1335">
      <c r="A1335" s="1" t="s">
        <v>2662</v>
      </c>
      <c r="B1335" s="2">
        <v>1462.5</v>
      </c>
      <c r="C1335" s="2">
        <v>1462.5</v>
      </c>
      <c r="D1335" s="2">
        <v>2541.7</v>
      </c>
      <c r="E1335" s="2">
        <v>2541.7</v>
      </c>
      <c r="G1335" s="1" t="s">
        <v>2663</v>
      </c>
      <c r="H1335" s="2">
        <v>1799.72</v>
      </c>
      <c r="I1335" s="2">
        <v>1799.72</v>
      </c>
    </row>
    <row r="1336">
      <c r="A1336" s="1" t="s">
        <v>2664</v>
      </c>
      <c r="B1336" s="2">
        <v>1479.37</v>
      </c>
      <c r="C1336" s="2">
        <v>1479.37</v>
      </c>
      <c r="D1336" s="2">
        <v>2576.69</v>
      </c>
      <c r="E1336" s="2">
        <v>2576.69</v>
      </c>
      <c r="G1336" s="1" t="s">
        <v>2665</v>
      </c>
      <c r="H1336" s="2">
        <v>1791.33</v>
      </c>
      <c r="I1336" s="2">
        <v>1791.33</v>
      </c>
    </row>
    <row r="1337">
      <c r="A1337" s="1" t="s">
        <v>2666</v>
      </c>
      <c r="B1337" s="2" t="s">
        <v>0</v>
      </c>
      <c r="C1337" s="2">
        <v>1479.37</v>
      </c>
      <c r="D1337" s="2" t="s">
        <v>0</v>
      </c>
      <c r="E1337" s="2">
        <v>2576.69</v>
      </c>
      <c r="G1337" s="1" t="s">
        <v>2667</v>
      </c>
      <c r="H1337" s="2" t="s">
        <v>0</v>
      </c>
      <c r="I1337" s="2">
        <v>1791.33</v>
      </c>
    </row>
    <row r="1338">
      <c r="A1338" s="1" t="s">
        <v>2668</v>
      </c>
      <c r="B1338" s="2" t="s">
        <v>0</v>
      </c>
      <c r="C1338" s="2">
        <v>1479.37</v>
      </c>
      <c r="D1338" s="2" t="s">
        <v>0</v>
      </c>
      <c r="E1338" s="2">
        <v>2576.69</v>
      </c>
      <c r="G1338" s="1" t="s">
        <v>2669</v>
      </c>
      <c r="H1338" s="2" t="s">
        <v>0</v>
      </c>
      <c r="I1338" s="2">
        <v>1791.33</v>
      </c>
    </row>
    <row r="1339">
      <c r="A1339" s="1" t="s">
        <v>2670</v>
      </c>
      <c r="B1339" s="2">
        <v>1466.79</v>
      </c>
      <c r="C1339" s="2">
        <v>1466.79</v>
      </c>
      <c r="D1339" s="2">
        <v>2561.25</v>
      </c>
      <c r="E1339" s="2">
        <v>2561.25</v>
      </c>
      <c r="G1339" s="1" t="s">
        <v>2671</v>
      </c>
      <c r="H1339" s="2">
        <v>1803.03</v>
      </c>
      <c r="I1339" s="2">
        <v>1803.03</v>
      </c>
    </row>
    <row r="1340">
      <c r="A1340" s="1" t="s">
        <v>2672</v>
      </c>
      <c r="B1340" s="2">
        <v>1432.36</v>
      </c>
      <c r="C1340" s="2">
        <v>1432.36</v>
      </c>
      <c r="D1340" s="2">
        <v>2500.64</v>
      </c>
      <c r="E1340" s="2">
        <v>2500.64</v>
      </c>
      <c r="G1340" s="1" t="s">
        <v>2673</v>
      </c>
      <c r="H1340" s="2">
        <v>1829.31</v>
      </c>
      <c r="I1340" s="2">
        <v>1829.31</v>
      </c>
    </row>
    <row r="1341">
      <c r="A1341" s="1" t="s">
        <v>2674</v>
      </c>
      <c r="B1341" s="2">
        <v>1463.76</v>
      </c>
      <c r="C1341" s="2">
        <v>1463.76</v>
      </c>
      <c r="D1341" s="2">
        <v>2563.16</v>
      </c>
      <c r="E1341" s="2">
        <v>2563.16</v>
      </c>
      <c r="G1341" s="1" t="s">
        <v>2675</v>
      </c>
      <c r="H1341" s="2">
        <v>1826.19</v>
      </c>
      <c r="I1341" s="2">
        <v>1826.19</v>
      </c>
    </row>
    <row r="1342">
      <c r="A1342" s="1" t="s">
        <v>2676</v>
      </c>
      <c r="B1342" s="2">
        <v>1457.64</v>
      </c>
      <c r="C1342" s="2">
        <v>1457.64</v>
      </c>
      <c r="D1342" s="2">
        <v>2565.3</v>
      </c>
      <c r="E1342" s="2">
        <v>2565.3</v>
      </c>
      <c r="G1342" s="1" t="s">
        <v>2677</v>
      </c>
      <c r="H1342" s="2">
        <v>1841.7</v>
      </c>
      <c r="I1342" s="2">
        <v>1841.7</v>
      </c>
    </row>
    <row r="1343">
      <c r="A1343" s="1" t="s">
        <v>2678</v>
      </c>
      <c r="B1343" s="2">
        <v>1473.99</v>
      </c>
      <c r="C1343" s="2">
        <v>1473.99</v>
      </c>
      <c r="D1343" s="2">
        <v>2596.36</v>
      </c>
      <c r="E1343" s="2">
        <v>2596.36</v>
      </c>
      <c r="G1343" s="1" t="s">
        <v>2679</v>
      </c>
      <c r="H1343" s="2">
        <v>1873.24</v>
      </c>
      <c r="I1343" s="2">
        <v>1873.24</v>
      </c>
    </row>
    <row r="1344">
      <c r="A1344" s="1" t="s">
        <v>2680</v>
      </c>
      <c r="B1344" s="2" t="s">
        <v>0</v>
      </c>
      <c r="C1344" s="2">
        <v>1473.99</v>
      </c>
      <c r="D1344" s="2" t="s">
        <v>0</v>
      </c>
      <c r="E1344" s="2">
        <v>2596.36</v>
      </c>
      <c r="G1344" s="1" t="s">
        <v>2681</v>
      </c>
      <c r="H1344" s="2" t="s">
        <v>0</v>
      </c>
      <c r="I1344" s="2">
        <v>1873.24</v>
      </c>
    </row>
    <row r="1345">
      <c r="A1345" s="1" t="s">
        <v>2682</v>
      </c>
      <c r="B1345" s="2" t="s">
        <v>0</v>
      </c>
      <c r="C1345" s="2">
        <v>1473.99</v>
      </c>
      <c r="D1345" s="2" t="s">
        <v>0</v>
      </c>
      <c r="E1345" s="2">
        <v>2596.36</v>
      </c>
      <c r="G1345" s="1" t="s">
        <v>2683</v>
      </c>
      <c r="H1345" s="2" t="s">
        <v>0</v>
      </c>
      <c r="I1345" s="2">
        <v>1873.24</v>
      </c>
    </row>
    <row r="1346">
      <c r="A1346" s="1" t="s">
        <v>2684</v>
      </c>
      <c r="B1346" s="2" t="s">
        <v>0</v>
      </c>
      <c r="C1346" s="2">
        <v>1473.99</v>
      </c>
      <c r="D1346" s="2" t="s">
        <v>0</v>
      </c>
      <c r="E1346" s="2">
        <v>2596.36</v>
      </c>
      <c r="G1346" s="1" t="s">
        <v>2685</v>
      </c>
      <c r="H1346" s="2">
        <v>1881.81</v>
      </c>
      <c r="I1346" s="2">
        <v>1881.81</v>
      </c>
    </row>
    <row r="1347">
      <c r="A1347" s="1" t="s">
        <v>2686</v>
      </c>
      <c r="B1347" s="2">
        <v>1489.42</v>
      </c>
      <c r="C1347" s="2">
        <v>1489.42</v>
      </c>
      <c r="D1347" s="2">
        <v>2630.24</v>
      </c>
      <c r="E1347" s="2">
        <v>2630.24</v>
      </c>
      <c r="G1347" s="1" t="s">
        <v>2687</v>
      </c>
      <c r="H1347" s="2">
        <v>1874.74</v>
      </c>
      <c r="I1347" s="2">
        <v>1874.74</v>
      </c>
    </row>
    <row r="1348">
      <c r="A1348" s="1" t="s">
        <v>2688</v>
      </c>
      <c r="B1348" s="2">
        <v>1472.29</v>
      </c>
      <c r="C1348" s="2">
        <v>1472.29</v>
      </c>
      <c r="D1348" s="2">
        <v>2605.95</v>
      </c>
      <c r="E1348" s="2">
        <v>2605.95</v>
      </c>
      <c r="G1348" s="1" t="s">
        <v>2689</v>
      </c>
      <c r="H1348" s="2">
        <v>1865.59</v>
      </c>
      <c r="I1348" s="2">
        <v>1865.59</v>
      </c>
    </row>
    <row r="1349">
      <c r="A1349" s="1" t="s">
        <v>2690</v>
      </c>
      <c r="B1349" s="2">
        <v>1478.55</v>
      </c>
      <c r="C1349" s="2">
        <v>1478.55</v>
      </c>
      <c r="D1349" s="2">
        <v>2614.32</v>
      </c>
      <c r="E1349" s="2">
        <v>2614.32</v>
      </c>
      <c r="G1349" s="1" t="s">
        <v>2691</v>
      </c>
      <c r="H1349" s="2">
        <v>1888.81</v>
      </c>
      <c r="I1349" s="2">
        <v>1888.81</v>
      </c>
    </row>
    <row r="1350">
      <c r="A1350" s="1" t="s">
        <v>2692</v>
      </c>
      <c r="B1350" s="2">
        <v>1453.55</v>
      </c>
      <c r="C1350" s="2">
        <v>1453.55</v>
      </c>
      <c r="D1350" s="2">
        <v>2565.7</v>
      </c>
      <c r="E1350" s="2">
        <v>2565.7</v>
      </c>
      <c r="G1350" s="1" t="s">
        <v>2693</v>
      </c>
      <c r="H1350" s="2">
        <v>1884.9</v>
      </c>
      <c r="I1350" s="2">
        <v>1884.9</v>
      </c>
    </row>
    <row r="1351">
      <c r="A1351" s="1" t="s">
        <v>2694</v>
      </c>
      <c r="B1351" s="2" t="s">
        <v>0</v>
      </c>
      <c r="C1351" s="2">
        <v>1453.55</v>
      </c>
      <c r="D1351" s="2" t="s">
        <v>0</v>
      </c>
      <c r="E1351" s="2">
        <v>2565.7</v>
      </c>
      <c r="G1351" s="1" t="s">
        <v>2695</v>
      </c>
      <c r="H1351" s="2" t="s">
        <v>0</v>
      </c>
      <c r="I1351" s="2">
        <v>1884.9</v>
      </c>
    </row>
    <row r="1352">
      <c r="A1352" s="1" t="s">
        <v>2696</v>
      </c>
      <c r="B1352" s="2" t="s">
        <v>0</v>
      </c>
      <c r="C1352" s="2">
        <v>1453.55</v>
      </c>
      <c r="D1352" s="2" t="s">
        <v>0</v>
      </c>
      <c r="E1352" s="2">
        <v>2565.7</v>
      </c>
      <c r="G1352" s="1" t="s">
        <v>2697</v>
      </c>
      <c r="H1352" s="2" t="s">
        <v>0</v>
      </c>
      <c r="I1352" s="2">
        <v>1884.9</v>
      </c>
    </row>
    <row r="1353">
      <c r="A1353" s="1" t="s">
        <v>2698</v>
      </c>
      <c r="B1353" s="2">
        <v>1451.7</v>
      </c>
      <c r="C1353" s="2">
        <v>1451.7</v>
      </c>
      <c r="D1353" s="2">
        <v>2559.11</v>
      </c>
      <c r="E1353" s="2">
        <v>2559.11</v>
      </c>
      <c r="G1353" s="1" t="s">
        <v>2699</v>
      </c>
      <c r="H1353" s="2">
        <v>1835.87</v>
      </c>
      <c r="I1353" s="2">
        <v>1835.87</v>
      </c>
    </row>
    <row r="1354">
      <c r="A1354" s="1" t="s">
        <v>2700</v>
      </c>
      <c r="B1354" s="2">
        <v>1471.49</v>
      </c>
      <c r="C1354" s="2">
        <v>1471.49</v>
      </c>
      <c r="D1354" s="2">
        <v>2597.47</v>
      </c>
      <c r="E1354" s="2">
        <v>2597.47</v>
      </c>
      <c r="G1354" s="1" t="s">
        <v>2701</v>
      </c>
      <c r="H1354" s="2">
        <v>1847.36</v>
      </c>
      <c r="I1354" s="2">
        <v>1847.36</v>
      </c>
    </row>
    <row r="1355">
      <c r="A1355" s="1" t="s">
        <v>2702</v>
      </c>
      <c r="B1355" s="2">
        <v>1471.56</v>
      </c>
      <c r="C1355" s="2">
        <v>1471.56</v>
      </c>
      <c r="D1355" s="2">
        <v>2592.07</v>
      </c>
      <c r="E1355" s="2">
        <v>2592.07</v>
      </c>
      <c r="G1355" s="1" t="s">
        <v>2703</v>
      </c>
      <c r="H1355" s="2">
        <v>1813.52</v>
      </c>
      <c r="I1355" s="2">
        <v>1813.52</v>
      </c>
    </row>
    <row r="1356">
      <c r="A1356" s="1" t="s">
        <v>2704</v>
      </c>
      <c r="B1356" s="2">
        <v>1483.95</v>
      </c>
      <c r="C1356" s="2">
        <v>1483.95</v>
      </c>
      <c r="D1356" s="2">
        <v>2601.06</v>
      </c>
      <c r="E1356" s="2">
        <v>2601.06</v>
      </c>
      <c r="G1356" s="1" t="s">
        <v>2705</v>
      </c>
      <c r="H1356" s="2">
        <v>1848.02</v>
      </c>
      <c r="I1356" s="2">
        <v>1848.02</v>
      </c>
    </row>
    <row r="1357">
      <c r="A1357" s="1" t="s">
        <v>2706</v>
      </c>
      <c r="B1357" s="2">
        <v>1484.25</v>
      </c>
      <c r="C1357" s="2">
        <v>1484.25</v>
      </c>
      <c r="D1357" s="2">
        <v>2602.18</v>
      </c>
      <c r="E1357" s="2">
        <v>2602.18</v>
      </c>
      <c r="G1357" s="1" t="s">
        <v>2707</v>
      </c>
      <c r="H1357" s="2">
        <v>1870.02</v>
      </c>
      <c r="I1357" s="2">
        <v>1870.02</v>
      </c>
    </row>
    <row r="1358">
      <c r="A1358" s="1" t="s">
        <v>2708</v>
      </c>
      <c r="B1358" s="2" t="s">
        <v>0</v>
      </c>
      <c r="C1358" s="2">
        <v>1484.25</v>
      </c>
      <c r="D1358" s="2" t="s">
        <v>0</v>
      </c>
      <c r="E1358" s="2">
        <v>2602.18</v>
      </c>
      <c r="G1358" s="1" t="s">
        <v>2709</v>
      </c>
      <c r="H1358" s="2" t="s">
        <v>0</v>
      </c>
      <c r="I1358" s="2">
        <v>1870.02</v>
      </c>
    </row>
    <row r="1359">
      <c r="A1359" s="1" t="s">
        <v>2710</v>
      </c>
      <c r="B1359" s="2" t="s">
        <v>0</v>
      </c>
      <c r="C1359" s="2">
        <v>1484.25</v>
      </c>
      <c r="D1359" s="2" t="s">
        <v>0</v>
      </c>
      <c r="E1359" s="2">
        <v>2602.18</v>
      </c>
      <c r="G1359" s="1" t="s">
        <v>2711</v>
      </c>
      <c r="H1359" s="2" t="s">
        <v>0</v>
      </c>
      <c r="I1359" s="2">
        <v>1870.02</v>
      </c>
    </row>
    <row r="1360">
      <c r="A1360" s="1" t="s">
        <v>2712</v>
      </c>
      <c r="B1360" s="2">
        <v>1476.65</v>
      </c>
      <c r="C1360" s="2">
        <v>1476.65</v>
      </c>
      <c r="D1360" s="2">
        <v>2581.66</v>
      </c>
      <c r="E1360" s="2">
        <v>2581.66</v>
      </c>
      <c r="G1360" s="1" t="s">
        <v>2713</v>
      </c>
      <c r="H1360" s="2">
        <v>1871.68</v>
      </c>
      <c r="I1360" s="2">
        <v>1871.68</v>
      </c>
    </row>
    <row r="1361">
      <c r="A1361" s="1" t="s">
        <v>2714</v>
      </c>
      <c r="B1361" s="2">
        <v>1519.78</v>
      </c>
      <c r="C1361" s="2">
        <v>1519.78</v>
      </c>
      <c r="D1361" s="2">
        <v>2651.66</v>
      </c>
      <c r="E1361" s="2">
        <v>2651.66</v>
      </c>
      <c r="G1361" s="1" t="s">
        <v>2715</v>
      </c>
      <c r="H1361" s="2">
        <v>1838.61</v>
      </c>
      <c r="I1361" s="2">
        <v>1838.61</v>
      </c>
    </row>
    <row r="1362">
      <c r="A1362" s="1" t="s">
        <v>2716</v>
      </c>
      <c r="B1362" s="2">
        <v>1529.03</v>
      </c>
      <c r="C1362" s="2">
        <v>1529.03</v>
      </c>
      <c r="D1362" s="2">
        <v>2666.48</v>
      </c>
      <c r="E1362" s="2">
        <v>2666.48</v>
      </c>
      <c r="G1362" s="1" t="s">
        <v>2717</v>
      </c>
      <c r="H1362" s="2">
        <v>1902.65</v>
      </c>
      <c r="I1362" s="2">
        <v>1902.65</v>
      </c>
    </row>
    <row r="1363">
      <c r="A1363" s="1" t="s">
        <v>2718</v>
      </c>
      <c r="B1363" s="2">
        <v>1518.75</v>
      </c>
      <c r="C1363" s="2">
        <v>1518.75</v>
      </c>
      <c r="D1363" s="2">
        <v>2654.29</v>
      </c>
      <c r="E1363" s="2">
        <v>2654.29</v>
      </c>
      <c r="G1363" s="1" t="s">
        <v>2719</v>
      </c>
      <c r="H1363" s="2">
        <v>1908.97</v>
      </c>
      <c r="I1363" s="2">
        <v>1908.97</v>
      </c>
    </row>
    <row r="1364">
      <c r="A1364" s="1" t="s">
        <v>2720</v>
      </c>
      <c r="B1364" s="2">
        <v>1525.75</v>
      </c>
      <c r="C1364" s="2">
        <v>1525.75</v>
      </c>
      <c r="D1364" s="2">
        <v>2671.22</v>
      </c>
      <c r="E1364" s="2">
        <v>2671.22</v>
      </c>
      <c r="G1364" s="1" t="s">
        <v>2721</v>
      </c>
      <c r="H1364" s="2">
        <v>1919.26</v>
      </c>
      <c r="I1364" s="2">
        <v>1919.26</v>
      </c>
    </row>
    <row r="1365">
      <c r="A1365" s="1" t="s">
        <v>2722</v>
      </c>
      <c r="B1365" s="2" t="s">
        <v>0</v>
      </c>
      <c r="C1365" s="2">
        <v>1525.75</v>
      </c>
      <c r="D1365" s="2" t="s">
        <v>0</v>
      </c>
      <c r="E1365" s="2">
        <v>2671.22</v>
      </c>
      <c r="G1365" s="1" t="s">
        <v>2723</v>
      </c>
      <c r="H1365" s="2" t="s">
        <v>0</v>
      </c>
      <c r="I1365" s="2">
        <v>1919.26</v>
      </c>
    </row>
    <row r="1366">
      <c r="A1366" s="1" t="s">
        <v>2724</v>
      </c>
      <c r="B1366" s="2" t="s">
        <v>0</v>
      </c>
      <c r="C1366" s="2">
        <v>1525.75</v>
      </c>
      <c r="D1366" s="2" t="s">
        <v>0</v>
      </c>
      <c r="E1366" s="2">
        <v>2671.22</v>
      </c>
      <c r="G1366" s="1" t="s">
        <v>2725</v>
      </c>
      <c r="H1366" s="2" t="s">
        <v>0</v>
      </c>
      <c r="I1366" s="2">
        <v>1919.26</v>
      </c>
    </row>
    <row r="1367">
      <c r="A1367" s="1" t="s">
        <v>2726</v>
      </c>
      <c r="B1367" s="2">
        <v>1517.73</v>
      </c>
      <c r="C1367" s="2">
        <v>1517.73</v>
      </c>
      <c r="D1367" s="2">
        <v>2667.95</v>
      </c>
      <c r="E1367" s="2">
        <v>2667.95</v>
      </c>
      <c r="G1367" s="1" t="s">
        <v>2727</v>
      </c>
      <c r="H1367" s="2" t="s">
        <v>0</v>
      </c>
      <c r="I1367" s="2">
        <v>1919.26</v>
      </c>
    </row>
    <row r="1368">
      <c r="A1368" s="1" t="s">
        <v>2728</v>
      </c>
      <c r="B1368" s="2">
        <v>1517.21</v>
      </c>
      <c r="C1368" s="2">
        <v>1517.21</v>
      </c>
      <c r="D1368" s="2">
        <v>2683.45</v>
      </c>
      <c r="E1368" s="2">
        <v>2683.45</v>
      </c>
      <c r="G1368" s="1" t="s">
        <v>2729</v>
      </c>
      <c r="H1368" s="2" t="s">
        <v>0</v>
      </c>
      <c r="I1368" s="2">
        <v>1919.26</v>
      </c>
    </row>
    <row r="1369">
      <c r="A1369" s="1" t="s">
        <v>2730</v>
      </c>
      <c r="B1369" s="2">
        <v>1525.42</v>
      </c>
      <c r="C1369" s="2">
        <v>1525.42</v>
      </c>
      <c r="D1369" s="2">
        <v>2699.03</v>
      </c>
      <c r="E1369" s="2">
        <v>2699.03</v>
      </c>
      <c r="G1369" s="1" t="s">
        <v>2731</v>
      </c>
      <c r="H1369" s="2" t="s">
        <v>0</v>
      </c>
      <c r="I1369" s="2">
        <v>1919.26</v>
      </c>
    </row>
    <row r="1370">
      <c r="A1370" s="1" t="s">
        <v>2732</v>
      </c>
      <c r="B1370" s="2">
        <v>1531.38</v>
      </c>
      <c r="C1370" s="2">
        <v>1531.38</v>
      </c>
      <c r="D1370" s="2">
        <v>2709.59</v>
      </c>
      <c r="E1370" s="2">
        <v>2709.59</v>
      </c>
      <c r="G1370" s="1" t="s">
        <v>2733</v>
      </c>
      <c r="H1370" s="2">
        <v>1945.28</v>
      </c>
      <c r="I1370" s="2">
        <v>1945.28</v>
      </c>
    </row>
    <row r="1371">
      <c r="A1371" s="1" t="s">
        <v>2734</v>
      </c>
      <c r="B1371" s="2">
        <v>1526.75</v>
      </c>
      <c r="C1371" s="2">
        <v>1526.75</v>
      </c>
      <c r="D1371" s="2">
        <v>2701.5</v>
      </c>
      <c r="E1371" s="2">
        <v>2701.5</v>
      </c>
      <c r="G1371" s="1" t="s">
        <v>2735</v>
      </c>
      <c r="H1371" s="2">
        <v>1946.48</v>
      </c>
      <c r="I1371" s="2">
        <v>1946.48</v>
      </c>
    </row>
    <row r="1372">
      <c r="A1372" s="1" t="s">
        <v>2736</v>
      </c>
      <c r="B1372" s="2" t="s">
        <v>0</v>
      </c>
      <c r="C1372" s="2">
        <v>1526.75</v>
      </c>
      <c r="D1372" s="2" t="s">
        <v>0</v>
      </c>
      <c r="E1372" s="2">
        <v>2701.5</v>
      </c>
      <c r="G1372" s="1" t="s">
        <v>2737</v>
      </c>
      <c r="H1372" s="2" t="s">
        <v>0</v>
      </c>
      <c r="I1372" s="2">
        <v>1946.48</v>
      </c>
    </row>
    <row r="1373">
      <c r="A1373" s="1" t="s">
        <v>2738</v>
      </c>
      <c r="B1373" s="2" t="s">
        <v>0</v>
      </c>
      <c r="C1373" s="2">
        <v>1526.75</v>
      </c>
      <c r="D1373" s="2" t="s">
        <v>0</v>
      </c>
      <c r="E1373" s="2">
        <v>2701.5</v>
      </c>
      <c r="G1373" s="1" t="s">
        <v>2739</v>
      </c>
      <c r="H1373" s="2" t="s">
        <v>0</v>
      </c>
      <c r="I1373" s="2">
        <v>1946.48</v>
      </c>
    </row>
    <row r="1374">
      <c r="A1374" s="1" t="s">
        <v>2740</v>
      </c>
      <c r="B1374" s="2">
        <v>1547.04</v>
      </c>
      <c r="C1374" s="2">
        <v>1547.04</v>
      </c>
      <c r="D1374" s="2">
        <v>2740.99</v>
      </c>
      <c r="E1374" s="2">
        <v>2740.99</v>
      </c>
      <c r="G1374" s="1" t="s">
        <v>2741</v>
      </c>
      <c r="H1374" s="2">
        <v>1962.67</v>
      </c>
      <c r="I1374" s="2">
        <v>1962.67</v>
      </c>
    </row>
    <row r="1375">
      <c r="A1375" s="1" t="s">
        <v>2742</v>
      </c>
      <c r="B1375" s="2">
        <v>1546.63</v>
      </c>
      <c r="C1375" s="2">
        <v>1546.63</v>
      </c>
      <c r="D1375" s="2">
        <v>2747.11</v>
      </c>
      <c r="E1375" s="2">
        <v>2747.11</v>
      </c>
      <c r="G1375" s="1" t="s">
        <v>2743</v>
      </c>
      <c r="H1375" s="2">
        <v>2014.09</v>
      </c>
      <c r="I1375" s="2">
        <v>2014.09</v>
      </c>
    </row>
    <row r="1376">
      <c r="A1376" s="1" t="s">
        <v>2744</v>
      </c>
      <c r="B1376" s="2">
        <v>1539.59</v>
      </c>
      <c r="C1376" s="2">
        <v>1539.59</v>
      </c>
      <c r="D1376" s="2">
        <v>2729.43</v>
      </c>
      <c r="E1376" s="2">
        <v>2729.43</v>
      </c>
      <c r="G1376" s="1" t="s">
        <v>2745</v>
      </c>
      <c r="H1376" s="2" t="s">
        <v>0</v>
      </c>
      <c r="I1376" s="2">
        <v>2014.09</v>
      </c>
    </row>
    <row r="1377">
      <c r="A1377" s="1" t="s">
        <v>2746</v>
      </c>
      <c r="B1377" s="2">
        <v>1542.84</v>
      </c>
      <c r="C1377" s="2">
        <v>1542.84</v>
      </c>
      <c r="D1377" s="2">
        <v>2733.57</v>
      </c>
      <c r="E1377" s="2">
        <v>2733.57</v>
      </c>
      <c r="G1377" s="1" t="s">
        <v>2747</v>
      </c>
      <c r="H1377" s="2">
        <v>2003.6</v>
      </c>
      <c r="I1377" s="2">
        <v>2003.6</v>
      </c>
    </row>
    <row r="1378">
      <c r="A1378" s="1" t="s">
        <v>2748</v>
      </c>
      <c r="B1378" s="2">
        <v>1557.59</v>
      </c>
      <c r="C1378" s="2">
        <v>1557.59</v>
      </c>
      <c r="D1378" s="2">
        <v>2780.32</v>
      </c>
      <c r="E1378" s="2">
        <v>2780.32</v>
      </c>
      <c r="G1378" s="1" t="s">
        <v>2749</v>
      </c>
      <c r="H1378" s="2">
        <v>1996.03</v>
      </c>
      <c r="I1378" s="2">
        <v>1996.03</v>
      </c>
    </row>
    <row r="1379">
      <c r="A1379" s="1" t="s">
        <v>2750</v>
      </c>
      <c r="B1379" s="2" t="s">
        <v>0</v>
      </c>
      <c r="C1379" s="2">
        <v>1557.59</v>
      </c>
      <c r="D1379" s="2" t="s">
        <v>0</v>
      </c>
      <c r="E1379" s="2">
        <v>2780.32</v>
      </c>
      <c r="G1379" s="1" t="s">
        <v>2751</v>
      </c>
      <c r="H1379" s="2" t="s">
        <v>0</v>
      </c>
      <c r="I1379" s="2">
        <v>1996.03</v>
      </c>
    </row>
    <row r="1380">
      <c r="A1380" s="1" t="s">
        <v>2752</v>
      </c>
      <c r="B1380" s="2" t="s">
        <v>0</v>
      </c>
      <c r="C1380" s="2">
        <v>1557.59</v>
      </c>
      <c r="D1380" s="2" t="s">
        <v>0</v>
      </c>
      <c r="E1380" s="2">
        <v>2780.32</v>
      </c>
      <c r="G1380" s="1" t="s">
        <v>2753</v>
      </c>
      <c r="H1380" s="2" t="s">
        <v>0</v>
      </c>
      <c r="I1380" s="2">
        <v>1996.03</v>
      </c>
    </row>
    <row r="1381">
      <c r="A1381" s="1" t="s">
        <v>2754</v>
      </c>
      <c r="B1381" s="2">
        <v>1552.58</v>
      </c>
      <c r="C1381" s="2">
        <v>1552.58</v>
      </c>
      <c r="D1381" s="2">
        <v>2787.37</v>
      </c>
      <c r="E1381" s="2">
        <v>2787.37</v>
      </c>
      <c r="G1381" s="1" t="s">
        <v>2755</v>
      </c>
      <c r="H1381" s="2">
        <v>2012.82</v>
      </c>
      <c r="I1381" s="2">
        <v>2012.82</v>
      </c>
    </row>
    <row r="1382">
      <c r="A1382" s="1" t="s">
        <v>2756</v>
      </c>
      <c r="B1382" s="2">
        <v>1565.15</v>
      </c>
      <c r="C1382" s="2">
        <v>1565.15</v>
      </c>
      <c r="D1382" s="2">
        <v>2803.91</v>
      </c>
      <c r="E1382" s="2">
        <v>2803.91</v>
      </c>
      <c r="G1382" s="1" t="s">
        <v>2757</v>
      </c>
      <c r="H1382" s="2">
        <v>2014.13</v>
      </c>
      <c r="I1382" s="2">
        <v>2014.13</v>
      </c>
    </row>
    <row r="1383">
      <c r="A1383" s="1" t="s">
        <v>2758</v>
      </c>
      <c r="B1383" s="2">
        <v>1562.47</v>
      </c>
      <c r="C1383" s="2">
        <v>1562.47</v>
      </c>
      <c r="D1383" s="2">
        <v>2811.61</v>
      </c>
      <c r="E1383" s="2">
        <v>2811.61</v>
      </c>
      <c r="G1383" s="1" t="s">
        <v>2759</v>
      </c>
      <c r="H1383" s="2">
        <v>2041.12</v>
      </c>
      <c r="I1383" s="2">
        <v>2041.12</v>
      </c>
    </row>
    <row r="1384">
      <c r="A1384" s="1" t="s">
        <v>2760</v>
      </c>
      <c r="B1384" s="2">
        <v>1554.41</v>
      </c>
      <c r="C1384" s="2">
        <v>1554.41</v>
      </c>
      <c r="D1384" s="2">
        <v>2772.2</v>
      </c>
      <c r="E1384" s="2">
        <v>2772.2</v>
      </c>
      <c r="G1384" s="1" t="s">
        <v>2761</v>
      </c>
      <c r="H1384" s="2">
        <v>2058.85</v>
      </c>
      <c r="I1384" s="2">
        <v>2058.85</v>
      </c>
    </row>
    <row r="1385">
      <c r="A1385" s="1" t="s">
        <v>2762</v>
      </c>
      <c r="B1385" s="2">
        <v>1561.8</v>
      </c>
      <c r="C1385" s="2">
        <v>1561.8</v>
      </c>
      <c r="D1385" s="2">
        <v>2805.68</v>
      </c>
      <c r="E1385" s="2">
        <v>2805.68</v>
      </c>
      <c r="G1385" s="1" t="s">
        <v>2763</v>
      </c>
      <c r="H1385" s="2">
        <v>2026.44</v>
      </c>
      <c r="I1385" s="2">
        <v>2026.44</v>
      </c>
    </row>
    <row r="1386">
      <c r="A1386" s="1" t="s">
        <v>2764</v>
      </c>
      <c r="B1386" s="2" t="s">
        <v>0</v>
      </c>
      <c r="C1386" s="2">
        <v>1561.8</v>
      </c>
      <c r="D1386" s="2" t="s">
        <v>0</v>
      </c>
      <c r="E1386" s="2">
        <v>2805.68</v>
      </c>
      <c r="G1386" s="1" t="s">
        <v>2765</v>
      </c>
      <c r="H1386" s="2" t="s">
        <v>0</v>
      </c>
      <c r="I1386" s="2">
        <v>2026.44</v>
      </c>
    </row>
    <row r="1387">
      <c r="A1387" s="1" t="s">
        <v>2766</v>
      </c>
      <c r="B1387" s="2" t="s">
        <v>0</v>
      </c>
      <c r="C1387" s="2">
        <v>1561.8</v>
      </c>
      <c r="D1387" s="2" t="s">
        <v>0</v>
      </c>
      <c r="E1387" s="2">
        <v>2805.68</v>
      </c>
      <c r="G1387" s="1" t="s">
        <v>2767</v>
      </c>
      <c r="H1387" s="2" t="s">
        <v>0</v>
      </c>
      <c r="I1387" s="2">
        <v>2026.44</v>
      </c>
    </row>
    <row r="1388">
      <c r="A1388" s="1" t="s">
        <v>2768</v>
      </c>
      <c r="B1388" s="2">
        <v>1548.71</v>
      </c>
      <c r="C1388" s="2">
        <v>1548.71</v>
      </c>
      <c r="D1388" s="2">
        <v>2780.05</v>
      </c>
      <c r="E1388" s="2">
        <v>2780.05</v>
      </c>
      <c r="G1388" s="1" t="s">
        <v>2769</v>
      </c>
      <c r="H1388" s="2">
        <v>2035.39</v>
      </c>
      <c r="I1388" s="2">
        <v>2035.39</v>
      </c>
    </row>
    <row r="1389">
      <c r="A1389" s="1" t="s">
        <v>2770</v>
      </c>
      <c r="B1389" s="2">
        <v>1538.53</v>
      </c>
      <c r="C1389" s="2">
        <v>1538.53</v>
      </c>
      <c r="D1389" s="2">
        <v>2763.91</v>
      </c>
      <c r="E1389" s="2">
        <v>2763.91</v>
      </c>
      <c r="G1389" s="1" t="s">
        <v>2771</v>
      </c>
      <c r="H1389" s="2">
        <v>2005.76</v>
      </c>
      <c r="I1389" s="2">
        <v>2005.76</v>
      </c>
    </row>
    <row r="1390">
      <c r="A1390" s="1" t="s">
        <v>2772</v>
      </c>
      <c r="B1390" s="2">
        <v>1541.24</v>
      </c>
      <c r="C1390" s="2">
        <v>1541.24</v>
      </c>
      <c r="D1390" s="2">
        <v>2792.67</v>
      </c>
      <c r="E1390" s="2">
        <v>2792.67</v>
      </c>
      <c r="G1390" s="1" t="s">
        <v>2773</v>
      </c>
      <c r="H1390" s="2">
        <v>1983.94</v>
      </c>
      <c r="I1390" s="2">
        <v>1983.94</v>
      </c>
    </row>
    <row r="1391">
      <c r="A1391" s="1" t="s">
        <v>2774</v>
      </c>
      <c r="B1391" s="2">
        <v>1540.08</v>
      </c>
      <c r="C1391" s="2">
        <v>1540.08</v>
      </c>
      <c r="D1391" s="2">
        <v>2799.31</v>
      </c>
      <c r="E1391" s="2">
        <v>2799.31</v>
      </c>
      <c r="G1391" s="1" t="s">
        <v>2775</v>
      </c>
      <c r="H1391" s="2">
        <v>2005.09</v>
      </c>
      <c r="I1391" s="2">
        <v>2005.09</v>
      </c>
    </row>
    <row r="1392">
      <c r="A1392" s="1" t="s">
        <v>2776</v>
      </c>
      <c r="B1392" s="2">
        <v>1500.63</v>
      </c>
      <c r="C1392" s="2">
        <v>1500.63</v>
      </c>
      <c r="D1392" s="2">
        <v>2725.16</v>
      </c>
      <c r="E1392" s="2">
        <v>2725.16</v>
      </c>
      <c r="G1392" s="1" t="s">
        <v>2777</v>
      </c>
      <c r="H1392" s="2">
        <v>1970.1</v>
      </c>
      <c r="I1392" s="2">
        <v>1970.1</v>
      </c>
    </row>
    <row r="1393">
      <c r="A1393" s="1" t="s">
        <v>2778</v>
      </c>
      <c r="B1393" s="2" t="s">
        <v>0</v>
      </c>
      <c r="C1393" s="2">
        <v>1500.63</v>
      </c>
      <c r="D1393" s="2" t="s">
        <v>0</v>
      </c>
      <c r="E1393" s="2">
        <v>2725.16</v>
      </c>
      <c r="G1393" s="1" t="s">
        <v>2779</v>
      </c>
      <c r="H1393" s="2" t="s">
        <v>0</v>
      </c>
      <c r="I1393" s="2">
        <v>1970.1</v>
      </c>
    </row>
    <row r="1394">
      <c r="A1394" s="1" t="s">
        <v>2780</v>
      </c>
      <c r="B1394" s="2" t="s">
        <v>0</v>
      </c>
      <c r="C1394" s="2">
        <v>1500.63</v>
      </c>
      <c r="D1394" s="2" t="s">
        <v>0</v>
      </c>
      <c r="E1394" s="2">
        <v>2725.16</v>
      </c>
      <c r="G1394" s="1" t="s">
        <v>2781</v>
      </c>
      <c r="H1394" s="2" t="s">
        <v>0</v>
      </c>
      <c r="I1394" s="2">
        <v>1970.1</v>
      </c>
    </row>
    <row r="1395">
      <c r="A1395" s="1" t="s">
        <v>2782</v>
      </c>
      <c r="B1395" s="2">
        <v>1506.33</v>
      </c>
      <c r="C1395" s="2">
        <v>1506.33</v>
      </c>
      <c r="D1395" s="2">
        <v>2753.93</v>
      </c>
      <c r="E1395" s="2">
        <v>2753.93</v>
      </c>
      <c r="G1395" s="1" t="s">
        <v>2783</v>
      </c>
      <c r="H1395" s="2">
        <v>1903.81</v>
      </c>
      <c r="I1395" s="2">
        <v>1903.81</v>
      </c>
    </row>
    <row r="1396">
      <c r="A1396" s="1" t="s">
        <v>2784</v>
      </c>
      <c r="B1396" s="2">
        <v>1519.59</v>
      </c>
      <c r="C1396" s="2">
        <v>1519.59</v>
      </c>
      <c r="D1396" s="2">
        <v>2799.26</v>
      </c>
      <c r="E1396" s="2">
        <v>2799.26</v>
      </c>
      <c r="G1396" s="1" t="s">
        <v>2785</v>
      </c>
      <c r="H1396" s="2">
        <v>1947.98</v>
      </c>
      <c r="I1396" s="2">
        <v>1947.98</v>
      </c>
    </row>
    <row r="1397">
      <c r="A1397" s="1" t="s">
        <v>2786</v>
      </c>
      <c r="B1397" s="2">
        <v>1515.88</v>
      </c>
      <c r="C1397" s="2">
        <v>1515.88</v>
      </c>
      <c r="D1397" s="2">
        <v>2774.76</v>
      </c>
      <c r="E1397" s="2">
        <v>2774.76</v>
      </c>
      <c r="G1397" s="1" t="s">
        <v>2787</v>
      </c>
      <c r="H1397" s="2">
        <v>1933.36</v>
      </c>
      <c r="I1397" s="2">
        <v>1933.36</v>
      </c>
    </row>
    <row r="1398">
      <c r="A1398" s="1" t="s">
        <v>2788</v>
      </c>
      <c r="B1398" s="2">
        <v>1514.4</v>
      </c>
      <c r="C1398" s="2">
        <v>1514.4</v>
      </c>
      <c r="D1398" s="2">
        <v>2750.86</v>
      </c>
      <c r="E1398" s="2">
        <v>2750.86</v>
      </c>
      <c r="G1398" s="1" t="s">
        <v>2789</v>
      </c>
      <c r="H1398" s="2">
        <v>1976.75</v>
      </c>
      <c r="I1398" s="2">
        <v>1976.75</v>
      </c>
    </row>
    <row r="1399">
      <c r="A1399" s="1" t="s">
        <v>2790</v>
      </c>
      <c r="B1399" s="2">
        <v>1535.28</v>
      </c>
      <c r="C1399" s="2">
        <v>1535.28</v>
      </c>
      <c r="D1399" s="2">
        <v>2804.19</v>
      </c>
      <c r="E1399" s="2">
        <v>2804.19</v>
      </c>
      <c r="G1399" s="1" t="s">
        <v>2791</v>
      </c>
      <c r="H1399" s="2">
        <v>2028.06</v>
      </c>
      <c r="I1399" s="2">
        <v>2028.06</v>
      </c>
    </row>
    <row r="1400">
      <c r="A1400" s="1" t="s">
        <v>2792</v>
      </c>
      <c r="B1400" s="2" t="s">
        <v>0</v>
      </c>
      <c r="C1400" s="2">
        <v>1535.28</v>
      </c>
      <c r="D1400" s="2" t="s">
        <v>0</v>
      </c>
      <c r="E1400" s="2">
        <v>2804.19</v>
      </c>
      <c r="G1400" s="1" t="s">
        <v>2793</v>
      </c>
      <c r="H1400" s="2" t="s">
        <v>0</v>
      </c>
      <c r="I1400" s="2">
        <v>2028.06</v>
      </c>
    </row>
    <row r="1401">
      <c r="A1401" s="1" t="s">
        <v>2794</v>
      </c>
      <c r="B1401" s="2" t="s">
        <v>0</v>
      </c>
      <c r="C1401" s="2">
        <v>1535.28</v>
      </c>
      <c r="D1401" s="2" t="s">
        <v>0</v>
      </c>
      <c r="E1401" s="2">
        <v>2804.19</v>
      </c>
      <c r="G1401" s="1" t="s">
        <v>2795</v>
      </c>
      <c r="H1401" s="2" t="s">
        <v>0</v>
      </c>
      <c r="I1401" s="2">
        <v>2028.06</v>
      </c>
    </row>
    <row r="1402">
      <c r="A1402" s="1" t="s">
        <v>2796</v>
      </c>
      <c r="B1402" s="2">
        <v>1540.98</v>
      </c>
      <c r="C1402" s="2">
        <v>1540.98</v>
      </c>
      <c r="D1402" s="2">
        <v>2817.44</v>
      </c>
      <c r="E1402" s="2">
        <v>2817.44</v>
      </c>
      <c r="G1402" s="1" t="s">
        <v>2797</v>
      </c>
      <c r="H1402" s="2">
        <v>2062.92</v>
      </c>
      <c r="I1402" s="2">
        <v>2062.92</v>
      </c>
    </row>
    <row r="1403">
      <c r="A1403" s="1" t="s">
        <v>2798</v>
      </c>
      <c r="B1403" s="2">
        <v>1531.02</v>
      </c>
      <c r="C1403" s="2">
        <v>1531.02</v>
      </c>
      <c r="D1403" s="2">
        <v>2816.71</v>
      </c>
      <c r="E1403" s="2">
        <v>2816.71</v>
      </c>
      <c r="G1403" s="1" t="s">
        <v>2799</v>
      </c>
      <c r="H1403" s="2">
        <v>2052.37</v>
      </c>
      <c r="I1403" s="2">
        <v>2052.37</v>
      </c>
    </row>
    <row r="1404">
      <c r="A1404" s="1" t="s">
        <v>2800</v>
      </c>
      <c r="B1404" s="2">
        <v>1549.38</v>
      </c>
      <c r="C1404" s="2">
        <v>1549.38</v>
      </c>
      <c r="D1404" s="2">
        <v>2859.12</v>
      </c>
      <c r="E1404" s="2">
        <v>2859.12</v>
      </c>
      <c r="G1404" s="1" t="s">
        <v>2801</v>
      </c>
      <c r="H1404" s="2">
        <v>2064.85</v>
      </c>
      <c r="I1404" s="2">
        <v>2064.85</v>
      </c>
    </row>
    <row r="1405">
      <c r="A1405" s="1" t="s">
        <v>2802</v>
      </c>
      <c r="B1405" s="2">
        <v>1508.44</v>
      </c>
      <c r="C1405" s="2">
        <v>1508.44</v>
      </c>
      <c r="D1405" s="2">
        <v>2794.83</v>
      </c>
      <c r="E1405" s="2">
        <v>2794.83</v>
      </c>
      <c r="G1405" s="1" t="s">
        <v>2803</v>
      </c>
      <c r="H1405" s="2">
        <v>2063.14</v>
      </c>
      <c r="I1405" s="2">
        <v>2063.14</v>
      </c>
    </row>
    <row r="1406">
      <c r="A1406" s="1" t="s">
        <v>2804</v>
      </c>
      <c r="B1406" s="2">
        <v>1509.65</v>
      </c>
      <c r="C1406" s="2">
        <v>1509.65</v>
      </c>
      <c r="D1406" s="2">
        <v>2810.38</v>
      </c>
      <c r="E1406" s="2">
        <v>2810.38</v>
      </c>
      <c r="G1406" s="1" t="s">
        <v>2805</v>
      </c>
      <c r="H1406" s="2">
        <v>2019.34</v>
      </c>
      <c r="I1406" s="2">
        <v>2019.34</v>
      </c>
    </row>
    <row r="1407">
      <c r="A1407" s="1" t="s">
        <v>2806</v>
      </c>
      <c r="B1407" s="2" t="s">
        <v>0</v>
      </c>
      <c r="C1407" s="2">
        <v>1509.65</v>
      </c>
      <c r="D1407" s="2" t="s">
        <v>0</v>
      </c>
      <c r="E1407" s="2">
        <v>2810.38</v>
      </c>
      <c r="G1407" s="1" t="s">
        <v>2807</v>
      </c>
      <c r="H1407" s="2" t="s">
        <v>0</v>
      </c>
      <c r="I1407" s="2">
        <v>2019.34</v>
      </c>
    </row>
    <row r="1408">
      <c r="A1408" s="1" t="s">
        <v>2808</v>
      </c>
      <c r="B1408" s="2" t="s">
        <v>0</v>
      </c>
      <c r="C1408" s="2">
        <v>1509.65</v>
      </c>
      <c r="D1408" s="2" t="s">
        <v>0</v>
      </c>
      <c r="E1408" s="2">
        <v>2810.38</v>
      </c>
      <c r="G1408" s="1" t="s">
        <v>2809</v>
      </c>
      <c r="H1408" s="2" t="s">
        <v>0</v>
      </c>
      <c r="I1408" s="2">
        <v>2019.34</v>
      </c>
    </row>
    <row r="1409">
      <c r="A1409" s="1" t="s">
        <v>2810</v>
      </c>
      <c r="B1409" s="2">
        <v>1502.17</v>
      </c>
      <c r="C1409" s="2">
        <v>1502.17</v>
      </c>
      <c r="D1409" s="2">
        <v>2795.18</v>
      </c>
      <c r="E1409" s="2">
        <v>2795.18</v>
      </c>
      <c r="G1409" s="1" t="s">
        <v>2811</v>
      </c>
      <c r="H1409" s="2">
        <v>2015.76</v>
      </c>
      <c r="I1409" s="2">
        <v>2015.76</v>
      </c>
    </row>
    <row r="1410">
      <c r="A1410" s="1" t="s">
        <v>2812</v>
      </c>
      <c r="B1410" s="2">
        <v>1520.27</v>
      </c>
      <c r="C1410" s="2">
        <v>1520.27</v>
      </c>
      <c r="D1410" s="2">
        <v>2825.18</v>
      </c>
      <c r="E1410" s="2">
        <v>2825.18</v>
      </c>
      <c r="G1410" s="1" t="s">
        <v>2813</v>
      </c>
      <c r="H1410" s="2">
        <v>2054.24</v>
      </c>
      <c r="I1410" s="2">
        <v>2054.24</v>
      </c>
    </row>
    <row r="1411">
      <c r="A1411" s="1" t="s">
        <v>2814</v>
      </c>
      <c r="B1411" s="2">
        <v>1475.62</v>
      </c>
      <c r="C1411" s="2">
        <v>1475.62</v>
      </c>
      <c r="D1411" s="2">
        <v>2748.76</v>
      </c>
      <c r="E1411" s="2">
        <v>2748.76</v>
      </c>
      <c r="G1411" s="1" t="s">
        <v>2815</v>
      </c>
      <c r="H1411" s="2">
        <v>2043.19</v>
      </c>
      <c r="I1411" s="2">
        <v>2043.19</v>
      </c>
    </row>
    <row r="1412">
      <c r="A1412" s="1" t="s">
        <v>2816</v>
      </c>
      <c r="B1412" s="2">
        <v>1474.77</v>
      </c>
      <c r="C1412" s="2">
        <v>1474.77</v>
      </c>
      <c r="D1412" s="2">
        <v>2696.0</v>
      </c>
      <c r="E1412" s="2">
        <v>2696.0</v>
      </c>
      <c r="G1412" s="1" t="s">
        <v>2817</v>
      </c>
      <c r="H1412" s="2">
        <v>1979.56</v>
      </c>
      <c r="I1412" s="2">
        <v>1979.56</v>
      </c>
    </row>
    <row r="1413">
      <c r="A1413" s="1" t="s">
        <v>2818</v>
      </c>
      <c r="B1413" s="2">
        <v>1453.7</v>
      </c>
      <c r="C1413" s="2">
        <v>1453.7</v>
      </c>
      <c r="D1413" s="2">
        <v>2627.94</v>
      </c>
      <c r="E1413" s="2">
        <v>2627.94</v>
      </c>
      <c r="G1413" s="1" t="s">
        <v>2819</v>
      </c>
      <c r="H1413" s="2">
        <v>1990.47</v>
      </c>
      <c r="I1413" s="2">
        <v>1990.47</v>
      </c>
    </row>
    <row r="1414">
      <c r="A1414" s="1" t="s">
        <v>2820</v>
      </c>
      <c r="B1414" s="2" t="s">
        <v>0</v>
      </c>
      <c r="C1414" s="2">
        <v>1453.7</v>
      </c>
      <c r="D1414" s="2" t="s">
        <v>0</v>
      </c>
      <c r="E1414" s="2">
        <v>2627.94</v>
      </c>
      <c r="G1414" s="1" t="s">
        <v>2821</v>
      </c>
      <c r="H1414" s="2" t="s">
        <v>0</v>
      </c>
      <c r="I1414" s="2">
        <v>1990.47</v>
      </c>
    </row>
    <row r="1415">
      <c r="A1415" s="1" t="s">
        <v>2822</v>
      </c>
      <c r="B1415" s="2" t="s">
        <v>0</v>
      </c>
      <c r="C1415" s="2">
        <v>1453.7</v>
      </c>
      <c r="D1415" s="2" t="s">
        <v>0</v>
      </c>
      <c r="E1415" s="2">
        <v>2627.94</v>
      </c>
      <c r="G1415" s="1" t="s">
        <v>2823</v>
      </c>
      <c r="H1415" s="2" t="s">
        <v>0</v>
      </c>
      <c r="I1415" s="2">
        <v>1990.47</v>
      </c>
    </row>
    <row r="1416">
      <c r="A1416" s="1" t="s">
        <v>2824</v>
      </c>
      <c r="B1416" s="2">
        <v>1439.18</v>
      </c>
      <c r="C1416" s="2">
        <v>1439.18</v>
      </c>
      <c r="D1416" s="2">
        <v>2584.13</v>
      </c>
      <c r="E1416" s="2">
        <v>2584.13</v>
      </c>
      <c r="G1416" s="1" t="s">
        <v>2825</v>
      </c>
      <c r="H1416" s="2">
        <v>1923.42</v>
      </c>
      <c r="I1416" s="2">
        <v>1923.42</v>
      </c>
    </row>
    <row r="1417">
      <c r="A1417" s="1" t="s">
        <v>2826</v>
      </c>
      <c r="B1417" s="2">
        <v>1481.05</v>
      </c>
      <c r="C1417" s="2">
        <v>1481.05</v>
      </c>
      <c r="D1417" s="2">
        <v>2673.65</v>
      </c>
      <c r="E1417" s="2">
        <v>2673.65</v>
      </c>
      <c r="G1417" s="1" t="s">
        <v>2827</v>
      </c>
      <c r="H1417" s="2">
        <v>1932.89</v>
      </c>
      <c r="I1417" s="2">
        <v>1932.89</v>
      </c>
    </row>
    <row r="1418">
      <c r="A1418" s="1" t="s">
        <v>2828</v>
      </c>
      <c r="B1418" s="2">
        <v>1470.58</v>
      </c>
      <c r="C1418" s="2">
        <v>1470.58</v>
      </c>
      <c r="D1418" s="2">
        <v>2644.32</v>
      </c>
      <c r="E1418" s="2">
        <v>2644.32</v>
      </c>
      <c r="G1418" s="1" t="s">
        <v>2829</v>
      </c>
      <c r="H1418" s="2">
        <v>1972.58</v>
      </c>
      <c r="I1418" s="2">
        <v>1972.58</v>
      </c>
    </row>
    <row r="1419">
      <c r="A1419" s="1" t="s">
        <v>2830</v>
      </c>
      <c r="B1419" s="2">
        <v>1451.15</v>
      </c>
      <c r="C1419" s="2">
        <v>1451.15</v>
      </c>
      <c r="D1419" s="2">
        <v>2618.51</v>
      </c>
      <c r="E1419" s="2">
        <v>2618.51</v>
      </c>
      <c r="G1419" s="1" t="s">
        <v>2831</v>
      </c>
      <c r="H1419" s="2">
        <v>1947.74</v>
      </c>
      <c r="I1419" s="2">
        <v>1947.74</v>
      </c>
    </row>
    <row r="1420">
      <c r="A1420" s="1" t="s">
        <v>2832</v>
      </c>
      <c r="B1420" s="2">
        <v>1458.74</v>
      </c>
      <c r="C1420" s="2">
        <v>1458.74</v>
      </c>
      <c r="D1420" s="2">
        <v>2637.24</v>
      </c>
      <c r="E1420" s="2">
        <v>2637.24</v>
      </c>
      <c r="G1420" s="1" t="s">
        <v>2833</v>
      </c>
      <c r="H1420" s="2">
        <v>1926.2</v>
      </c>
      <c r="I1420" s="2">
        <v>1926.2</v>
      </c>
    </row>
    <row r="1421">
      <c r="A1421" s="1" t="s">
        <v>2834</v>
      </c>
      <c r="B1421" s="2" t="s">
        <v>0</v>
      </c>
      <c r="C1421" s="2">
        <v>1458.74</v>
      </c>
      <c r="D1421" s="2" t="s">
        <v>0</v>
      </c>
      <c r="E1421" s="2">
        <v>2637.24</v>
      </c>
      <c r="G1421" s="1" t="s">
        <v>2835</v>
      </c>
      <c r="H1421" s="2" t="s">
        <v>0</v>
      </c>
      <c r="I1421" s="2">
        <v>1926.2</v>
      </c>
    </row>
    <row r="1422">
      <c r="A1422" s="1" t="s">
        <v>2836</v>
      </c>
      <c r="B1422" s="2" t="s">
        <v>0</v>
      </c>
      <c r="C1422" s="2">
        <v>1458.74</v>
      </c>
      <c r="D1422" s="2" t="s">
        <v>0</v>
      </c>
      <c r="E1422" s="2">
        <v>2637.24</v>
      </c>
      <c r="G1422" s="1" t="s">
        <v>2837</v>
      </c>
      <c r="H1422" s="2" t="s">
        <v>0</v>
      </c>
      <c r="I1422" s="2">
        <v>1926.2</v>
      </c>
    </row>
    <row r="1423">
      <c r="A1423" s="1" t="s">
        <v>2838</v>
      </c>
      <c r="B1423" s="2">
        <v>1433.27</v>
      </c>
      <c r="C1423" s="2">
        <v>1433.27</v>
      </c>
      <c r="D1423" s="2">
        <v>2593.38</v>
      </c>
      <c r="E1423" s="2">
        <v>2593.38</v>
      </c>
      <c r="G1423" s="1" t="s">
        <v>2839</v>
      </c>
      <c r="H1423" s="2">
        <v>1893.47</v>
      </c>
      <c r="I1423" s="2">
        <v>1893.47</v>
      </c>
    </row>
    <row r="1424">
      <c r="A1424" s="1" t="s">
        <v>2840</v>
      </c>
      <c r="B1424" s="2">
        <v>1439.7</v>
      </c>
      <c r="C1424" s="2">
        <v>1439.7</v>
      </c>
      <c r="D1424" s="2">
        <v>2596.81</v>
      </c>
      <c r="E1424" s="2">
        <v>2596.81</v>
      </c>
      <c r="G1424" s="1" t="s">
        <v>2841</v>
      </c>
      <c r="H1424" s="2">
        <v>1872.24</v>
      </c>
      <c r="I1424" s="2">
        <v>1872.24</v>
      </c>
    </row>
    <row r="1425">
      <c r="A1425" s="1" t="s">
        <v>2842</v>
      </c>
      <c r="B1425" s="2">
        <v>1416.77</v>
      </c>
      <c r="C1425" s="2">
        <v>1416.77</v>
      </c>
      <c r="D1425" s="2">
        <v>2562.15</v>
      </c>
      <c r="E1425" s="2">
        <v>2562.15</v>
      </c>
      <c r="G1425" s="1" t="s">
        <v>2843</v>
      </c>
      <c r="H1425" s="2">
        <v>1806.99</v>
      </c>
      <c r="I1425" s="2">
        <v>1806.99</v>
      </c>
    </row>
    <row r="1426">
      <c r="A1426" s="1" t="s">
        <v>2844</v>
      </c>
      <c r="B1426" s="2" t="s">
        <v>0</v>
      </c>
      <c r="C1426" s="2">
        <v>1416.77</v>
      </c>
      <c r="D1426" s="2" t="s">
        <v>0</v>
      </c>
      <c r="E1426" s="2">
        <v>2562.15</v>
      </c>
      <c r="G1426" s="1" t="s">
        <v>2845</v>
      </c>
      <c r="H1426" s="2">
        <v>1799.02</v>
      </c>
      <c r="I1426" s="2">
        <v>1799.02</v>
      </c>
    </row>
    <row r="1427">
      <c r="A1427" s="1" t="s">
        <v>2846</v>
      </c>
      <c r="B1427" s="2">
        <v>1440.7</v>
      </c>
      <c r="C1427" s="2">
        <v>1440.7</v>
      </c>
      <c r="D1427" s="2">
        <v>2596.6</v>
      </c>
      <c r="E1427" s="2">
        <v>2596.6</v>
      </c>
      <c r="G1427" s="1" t="s">
        <v>2847</v>
      </c>
      <c r="H1427" s="2">
        <v>1772.88</v>
      </c>
      <c r="I1427" s="2">
        <v>1772.88</v>
      </c>
    </row>
    <row r="1428">
      <c r="A1428" s="1" t="s">
        <v>2848</v>
      </c>
      <c r="B1428" s="2" t="s">
        <v>0</v>
      </c>
      <c r="C1428" s="2">
        <v>1440.7</v>
      </c>
      <c r="D1428" s="2" t="s">
        <v>0</v>
      </c>
      <c r="E1428" s="2">
        <v>2596.6</v>
      </c>
      <c r="G1428" s="1" t="s">
        <v>2849</v>
      </c>
      <c r="H1428" s="2" t="s">
        <v>0</v>
      </c>
      <c r="I1428" s="2">
        <v>1772.88</v>
      </c>
    </row>
    <row r="1429">
      <c r="A1429" s="1" t="s">
        <v>2850</v>
      </c>
      <c r="B1429" s="2" t="s">
        <v>0</v>
      </c>
      <c r="C1429" s="2">
        <v>1440.7</v>
      </c>
      <c r="D1429" s="2" t="s">
        <v>0</v>
      </c>
      <c r="E1429" s="2">
        <v>2596.6</v>
      </c>
      <c r="G1429" s="1" t="s">
        <v>2851</v>
      </c>
      <c r="H1429" s="2" t="s">
        <v>0</v>
      </c>
      <c r="I1429" s="2">
        <v>1772.88</v>
      </c>
    </row>
    <row r="1430">
      <c r="A1430" s="1" t="s">
        <v>2852</v>
      </c>
      <c r="B1430" s="2">
        <v>1407.22</v>
      </c>
      <c r="C1430" s="2">
        <v>1407.22</v>
      </c>
      <c r="D1430" s="2">
        <v>2540.99</v>
      </c>
      <c r="E1430" s="2">
        <v>2540.99</v>
      </c>
      <c r="G1430" s="1" t="s">
        <v>2853</v>
      </c>
      <c r="H1430" s="2">
        <v>1855.33</v>
      </c>
      <c r="I1430" s="2">
        <v>1855.33</v>
      </c>
    </row>
    <row r="1431">
      <c r="A1431" s="1" t="s">
        <v>2854</v>
      </c>
      <c r="B1431" s="2">
        <v>1428.23</v>
      </c>
      <c r="C1431" s="2">
        <v>1428.23</v>
      </c>
      <c r="D1431" s="2">
        <v>2580.8</v>
      </c>
      <c r="E1431" s="2">
        <v>2580.8</v>
      </c>
      <c r="G1431" s="1" t="s">
        <v>2855</v>
      </c>
      <c r="H1431" s="2">
        <v>1859.79</v>
      </c>
      <c r="I1431" s="2">
        <v>1859.79</v>
      </c>
    </row>
    <row r="1432">
      <c r="A1432" s="1" t="s">
        <v>2856</v>
      </c>
      <c r="B1432" s="2">
        <v>1469.02</v>
      </c>
      <c r="C1432" s="2">
        <v>1469.02</v>
      </c>
      <c r="D1432" s="2">
        <v>2662.91</v>
      </c>
      <c r="E1432" s="2">
        <v>2662.91</v>
      </c>
      <c r="G1432" s="1" t="s">
        <v>2857</v>
      </c>
      <c r="H1432" s="2">
        <v>1834.69</v>
      </c>
      <c r="I1432" s="2">
        <v>1834.69</v>
      </c>
    </row>
    <row r="1433">
      <c r="A1433" s="1" t="s">
        <v>2858</v>
      </c>
      <c r="B1433" s="2">
        <v>1469.72</v>
      </c>
      <c r="C1433" s="2">
        <v>1469.72</v>
      </c>
      <c r="D1433" s="2">
        <v>2668.13</v>
      </c>
      <c r="E1433" s="2">
        <v>2668.13</v>
      </c>
      <c r="G1433" s="1" t="s">
        <v>2859</v>
      </c>
      <c r="H1433" s="2">
        <v>1877.56</v>
      </c>
      <c r="I1433" s="2">
        <v>1877.56</v>
      </c>
    </row>
    <row r="1434">
      <c r="A1434" s="1" t="s">
        <v>2860</v>
      </c>
      <c r="B1434" s="2">
        <v>1481.14</v>
      </c>
      <c r="C1434" s="2">
        <v>1481.14</v>
      </c>
      <c r="D1434" s="2">
        <v>2660.96</v>
      </c>
      <c r="E1434" s="2">
        <v>2660.96</v>
      </c>
      <c r="G1434" s="1" t="s">
        <v>2861</v>
      </c>
      <c r="H1434" s="2">
        <v>1906.0</v>
      </c>
      <c r="I1434" s="2">
        <v>1906.0</v>
      </c>
    </row>
    <row r="1435">
      <c r="A1435" s="1" t="s">
        <v>2862</v>
      </c>
      <c r="B1435" s="2" t="s">
        <v>0</v>
      </c>
      <c r="C1435" s="2">
        <v>1481.14</v>
      </c>
      <c r="D1435" s="2" t="s">
        <v>0</v>
      </c>
      <c r="E1435" s="2">
        <v>2660.96</v>
      </c>
      <c r="G1435" s="1" t="s">
        <v>2863</v>
      </c>
      <c r="H1435" s="2" t="s">
        <v>0</v>
      </c>
      <c r="I1435" s="2">
        <v>1906.0</v>
      </c>
    </row>
    <row r="1436">
      <c r="A1436" s="1" t="s">
        <v>2864</v>
      </c>
      <c r="B1436" s="2" t="s">
        <v>0</v>
      </c>
      <c r="C1436" s="2">
        <v>1481.14</v>
      </c>
      <c r="D1436" s="2" t="s">
        <v>0</v>
      </c>
      <c r="E1436" s="2">
        <v>2660.96</v>
      </c>
      <c r="G1436" s="1" t="s">
        <v>2865</v>
      </c>
      <c r="H1436" s="2" t="s">
        <v>0</v>
      </c>
      <c r="I1436" s="2">
        <v>1906.0</v>
      </c>
    </row>
    <row r="1437">
      <c r="A1437" s="1" t="s">
        <v>2866</v>
      </c>
      <c r="B1437" s="2">
        <v>1472.42</v>
      </c>
      <c r="C1437" s="2">
        <v>1472.42</v>
      </c>
      <c r="D1437" s="2">
        <v>2637.13</v>
      </c>
      <c r="E1437" s="2">
        <v>2637.13</v>
      </c>
      <c r="G1437" s="1" t="s">
        <v>2867</v>
      </c>
      <c r="H1437" s="2">
        <v>1902.43</v>
      </c>
      <c r="I1437" s="2">
        <v>1902.43</v>
      </c>
    </row>
    <row r="1438">
      <c r="A1438" s="1" t="s">
        <v>2868</v>
      </c>
      <c r="B1438" s="2">
        <v>1462.79</v>
      </c>
      <c r="C1438" s="2">
        <v>1462.79</v>
      </c>
      <c r="D1438" s="2">
        <v>2619.83</v>
      </c>
      <c r="E1438" s="2">
        <v>2619.83</v>
      </c>
      <c r="G1438" s="1" t="s">
        <v>2869</v>
      </c>
      <c r="H1438" s="2">
        <v>1917.83</v>
      </c>
      <c r="I1438" s="2">
        <v>1917.83</v>
      </c>
    </row>
    <row r="1439">
      <c r="A1439" s="1" t="s">
        <v>2870</v>
      </c>
      <c r="B1439" s="2">
        <v>1485.01</v>
      </c>
      <c r="C1439" s="2">
        <v>1485.01</v>
      </c>
      <c r="D1439" s="2">
        <v>2666.36</v>
      </c>
      <c r="E1439" s="2">
        <v>2666.36</v>
      </c>
      <c r="G1439" s="1" t="s">
        <v>2871</v>
      </c>
      <c r="H1439" s="2">
        <v>1938.2</v>
      </c>
      <c r="I1439" s="2">
        <v>1938.2</v>
      </c>
    </row>
    <row r="1440">
      <c r="A1440" s="1" t="s">
        <v>2872</v>
      </c>
      <c r="B1440" s="2">
        <v>1507.34</v>
      </c>
      <c r="C1440" s="2">
        <v>1507.34</v>
      </c>
      <c r="D1440" s="2">
        <v>2709.03</v>
      </c>
      <c r="E1440" s="2">
        <v>2709.03</v>
      </c>
      <c r="G1440" s="1" t="s">
        <v>2873</v>
      </c>
      <c r="H1440" s="2">
        <v>1953.17</v>
      </c>
      <c r="I1440" s="2">
        <v>1953.17</v>
      </c>
    </row>
    <row r="1441">
      <c r="A1441" s="1" t="s">
        <v>2874</v>
      </c>
      <c r="B1441" s="2">
        <v>1504.66</v>
      </c>
      <c r="C1441" s="2">
        <v>1504.66</v>
      </c>
      <c r="D1441" s="2">
        <v>2706.16</v>
      </c>
      <c r="E1441" s="2">
        <v>2706.16</v>
      </c>
      <c r="G1441" s="1" t="s">
        <v>2875</v>
      </c>
      <c r="H1441" s="2">
        <v>1934.32</v>
      </c>
      <c r="I1441" s="2">
        <v>1934.32</v>
      </c>
    </row>
    <row r="1442">
      <c r="A1442" s="1" t="s">
        <v>2876</v>
      </c>
      <c r="B1442" s="2" t="s">
        <v>0</v>
      </c>
      <c r="C1442" s="2">
        <v>1504.66</v>
      </c>
      <c r="D1442" s="2" t="s">
        <v>0</v>
      </c>
      <c r="E1442" s="2">
        <v>2706.16</v>
      </c>
      <c r="G1442" s="1" t="s">
        <v>2877</v>
      </c>
      <c r="H1442" s="2" t="s">
        <v>0</v>
      </c>
      <c r="I1442" s="2">
        <v>1934.32</v>
      </c>
    </row>
    <row r="1443">
      <c r="A1443" s="1" t="s">
        <v>2878</v>
      </c>
      <c r="B1443" s="2" t="s">
        <v>0</v>
      </c>
      <c r="C1443" s="2">
        <v>1504.66</v>
      </c>
      <c r="D1443" s="2" t="s">
        <v>0</v>
      </c>
      <c r="E1443" s="2">
        <v>2706.16</v>
      </c>
      <c r="G1443" s="1" t="s">
        <v>2879</v>
      </c>
      <c r="H1443" s="2" t="s">
        <v>0</v>
      </c>
      <c r="I1443" s="2">
        <v>1934.32</v>
      </c>
    </row>
    <row r="1444">
      <c r="A1444" s="1" t="s">
        <v>2880</v>
      </c>
      <c r="B1444" s="2">
        <v>1515.96</v>
      </c>
      <c r="C1444" s="2">
        <v>1515.96</v>
      </c>
      <c r="D1444" s="2">
        <v>2718.95</v>
      </c>
      <c r="E1444" s="2">
        <v>2718.95</v>
      </c>
      <c r="G1444" s="1" t="s">
        <v>2881</v>
      </c>
      <c r="H1444" s="2">
        <v>1906.42</v>
      </c>
      <c r="I1444" s="2">
        <v>1906.42</v>
      </c>
    </row>
    <row r="1445">
      <c r="A1445" s="1" t="s">
        <v>2882</v>
      </c>
      <c r="B1445" s="2">
        <v>1477.65</v>
      </c>
      <c r="C1445" s="2">
        <v>1477.65</v>
      </c>
      <c r="D1445" s="2">
        <v>2652.35</v>
      </c>
      <c r="E1445" s="2">
        <v>2652.35</v>
      </c>
      <c r="G1445" s="1" t="s">
        <v>2883</v>
      </c>
      <c r="H1445" s="2">
        <v>1925.07</v>
      </c>
      <c r="I1445" s="2">
        <v>1925.07</v>
      </c>
    </row>
    <row r="1446">
      <c r="A1446" s="1" t="s">
        <v>2884</v>
      </c>
      <c r="B1446" s="2">
        <v>1486.59</v>
      </c>
      <c r="C1446" s="2">
        <v>1486.59</v>
      </c>
      <c r="D1446" s="2">
        <v>2671.14</v>
      </c>
      <c r="E1446" s="2">
        <v>2671.14</v>
      </c>
      <c r="G1446" s="1" t="s">
        <v>2885</v>
      </c>
      <c r="H1446" s="2">
        <v>1927.45</v>
      </c>
      <c r="I1446" s="2">
        <v>1927.45</v>
      </c>
    </row>
    <row r="1447">
      <c r="A1447" s="1" t="s">
        <v>2886</v>
      </c>
      <c r="B1447" s="2">
        <v>1488.41</v>
      </c>
      <c r="C1447" s="2">
        <v>1488.41</v>
      </c>
      <c r="D1447" s="2">
        <v>2668.49</v>
      </c>
      <c r="E1447" s="2">
        <v>2668.49</v>
      </c>
      <c r="G1447" s="1" t="s">
        <v>2887</v>
      </c>
      <c r="H1447" s="2">
        <v>1915.9</v>
      </c>
      <c r="I1447" s="2">
        <v>1915.9</v>
      </c>
    </row>
    <row r="1448">
      <c r="A1448" s="1" t="s">
        <v>2888</v>
      </c>
      <c r="B1448" s="2">
        <v>1467.95</v>
      </c>
      <c r="C1448" s="2">
        <v>1467.95</v>
      </c>
      <c r="D1448" s="2">
        <v>2635.74</v>
      </c>
      <c r="E1448" s="2">
        <v>2635.74</v>
      </c>
      <c r="G1448" s="1" t="s">
        <v>2889</v>
      </c>
      <c r="H1448" s="2">
        <v>1895.05</v>
      </c>
      <c r="I1448" s="2">
        <v>1895.05</v>
      </c>
    </row>
    <row r="1449">
      <c r="A1449" s="1" t="s">
        <v>2890</v>
      </c>
      <c r="B1449" s="2" t="s">
        <v>0</v>
      </c>
      <c r="C1449" s="2">
        <v>1467.95</v>
      </c>
      <c r="D1449" s="2" t="s">
        <v>0</v>
      </c>
      <c r="E1449" s="2">
        <v>2635.74</v>
      </c>
      <c r="G1449" s="1" t="s">
        <v>2891</v>
      </c>
      <c r="H1449" s="2" t="s">
        <v>0</v>
      </c>
      <c r="I1449" s="2">
        <v>1895.05</v>
      </c>
    </row>
    <row r="1450">
      <c r="A1450" s="1" t="s">
        <v>2892</v>
      </c>
      <c r="B1450" s="2" t="s">
        <v>0</v>
      </c>
      <c r="C1450" s="2">
        <v>1467.95</v>
      </c>
      <c r="D1450" s="2" t="s">
        <v>0</v>
      </c>
      <c r="E1450" s="2">
        <v>2635.74</v>
      </c>
      <c r="G1450" s="1" t="s">
        <v>2893</v>
      </c>
      <c r="H1450" s="2" t="s">
        <v>0</v>
      </c>
      <c r="I1450" s="2">
        <v>1895.05</v>
      </c>
    </row>
    <row r="1451">
      <c r="A1451" s="1" t="s">
        <v>2894</v>
      </c>
      <c r="B1451" s="2">
        <v>1445.9</v>
      </c>
      <c r="C1451" s="2">
        <v>1445.9</v>
      </c>
      <c r="D1451" s="2">
        <v>2574.46</v>
      </c>
      <c r="E1451" s="2">
        <v>2574.46</v>
      </c>
      <c r="G1451" s="1" t="s">
        <v>2895</v>
      </c>
      <c r="H1451" s="2">
        <v>1839.82</v>
      </c>
      <c r="I1451" s="2">
        <v>1839.82</v>
      </c>
    </row>
    <row r="1452">
      <c r="A1452" s="1" t="s">
        <v>2896</v>
      </c>
      <c r="B1452" s="2">
        <v>1454.98</v>
      </c>
      <c r="C1452" s="2">
        <v>1454.98</v>
      </c>
      <c r="D1452" s="2">
        <v>2596.03</v>
      </c>
      <c r="E1452" s="2">
        <v>2596.03</v>
      </c>
      <c r="G1452" s="1" t="s">
        <v>2897</v>
      </c>
      <c r="H1452" s="2">
        <v>1861.47</v>
      </c>
      <c r="I1452" s="2">
        <v>1861.47</v>
      </c>
    </row>
    <row r="1453">
      <c r="A1453" s="1" t="s">
        <v>2898</v>
      </c>
      <c r="B1453" s="2">
        <v>1453.0</v>
      </c>
      <c r="C1453" s="2">
        <v>1453.0</v>
      </c>
      <c r="D1453" s="2">
        <v>2601.01</v>
      </c>
      <c r="E1453" s="2">
        <v>2601.01</v>
      </c>
      <c r="G1453" s="1" t="s">
        <v>2899</v>
      </c>
      <c r="H1453" s="2" t="s">
        <v>0</v>
      </c>
      <c r="I1453" s="2">
        <v>1861.47</v>
      </c>
    </row>
    <row r="1454">
      <c r="A1454" s="1" t="s">
        <v>2900</v>
      </c>
      <c r="B1454" s="2">
        <v>1460.12</v>
      </c>
      <c r="C1454" s="2">
        <v>1460.12</v>
      </c>
      <c r="D1454" s="2">
        <v>2640.86</v>
      </c>
      <c r="E1454" s="2">
        <v>2640.86</v>
      </c>
      <c r="G1454" s="1" t="s">
        <v>2901</v>
      </c>
      <c r="H1454" s="2">
        <v>1844.37</v>
      </c>
      <c r="I1454" s="2">
        <v>1844.37</v>
      </c>
    </row>
    <row r="1455">
      <c r="A1455" s="1" t="s">
        <v>2902</v>
      </c>
      <c r="B1455" s="2">
        <v>1484.46</v>
      </c>
      <c r="C1455" s="2">
        <v>1484.46</v>
      </c>
      <c r="D1455" s="2">
        <v>2691.99</v>
      </c>
      <c r="E1455" s="2">
        <v>2691.99</v>
      </c>
      <c r="G1455" s="1" t="s">
        <v>2903</v>
      </c>
      <c r="H1455" s="2">
        <v>1878.32</v>
      </c>
      <c r="I1455" s="2">
        <v>1878.32</v>
      </c>
    </row>
    <row r="1456">
      <c r="A1456" s="1" t="s">
        <v>2904</v>
      </c>
      <c r="B1456" s="2" t="s">
        <v>0</v>
      </c>
      <c r="C1456" s="2">
        <v>1484.46</v>
      </c>
      <c r="D1456" s="2" t="s">
        <v>0</v>
      </c>
      <c r="E1456" s="2">
        <v>2691.99</v>
      </c>
      <c r="G1456" s="1" t="s">
        <v>2905</v>
      </c>
      <c r="H1456" s="2" t="s">
        <v>0</v>
      </c>
      <c r="I1456" s="2">
        <v>1878.32</v>
      </c>
    </row>
    <row r="1457">
      <c r="A1457" s="1" t="s">
        <v>2906</v>
      </c>
      <c r="B1457" s="2" t="s">
        <v>0</v>
      </c>
      <c r="C1457" s="2">
        <v>1484.46</v>
      </c>
      <c r="D1457" s="2" t="s">
        <v>0</v>
      </c>
      <c r="E1457" s="2">
        <v>2691.99</v>
      </c>
      <c r="G1457" s="1" t="s">
        <v>2907</v>
      </c>
      <c r="H1457" s="2" t="s">
        <v>0</v>
      </c>
      <c r="I1457" s="2">
        <v>1878.32</v>
      </c>
    </row>
    <row r="1458">
      <c r="A1458" s="1" t="s">
        <v>2908</v>
      </c>
      <c r="B1458" s="2">
        <v>1496.45</v>
      </c>
      <c r="C1458" s="2">
        <v>1496.45</v>
      </c>
      <c r="D1458" s="2">
        <v>2713.5</v>
      </c>
      <c r="E1458" s="2">
        <v>2713.5</v>
      </c>
      <c r="G1458" s="1" t="s">
        <v>2909</v>
      </c>
      <c r="H1458" s="2">
        <v>1919.47</v>
      </c>
      <c r="I1458" s="2">
        <v>1919.47</v>
      </c>
    </row>
    <row r="1459">
      <c r="A1459" s="1" t="s">
        <v>2910</v>
      </c>
      <c r="B1459" s="2" t="s">
        <v>0</v>
      </c>
      <c r="C1459" s="2">
        <v>1496.45</v>
      </c>
      <c r="D1459" s="2" t="s">
        <v>0</v>
      </c>
      <c r="E1459" s="2">
        <v>2713.5</v>
      </c>
      <c r="G1459" s="1" t="s">
        <v>2911</v>
      </c>
      <c r="H1459" s="2" t="s">
        <v>0</v>
      </c>
      <c r="I1459" s="2">
        <v>1919.47</v>
      </c>
    </row>
    <row r="1460">
      <c r="A1460" s="1" t="s">
        <v>2912</v>
      </c>
      <c r="B1460" s="2">
        <v>1497.66</v>
      </c>
      <c r="C1460" s="2">
        <v>1497.66</v>
      </c>
      <c r="D1460" s="2">
        <v>2724.41</v>
      </c>
      <c r="E1460" s="2">
        <v>2724.41</v>
      </c>
      <c r="G1460" s="1" t="s">
        <v>2913</v>
      </c>
      <c r="H1460" s="2">
        <v>1906.72</v>
      </c>
      <c r="I1460" s="2">
        <v>1906.72</v>
      </c>
    </row>
    <row r="1461">
      <c r="A1461" s="1" t="s">
        <v>2914</v>
      </c>
      <c r="B1461" s="2">
        <v>1476.27</v>
      </c>
      <c r="C1461" s="2">
        <v>1476.27</v>
      </c>
      <c r="D1461" s="2">
        <v>2676.79</v>
      </c>
      <c r="E1461" s="2">
        <v>2676.79</v>
      </c>
      <c r="G1461" s="1" t="s">
        <v>2915</v>
      </c>
      <c r="H1461" s="2">
        <v>1908.62</v>
      </c>
      <c r="I1461" s="2">
        <v>1908.62</v>
      </c>
    </row>
    <row r="1462">
      <c r="A1462" s="1" t="s">
        <v>2916</v>
      </c>
      <c r="B1462" s="2">
        <v>1478.49</v>
      </c>
      <c r="C1462" s="2">
        <v>1478.49</v>
      </c>
      <c r="D1462" s="2">
        <v>2674.46</v>
      </c>
      <c r="E1462" s="2">
        <v>2674.46</v>
      </c>
      <c r="G1462" s="1" t="s">
        <v>2917</v>
      </c>
      <c r="H1462" s="2">
        <v>1897.13</v>
      </c>
      <c r="I1462" s="2">
        <v>1897.13</v>
      </c>
    </row>
    <row r="1463">
      <c r="A1463" s="1" t="s">
        <v>2918</v>
      </c>
      <c r="B1463" s="2" t="s">
        <v>0</v>
      </c>
      <c r="C1463" s="2">
        <v>1478.49</v>
      </c>
      <c r="D1463" s="2" t="s">
        <v>0</v>
      </c>
      <c r="E1463" s="2">
        <v>2674.46</v>
      </c>
      <c r="G1463" s="1" t="s">
        <v>2919</v>
      </c>
      <c r="H1463" s="2" t="s">
        <v>0</v>
      </c>
      <c r="I1463" s="2">
        <v>1897.13</v>
      </c>
    </row>
    <row r="1464">
      <c r="A1464" s="1" t="s">
        <v>2920</v>
      </c>
      <c r="B1464" s="2" t="s">
        <v>0</v>
      </c>
      <c r="C1464" s="2">
        <v>1478.49</v>
      </c>
      <c r="D1464" s="2" t="s">
        <v>0</v>
      </c>
      <c r="E1464" s="2">
        <v>2674.46</v>
      </c>
      <c r="G1464" s="1" t="s">
        <v>2921</v>
      </c>
      <c r="H1464" s="2" t="s">
        <v>0</v>
      </c>
      <c r="I1464" s="2">
        <v>1897.13</v>
      </c>
    </row>
    <row r="1465">
      <c r="A1465" s="1" t="s">
        <v>2922</v>
      </c>
      <c r="B1465" s="2">
        <v>1468.36</v>
      </c>
      <c r="C1465" s="2">
        <v>1468.36</v>
      </c>
      <c r="D1465" s="2">
        <v>2652.28</v>
      </c>
      <c r="E1465" s="2">
        <v>2652.28</v>
      </c>
      <c r="G1465" s="1" t="s">
        <v>2923</v>
      </c>
      <c r="H1465" s="2" t="s">
        <v>0</v>
      </c>
      <c r="I1465" s="2">
        <v>1897.13</v>
      </c>
    </row>
    <row r="1466">
      <c r="A1466" s="1" t="s">
        <v>2924</v>
      </c>
      <c r="B1466" s="2" t="s">
        <v>0</v>
      </c>
      <c r="C1466" s="2">
        <v>1468.36</v>
      </c>
      <c r="D1466" s="2" t="s">
        <v>0</v>
      </c>
      <c r="E1466" s="2">
        <v>2652.28</v>
      </c>
      <c r="G1466" s="1" t="s">
        <v>2925</v>
      </c>
      <c r="H1466" s="2" t="s">
        <v>0</v>
      </c>
      <c r="I1466" s="2">
        <v>1897.13</v>
      </c>
    </row>
    <row r="1467">
      <c r="A1467" s="1" t="s">
        <v>2926</v>
      </c>
      <c r="B1467" s="2">
        <v>1447.16</v>
      </c>
      <c r="C1467" s="2">
        <v>1447.16</v>
      </c>
      <c r="D1467" s="2">
        <v>2609.63</v>
      </c>
      <c r="E1467" s="2">
        <v>2609.63</v>
      </c>
      <c r="G1467" s="1" t="s">
        <v>2927</v>
      </c>
      <c r="H1467" s="2">
        <v>1853.45</v>
      </c>
      <c r="I1467" s="2">
        <v>1853.45</v>
      </c>
    </row>
    <row r="1468">
      <c r="A1468" s="1" t="s">
        <v>2928</v>
      </c>
      <c r="B1468" s="2">
        <v>1447.16</v>
      </c>
      <c r="C1468" s="2">
        <v>1447.16</v>
      </c>
      <c r="D1468" s="2">
        <v>2602.68</v>
      </c>
      <c r="E1468" s="2">
        <v>2602.68</v>
      </c>
      <c r="G1468" s="1" t="s">
        <v>2929</v>
      </c>
      <c r="H1468" s="2">
        <v>1852.73</v>
      </c>
      <c r="I1468" s="2">
        <v>1852.73</v>
      </c>
    </row>
    <row r="1469">
      <c r="A1469" s="1" t="s">
        <v>2930</v>
      </c>
      <c r="B1469" s="2">
        <v>1411.63</v>
      </c>
      <c r="C1469" s="2">
        <v>1411.63</v>
      </c>
      <c r="D1469" s="2">
        <v>2504.65</v>
      </c>
      <c r="E1469" s="2">
        <v>2504.65</v>
      </c>
      <c r="G1469" s="1" t="s">
        <v>2931</v>
      </c>
      <c r="H1469" s="2">
        <v>1863.9</v>
      </c>
      <c r="I1469" s="2">
        <v>1863.9</v>
      </c>
    </row>
    <row r="1470">
      <c r="A1470" s="1" t="s">
        <v>2932</v>
      </c>
      <c r="B1470" s="2" t="s">
        <v>0</v>
      </c>
      <c r="C1470" s="2">
        <v>1411.63</v>
      </c>
      <c r="D1470" s="2" t="s">
        <v>0</v>
      </c>
      <c r="E1470" s="2">
        <v>2504.65</v>
      </c>
      <c r="G1470" s="1" t="s">
        <v>2933</v>
      </c>
      <c r="H1470" s="2" t="s">
        <v>0</v>
      </c>
      <c r="I1470" s="2">
        <v>1863.9</v>
      </c>
    </row>
    <row r="1471">
      <c r="A1471" s="1" t="s">
        <v>2934</v>
      </c>
      <c r="B1471" s="2" t="s">
        <v>0</v>
      </c>
      <c r="C1471" s="2">
        <v>1411.63</v>
      </c>
      <c r="D1471" s="2" t="s">
        <v>0</v>
      </c>
      <c r="E1471" s="2">
        <v>2504.65</v>
      </c>
      <c r="G1471" s="1" t="s">
        <v>2935</v>
      </c>
      <c r="H1471" s="2" t="s">
        <v>0</v>
      </c>
      <c r="I1471" s="2">
        <v>1863.9</v>
      </c>
    </row>
    <row r="1472">
      <c r="A1472" s="1" t="s">
        <v>2936</v>
      </c>
      <c r="B1472" s="2">
        <v>1416.18</v>
      </c>
      <c r="C1472" s="2">
        <v>1416.18</v>
      </c>
      <c r="D1472" s="2">
        <v>2499.46</v>
      </c>
      <c r="E1472" s="2">
        <v>2499.46</v>
      </c>
      <c r="G1472" s="1" t="s">
        <v>2937</v>
      </c>
      <c r="H1472" s="2">
        <v>1831.14</v>
      </c>
      <c r="I1472" s="2">
        <v>1831.14</v>
      </c>
    </row>
    <row r="1473">
      <c r="A1473" s="1" t="s">
        <v>2938</v>
      </c>
      <c r="B1473" s="2">
        <v>1390.19</v>
      </c>
      <c r="C1473" s="2">
        <v>1390.19</v>
      </c>
      <c r="D1473" s="2">
        <v>2440.51</v>
      </c>
      <c r="E1473" s="2">
        <v>2440.51</v>
      </c>
      <c r="G1473" s="1" t="s">
        <v>2939</v>
      </c>
      <c r="H1473" s="2">
        <v>1826.23</v>
      </c>
      <c r="I1473" s="2">
        <v>1826.23</v>
      </c>
    </row>
    <row r="1474">
      <c r="A1474" s="1" t="s">
        <v>2940</v>
      </c>
      <c r="B1474" s="2">
        <v>1409.13</v>
      </c>
      <c r="C1474" s="2">
        <v>1409.13</v>
      </c>
      <c r="D1474" s="2">
        <v>2474.55</v>
      </c>
      <c r="E1474" s="2">
        <v>2474.55</v>
      </c>
      <c r="G1474" s="1" t="s">
        <v>2941</v>
      </c>
      <c r="H1474" s="2">
        <v>1844.47</v>
      </c>
      <c r="I1474" s="2">
        <v>1844.47</v>
      </c>
    </row>
    <row r="1475">
      <c r="A1475" s="1" t="s">
        <v>2942</v>
      </c>
      <c r="B1475" s="2">
        <v>1420.33</v>
      </c>
      <c r="C1475" s="2">
        <v>1420.33</v>
      </c>
      <c r="D1475" s="2">
        <v>2488.52</v>
      </c>
      <c r="E1475" s="2">
        <v>2488.52</v>
      </c>
      <c r="G1475" s="1" t="s">
        <v>2943</v>
      </c>
      <c r="H1475" s="2">
        <v>1824.78</v>
      </c>
      <c r="I1475" s="2">
        <v>1824.78</v>
      </c>
    </row>
    <row r="1476">
      <c r="A1476" s="1" t="s">
        <v>2944</v>
      </c>
      <c r="B1476" s="2">
        <v>1401.02</v>
      </c>
      <c r="C1476" s="2">
        <v>1401.02</v>
      </c>
      <c r="D1476" s="2">
        <v>2439.94</v>
      </c>
      <c r="E1476" s="2">
        <v>2439.94</v>
      </c>
      <c r="G1476" s="1" t="s">
        <v>2945</v>
      </c>
      <c r="H1476" s="2">
        <v>1782.27</v>
      </c>
      <c r="I1476" s="2">
        <v>1782.27</v>
      </c>
    </row>
    <row r="1477">
      <c r="A1477" s="1" t="s">
        <v>2946</v>
      </c>
      <c r="B1477" s="2" t="s">
        <v>0</v>
      </c>
      <c r="C1477" s="2">
        <v>1401.02</v>
      </c>
      <c r="D1477" s="2" t="s">
        <v>0</v>
      </c>
      <c r="E1477" s="2">
        <v>2439.94</v>
      </c>
      <c r="G1477" s="1" t="s">
        <v>2947</v>
      </c>
      <c r="H1477" s="2" t="s">
        <v>0</v>
      </c>
      <c r="I1477" s="2">
        <v>1782.27</v>
      </c>
    </row>
    <row r="1478">
      <c r="A1478" s="1" t="s">
        <v>2948</v>
      </c>
      <c r="B1478" s="2" t="s">
        <v>0</v>
      </c>
      <c r="C1478" s="2">
        <v>1401.02</v>
      </c>
      <c r="D1478" s="2" t="s">
        <v>0</v>
      </c>
      <c r="E1478" s="2">
        <v>2439.94</v>
      </c>
      <c r="G1478" s="1" t="s">
        <v>2949</v>
      </c>
      <c r="H1478" s="2" t="s">
        <v>0</v>
      </c>
      <c r="I1478" s="2">
        <v>1782.27</v>
      </c>
    </row>
    <row r="1479">
      <c r="A1479" s="1" t="s">
        <v>2950</v>
      </c>
      <c r="B1479" s="2">
        <v>1416.25</v>
      </c>
      <c r="C1479" s="2">
        <v>1416.25</v>
      </c>
      <c r="D1479" s="2">
        <v>2478.3</v>
      </c>
      <c r="E1479" s="2">
        <v>2478.3</v>
      </c>
      <c r="G1479" s="1" t="s">
        <v>2951</v>
      </c>
      <c r="H1479" s="2">
        <v>1765.88</v>
      </c>
      <c r="I1479" s="2">
        <v>1765.88</v>
      </c>
    </row>
    <row r="1480">
      <c r="A1480" s="1" t="s">
        <v>2952</v>
      </c>
      <c r="B1480" s="2">
        <v>1380.95</v>
      </c>
      <c r="C1480" s="2">
        <v>1380.95</v>
      </c>
      <c r="D1480" s="2">
        <v>2417.59</v>
      </c>
      <c r="E1480" s="2">
        <v>2417.59</v>
      </c>
      <c r="G1480" s="1" t="s">
        <v>2953</v>
      </c>
      <c r="H1480" s="2">
        <v>1746.95</v>
      </c>
      <c r="I1480" s="2">
        <v>1746.95</v>
      </c>
    </row>
    <row r="1481">
      <c r="A1481" s="1" t="s">
        <v>2954</v>
      </c>
      <c r="B1481" s="2">
        <v>1373.2</v>
      </c>
      <c r="C1481" s="2">
        <v>1373.2</v>
      </c>
      <c r="D1481" s="2">
        <v>2394.59</v>
      </c>
      <c r="E1481" s="2">
        <v>2394.59</v>
      </c>
      <c r="G1481" s="1" t="s">
        <v>2955</v>
      </c>
      <c r="H1481" s="2">
        <v>1704.97</v>
      </c>
      <c r="I1481" s="2">
        <v>1704.97</v>
      </c>
    </row>
    <row r="1482">
      <c r="A1482" s="1" t="s">
        <v>2956</v>
      </c>
      <c r="B1482" s="2">
        <v>1333.25</v>
      </c>
      <c r="C1482" s="2">
        <v>1333.25</v>
      </c>
      <c r="D1482" s="2">
        <v>2346.9</v>
      </c>
      <c r="E1482" s="2">
        <v>2346.9</v>
      </c>
      <c r="G1482" s="1" t="s">
        <v>2957</v>
      </c>
      <c r="H1482" s="2">
        <v>1723.55</v>
      </c>
      <c r="I1482" s="2">
        <v>1723.55</v>
      </c>
    </row>
    <row r="1483">
      <c r="A1483" s="1" t="s">
        <v>2958</v>
      </c>
      <c r="B1483" s="2">
        <v>1325.19</v>
      </c>
      <c r="C1483" s="2">
        <v>1325.19</v>
      </c>
      <c r="D1483" s="2">
        <v>2340.02</v>
      </c>
      <c r="E1483" s="2">
        <v>2340.02</v>
      </c>
      <c r="G1483" s="1" t="s">
        <v>2959</v>
      </c>
      <c r="H1483" s="2">
        <v>1734.72</v>
      </c>
      <c r="I1483" s="2">
        <v>1734.72</v>
      </c>
    </row>
    <row r="1484">
      <c r="A1484" s="1" t="s">
        <v>2960</v>
      </c>
      <c r="B1484" s="2" t="s">
        <v>0</v>
      </c>
      <c r="C1484" s="2">
        <v>1325.19</v>
      </c>
      <c r="D1484" s="2" t="s">
        <v>0</v>
      </c>
      <c r="E1484" s="2">
        <v>2340.02</v>
      </c>
      <c r="G1484" s="1" t="s">
        <v>2961</v>
      </c>
      <c r="H1484" s="2" t="s">
        <v>0</v>
      </c>
      <c r="I1484" s="2">
        <v>1734.72</v>
      </c>
    </row>
    <row r="1485">
      <c r="A1485" s="1" t="s">
        <v>2962</v>
      </c>
      <c r="B1485" s="2" t="s">
        <v>0</v>
      </c>
      <c r="C1485" s="2">
        <v>1325.19</v>
      </c>
      <c r="D1485" s="2" t="s">
        <v>0</v>
      </c>
      <c r="E1485" s="2">
        <v>2340.02</v>
      </c>
      <c r="G1485" s="1" t="s">
        <v>2963</v>
      </c>
      <c r="H1485" s="2" t="s">
        <v>0</v>
      </c>
      <c r="I1485" s="2">
        <v>1734.72</v>
      </c>
    </row>
    <row r="1486">
      <c r="A1486" s="1" t="s">
        <v>2964</v>
      </c>
      <c r="B1486" s="2" t="s">
        <v>0</v>
      </c>
      <c r="C1486" s="2">
        <v>1325.19</v>
      </c>
      <c r="D1486" s="2" t="s">
        <v>0</v>
      </c>
      <c r="E1486" s="2">
        <v>2340.02</v>
      </c>
      <c r="G1486" s="1" t="s">
        <v>2965</v>
      </c>
      <c r="H1486" s="2">
        <v>1683.56</v>
      </c>
      <c r="I1486" s="2">
        <v>1683.56</v>
      </c>
    </row>
    <row r="1487">
      <c r="A1487" s="1" t="s">
        <v>2966</v>
      </c>
      <c r="B1487" s="2">
        <v>1310.5</v>
      </c>
      <c r="C1487" s="2">
        <v>1310.5</v>
      </c>
      <c r="D1487" s="2">
        <v>2292.27</v>
      </c>
      <c r="E1487" s="2">
        <v>2292.27</v>
      </c>
      <c r="G1487" s="1" t="s">
        <v>2967</v>
      </c>
      <c r="H1487" s="2">
        <v>1609.02</v>
      </c>
      <c r="I1487" s="2">
        <v>1609.02</v>
      </c>
    </row>
    <row r="1488">
      <c r="A1488" s="1" t="s">
        <v>2968</v>
      </c>
      <c r="B1488" s="2">
        <v>1338.6</v>
      </c>
      <c r="C1488" s="2">
        <v>1338.6</v>
      </c>
      <c r="D1488" s="2">
        <v>2316.41</v>
      </c>
      <c r="E1488" s="2">
        <v>2316.41</v>
      </c>
      <c r="G1488" s="1" t="s">
        <v>2969</v>
      </c>
      <c r="H1488" s="2">
        <v>1628.42</v>
      </c>
      <c r="I1488" s="2">
        <v>1628.42</v>
      </c>
    </row>
    <row r="1489">
      <c r="A1489" s="1" t="s">
        <v>2970</v>
      </c>
      <c r="B1489" s="2">
        <v>1352.07</v>
      </c>
      <c r="C1489" s="2">
        <v>1352.07</v>
      </c>
      <c r="D1489" s="2">
        <v>2360.92</v>
      </c>
      <c r="E1489" s="2">
        <v>2360.92</v>
      </c>
      <c r="G1489" s="1" t="s">
        <v>2971</v>
      </c>
      <c r="H1489" s="2">
        <v>1663.0</v>
      </c>
      <c r="I1489" s="2">
        <v>1663.0</v>
      </c>
    </row>
    <row r="1490">
      <c r="A1490" s="1" t="s">
        <v>2972</v>
      </c>
      <c r="B1490" s="2">
        <v>1330.61</v>
      </c>
      <c r="C1490" s="2">
        <v>1330.61</v>
      </c>
      <c r="D1490" s="2">
        <v>2326.2</v>
      </c>
      <c r="E1490" s="2">
        <v>2326.2</v>
      </c>
      <c r="G1490" s="1" t="s">
        <v>2973</v>
      </c>
      <c r="H1490" s="2">
        <v>1692.41</v>
      </c>
      <c r="I1490" s="2">
        <v>1692.41</v>
      </c>
    </row>
    <row r="1491">
      <c r="A1491" s="1" t="s">
        <v>2974</v>
      </c>
      <c r="B1491" s="2" t="s">
        <v>0</v>
      </c>
      <c r="C1491" s="2">
        <v>1330.61</v>
      </c>
      <c r="D1491" s="2" t="s">
        <v>0</v>
      </c>
      <c r="E1491" s="2">
        <v>2326.2</v>
      </c>
      <c r="G1491" s="1" t="s">
        <v>2975</v>
      </c>
      <c r="H1491" s="2" t="s">
        <v>0</v>
      </c>
      <c r="I1491" s="2">
        <v>1692.41</v>
      </c>
    </row>
    <row r="1492">
      <c r="A1492" s="1" t="s">
        <v>2976</v>
      </c>
      <c r="B1492" s="2" t="s">
        <v>0</v>
      </c>
      <c r="C1492" s="2">
        <v>1330.61</v>
      </c>
      <c r="D1492" s="2" t="s">
        <v>0</v>
      </c>
      <c r="E1492" s="2">
        <v>2326.2</v>
      </c>
      <c r="G1492" s="1" t="s">
        <v>2977</v>
      </c>
      <c r="H1492" s="2" t="s">
        <v>0</v>
      </c>
      <c r="I1492" s="2">
        <v>1692.41</v>
      </c>
    </row>
    <row r="1493">
      <c r="A1493" s="1" t="s">
        <v>2978</v>
      </c>
      <c r="B1493" s="2">
        <v>1353.96</v>
      </c>
      <c r="C1493" s="2">
        <v>1353.96</v>
      </c>
      <c r="D1493" s="2">
        <v>2349.91</v>
      </c>
      <c r="E1493" s="2">
        <v>2349.91</v>
      </c>
      <c r="G1493" s="1" t="s">
        <v>2979</v>
      </c>
      <c r="H1493" s="2">
        <v>1627.19</v>
      </c>
      <c r="I1493" s="2">
        <v>1627.19</v>
      </c>
    </row>
    <row r="1494">
      <c r="A1494" s="1" t="s">
        <v>2980</v>
      </c>
      <c r="B1494" s="2">
        <v>1362.3</v>
      </c>
      <c r="C1494" s="2">
        <v>1362.3</v>
      </c>
      <c r="D1494" s="2">
        <v>2358.06</v>
      </c>
      <c r="E1494" s="2">
        <v>2358.06</v>
      </c>
      <c r="G1494" s="1" t="s">
        <v>2981</v>
      </c>
      <c r="H1494" s="2">
        <v>1637.91</v>
      </c>
      <c r="I1494" s="2">
        <v>1637.91</v>
      </c>
    </row>
    <row r="1495">
      <c r="A1495" s="1" t="s">
        <v>2982</v>
      </c>
      <c r="B1495" s="2">
        <v>1355.81</v>
      </c>
      <c r="C1495" s="2">
        <v>1355.81</v>
      </c>
      <c r="D1495" s="2">
        <v>2349.0</v>
      </c>
      <c r="E1495" s="2">
        <v>2349.0</v>
      </c>
      <c r="G1495" s="1" t="s">
        <v>2983</v>
      </c>
      <c r="H1495" s="2">
        <v>1589.06</v>
      </c>
      <c r="I1495" s="2">
        <v>1589.06</v>
      </c>
    </row>
    <row r="1496">
      <c r="A1496" s="1" t="s">
        <v>2984</v>
      </c>
      <c r="B1496" s="2">
        <v>1378.55</v>
      </c>
      <c r="C1496" s="2">
        <v>1378.55</v>
      </c>
      <c r="D1496" s="2">
        <v>2389.86</v>
      </c>
      <c r="E1496" s="2">
        <v>2389.86</v>
      </c>
      <c r="G1496" s="1" t="s">
        <v>2985</v>
      </c>
      <c r="H1496" s="2">
        <v>1624.68</v>
      </c>
      <c r="I1496" s="2">
        <v>1624.68</v>
      </c>
    </row>
    <row r="1497">
      <c r="A1497" s="1" t="s">
        <v>2986</v>
      </c>
      <c r="B1497" s="2">
        <v>1395.42</v>
      </c>
      <c r="C1497" s="2">
        <v>1395.42</v>
      </c>
      <c r="D1497" s="2">
        <v>2413.36</v>
      </c>
      <c r="E1497" s="2">
        <v>2413.36</v>
      </c>
      <c r="G1497" s="1" t="s">
        <v>2987</v>
      </c>
      <c r="H1497" s="2">
        <v>1634.53</v>
      </c>
      <c r="I1497" s="2">
        <v>1634.53</v>
      </c>
    </row>
    <row r="1498">
      <c r="A1498" s="1" t="s">
        <v>2988</v>
      </c>
      <c r="B1498" s="2" t="s">
        <v>0</v>
      </c>
      <c r="C1498" s="2">
        <v>1395.42</v>
      </c>
      <c r="D1498" s="2" t="s">
        <v>0</v>
      </c>
      <c r="E1498" s="2">
        <v>2413.36</v>
      </c>
      <c r="G1498" s="1" t="s">
        <v>2989</v>
      </c>
      <c r="H1498" s="2" t="s">
        <v>0</v>
      </c>
      <c r="I1498" s="2">
        <v>1634.53</v>
      </c>
    </row>
    <row r="1499">
      <c r="A1499" s="1" t="s">
        <v>2990</v>
      </c>
      <c r="B1499" s="2" t="s">
        <v>0</v>
      </c>
      <c r="C1499" s="2">
        <v>1395.42</v>
      </c>
      <c r="D1499" s="2" t="s">
        <v>0</v>
      </c>
      <c r="E1499" s="2">
        <v>2413.36</v>
      </c>
      <c r="G1499" s="1" t="s">
        <v>2991</v>
      </c>
      <c r="H1499" s="2" t="s">
        <v>0</v>
      </c>
      <c r="I1499" s="2">
        <v>1634.53</v>
      </c>
    </row>
    <row r="1500">
      <c r="A1500" s="1" t="s">
        <v>2992</v>
      </c>
      <c r="B1500" s="2">
        <v>1380.82</v>
      </c>
      <c r="C1500" s="2">
        <v>1380.82</v>
      </c>
      <c r="D1500" s="2">
        <v>2382.85</v>
      </c>
      <c r="E1500" s="2">
        <v>2382.85</v>
      </c>
      <c r="G1500" s="1" t="s">
        <v>2993</v>
      </c>
      <c r="H1500" s="2">
        <v>1690.13</v>
      </c>
      <c r="I1500" s="2">
        <v>1690.13</v>
      </c>
    </row>
    <row r="1501">
      <c r="A1501" s="1" t="s">
        <v>2994</v>
      </c>
      <c r="B1501" s="2">
        <v>1336.64</v>
      </c>
      <c r="C1501" s="2">
        <v>1336.64</v>
      </c>
      <c r="D1501" s="2">
        <v>2309.57</v>
      </c>
      <c r="E1501" s="2">
        <v>2309.57</v>
      </c>
      <c r="G1501" s="1" t="s">
        <v>2995</v>
      </c>
      <c r="H1501" s="2">
        <v>1696.57</v>
      </c>
      <c r="I1501" s="2">
        <v>1696.57</v>
      </c>
    </row>
    <row r="1502">
      <c r="A1502" s="1" t="s">
        <v>2996</v>
      </c>
      <c r="B1502" s="2">
        <v>1326.45</v>
      </c>
      <c r="C1502" s="2">
        <v>1326.45</v>
      </c>
      <c r="D1502" s="2">
        <v>2278.75</v>
      </c>
      <c r="E1502" s="2">
        <v>2278.75</v>
      </c>
      <c r="G1502" s="1" t="s">
        <v>2997</v>
      </c>
      <c r="H1502" s="2" t="s">
        <v>0</v>
      </c>
      <c r="I1502" s="2">
        <v>1696.57</v>
      </c>
    </row>
    <row r="1503">
      <c r="A1503" s="1" t="s">
        <v>2998</v>
      </c>
      <c r="B1503" s="2">
        <v>1336.91</v>
      </c>
      <c r="C1503" s="2">
        <v>1336.91</v>
      </c>
      <c r="D1503" s="2">
        <v>2293.03</v>
      </c>
      <c r="E1503" s="2">
        <v>2293.03</v>
      </c>
      <c r="G1503" s="1" t="s">
        <v>2999</v>
      </c>
      <c r="H1503" s="2" t="s">
        <v>0</v>
      </c>
      <c r="I1503" s="2">
        <v>1696.57</v>
      </c>
    </row>
    <row r="1504">
      <c r="A1504" s="1" t="s">
        <v>3000</v>
      </c>
      <c r="B1504" s="2">
        <v>1331.29</v>
      </c>
      <c r="C1504" s="2">
        <v>1331.29</v>
      </c>
      <c r="D1504" s="2">
        <v>2304.85</v>
      </c>
      <c r="E1504" s="2">
        <v>2304.85</v>
      </c>
      <c r="G1504" s="1" t="s">
        <v>3001</v>
      </c>
      <c r="H1504" s="2" t="s">
        <v>0</v>
      </c>
      <c r="I1504" s="2">
        <v>1696.57</v>
      </c>
    </row>
    <row r="1505">
      <c r="A1505" s="1" t="s">
        <v>3002</v>
      </c>
      <c r="B1505" s="2" t="s">
        <v>0</v>
      </c>
      <c r="C1505" s="2">
        <v>1331.29</v>
      </c>
      <c r="D1505" s="2" t="s">
        <v>0</v>
      </c>
      <c r="E1505" s="2">
        <v>2304.85</v>
      </c>
      <c r="G1505" s="1" t="s">
        <v>3003</v>
      </c>
      <c r="H1505" s="2" t="s">
        <v>0</v>
      </c>
      <c r="I1505" s="2">
        <v>1696.57</v>
      </c>
    </row>
    <row r="1506">
      <c r="A1506" s="1" t="s">
        <v>3004</v>
      </c>
      <c r="B1506" s="2" t="s">
        <v>0</v>
      </c>
      <c r="C1506" s="2">
        <v>1331.29</v>
      </c>
      <c r="D1506" s="2" t="s">
        <v>0</v>
      </c>
      <c r="E1506" s="2">
        <v>2304.85</v>
      </c>
      <c r="G1506" s="1" t="s">
        <v>3005</v>
      </c>
      <c r="H1506" s="2" t="s">
        <v>0</v>
      </c>
      <c r="I1506" s="2">
        <v>1696.57</v>
      </c>
    </row>
    <row r="1507">
      <c r="A1507" s="1" t="s">
        <v>3006</v>
      </c>
      <c r="B1507" s="2">
        <v>1339.13</v>
      </c>
      <c r="C1507" s="2">
        <v>1339.13</v>
      </c>
      <c r="D1507" s="2">
        <v>2320.06</v>
      </c>
      <c r="E1507" s="2">
        <v>2320.06</v>
      </c>
      <c r="G1507" s="1" t="s">
        <v>3007</v>
      </c>
      <c r="H1507" s="2">
        <v>1640.67</v>
      </c>
      <c r="I1507" s="2">
        <v>1640.67</v>
      </c>
    </row>
    <row r="1508">
      <c r="A1508" s="1" t="s">
        <v>3008</v>
      </c>
      <c r="B1508" s="2">
        <v>1348.86</v>
      </c>
      <c r="C1508" s="2">
        <v>1348.86</v>
      </c>
      <c r="D1508" s="2">
        <v>2320.04</v>
      </c>
      <c r="E1508" s="2">
        <v>2320.04</v>
      </c>
      <c r="G1508" s="1" t="s">
        <v>3009</v>
      </c>
      <c r="H1508" s="2">
        <v>1643.29</v>
      </c>
      <c r="I1508" s="2">
        <v>1643.29</v>
      </c>
    </row>
    <row r="1509">
      <c r="A1509" s="1" t="s">
        <v>3010</v>
      </c>
      <c r="B1509" s="2">
        <v>1367.21</v>
      </c>
      <c r="C1509" s="2">
        <v>1367.21</v>
      </c>
      <c r="D1509" s="2">
        <v>2373.93</v>
      </c>
      <c r="E1509" s="2">
        <v>2373.93</v>
      </c>
      <c r="G1509" s="1" t="s">
        <v>3011</v>
      </c>
      <c r="H1509" s="2">
        <v>1631.78</v>
      </c>
      <c r="I1509" s="2">
        <v>1631.78</v>
      </c>
    </row>
    <row r="1510">
      <c r="A1510" s="1" t="s">
        <v>3012</v>
      </c>
      <c r="B1510" s="2">
        <v>1348.86</v>
      </c>
      <c r="C1510" s="2">
        <v>1348.86</v>
      </c>
      <c r="D1510" s="2">
        <v>2332.54</v>
      </c>
      <c r="E1510" s="2">
        <v>2332.54</v>
      </c>
      <c r="G1510" s="1" t="s">
        <v>3013</v>
      </c>
      <c r="H1510" s="2">
        <v>1697.45</v>
      </c>
      <c r="I1510" s="2">
        <v>1697.45</v>
      </c>
    </row>
    <row r="1511">
      <c r="A1511" s="1" t="s">
        <v>3014</v>
      </c>
      <c r="B1511" s="2">
        <v>1349.99</v>
      </c>
      <c r="C1511" s="2">
        <v>1349.99</v>
      </c>
      <c r="D1511" s="2">
        <v>2321.8</v>
      </c>
      <c r="E1511" s="2">
        <v>2321.8</v>
      </c>
      <c r="G1511" s="1" t="s">
        <v>3015</v>
      </c>
      <c r="H1511" s="2">
        <v>1694.77</v>
      </c>
      <c r="I1511" s="2">
        <v>1694.77</v>
      </c>
    </row>
    <row r="1512">
      <c r="A1512" s="1" t="s">
        <v>3016</v>
      </c>
      <c r="B1512" s="2" t="s">
        <v>0</v>
      </c>
      <c r="C1512" s="2">
        <v>1349.99</v>
      </c>
      <c r="D1512" s="2" t="s">
        <v>0</v>
      </c>
      <c r="E1512" s="2">
        <v>2321.8</v>
      </c>
      <c r="G1512" s="1" t="s">
        <v>3017</v>
      </c>
      <c r="H1512" s="2" t="s">
        <v>0</v>
      </c>
      <c r="I1512" s="2">
        <v>1694.77</v>
      </c>
    </row>
    <row r="1513">
      <c r="A1513" s="1" t="s">
        <v>3018</v>
      </c>
      <c r="B1513" s="2" t="s">
        <v>0</v>
      </c>
      <c r="C1513" s="2">
        <v>1349.99</v>
      </c>
      <c r="D1513" s="2" t="s">
        <v>0</v>
      </c>
      <c r="E1513" s="2">
        <v>2321.8</v>
      </c>
      <c r="G1513" s="1" t="s">
        <v>3019</v>
      </c>
      <c r="H1513" s="2" t="s">
        <v>0</v>
      </c>
      <c r="I1513" s="2">
        <v>1694.77</v>
      </c>
    </row>
    <row r="1514">
      <c r="A1514" s="1" t="s">
        <v>3020</v>
      </c>
      <c r="B1514" s="2" t="s">
        <v>0</v>
      </c>
      <c r="C1514" s="2">
        <v>1349.99</v>
      </c>
      <c r="D1514" s="2" t="s">
        <v>0</v>
      </c>
      <c r="E1514" s="2">
        <v>2321.8</v>
      </c>
      <c r="G1514" s="1" t="s">
        <v>3021</v>
      </c>
      <c r="H1514" s="2">
        <v>1696.24</v>
      </c>
      <c r="I1514" s="2">
        <v>1696.24</v>
      </c>
    </row>
    <row r="1515">
      <c r="A1515" s="1" t="s">
        <v>3022</v>
      </c>
      <c r="B1515" s="2">
        <v>1348.78</v>
      </c>
      <c r="C1515" s="2">
        <v>1348.78</v>
      </c>
      <c r="D1515" s="2">
        <v>2306.2</v>
      </c>
      <c r="E1515" s="2">
        <v>2306.2</v>
      </c>
      <c r="G1515" s="1" t="s">
        <v>3023</v>
      </c>
      <c r="H1515" s="2">
        <v>1720.52</v>
      </c>
      <c r="I1515" s="2">
        <v>1720.52</v>
      </c>
    </row>
    <row r="1516">
      <c r="A1516" s="1" t="s">
        <v>3024</v>
      </c>
      <c r="B1516" s="2">
        <v>1360.03</v>
      </c>
      <c r="C1516" s="2">
        <v>1360.03</v>
      </c>
      <c r="D1516" s="2">
        <v>2327.1</v>
      </c>
      <c r="E1516" s="2">
        <v>2327.1</v>
      </c>
      <c r="G1516" s="1" t="s">
        <v>3025</v>
      </c>
      <c r="H1516" s="2">
        <v>1687.91</v>
      </c>
      <c r="I1516" s="2">
        <v>1687.91</v>
      </c>
    </row>
    <row r="1517">
      <c r="A1517" s="1" t="s">
        <v>3026</v>
      </c>
      <c r="B1517" s="2">
        <v>1342.53</v>
      </c>
      <c r="C1517" s="2">
        <v>1342.53</v>
      </c>
      <c r="D1517" s="2">
        <v>2299.78</v>
      </c>
      <c r="E1517" s="2">
        <v>2299.78</v>
      </c>
      <c r="G1517" s="1" t="s">
        <v>3027</v>
      </c>
      <c r="H1517" s="2">
        <v>1704.36</v>
      </c>
      <c r="I1517" s="2">
        <v>1704.36</v>
      </c>
    </row>
    <row r="1518">
      <c r="A1518" s="1" t="s">
        <v>3028</v>
      </c>
      <c r="B1518" s="2">
        <v>1353.11</v>
      </c>
      <c r="C1518" s="2">
        <v>1353.11</v>
      </c>
      <c r="D1518" s="2">
        <v>2303.35</v>
      </c>
      <c r="E1518" s="2">
        <v>2303.35</v>
      </c>
      <c r="G1518" s="1" t="s">
        <v>3029</v>
      </c>
      <c r="H1518" s="2">
        <v>1686.45</v>
      </c>
      <c r="I1518" s="2">
        <v>1686.45</v>
      </c>
    </row>
    <row r="1519">
      <c r="A1519" s="1" t="s">
        <v>3030</v>
      </c>
      <c r="B1519" s="2" t="s">
        <v>0</v>
      </c>
      <c r="C1519" s="2">
        <v>1353.11</v>
      </c>
      <c r="D1519" s="2" t="s">
        <v>0</v>
      </c>
      <c r="E1519" s="2">
        <v>2303.35</v>
      </c>
      <c r="G1519" s="1" t="s">
        <v>3031</v>
      </c>
      <c r="H1519" s="2" t="s">
        <v>0</v>
      </c>
      <c r="I1519" s="2">
        <v>1686.45</v>
      </c>
    </row>
    <row r="1520">
      <c r="A1520" s="1" t="s">
        <v>3032</v>
      </c>
      <c r="B1520" s="2" t="s">
        <v>0</v>
      </c>
      <c r="C1520" s="2">
        <v>1353.11</v>
      </c>
      <c r="D1520" s="2" t="s">
        <v>0</v>
      </c>
      <c r="E1520" s="2">
        <v>2303.35</v>
      </c>
      <c r="G1520" s="1" t="s">
        <v>3033</v>
      </c>
      <c r="H1520" s="2" t="s">
        <v>0</v>
      </c>
      <c r="I1520" s="2">
        <v>1686.45</v>
      </c>
    </row>
    <row r="1521">
      <c r="A1521" s="1" t="s">
        <v>3034</v>
      </c>
      <c r="B1521" s="2">
        <v>1371.8</v>
      </c>
      <c r="C1521" s="2">
        <v>1371.8</v>
      </c>
      <c r="D1521" s="2">
        <v>2327.48</v>
      </c>
      <c r="E1521" s="2">
        <v>2327.48</v>
      </c>
      <c r="G1521" s="1" t="s">
        <v>3035</v>
      </c>
      <c r="H1521" s="2">
        <v>1709.13</v>
      </c>
      <c r="I1521" s="2">
        <v>1709.13</v>
      </c>
    </row>
    <row r="1522">
      <c r="A1522" s="1" t="s">
        <v>3036</v>
      </c>
      <c r="B1522" s="2">
        <v>1381.29</v>
      </c>
      <c r="C1522" s="2">
        <v>1381.29</v>
      </c>
      <c r="D1522" s="2">
        <v>2344.99</v>
      </c>
      <c r="E1522" s="2">
        <v>2344.99</v>
      </c>
      <c r="G1522" s="1" t="s">
        <v>3037</v>
      </c>
      <c r="H1522" s="2">
        <v>1709.13</v>
      </c>
      <c r="I1522" s="2">
        <v>1709.13</v>
      </c>
    </row>
    <row r="1523">
      <c r="A1523" s="1" t="s">
        <v>3038</v>
      </c>
      <c r="B1523" s="2">
        <v>1380.02</v>
      </c>
      <c r="C1523" s="2">
        <v>1380.02</v>
      </c>
      <c r="D1523" s="2">
        <v>2353.78</v>
      </c>
      <c r="E1523" s="2">
        <v>2353.78</v>
      </c>
      <c r="G1523" s="1" t="s">
        <v>3039</v>
      </c>
      <c r="H1523" s="2">
        <v>1720.89</v>
      </c>
      <c r="I1523" s="2">
        <v>1720.89</v>
      </c>
    </row>
    <row r="1524">
      <c r="A1524" s="1" t="s">
        <v>3040</v>
      </c>
      <c r="B1524" s="2">
        <v>1367.68</v>
      </c>
      <c r="C1524" s="2">
        <v>1367.68</v>
      </c>
      <c r="D1524" s="2">
        <v>2331.57</v>
      </c>
      <c r="E1524" s="2">
        <v>2331.57</v>
      </c>
      <c r="G1524" s="1" t="s">
        <v>3041</v>
      </c>
      <c r="H1524" s="2">
        <v>1736.17</v>
      </c>
      <c r="I1524" s="2">
        <v>1736.17</v>
      </c>
    </row>
    <row r="1525">
      <c r="A1525" s="1" t="s">
        <v>3042</v>
      </c>
      <c r="B1525" s="2">
        <v>1330.63</v>
      </c>
      <c r="C1525" s="2">
        <v>1330.63</v>
      </c>
      <c r="D1525" s="2">
        <v>2271.48</v>
      </c>
      <c r="E1525" s="2">
        <v>2271.48</v>
      </c>
      <c r="G1525" s="1" t="s">
        <v>3043</v>
      </c>
      <c r="H1525" s="2">
        <v>1711.62</v>
      </c>
      <c r="I1525" s="2">
        <v>1711.62</v>
      </c>
    </row>
    <row r="1526">
      <c r="A1526" s="1" t="s">
        <v>3044</v>
      </c>
      <c r="B1526" s="2" t="s">
        <v>0</v>
      </c>
      <c r="C1526" s="2">
        <v>1330.63</v>
      </c>
      <c r="D1526" s="2" t="s">
        <v>0</v>
      </c>
      <c r="E1526" s="2">
        <v>2271.48</v>
      </c>
      <c r="G1526" s="1" t="s">
        <v>3045</v>
      </c>
      <c r="H1526" s="2" t="s">
        <v>0</v>
      </c>
      <c r="I1526" s="2">
        <v>1711.62</v>
      </c>
    </row>
    <row r="1527">
      <c r="A1527" s="1" t="s">
        <v>3046</v>
      </c>
      <c r="B1527" s="2" t="s">
        <v>0</v>
      </c>
      <c r="C1527" s="2">
        <v>1330.63</v>
      </c>
      <c r="D1527" s="2" t="s">
        <v>0</v>
      </c>
      <c r="E1527" s="2">
        <v>2271.48</v>
      </c>
      <c r="G1527" s="1" t="s">
        <v>3047</v>
      </c>
      <c r="H1527" s="2" t="s">
        <v>0</v>
      </c>
      <c r="I1527" s="2">
        <v>1711.62</v>
      </c>
    </row>
    <row r="1528">
      <c r="A1528" s="1" t="s">
        <v>3048</v>
      </c>
      <c r="B1528" s="2">
        <v>1331.34</v>
      </c>
      <c r="C1528" s="2">
        <v>1331.34</v>
      </c>
      <c r="D1528" s="2">
        <v>2258.6</v>
      </c>
      <c r="E1528" s="2">
        <v>2258.6</v>
      </c>
      <c r="G1528" s="1" t="s">
        <v>3049</v>
      </c>
      <c r="H1528" s="2">
        <v>1671.73</v>
      </c>
      <c r="I1528" s="2">
        <v>1671.73</v>
      </c>
    </row>
    <row r="1529">
      <c r="A1529" s="1" t="s">
        <v>3050</v>
      </c>
      <c r="B1529" s="2">
        <v>1326.75</v>
      </c>
      <c r="C1529" s="2">
        <v>1326.75</v>
      </c>
      <c r="D1529" s="2">
        <v>2260.28</v>
      </c>
      <c r="E1529" s="2">
        <v>2260.28</v>
      </c>
      <c r="G1529" s="1" t="s">
        <v>3051</v>
      </c>
      <c r="H1529" s="2">
        <v>1676.18</v>
      </c>
      <c r="I1529" s="2">
        <v>1676.18</v>
      </c>
    </row>
    <row r="1530">
      <c r="A1530" s="1" t="s">
        <v>3052</v>
      </c>
      <c r="B1530" s="2">
        <v>1333.7</v>
      </c>
      <c r="C1530" s="2">
        <v>1333.7</v>
      </c>
      <c r="D1530" s="2">
        <v>2272.81</v>
      </c>
      <c r="E1530" s="2">
        <v>2272.81</v>
      </c>
      <c r="G1530" s="1" t="s">
        <v>3053</v>
      </c>
      <c r="H1530" s="2">
        <v>1677.1</v>
      </c>
      <c r="I1530" s="2">
        <v>1677.1</v>
      </c>
    </row>
    <row r="1531">
      <c r="A1531" s="1" t="s">
        <v>3054</v>
      </c>
      <c r="B1531" s="2">
        <v>1304.34</v>
      </c>
      <c r="C1531" s="2">
        <v>1304.34</v>
      </c>
      <c r="D1531" s="2">
        <v>2220.5</v>
      </c>
      <c r="E1531" s="2">
        <v>2220.5</v>
      </c>
      <c r="G1531" s="1" t="s">
        <v>3055</v>
      </c>
      <c r="H1531" s="2">
        <v>1697.44</v>
      </c>
      <c r="I1531" s="2">
        <v>1697.44</v>
      </c>
    </row>
    <row r="1532">
      <c r="A1532" s="1" t="s">
        <v>3056</v>
      </c>
      <c r="B1532" s="2">
        <v>1293.37</v>
      </c>
      <c r="C1532" s="2">
        <v>1293.37</v>
      </c>
      <c r="D1532" s="2">
        <v>2212.49</v>
      </c>
      <c r="E1532" s="2">
        <v>2212.49</v>
      </c>
      <c r="G1532" s="1" t="s">
        <v>3057</v>
      </c>
      <c r="H1532" s="2">
        <v>1663.97</v>
      </c>
      <c r="I1532" s="2">
        <v>1663.97</v>
      </c>
    </row>
    <row r="1533">
      <c r="A1533" s="1" t="s">
        <v>3058</v>
      </c>
      <c r="B1533" s="2" t="s">
        <v>0</v>
      </c>
      <c r="C1533" s="2">
        <v>1293.37</v>
      </c>
      <c r="D1533" s="2" t="s">
        <v>0</v>
      </c>
      <c r="E1533" s="2">
        <v>2212.49</v>
      </c>
      <c r="G1533" s="1" t="s">
        <v>3059</v>
      </c>
      <c r="H1533" s="2" t="s">
        <v>0</v>
      </c>
      <c r="I1533" s="2">
        <v>1663.97</v>
      </c>
    </row>
    <row r="1534">
      <c r="A1534" s="1" t="s">
        <v>3060</v>
      </c>
      <c r="B1534" s="2" t="s">
        <v>0</v>
      </c>
      <c r="C1534" s="2">
        <v>1293.37</v>
      </c>
      <c r="D1534" s="2" t="s">
        <v>0</v>
      </c>
      <c r="E1534" s="2">
        <v>2212.49</v>
      </c>
      <c r="G1534" s="1" t="s">
        <v>3061</v>
      </c>
      <c r="H1534" s="2" t="s">
        <v>0</v>
      </c>
      <c r="I1534" s="2">
        <v>1663.97</v>
      </c>
    </row>
    <row r="1535">
      <c r="A1535" s="1" t="s">
        <v>3062</v>
      </c>
      <c r="B1535" s="2">
        <v>1273.37</v>
      </c>
      <c r="C1535" s="2">
        <v>1273.37</v>
      </c>
      <c r="D1535" s="2">
        <v>2169.34</v>
      </c>
      <c r="E1535" s="2">
        <v>2169.34</v>
      </c>
      <c r="G1535" s="1" t="s">
        <v>3063</v>
      </c>
      <c r="H1535" s="2">
        <v>1625.17</v>
      </c>
      <c r="I1535" s="2">
        <v>1625.17</v>
      </c>
    </row>
    <row r="1536">
      <c r="A1536" s="1" t="s">
        <v>3064</v>
      </c>
      <c r="B1536" s="2">
        <v>1320.65</v>
      </c>
      <c r="C1536" s="2">
        <v>1320.65</v>
      </c>
      <c r="D1536" s="2">
        <v>2255.76</v>
      </c>
      <c r="E1536" s="2">
        <v>2255.76</v>
      </c>
      <c r="G1536" s="1" t="s">
        <v>3065</v>
      </c>
      <c r="H1536" s="2">
        <v>1641.48</v>
      </c>
      <c r="I1536" s="2">
        <v>1641.48</v>
      </c>
    </row>
    <row r="1537">
      <c r="A1537" s="1" t="s">
        <v>3066</v>
      </c>
      <c r="B1537" s="2">
        <v>1308.77</v>
      </c>
      <c r="C1537" s="2">
        <v>1308.77</v>
      </c>
      <c r="D1537" s="2">
        <v>2243.87</v>
      </c>
      <c r="E1537" s="2">
        <v>2243.87</v>
      </c>
      <c r="G1537" s="1" t="s">
        <v>3067</v>
      </c>
      <c r="H1537" s="2">
        <v>1658.83</v>
      </c>
      <c r="I1537" s="2">
        <v>1658.83</v>
      </c>
    </row>
    <row r="1538">
      <c r="A1538" s="1" t="s">
        <v>3068</v>
      </c>
      <c r="B1538" s="2">
        <v>1315.48</v>
      </c>
      <c r="C1538" s="2">
        <v>1315.48</v>
      </c>
      <c r="D1538" s="2">
        <v>2263.61</v>
      </c>
      <c r="E1538" s="2">
        <v>2263.61</v>
      </c>
      <c r="G1538" s="1" t="s">
        <v>3069</v>
      </c>
      <c r="H1538" s="2">
        <v>1615.62</v>
      </c>
      <c r="I1538" s="2">
        <v>1615.62</v>
      </c>
    </row>
    <row r="1539">
      <c r="A1539" s="1" t="s">
        <v>3070</v>
      </c>
      <c r="B1539" s="2">
        <v>1288.14</v>
      </c>
      <c r="C1539" s="2">
        <v>1288.14</v>
      </c>
      <c r="D1539" s="2">
        <v>2212.49</v>
      </c>
      <c r="E1539" s="2">
        <v>2212.49</v>
      </c>
      <c r="G1539" s="1" t="s">
        <v>3071</v>
      </c>
      <c r="H1539" s="2">
        <v>1600.26</v>
      </c>
      <c r="I1539" s="2">
        <v>1600.26</v>
      </c>
    </row>
    <row r="1540">
      <c r="A1540" s="1" t="s">
        <v>3072</v>
      </c>
      <c r="B1540" s="2" t="s">
        <v>0</v>
      </c>
      <c r="C1540" s="2">
        <v>1288.14</v>
      </c>
      <c r="D1540" s="2" t="s">
        <v>0</v>
      </c>
      <c r="E1540" s="2">
        <v>2212.49</v>
      </c>
      <c r="G1540" s="1" t="s">
        <v>3073</v>
      </c>
      <c r="H1540" s="2" t="s">
        <v>0</v>
      </c>
      <c r="I1540" s="2">
        <v>1600.26</v>
      </c>
    </row>
    <row r="1541">
      <c r="A1541" s="1" t="s">
        <v>3074</v>
      </c>
      <c r="B1541" s="2" t="s">
        <v>0</v>
      </c>
      <c r="C1541" s="2">
        <v>1288.14</v>
      </c>
      <c r="D1541" s="2" t="s">
        <v>0</v>
      </c>
      <c r="E1541" s="2">
        <v>2212.49</v>
      </c>
      <c r="G1541" s="1" t="s">
        <v>3075</v>
      </c>
      <c r="H1541" s="2" t="s">
        <v>0</v>
      </c>
      <c r="I1541" s="2">
        <v>1600.26</v>
      </c>
    </row>
    <row r="1542">
      <c r="A1542" s="1" t="s">
        <v>3076</v>
      </c>
      <c r="B1542" s="2">
        <v>1276.6</v>
      </c>
      <c r="C1542" s="2">
        <v>1276.6</v>
      </c>
      <c r="D1542" s="2">
        <v>2177.01</v>
      </c>
      <c r="E1542" s="2">
        <v>2177.01</v>
      </c>
      <c r="G1542" s="1" t="s">
        <v>3077</v>
      </c>
      <c r="H1542" s="2">
        <v>1574.44</v>
      </c>
      <c r="I1542" s="2">
        <v>1574.44</v>
      </c>
    </row>
    <row r="1543">
      <c r="A1543" s="1" t="s">
        <v>3078</v>
      </c>
      <c r="B1543" s="2">
        <v>1330.74</v>
      </c>
      <c r="C1543" s="2">
        <v>1330.74</v>
      </c>
      <c r="D1543" s="2">
        <v>2268.26</v>
      </c>
      <c r="E1543" s="2">
        <v>2268.26</v>
      </c>
      <c r="G1543" s="1" t="s">
        <v>3079</v>
      </c>
      <c r="H1543" s="2">
        <v>1588.75</v>
      </c>
      <c r="I1543" s="2">
        <v>1588.75</v>
      </c>
    </row>
    <row r="1544">
      <c r="A1544" s="1" t="s">
        <v>3080</v>
      </c>
      <c r="B1544" s="2">
        <v>1298.42</v>
      </c>
      <c r="C1544" s="2">
        <v>1298.42</v>
      </c>
      <c r="D1544" s="2">
        <v>2209.96</v>
      </c>
      <c r="E1544" s="2">
        <v>2209.96</v>
      </c>
      <c r="G1544" s="1" t="s">
        <v>3081</v>
      </c>
      <c r="H1544" s="2">
        <v>1622.23</v>
      </c>
      <c r="I1544" s="2">
        <v>1622.23</v>
      </c>
    </row>
    <row r="1545">
      <c r="A1545" s="1" t="s">
        <v>3082</v>
      </c>
      <c r="B1545" s="2">
        <v>1329.51</v>
      </c>
      <c r="C1545" s="2">
        <v>1329.51</v>
      </c>
      <c r="D1545" s="2">
        <v>2258.11</v>
      </c>
      <c r="E1545" s="2">
        <v>2258.11</v>
      </c>
      <c r="G1545" s="1" t="s">
        <v>3083</v>
      </c>
      <c r="H1545" s="2">
        <v>1623.39</v>
      </c>
      <c r="I1545" s="2">
        <v>1623.39</v>
      </c>
    </row>
    <row r="1546">
      <c r="A1546" s="1" t="s">
        <v>3084</v>
      </c>
      <c r="B1546" s="2" t="s">
        <v>0</v>
      </c>
      <c r="C1546" s="2">
        <v>1329.51</v>
      </c>
      <c r="D1546" s="2" t="s">
        <v>0</v>
      </c>
      <c r="E1546" s="2">
        <v>2258.11</v>
      </c>
      <c r="G1546" s="1" t="s">
        <v>3085</v>
      </c>
      <c r="H1546" s="2">
        <v>1645.69</v>
      </c>
      <c r="I1546" s="2">
        <v>1645.69</v>
      </c>
    </row>
    <row r="1547">
      <c r="A1547" s="1" t="s">
        <v>3086</v>
      </c>
      <c r="B1547" s="2" t="s">
        <v>0</v>
      </c>
      <c r="C1547" s="2">
        <v>1329.51</v>
      </c>
      <c r="D1547" s="2" t="s">
        <v>0</v>
      </c>
      <c r="E1547" s="2">
        <v>2258.11</v>
      </c>
      <c r="G1547" s="1" t="s">
        <v>3087</v>
      </c>
      <c r="H1547" s="2" t="s">
        <v>0</v>
      </c>
      <c r="I1547" s="2">
        <v>1645.69</v>
      </c>
    </row>
    <row r="1548">
      <c r="A1548" s="1" t="s">
        <v>3088</v>
      </c>
      <c r="B1548" s="2" t="s">
        <v>0</v>
      </c>
      <c r="C1548" s="2">
        <v>1329.51</v>
      </c>
      <c r="D1548" s="2" t="s">
        <v>0</v>
      </c>
      <c r="E1548" s="2">
        <v>2258.11</v>
      </c>
      <c r="G1548" s="1" t="s">
        <v>3089</v>
      </c>
      <c r="H1548" s="2" t="s">
        <v>0</v>
      </c>
      <c r="I1548" s="2">
        <v>1645.69</v>
      </c>
    </row>
    <row r="1549">
      <c r="A1549" s="1" t="s">
        <v>3090</v>
      </c>
      <c r="B1549" s="2">
        <v>1349.88</v>
      </c>
      <c r="C1549" s="2">
        <v>1349.88</v>
      </c>
      <c r="D1549" s="2">
        <v>2326.75</v>
      </c>
      <c r="E1549" s="2">
        <v>2326.75</v>
      </c>
      <c r="G1549" s="1" t="s">
        <v>3091</v>
      </c>
      <c r="H1549" s="2">
        <v>1655.3</v>
      </c>
      <c r="I1549" s="2">
        <v>1655.3</v>
      </c>
    </row>
    <row r="1550">
      <c r="A1550" s="1" t="s">
        <v>3092</v>
      </c>
      <c r="B1550" s="2">
        <v>1352.99</v>
      </c>
      <c r="C1550" s="2">
        <v>1352.99</v>
      </c>
      <c r="D1550" s="2">
        <v>2341.05</v>
      </c>
      <c r="E1550" s="2">
        <v>2341.05</v>
      </c>
      <c r="G1550" s="1" t="s">
        <v>3093</v>
      </c>
      <c r="H1550" s="2">
        <v>1674.93</v>
      </c>
      <c r="I1550" s="2">
        <v>1674.93</v>
      </c>
    </row>
    <row r="1551">
      <c r="A1551" s="1" t="s">
        <v>3094</v>
      </c>
      <c r="B1551" s="2">
        <v>1341.13</v>
      </c>
      <c r="C1551" s="2">
        <v>1341.13</v>
      </c>
      <c r="D1551" s="2">
        <v>2324.36</v>
      </c>
      <c r="E1551" s="2">
        <v>2324.36</v>
      </c>
      <c r="G1551" s="1" t="s">
        <v>3095</v>
      </c>
      <c r="H1551" s="2">
        <v>1679.67</v>
      </c>
      <c r="I1551" s="2">
        <v>1679.67</v>
      </c>
    </row>
    <row r="1552">
      <c r="A1552" s="1" t="s">
        <v>3096</v>
      </c>
      <c r="B1552" s="2">
        <v>1325.76</v>
      </c>
      <c r="C1552" s="2">
        <v>1325.76</v>
      </c>
      <c r="D1552" s="2">
        <v>2280.83</v>
      </c>
      <c r="E1552" s="2">
        <v>2280.83</v>
      </c>
      <c r="G1552" s="1" t="s">
        <v>3097</v>
      </c>
      <c r="H1552" s="2">
        <v>1676.24</v>
      </c>
      <c r="I1552" s="2">
        <v>1676.24</v>
      </c>
    </row>
    <row r="1553">
      <c r="A1553" s="1" t="s">
        <v>3098</v>
      </c>
      <c r="B1553" s="2">
        <v>1315.22</v>
      </c>
      <c r="C1553" s="2">
        <v>1315.22</v>
      </c>
      <c r="D1553" s="2">
        <v>2261.18</v>
      </c>
      <c r="E1553" s="2">
        <v>2261.18</v>
      </c>
      <c r="G1553" s="1" t="s">
        <v>3099</v>
      </c>
      <c r="H1553" s="2">
        <v>1701.83</v>
      </c>
      <c r="I1553" s="2">
        <v>1701.83</v>
      </c>
    </row>
    <row r="1554">
      <c r="A1554" s="1" t="s">
        <v>3100</v>
      </c>
      <c r="B1554" s="2" t="s">
        <v>0</v>
      </c>
      <c r="C1554" s="2">
        <v>1315.22</v>
      </c>
      <c r="D1554" s="2" t="s">
        <v>0</v>
      </c>
      <c r="E1554" s="2">
        <v>2261.18</v>
      </c>
      <c r="G1554" s="1" t="s">
        <v>3101</v>
      </c>
      <c r="H1554" s="2" t="s">
        <v>0</v>
      </c>
      <c r="I1554" s="2">
        <v>1701.83</v>
      </c>
    </row>
    <row r="1555">
      <c r="A1555" s="1" t="s">
        <v>3102</v>
      </c>
      <c r="B1555" s="2" t="s">
        <v>0</v>
      </c>
      <c r="C1555" s="2">
        <v>1315.22</v>
      </c>
      <c r="D1555" s="2" t="s">
        <v>0</v>
      </c>
      <c r="E1555" s="2">
        <v>2261.18</v>
      </c>
      <c r="G1555" s="1" t="s">
        <v>3103</v>
      </c>
      <c r="H1555" s="2" t="s">
        <v>0</v>
      </c>
      <c r="I1555" s="2">
        <v>1701.83</v>
      </c>
    </row>
    <row r="1556">
      <c r="A1556" s="1" t="s">
        <v>3104</v>
      </c>
      <c r="B1556" s="2">
        <v>1322.7</v>
      </c>
      <c r="C1556" s="2">
        <v>1322.7</v>
      </c>
      <c r="D1556" s="2">
        <v>2279.1</v>
      </c>
      <c r="E1556" s="2">
        <v>2279.1</v>
      </c>
      <c r="G1556" s="1" t="s">
        <v>3105</v>
      </c>
      <c r="H1556" s="2">
        <v>1703.99</v>
      </c>
      <c r="I1556" s="2">
        <v>1703.99</v>
      </c>
    </row>
    <row r="1557">
      <c r="A1557" s="1" t="s">
        <v>3106</v>
      </c>
      <c r="B1557" s="2">
        <v>1370.18</v>
      </c>
      <c r="C1557" s="2">
        <v>1370.18</v>
      </c>
      <c r="D1557" s="2">
        <v>2362.75</v>
      </c>
      <c r="E1557" s="2">
        <v>2362.75</v>
      </c>
      <c r="G1557" s="1" t="s">
        <v>3107</v>
      </c>
      <c r="H1557" s="2">
        <v>1702.25</v>
      </c>
      <c r="I1557" s="2">
        <v>1702.25</v>
      </c>
    </row>
    <row r="1558">
      <c r="A1558" s="1" t="s">
        <v>3108</v>
      </c>
      <c r="B1558" s="2">
        <v>1367.53</v>
      </c>
      <c r="C1558" s="2">
        <v>1367.53</v>
      </c>
      <c r="D1558" s="2">
        <v>2361.4</v>
      </c>
      <c r="E1558" s="2">
        <v>2361.4</v>
      </c>
      <c r="G1558" s="1" t="s">
        <v>3109</v>
      </c>
      <c r="H1558" s="2">
        <v>1742.19</v>
      </c>
      <c r="I1558" s="2">
        <v>1742.19</v>
      </c>
    </row>
    <row r="1559">
      <c r="A1559" s="1" t="s">
        <v>3110</v>
      </c>
      <c r="B1559" s="2">
        <v>1369.31</v>
      </c>
      <c r="C1559" s="2">
        <v>1369.31</v>
      </c>
      <c r="D1559" s="2">
        <v>2363.3</v>
      </c>
      <c r="E1559" s="2">
        <v>2363.3</v>
      </c>
      <c r="G1559" s="1" t="s">
        <v>3111</v>
      </c>
      <c r="H1559" s="2">
        <v>1763.63</v>
      </c>
      <c r="I1559" s="2">
        <v>1763.63</v>
      </c>
    </row>
    <row r="1560">
      <c r="A1560" s="1" t="s">
        <v>3112</v>
      </c>
      <c r="B1560" s="2">
        <v>1370.4</v>
      </c>
      <c r="C1560" s="2">
        <v>1370.4</v>
      </c>
      <c r="D1560" s="2">
        <v>2370.98</v>
      </c>
      <c r="E1560" s="2">
        <v>2370.98</v>
      </c>
      <c r="G1560" s="1" t="s">
        <v>3113</v>
      </c>
      <c r="H1560" s="2">
        <v>1766.49</v>
      </c>
      <c r="I1560" s="2">
        <v>1766.49</v>
      </c>
    </row>
    <row r="1561">
      <c r="A1561" s="1" t="s">
        <v>3114</v>
      </c>
      <c r="B1561" s="2" t="s">
        <v>0</v>
      </c>
      <c r="C1561" s="2">
        <v>1370.4</v>
      </c>
      <c r="D1561" s="2" t="s">
        <v>0</v>
      </c>
      <c r="E1561" s="2">
        <v>2370.98</v>
      </c>
      <c r="G1561" s="1" t="s">
        <v>3115</v>
      </c>
      <c r="H1561" s="2" t="s">
        <v>0</v>
      </c>
      <c r="I1561" s="2">
        <v>1766.49</v>
      </c>
    </row>
    <row r="1562">
      <c r="A1562" s="1" t="s">
        <v>3116</v>
      </c>
      <c r="B1562" s="2" t="s">
        <v>0</v>
      </c>
      <c r="C1562" s="2">
        <v>1370.4</v>
      </c>
      <c r="D1562" s="2" t="s">
        <v>0</v>
      </c>
      <c r="E1562" s="2">
        <v>2370.98</v>
      </c>
      <c r="G1562" s="1" t="s">
        <v>3117</v>
      </c>
      <c r="H1562" s="2" t="s">
        <v>0</v>
      </c>
      <c r="I1562" s="2">
        <v>1766.49</v>
      </c>
    </row>
    <row r="1563">
      <c r="A1563" s="1" t="s">
        <v>3118</v>
      </c>
      <c r="B1563" s="2">
        <v>1372.54</v>
      </c>
      <c r="C1563" s="2">
        <v>1372.54</v>
      </c>
      <c r="D1563" s="2">
        <v>2364.83</v>
      </c>
      <c r="E1563" s="2">
        <v>2364.83</v>
      </c>
      <c r="G1563" s="1" t="s">
        <v>3119</v>
      </c>
      <c r="H1563" s="2">
        <v>1773.56</v>
      </c>
      <c r="I1563" s="2">
        <v>1773.56</v>
      </c>
    </row>
    <row r="1564">
      <c r="A1564" s="1" t="s">
        <v>3120</v>
      </c>
      <c r="B1564" s="2">
        <v>1365.54</v>
      </c>
      <c r="C1564" s="2">
        <v>1365.54</v>
      </c>
      <c r="D1564" s="2">
        <v>2348.76</v>
      </c>
      <c r="E1564" s="2">
        <v>2348.76</v>
      </c>
      <c r="G1564" s="1" t="s">
        <v>3121</v>
      </c>
      <c r="H1564" s="2">
        <v>1754.71</v>
      </c>
      <c r="I1564" s="2">
        <v>1754.71</v>
      </c>
    </row>
    <row r="1565">
      <c r="A1565" s="1" t="s">
        <v>3122</v>
      </c>
      <c r="B1565" s="2">
        <v>1354.49</v>
      </c>
      <c r="C1565" s="2">
        <v>1354.49</v>
      </c>
      <c r="D1565" s="2">
        <v>2322.12</v>
      </c>
      <c r="E1565" s="2">
        <v>2322.12</v>
      </c>
      <c r="G1565" s="1" t="s">
        <v>3123</v>
      </c>
      <c r="H1565" s="2" t="s">
        <v>0</v>
      </c>
      <c r="I1565" s="2">
        <v>1754.71</v>
      </c>
    </row>
    <row r="1566">
      <c r="A1566" s="1" t="s">
        <v>3124</v>
      </c>
      <c r="B1566" s="2">
        <v>1360.55</v>
      </c>
      <c r="C1566" s="2">
        <v>1360.55</v>
      </c>
      <c r="D1566" s="2">
        <v>2351.7</v>
      </c>
      <c r="E1566" s="2">
        <v>2351.7</v>
      </c>
      <c r="G1566" s="1" t="s">
        <v>3125</v>
      </c>
      <c r="H1566" s="2">
        <v>1764.64</v>
      </c>
      <c r="I1566" s="2">
        <v>1764.64</v>
      </c>
    </row>
    <row r="1567">
      <c r="A1567" s="1" t="s">
        <v>3126</v>
      </c>
      <c r="B1567" s="2">
        <v>1332.83</v>
      </c>
      <c r="C1567" s="2">
        <v>1332.83</v>
      </c>
      <c r="D1567" s="2">
        <v>2290.24</v>
      </c>
      <c r="E1567" s="2">
        <v>2290.24</v>
      </c>
      <c r="G1567" s="1" t="s">
        <v>3127</v>
      </c>
      <c r="H1567" s="2">
        <v>1779.71</v>
      </c>
      <c r="I1567" s="2">
        <v>1779.71</v>
      </c>
    </row>
    <row r="1568">
      <c r="A1568" s="1" t="s">
        <v>3128</v>
      </c>
      <c r="B1568" s="2" t="s">
        <v>0</v>
      </c>
      <c r="C1568" s="2">
        <v>1332.83</v>
      </c>
      <c r="D1568" s="2" t="s">
        <v>0</v>
      </c>
      <c r="E1568" s="2">
        <v>2290.24</v>
      </c>
      <c r="G1568" s="1" t="s">
        <v>3129</v>
      </c>
      <c r="H1568" s="2" t="s">
        <v>0</v>
      </c>
      <c r="I1568" s="2">
        <v>1779.71</v>
      </c>
    </row>
    <row r="1569">
      <c r="A1569" s="1" t="s">
        <v>3130</v>
      </c>
      <c r="B1569" s="2" t="s">
        <v>0</v>
      </c>
      <c r="C1569" s="2">
        <v>1332.83</v>
      </c>
      <c r="D1569" s="2" t="s">
        <v>0</v>
      </c>
      <c r="E1569" s="2">
        <v>2290.24</v>
      </c>
      <c r="G1569" s="1" t="s">
        <v>3131</v>
      </c>
      <c r="H1569" s="2" t="s">
        <v>0</v>
      </c>
      <c r="I1569" s="2">
        <v>1779.71</v>
      </c>
    </row>
    <row r="1570">
      <c r="A1570" s="1" t="s">
        <v>3132</v>
      </c>
      <c r="B1570" s="2">
        <v>1328.32</v>
      </c>
      <c r="C1570" s="2">
        <v>1328.32</v>
      </c>
      <c r="D1570" s="2">
        <v>2275.82</v>
      </c>
      <c r="E1570" s="2">
        <v>2275.82</v>
      </c>
      <c r="G1570" s="1" t="s">
        <v>3133</v>
      </c>
      <c r="H1570" s="2">
        <v>1746.71</v>
      </c>
      <c r="I1570" s="2">
        <v>1746.71</v>
      </c>
    </row>
    <row r="1571">
      <c r="A1571" s="1" t="s">
        <v>3134</v>
      </c>
      <c r="B1571" s="2">
        <v>1334.43</v>
      </c>
      <c r="C1571" s="2">
        <v>1334.43</v>
      </c>
      <c r="D1571" s="2">
        <v>2286.04</v>
      </c>
      <c r="E1571" s="2">
        <v>2286.04</v>
      </c>
      <c r="G1571" s="1" t="s">
        <v>3135</v>
      </c>
      <c r="H1571" s="2">
        <v>1742.17</v>
      </c>
      <c r="I1571" s="2">
        <v>1742.17</v>
      </c>
    </row>
    <row r="1572">
      <c r="A1572" s="1" t="s">
        <v>3136</v>
      </c>
      <c r="B1572" s="2">
        <v>1364.71</v>
      </c>
      <c r="C1572" s="2">
        <v>1364.71</v>
      </c>
      <c r="D1572" s="2">
        <v>2350.11</v>
      </c>
      <c r="E1572" s="2">
        <v>2350.11</v>
      </c>
      <c r="G1572" s="1" t="s">
        <v>3137</v>
      </c>
      <c r="H1572" s="2">
        <v>1758.56</v>
      </c>
      <c r="I1572" s="2">
        <v>1758.56</v>
      </c>
    </row>
    <row r="1573">
      <c r="A1573" s="1" t="s">
        <v>3138</v>
      </c>
      <c r="B1573" s="2">
        <v>1365.56</v>
      </c>
      <c r="C1573" s="2">
        <v>1365.56</v>
      </c>
      <c r="D1573" s="2">
        <v>2341.83</v>
      </c>
      <c r="E1573" s="2">
        <v>2341.83</v>
      </c>
      <c r="G1573" s="1" t="s">
        <v>3139</v>
      </c>
      <c r="H1573" s="2">
        <v>1768.67</v>
      </c>
      <c r="I1573" s="2">
        <v>1768.67</v>
      </c>
    </row>
    <row r="1574">
      <c r="A1574" s="1" t="s">
        <v>3140</v>
      </c>
      <c r="B1574" s="2">
        <v>1390.33</v>
      </c>
      <c r="C1574" s="2">
        <v>1390.33</v>
      </c>
      <c r="D1574" s="2">
        <v>2402.97</v>
      </c>
      <c r="E1574" s="2">
        <v>2402.97</v>
      </c>
      <c r="G1574" s="1" t="s">
        <v>3141</v>
      </c>
      <c r="H1574" s="2">
        <v>1771.9</v>
      </c>
      <c r="I1574" s="2">
        <v>1771.9</v>
      </c>
    </row>
    <row r="1575">
      <c r="A1575" s="1" t="s">
        <v>3142</v>
      </c>
      <c r="B1575" s="2" t="s">
        <v>0</v>
      </c>
      <c r="C1575" s="2">
        <v>1390.33</v>
      </c>
      <c r="D1575" s="2" t="s">
        <v>0</v>
      </c>
      <c r="E1575" s="2">
        <v>2402.97</v>
      </c>
      <c r="G1575" s="1" t="s">
        <v>3143</v>
      </c>
      <c r="H1575" s="2" t="s">
        <v>0</v>
      </c>
      <c r="I1575" s="2">
        <v>1771.9</v>
      </c>
    </row>
    <row r="1576">
      <c r="A1576" s="1" t="s">
        <v>3144</v>
      </c>
      <c r="B1576" s="2" t="s">
        <v>0</v>
      </c>
      <c r="C1576" s="2">
        <v>1390.33</v>
      </c>
      <c r="D1576" s="2" t="s">
        <v>0</v>
      </c>
      <c r="E1576" s="2">
        <v>2402.97</v>
      </c>
      <c r="G1576" s="1" t="s">
        <v>3145</v>
      </c>
      <c r="H1576" s="2" t="s">
        <v>0</v>
      </c>
      <c r="I1576" s="2">
        <v>1771.9</v>
      </c>
    </row>
    <row r="1577">
      <c r="A1577" s="1" t="s">
        <v>3146</v>
      </c>
      <c r="B1577" s="2">
        <v>1388.17</v>
      </c>
      <c r="C1577" s="2">
        <v>1388.17</v>
      </c>
      <c r="D1577" s="2">
        <v>2408.04</v>
      </c>
      <c r="E1577" s="2">
        <v>2408.04</v>
      </c>
      <c r="G1577" s="1" t="s">
        <v>3147</v>
      </c>
      <c r="H1577" s="2">
        <v>1800.48</v>
      </c>
      <c r="I1577" s="2">
        <v>1800.48</v>
      </c>
    </row>
    <row r="1578">
      <c r="A1578" s="1" t="s">
        <v>3148</v>
      </c>
      <c r="B1578" s="2">
        <v>1375.94</v>
      </c>
      <c r="C1578" s="2">
        <v>1375.94</v>
      </c>
      <c r="D1578" s="2">
        <v>2376.94</v>
      </c>
      <c r="E1578" s="2">
        <v>2376.94</v>
      </c>
      <c r="G1578" s="1" t="s">
        <v>3149</v>
      </c>
      <c r="H1578" s="2">
        <v>1787.49</v>
      </c>
      <c r="I1578" s="2">
        <v>1787.49</v>
      </c>
    </row>
    <row r="1579">
      <c r="A1579" s="1" t="s">
        <v>3150</v>
      </c>
      <c r="B1579" s="2">
        <v>1379.93</v>
      </c>
      <c r="C1579" s="2">
        <v>1379.93</v>
      </c>
      <c r="D1579" s="2">
        <v>2405.21</v>
      </c>
      <c r="E1579" s="2">
        <v>2405.21</v>
      </c>
      <c r="G1579" s="1" t="s">
        <v>3151</v>
      </c>
      <c r="H1579" s="2">
        <v>1800.79</v>
      </c>
      <c r="I1579" s="2">
        <v>1800.79</v>
      </c>
    </row>
    <row r="1580">
      <c r="A1580" s="1" t="s">
        <v>3152</v>
      </c>
      <c r="B1580" s="2">
        <v>1388.82</v>
      </c>
      <c r="C1580" s="2">
        <v>1388.82</v>
      </c>
      <c r="D1580" s="2">
        <v>2428.92</v>
      </c>
      <c r="E1580" s="2">
        <v>2428.92</v>
      </c>
      <c r="G1580" s="1" t="s">
        <v>3153</v>
      </c>
      <c r="H1580" s="2">
        <v>1799.34</v>
      </c>
      <c r="I1580" s="2">
        <v>1799.34</v>
      </c>
    </row>
    <row r="1581">
      <c r="A1581" s="1" t="s">
        <v>3154</v>
      </c>
      <c r="B1581" s="2">
        <v>1397.84</v>
      </c>
      <c r="C1581" s="2">
        <v>1397.84</v>
      </c>
      <c r="D1581" s="2">
        <v>2422.93</v>
      </c>
      <c r="E1581" s="2">
        <v>2422.93</v>
      </c>
      <c r="G1581" s="1" t="s">
        <v>3155</v>
      </c>
      <c r="H1581" s="2">
        <v>1824.68</v>
      </c>
      <c r="I1581" s="2">
        <v>1824.68</v>
      </c>
    </row>
    <row r="1582">
      <c r="A1582" s="1" t="s">
        <v>3156</v>
      </c>
      <c r="B1582" s="2" t="s">
        <v>0</v>
      </c>
      <c r="C1582" s="2">
        <v>1397.84</v>
      </c>
      <c r="D1582" s="2" t="s">
        <v>0</v>
      </c>
      <c r="E1582" s="2">
        <v>2422.93</v>
      </c>
      <c r="G1582" s="1" t="s">
        <v>3157</v>
      </c>
      <c r="H1582" s="2" t="s">
        <v>0</v>
      </c>
      <c r="I1582" s="2">
        <v>1824.68</v>
      </c>
    </row>
    <row r="1583">
      <c r="A1583" s="1" t="s">
        <v>3158</v>
      </c>
      <c r="B1583" s="2" t="s">
        <v>0</v>
      </c>
      <c r="C1583" s="2">
        <v>1397.84</v>
      </c>
      <c r="D1583" s="2" t="s">
        <v>0</v>
      </c>
      <c r="E1583" s="2">
        <v>2422.93</v>
      </c>
      <c r="G1583" s="1" t="s">
        <v>3159</v>
      </c>
      <c r="H1583" s="2" t="s">
        <v>0</v>
      </c>
      <c r="I1583" s="2">
        <v>1824.68</v>
      </c>
    </row>
    <row r="1584">
      <c r="A1584" s="1" t="s">
        <v>3160</v>
      </c>
      <c r="B1584" s="2">
        <v>1396.37</v>
      </c>
      <c r="C1584" s="2">
        <v>1396.37</v>
      </c>
      <c r="D1584" s="2">
        <v>2424.4</v>
      </c>
      <c r="E1584" s="2">
        <v>2424.4</v>
      </c>
      <c r="G1584" s="1" t="s">
        <v>3161</v>
      </c>
      <c r="H1584" s="2">
        <v>1823.17</v>
      </c>
      <c r="I1584" s="2">
        <v>1823.17</v>
      </c>
    </row>
    <row r="1585">
      <c r="A1585" s="1" t="s">
        <v>3162</v>
      </c>
      <c r="B1585" s="2">
        <v>1390.94</v>
      </c>
      <c r="C1585" s="2">
        <v>1390.94</v>
      </c>
      <c r="D1585" s="2">
        <v>2426.1</v>
      </c>
      <c r="E1585" s="2">
        <v>2426.1</v>
      </c>
      <c r="G1585" s="1" t="s">
        <v>3163</v>
      </c>
      <c r="H1585" s="2">
        <v>1811.51</v>
      </c>
      <c r="I1585" s="2">
        <v>1811.51</v>
      </c>
    </row>
    <row r="1586">
      <c r="A1586" s="1" t="s">
        <v>3164</v>
      </c>
      <c r="B1586" s="2">
        <v>1385.59</v>
      </c>
      <c r="C1586" s="2">
        <v>1385.59</v>
      </c>
      <c r="D1586" s="2">
        <v>2412.8</v>
      </c>
      <c r="E1586" s="2">
        <v>2412.8</v>
      </c>
      <c r="G1586" s="1" t="s">
        <v>3165</v>
      </c>
      <c r="H1586" s="2">
        <v>1825.47</v>
      </c>
      <c r="I1586" s="2">
        <v>1825.47</v>
      </c>
    </row>
    <row r="1587">
      <c r="A1587" s="1" t="s">
        <v>3166</v>
      </c>
      <c r="B1587" s="2">
        <v>1409.34</v>
      </c>
      <c r="C1587" s="2">
        <v>1409.34</v>
      </c>
      <c r="D1587" s="2">
        <v>2480.71</v>
      </c>
      <c r="E1587" s="2">
        <v>2480.71</v>
      </c>
      <c r="G1587" s="1" t="s">
        <v>3167</v>
      </c>
      <c r="H1587" s="2" t="s">
        <v>0</v>
      </c>
      <c r="I1587" s="2">
        <v>1825.47</v>
      </c>
    </row>
    <row r="1588">
      <c r="A1588" s="1" t="s">
        <v>3168</v>
      </c>
      <c r="B1588" s="2">
        <v>1413.9</v>
      </c>
      <c r="C1588" s="2">
        <v>1413.9</v>
      </c>
      <c r="D1588" s="2">
        <v>2476.99</v>
      </c>
      <c r="E1588" s="2">
        <v>2476.99</v>
      </c>
      <c r="G1588" s="1" t="s">
        <v>3169</v>
      </c>
      <c r="H1588" s="2">
        <v>1848.27</v>
      </c>
      <c r="I1588" s="2">
        <v>1848.27</v>
      </c>
    </row>
    <row r="1589">
      <c r="A1589" s="1" t="s">
        <v>3170</v>
      </c>
      <c r="B1589" s="2" t="s">
        <v>0</v>
      </c>
      <c r="C1589" s="2">
        <v>1413.9</v>
      </c>
      <c r="D1589" s="2" t="s">
        <v>0</v>
      </c>
      <c r="E1589" s="2">
        <v>2476.99</v>
      </c>
      <c r="G1589" s="1" t="s">
        <v>3171</v>
      </c>
      <c r="H1589" s="2" t="s">
        <v>0</v>
      </c>
      <c r="I1589" s="2">
        <v>1848.27</v>
      </c>
    </row>
    <row r="1590">
      <c r="A1590" s="1" t="s">
        <v>3172</v>
      </c>
      <c r="B1590" s="2" t="s">
        <v>0</v>
      </c>
      <c r="C1590" s="2">
        <v>1413.9</v>
      </c>
      <c r="D1590" s="2" t="s">
        <v>0</v>
      </c>
      <c r="E1590" s="2">
        <v>2476.99</v>
      </c>
      <c r="G1590" s="1" t="s">
        <v>3173</v>
      </c>
      <c r="H1590" s="2" t="s">
        <v>0</v>
      </c>
      <c r="I1590" s="2">
        <v>1848.27</v>
      </c>
    </row>
    <row r="1591">
      <c r="A1591" s="1" t="s">
        <v>3174</v>
      </c>
      <c r="B1591" s="2">
        <v>1407.49</v>
      </c>
      <c r="C1591" s="2">
        <v>1407.49</v>
      </c>
      <c r="D1591" s="2">
        <v>2464.12</v>
      </c>
      <c r="E1591" s="2">
        <v>2464.12</v>
      </c>
      <c r="G1591" s="1" t="s">
        <v>3175</v>
      </c>
      <c r="H1591" s="2" t="s">
        <v>0</v>
      </c>
      <c r="I1591" s="2">
        <v>1848.27</v>
      </c>
    </row>
    <row r="1592">
      <c r="A1592" s="1" t="s">
        <v>3176</v>
      </c>
      <c r="B1592" s="2">
        <v>1418.26</v>
      </c>
      <c r="C1592" s="2">
        <v>1418.26</v>
      </c>
      <c r="D1592" s="2">
        <v>2483.31</v>
      </c>
      <c r="E1592" s="2">
        <v>2483.31</v>
      </c>
      <c r="G1592" s="1" t="s">
        <v>3177</v>
      </c>
      <c r="H1592" s="2">
        <v>1859.06</v>
      </c>
      <c r="I1592" s="2">
        <v>1859.06</v>
      </c>
    </row>
    <row r="1593">
      <c r="A1593" s="1" t="s">
        <v>3178</v>
      </c>
      <c r="B1593" s="2">
        <v>1392.57</v>
      </c>
      <c r="C1593" s="2">
        <v>1392.57</v>
      </c>
      <c r="D1593" s="2">
        <v>2438.49</v>
      </c>
      <c r="E1593" s="2">
        <v>2438.49</v>
      </c>
      <c r="G1593" s="1" t="s">
        <v>3179</v>
      </c>
      <c r="H1593" s="2">
        <v>1854.01</v>
      </c>
      <c r="I1593" s="2">
        <v>1854.01</v>
      </c>
    </row>
    <row r="1594">
      <c r="A1594" s="1" t="s">
        <v>3180</v>
      </c>
      <c r="B1594" s="2">
        <v>1397.68</v>
      </c>
      <c r="C1594" s="2">
        <v>1397.68</v>
      </c>
      <c r="D1594" s="2">
        <v>2451.24</v>
      </c>
      <c r="E1594" s="2">
        <v>2451.24</v>
      </c>
      <c r="G1594" s="1" t="s">
        <v>3181</v>
      </c>
      <c r="H1594" s="2">
        <v>1848.0</v>
      </c>
      <c r="I1594" s="2">
        <v>1848.0</v>
      </c>
    </row>
    <row r="1595">
      <c r="A1595" s="1" t="s">
        <v>3182</v>
      </c>
      <c r="B1595" s="2">
        <v>1388.28</v>
      </c>
      <c r="C1595" s="2">
        <v>1388.28</v>
      </c>
      <c r="D1595" s="2">
        <v>2445.52</v>
      </c>
      <c r="E1595" s="2">
        <v>2445.52</v>
      </c>
      <c r="G1595" s="1" t="s">
        <v>3183</v>
      </c>
      <c r="H1595" s="2">
        <v>1823.7</v>
      </c>
      <c r="I1595" s="2">
        <v>1823.7</v>
      </c>
    </row>
    <row r="1596">
      <c r="A1596" s="1" t="s">
        <v>3184</v>
      </c>
      <c r="B1596" s="2" t="s">
        <v>0</v>
      </c>
      <c r="C1596" s="2">
        <v>1388.28</v>
      </c>
      <c r="D1596" s="2" t="s">
        <v>0</v>
      </c>
      <c r="E1596" s="2">
        <v>2445.52</v>
      </c>
      <c r="G1596" s="1" t="s">
        <v>3185</v>
      </c>
      <c r="H1596" s="2" t="s">
        <v>0</v>
      </c>
      <c r="I1596" s="2">
        <v>1823.7</v>
      </c>
    </row>
    <row r="1597">
      <c r="A1597" s="1" t="s">
        <v>3186</v>
      </c>
      <c r="B1597" s="2" t="s">
        <v>0</v>
      </c>
      <c r="C1597" s="2">
        <v>1388.28</v>
      </c>
      <c r="D1597" s="2" t="s">
        <v>0</v>
      </c>
      <c r="E1597" s="2">
        <v>2445.52</v>
      </c>
      <c r="G1597" s="1" t="s">
        <v>3187</v>
      </c>
      <c r="H1597" s="2" t="s">
        <v>0</v>
      </c>
      <c r="I1597" s="2">
        <v>1823.7</v>
      </c>
    </row>
    <row r="1598">
      <c r="A1598" s="1" t="s">
        <v>3188</v>
      </c>
      <c r="B1598" s="2">
        <v>1403.58</v>
      </c>
      <c r="C1598" s="2">
        <v>1403.58</v>
      </c>
      <c r="D1598" s="2">
        <v>2488.49</v>
      </c>
      <c r="E1598" s="2">
        <v>2488.49</v>
      </c>
      <c r="G1598" s="1" t="s">
        <v>3189</v>
      </c>
      <c r="H1598" s="2" t="s">
        <v>0</v>
      </c>
      <c r="I1598" s="2">
        <v>1823.7</v>
      </c>
    </row>
    <row r="1599">
      <c r="A1599" s="1" t="s">
        <v>3190</v>
      </c>
      <c r="B1599" s="2">
        <v>1403.04</v>
      </c>
      <c r="C1599" s="2">
        <v>1403.04</v>
      </c>
      <c r="D1599" s="2">
        <v>2495.12</v>
      </c>
      <c r="E1599" s="2">
        <v>2495.12</v>
      </c>
      <c r="G1599" s="1" t="s">
        <v>3191</v>
      </c>
      <c r="H1599" s="2">
        <v>1842.8</v>
      </c>
      <c r="I1599" s="2">
        <v>1842.8</v>
      </c>
    </row>
    <row r="1600">
      <c r="A1600" s="1" t="s">
        <v>3192</v>
      </c>
      <c r="B1600" s="2">
        <v>1408.66</v>
      </c>
      <c r="C1600" s="2">
        <v>1408.66</v>
      </c>
      <c r="D1600" s="2">
        <v>2496.7</v>
      </c>
      <c r="E1600" s="2">
        <v>2496.7</v>
      </c>
      <c r="G1600" s="1" t="s">
        <v>3193</v>
      </c>
      <c r="H1600" s="2">
        <v>1843.75</v>
      </c>
      <c r="I1600" s="2">
        <v>1843.75</v>
      </c>
    </row>
    <row r="1601">
      <c r="A1601" s="1" t="s">
        <v>3194</v>
      </c>
      <c r="B1601" s="2">
        <v>1423.57</v>
      </c>
      <c r="C1601" s="2">
        <v>1423.57</v>
      </c>
      <c r="D1601" s="2">
        <v>2533.73</v>
      </c>
      <c r="E1601" s="2">
        <v>2533.73</v>
      </c>
      <c r="G1601" s="1" t="s">
        <v>3195</v>
      </c>
      <c r="H1601" s="2">
        <v>1885.71</v>
      </c>
      <c r="I1601" s="2">
        <v>1885.71</v>
      </c>
    </row>
    <row r="1602">
      <c r="A1602" s="1" t="s">
        <v>3196</v>
      </c>
      <c r="B1602" s="2">
        <v>1425.35</v>
      </c>
      <c r="C1602" s="2">
        <v>1425.35</v>
      </c>
      <c r="D1602" s="2">
        <v>2528.85</v>
      </c>
      <c r="E1602" s="2">
        <v>2528.85</v>
      </c>
      <c r="G1602" s="1" t="s">
        <v>3197</v>
      </c>
      <c r="H1602" s="2">
        <v>1888.88</v>
      </c>
      <c r="I1602" s="2">
        <v>1888.88</v>
      </c>
    </row>
    <row r="1603">
      <c r="A1603" s="1" t="s">
        <v>3198</v>
      </c>
      <c r="B1603" s="2" t="s">
        <v>0</v>
      </c>
      <c r="C1603" s="2">
        <v>1425.35</v>
      </c>
      <c r="D1603" s="2" t="s">
        <v>0</v>
      </c>
      <c r="E1603" s="2">
        <v>2528.85</v>
      </c>
      <c r="G1603" s="1" t="s">
        <v>3199</v>
      </c>
      <c r="H1603" s="2" t="s">
        <v>0</v>
      </c>
      <c r="I1603" s="2">
        <v>1888.88</v>
      </c>
    </row>
    <row r="1604">
      <c r="A1604" s="1" t="s">
        <v>3200</v>
      </c>
      <c r="B1604" s="2" t="s">
        <v>0</v>
      </c>
      <c r="C1604" s="2">
        <v>1425.35</v>
      </c>
      <c r="D1604" s="2" t="s">
        <v>0</v>
      </c>
      <c r="E1604" s="2">
        <v>2528.85</v>
      </c>
      <c r="G1604" s="1" t="s">
        <v>3201</v>
      </c>
      <c r="H1604" s="2" t="s">
        <v>0</v>
      </c>
      <c r="I1604" s="2">
        <v>1888.88</v>
      </c>
    </row>
    <row r="1605">
      <c r="A1605" s="1" t="s">
        <v>3202</v>
      </c>
      <c r="B1605" s="2">
        <v>1426.63</v>
      </c>
      <c r="C1605" s="2">
        <v>1426.63</v>
      </c>
      <c r="D1605" s="2">
        <v>2516.09</v>
      </c>
      <c r="E1605" s="2">
        <v>2516.09</v>
      </c>
      <c r="G1605" s="1" t="s">
        <v>3203</v>
      </c>
      <c r="H1605" s="2">
        <v>1885.37</v>
      </c>
      <c r="I1605" s="2">
        <v>1885.37</v>
      </c>
    </row>
    <row r="1606">
      <c r="A1606" s="1" t="s">
        <v>3204</v>
      </c>
      <c r="B1606" s="2">
        <v>1413.4</v>
      </c>
      <c r="C1606" s="2">
        <v>1413.4</v>
      </c>
      <c r="D1606" s="2">
        <v>2492.26</v>
      </c>
      <c r="E1606" s="2">
        <v>2492.26</v>
      </c>
      <c r="G1606" s="1" t="s">
        <v>3205</v>
      </c>
      <c r="H1606" s="2">
        <v>1873.15</v>
      </c>
      <c r="I1606" s="2">
        <v>1873.15</v>
      </c>
    </row>
    <row r="1607">
      <c r="A1607" s="1" t="s">
        <v>3206</v>
      </c>
      <c r="B1607" s="2">
        <v>1390.71</v>
      </c>
      <c r="C1607" s="2">
        <v>1390.71</v>
      </c>
      <c r="D1607" s="2">
        <v>2448.27</v>
      </c>
      <c r="E1607" s="2">
        <v>2448.27</v>
      </c>
      <c r="G1607" s="1" t="s">
        <v>3207</v>
      </c>
      <c r="H1607" s="2">
        <v>1847.51</v>
      </c>
      <c r="I1607" s="2">
        <v>1847.51</v>
      </c>
    </row>
    <row r="1608">
      <c r="A1608" s="1" t="s">
        <v>3208</v>
      </c>
      <c r="B1608" s="2">
        <v>1394.35</v>
      </c>
      <c r="C1608" s="2">
        <v>1394.35</v>
      </c>
      <c r="D1608" s="2">
        <v>2464.58</v>
      </c>
      <c r="E1608" s="2">
        <v>2464.58</v>
      </c>
      <c r="G1608" s="1" t="s">
        <v>3209</v>
      </c>
      <c r="H1608" s="2">
        <v>1835.42</v>
      </c>
      <c r="I1608" s="2">
        <v>1835.42</v>
      </c>
    </row>
    <row r="1609">
      <c r="A1609" s="1" t="s">
        <v>3210</v>
      </c>
      <c r="B1609" s="2">
        <v>1375.93</v>
      </c>
      <c r="C1609" s="2">
        <v>1375.93</v>
      </c>
      <c r="D1609" s="2">
        <v>2444.67</v>
      </c>
      <c r="E1609" s="2">
        <v>2444.67</v>
      </c>
      <c r="G1609" s="1" t="s">
        <v>3211</v>
      </c>
      <c r="H1609" s="2">
        <v>1827.94</v>
      </c>
      <c r="I1609" s="2">
        <v>1827.94</v>
      </c>
    </row>
    <row r="1610">
      <c r="A1610" s="1" t="s">
        <v>3212</v>
      </c>
      <c r="B1610" s="2" t="s">
        <v>0</v>
      </c>
      <c r="C1610" s="2">
        <v>1375.93</v>
      </c>
      <c r="D1610" s="2" t="s">
        <v>0</v>
      </c>
      <c r="E1610" s="2">
        <v>2444.67</v>
      </c>
      <c r="G1610" s="1" t="s">
        <v>3213</v>
      </c>
      <c r="H1610" s="2" t="s">
        <v>0</v>
      </c>
      <c r="I1610" s="2">
        <v>1827.94</v>
      </c>
    </row>
    <row r="1611">
      <c r="A1611" s="1" t="s">
        <v>3214</v>
      </c>
      <c r="B1611" s="2" t="s">
        <v>0</v>
      </c>
      <c r="C1611" s="2">
        <v>1375.93</v>
      </c>
      <c r="D1611" s="2" t="s">
        <v>0</v>
      </c>
      <c r="E1611" s="2">
        <v>2444.67</v>
      </c>
      <c r="G1611" s="1" t="s">
        <v>3215</v>
      </c>
      <c r="H1611" s="2" t="s">
        <v>0</v>
      </c>
      <c r="I1611" s="2">
        <v>1827.94</v>
      </c>
    </row>
    <row r="1612">
      <c r="A1612" s="1" t="s">
        <v>3216</v>
      </c>
      <c r="B1612" s="2" t="s">
        <v>0</v>
      </c>
      <c r="C1612" s="2">
        <v>1375.93</v>
      </c>
      <c r="D1612" s="2" t="s">
        <v>0</v>
      </c>
      <c r="E1612" s="2">
        <v>2444.67</v>
      </c>
      <c r="G1612" s="1" t="s">
        <v>3217</v>
      </c>
      <c r="H1612" s="2">
        <v>1800.58</v>
      </c>
      <c r="I1612" s="2">
        <v>1800.58</v>
      </c>
    </row>
    <row r="1613">
      <c r="A1613" s="1" t="s">
        <v>3218</v>
      </c>
      <c r="B1613" s="2">
        <v>1385.35</v>
      </c>
      <c r="C1613" s="2">
        <v>1385.35</v>
      </c>
      <c r="D1613" s="2">
        <v>2481.24</v>
      </c>
      <c r="E1613" s="2">
        <v>2481.24</v>
      </c>
      <c r="G1613" s="1" t="s">
        <v>3219</v>
      </c>
      <c r="H1613" s="2">
        <v>1825.23</v>
      </c>
      <c r="I1613" s="2">
        <v>1825.23</v>
      </c>
    </row>
    <row r="1614">
      <c r="A1614" s="1" t="s">
        <v>3220</v>
      </c>
      <c r="B1614" s="2">
        <v>1390.84</v>
      </c>
      <c r="C1614" s="2">
        <v>1390.84</v>
      </c>
      <c r="D1614" s="2">
        <v>2486.7</v>
      </c>
      <c r="E1614" s="2">
        <v>2486.7</v>
      </c>
      <c r="G1614" s="1" t="s">
        <v>3221</v>
      </c>
      <c r="H1614" s="2">
        <v>1805.64</v>
      </c>
      <c r="I1614" s="2">
        <v>1805.64</v>
      </c>
    </row>
    <row r="1615">
      <c r="A1615" s="1" t="s">
        <v>3222</v>
      </c>
      <c r="B1615" s="2">
        <v>1398.26</v>
      </c>
      <c r="C1615" s="2">
        <v>1398.26</v>
      </c>
      <c r="D1615" s="2">
        <v>2508.32</v>
      </c>
      <c r="E1615" s="2">
        <v>2508.32</v>
      </c>
      <c r="G1615" s="1" t="s">
        <v>3223</v>
      </c>
      <c r="H1615" s="2">
        <v>1841.22</v>
      </c>
      <c r="I1615" s="2">
        <v>1841.22</v>
      </c>
    </row>
    <row r="1616">
      <c r="A1616" s="1" t="s">
        <v>3224</v>
      </c>
      <c r="B1616" s="2">
        <v>1400.38</v>
      </c>
      <c r="C1616" s="2">
        <v>1400.38</v>
      </c>
      <c r="D1616" s="2">
        <v>2522.66</v>
      </c>
      <c r="E1616" s="2">
        <v>2522.66</v>
      </c>
      <c r="G1616" s="1" t="s">
        <v>3225</v>
      </c>
      <c r="H1616" s="2">
        <v>1852.02</v>
      </c>
      <c r="I1616" s="2">
        <v>1852.02</v>
      </c>
    </row>
    <row r="1617">
      <c r="A1617" s="1" t="s">
        <v>3226</v>
      </c>
      <c r="B1617" s="2" t="s">
        <v>0</v>
      </c>
      <c r="C1617" s="2">
        <v>1400.38</v>
      </c>
      <c r="D1617" s="2" t="s">
        <v>0</v>
      </c>
      <c r="E1617" s="2">
        <v>2522.66</v>
      </c>
      <c r="G1617" s="1" t="s">
        <v>3227</v>
      </c>
      <c r="H1617" s="2" t="s">
        <v>0</v>
      </c>
      <c r="I1617" s="2">
        <v>1852.02</v>
      </c>
    </row>
    <row r="1618">
      <c r="A1618" s="1" t="s">
        <v>3228</v>
      </c>
      <c r="B1618" s="2" t="s">
        <v>0</v>
      </c>
      <c r="C1618" s="2">
        <v>1400.38</v>
      </c>
      <c r="D1618" s="2" t="s">
        <v>0</v>
      </c>
      <c r="E1618" s="2">
        <v>2522.66</v>
      </c>
      <c r="G1618" s="1" t="s">
        <v>3229</v>
      </c>
      <c r="H1618" s="2" t="s">
        <v>0</v>
      </c>
      <c r="I1618" s="2">
        <v>1852.02</v>
      </c>
    </row>
    <row r="1619">
      <c r="A1619" s="1" t="s">
        <v>3230</v>
      </c>
      <c r="B1619" s="2">
        <v>1385.67</v>
      </c>
      <c r="C1619" s="2">
        <v>1385.67</v>
      </c>
      <c r="D1619" s="2">
        <v>2491.53</v>
      </c>
      <c r="E1619" s="2">
        <v>2491.53</v>
      </c>
      <c r="G1619" s="1" t="s">
        <v>3231</v>
      </c>
      <c r="H1619" s="2">
        <v>1847.53</v>
      </c>
      <c r="I1619" s="2">
        <v>1847.53</v>
      </c>
    </row>
    <row r="1620">
      <c r="A1620" s="1" t="s">
        <v>3232</v>
      </c>
      <c r="B1620" s="2">
        <v>1377.65</v>
      </c>
      <c r="C1620" s="2">
        <v>1377.65</v>
      </c>
      <c r="D1620" s="2">
        <v>2480.48</v>
      </c>
      <c r="E1620" s="2">
        <v>2480.48</v>
      </c>
      <c r="G1620" s="1" t="s">
        <v>3233</v>
      </c>
      <c r="H1620" s="2">
        <v>1819.39</v>
      </c>
      <c r="I1620" s="2">
        <v>1819.39</v>
      </c>
    </row>
    <row r="1621">
      <c r="A1621" s="1" t="s">
        <v>3234</v>
      </c>
      <c r="B1621" s="2">
        <v>1377.2</v>
      </c>
      <c r="C1621" s="2">
        <v>1377.2</v>
      </c>
      <c r="D1621" s="2">
        <v>2503.14</v>
      </c>
      <c r="E1621" s="2">
        <v>2503.14</v>
      </c>
      <c r="G1621" s="1" t="s">
        <v>3235</v>
      </c>
      <c r="H1621" s="2">
        <v>1833.81</v>
      </c>
      <c r="I1621" s="2">
        <v>1833.81</v>
      </c>
    </row>
    <row r="1622">
      <c r="A1622" s="1" t="s">
        <v>3236</v>
      </c>
      <c r="B1622" s="2">
        <v>1404.05</v>
      </c>
      <c r="C1622" s="2">
        <v>1404.05</v>
      </c>
      <c r="D1622" s="2">
        <v>2549.94</v>
      </c>
      <c r="E1622" s="2">
        <v>2549.94</v>
      </c>
      <c r="G1622" s="1" t="s">
        <v>3237</v>
      </c>
      <c r="H1622" s="2">
        <v>1832.31</v>
      </c>
      <c r="I1622" s="2">
        <v>1832.31</v>
      </c>
    </row>
    <row r="1623">
      <c r="A1623" s="1" t="s">
        <v>3238</v>
      </c>
      <c r="B1623" s="2">
        <v>1360.68</v>
      </c>
      <c r="C1623" s="2">
        <v>1360.68</v>
      </c>
      <c r="D1623" s="2">
        <v>2474.56</v>
      </c>
      <c r="E1623" s="2">
        <v>2474.56</v>
      </c>
      <c r="G1623" s="1" t="s">
        <v>3239</v>
      </c>
      <c r="H1623" s="2" t="s">
        <v>0</v>
      </c>
      <c r="I1623" s="2">
        <v>1832.31</v>
      </c>
    </row>
    <row r="1624">
      <c r="A1624" s="1" t="s">
        <v>3240</v>
      </c>
      <c r="B1624" s="2" t="s">
        <v>0</v>
      </c>
      <c r="C1624" s="2">
        <v>1360.68</v>
      </c>
      <c r="D1624" s="2" t="s">
        <v>0</v>
      </c>
      <c r="E1624" s="2">
        <v>2474.56</v>
      </c>
      <c r="G1624" s="1" t="s">
        <v>3241</v>
      </c>
      <c r="H1624" s="2" t="s">
        <v>0</v>
      </c>
      <c r="I1624" s="2">
        <v>1832.31</v>
      </c>
    </row>
    <row r="1625">
      <c r="A1625" s="1" t="s">
        <v>3242</v>
      </c>
      <c r="B1625" s="2" t="s">
        <v>0</v>
      </c>
      <c r="C1625" s="2">
        <v>1360.68</v>
      </c>
      <c r="D1625" s="2" t="s">
        <v>0</v>
      </c>
      <c r="E1625" s="2">
        <v>2474.56</v>
      </c>
      <c r="G1625" s="1" t="s">
        <v>3243</v>
      </c>
      <c r="H1625" s="2" t="s">
        <v>0</v>
      </c>
      <c r="I1625" s="2">
        <v>1832.31</v>
      </c>
    </row>
    <row r="1626">
      <c r="A1626" s="1" t="s">
        <v>3244</v>
      </c>
      <c r="B1626" s="2">
        <v>1361.76</v>
      </c>
      <c r="C1626" s="2">
        <v>1361.76</v>
      </c>
      <c r="D1626" s="2">
        <v>2459.46</v>
      </c>
      <c r="E1626" s="2">
        <v>2459.46</v>
      </c>
      <c r="G1626" s="1" t="s">
        <v>3245</v>
      </c>
      <c r="H1626" s="2">
        <v>1808.96</v>
      </c>
      <c r="I1626" s="2">
        <v>1808.96</v>
      </c>
    </row>
    <row r="1627">
      <c r="A1627" s="1" t="s">
        <v>3246</v>
      </c>
      <c r="B1627" s="2">
        <v>1358.44</v>
      </c>
      <c r="C1627" s="2">
        <v>1358.44</v>
      </c>
      <c r="D1627" s="2">
        <v>2448.94</v>
      </c>
      <c r="E1627" s="2">
        <v>2448.94</v>
      </c>
      <c r="G1627" s="1" t="s">
        <v>3247</v>
      </c>
      <c r="H1627" s="2">
        <v>1774.38</v>
      </c>
      <c r="I1627" s="2">
        <v>1774.38</v>
      </c>
    </row>
    <row r="1628">
      <c r="A1628" s="1" t="s">
        <v>3248</v>
      </c>
      <c r="B1628" s="2">
        <v>1335.49</v>
      </c>
      <c r="C1628" s="2">
        <v>1335.49</v>
      </c>
      <c r="D1628" s="2">
        <v>2394.01</v>
      </c>
      <c r="E1628" s="2">
        <v>2394.01</v>
      </c>
      <c r="G1628" s="1" t="s">
        <v>3249</v>
      </c>
      <c r="H1628" s="2">
        <v>1781.67</v>
      </c>
      <c r="I1628" s="2">
        <v>1781.67</v>
      </c>
    </row>
    <row r="1629">
      <c r="A1629" s="1" t="s">
        <v>3250</v>
      </c>
      <c r="B1629" s="2">
        <v>1339.87</v>
      </c>
      <c r="C1629" s="2">
        <v>1339.87</v>
      </c>
      <c r="D1629" s="2">
        <v>2404.35</v>
      </c>
      <c r="E1629" s="2">
        <v>2404.35</v>
      </c>
      <c r="G1629" s="1" t="s">
        <v>3251</v>
      </c>
      <c r="H1629" s="2">
        <v>1739.36</v>
      </c>
      <c r="I1629" s="2">
        <v>1739.36</v>
      </c>
    </row>
    <row r="1630">
      <c r="A1630" s="1" t="s">
        <v>3252</v>
      </c>
      <c r="B1630" s="2">
        <v>1360.03</v>
      </c>
      <c r="C1630" s="2">
        <v>1360.03</v>
      </c>
      <c r="D1630" s="2">
        <v>2454.5</v>
      </c>
      <c r="E1630" s="2">
        <v>2454.5</v>
      </c>
      <c r="G1630" s="1" t="s">
        <v>3253</v>
      </c>
      <c r="H1630" s="2">
        <v>1747.35</v>
      </c>
      <c r="I1630" s="2">
        <v>1747.35</v>
      </c>
    </row>
    <row r="1631">
      <c r="A1631" s="1" t="s">
        <v>3254</v>
      </c>
      <c r="B1631" s="2" t="s">
        <v>0</v>
      </c>
      <c r="C1631" s="2">
        <v>1360.03</v>
      </c>
      <c r="D1631" s="2" t="s">
        <v>0</v>
      </c>
      <c r="E1631" s="2">
        <v>2454.5</v>
      </c>
      <c r="G1631" s="1" t="s">
        <v>3255</v>
      </c>
      <c r="H1631" s="2" t="s">
        <v>0</v>
      </c>
      <c r="I1631" s="2">
        <v>1747.35</v>
      </c>
    </row>
    <row r="1632">
      <c r="A1632" s="1" t="s">
        <v>3256</v>
      </c>
      <c r="B1632" s="2" t="s">
        <v>0</v>
      </c>
      <c r="C1632" s="2">
        <v>1360.03</v>
      </c>
      <c r="D1632" s="2" t="s">
        <v>0</v>
      </c>
      <c r="E1632" s="2">
        <v>2454.5</v>
      </c>
      <c r="G1632" s="1" t="s">
        <v>3257</v>
      </c>
      <c r="H1632" s="2" t="s">
        <v>0</v>
      </c>
      <c r="I1632" s="2">
        <v>1747.35</v>
      </c>
    </row>
    <row r="1633">
      <c r="A1633" s="1" t="s">
        <v>3258</v>
      </c>
      <c r="B1633" s="2">
        <v>1360.14</v>
      </c>
      <c r="C1633" s="2">
        <v>1360.14</v>
      </c>
      <c r="D1633" s="2">
        <v>2474.78</v>
      </c>
      <c r="E1633" s="2">
        <v>2474.78</v>
      </c>
      <c r="G1633" s="1" t="s">
        <v>3259</v>
      </c>
      <c r="H1633" s="2">
        <v>1760.82</v>
      </c>
      <c r="I1633" s="2">
        <v>1760.82</v>
      </c>
    </row>
    <row r="1634">
      <c r="A1634" s="1" t="s">
        <v>3260</v>
      </c>
      <c r="B1634" s="2">
        <v>1350.93</v>
      </c>
      <c r="C1634" s="2">
        <v>1350.93</v>
      </c>
      <c r="D1634" s="2">
        <v>2457.73</v>
      </c>
      <c r="E1634" s="2">
        <v>2457.73</v>
      </c>
      <c r="G1634" s="1" t="s">
        <v>3261</v>
      </c>
      <c r="H1634" s="2">
        <v>1750.71</v>
      </c>
      <c r="I1634" s="2">
        <v>1750.71</v>
      </c>
    </row>
    <row r="1635">
      <c r="A1635" s="1" t="s">
        <v>3262</v>
      </c>
      <c r="B1635" s="2">
        <v>1337.81</v>
      </c>
      <c r="C1635" s="2">
        <v>1337.81</v>
      </c>
      <c r="D1635" s="2">
        <v>2429.71</v>
      </c>
      <c r="E1635" s="2">
        <v>2429.71</v>
      </c>
      <c r="G1635" s="1" t="s">
        <v>3263</v>
      </c>
      <c r="H1635" s="2">
        <v>1774.13</v>
      </c>
      <c r="I1635" s="2">
        <v>1774.13</v>
      </c>
    </row>
    <row r="1636">
      <c r="A1636" s="1" t="s">
        <v>3264</v>
      </c>
      <c r="B1636" s="2">
        <v>1342.83</v>
      </c>
      <c r="C1636" s="2">
        <v>1342.83</v>
      </c>
      <c r="D1636" s="2">
        <v>2462.06</v>
      </c>
      <c r="E1636" s="2">
        <v>2462.06</v>
      </c>
      <c r="G1636" s="1" t="s">
        <v>3265</v>
      </c>
      <c r="H1636" s="2">
        <v>1740.72</v>
      </c>
      <c r="I1636" s="2">
        <v>1740.72</v>
      </c>
    </row>
    <row r="1637">
      <c r="A1637" s="1" t="s">
        <v>3266</v>
      </c>
      <c r="B1637" s="2">
        <v>1317.93</v>
      </c>
      <c r="C1637" s="2">
        <v>1317.93</v>
      </c>
      <c r="D1637" s="2">
        <v>2406.09</v>
      </c>
      <c r="E1637" s="2">
        <v>2406.09</v>
      </c>
      <c r="G1637" s="1" t="s">
        <v>3267</v>
      </c>
      <c r="H1637" s="2">
        <v>1731.0</v>
      </c>
      <c r="I1637" s="2">
        <v>1731.0</v>
      </c>
    </row>
    <row r="1638">
      <c r="A1638" s="1" t="s">
        <v>3268</v>
      </c>
      <c r="B1638" s="2" t="s">
        <v>0</v>
      </c>
      <c r="C1638" s="2">
        <v>1317.93</v>
      </c>
      <c r="D1638" s="2" t="s">
        <v>0</v>
      </c>
      <c r="E1638" s="2">
        <v>2406.09</v>
      </c>
      <c r="G1638" s="1" t="s">
        <v>3269</v>
      </c>
      <c r="H1638" s="2" t="s">
        <v>0</v>
      </c>
      <c r="I1638" s="2">
        <v>1731.0</v>
      </c>
    </row>
    <row r="1639">
      <c r="A1639" s="1" t="s">
        <v>3270</v>
      </c>
      <c r="B1639" s="2" t="s">
        <v>0</v>
      </c>
      <c r="C1639" s="2">
        <v>1317.93</v>
      </c>
      <c r="D1639" s="2" t="s">
        <v>0</v>
      </c>
      <c r="E1639" s="2">
        <v>2406.09</v>
      </c>
      <c r="G1639" s="1" t="s">
        <v>3271</v>
      </c>
      <c r="H1639" s="2" t="s">
        <v>0</v>
      </c>
      <c r="I1639" s="2">
        <v>1731.0</v>
      </c>
    </row>
    <row r="1640">
      <c r="A1640" s="1" t="s">
        <v>3272</v>
      </c>
      <c r="B1640" s="2">
        <v>1318.0</v>
      </c>
      <c r="C1640" s="2">
        <v>1318.0</v>
      </c>
      <c r="D1640" s="2">
        <v>2385.74</v>
      </c>
      <c r="E1640" s="2">
        <v>2385.74</v>
      </c>
      <c r="G1640" s="1" t="s">
        <v>3273</v>
      </c>
      <c r="H1640" s="2">
        <v>1715.59</v>
      </c>
      <c r="I1640" s="2">
        <v>1715.59</v>
      </c>
    </row>
    <row r="1641">
      <c r="A1641" s="1" t="s">
        <v>3274</v>
      </c>
      <c r="B1641" s="2">
        <v>1314.29</v>
      </c>
      <c r="C1641" s="2">
        <v>1314.29</v>
      </c>
      <c r="D1641" s="2">
        <v>2368.28</v>
      </c>
      <c r="E1641" s="2">
        <v>2368.28</v>
      </c>
      <c r="G1641" s="1" t="s">
        <v>3275</v>
      </c>
      <c r="H1641" s="2">
        <v>1710.84</v>
      </c>
      <c r="I1641" s="2">
        <v>1710.84</v>
      </c>
    </row>
    <row r="1642">
      <c r="A1642" s="1" t="s">
        <v>3276</v>
      </c>
      <c r="B1642" s="2">
        <v>1321.97</v>
      </c>
      <c r="C1642" s="2">
        <v>1321.97</v>
      </c>
      <c r="D1642" s="2">
        <v>2401.26</v>
      </c>
      <c r="E1642" s="2">
        <v>2401.26</v>
      </c>
      <c r="G1642" s="1" t="s">
        <v>3277</v>
      </c>
      <c r="H1642" s="2">
        <v>1717.79</v>
      </c>
      <c r="I1642" s="2">
        <v>1717.79</v>
      </c>
    </row>
    <row r="1643">
      <c r="A1643" s="1" t="s">
        <v>3278</v>
      </c>
      <c r="B1643" s="2">
        <v>1283.15</v>
      </c>
      <c r="C1643" s="2">
        <v>1283.15</v>
      </c>
      <c r="D1643" s="2">
        <v>2321.37</v>
      </c>
      <c r="E1643" s="2">
        <v>2321.37</v>
      </c>
      <c r="G1643" s="1" t="s">
        <v>3279</v>
      </c>
      <c r="H1643" s="2">
        <v>1717.66</v>
      </c>
      <c r="I1643" s="2">
        <v>1717.66</v>
      </c>
    </row>
    <row r="1644">
      <c r="A1644" s="1" t="s">
        <v>3280</v>
      </c>
      <c r="B1644" s="2">
        <v>1278.38</v>
      </c>
      <c r="C1644" s="2">
        <v>1278.38</v>
      </c>
      <c r="D1644" s="2">
        <v>2315.63</v>
      </c>
      <c r="E1644" s="2">
        <v>2315.63</v>
      </c>
      <c r="G1644" s="1" t="s">
        <v>3281</v>
      </c>
      <c r="H1644" s="2">
        <v>1684.45</v>
      </c>
      <c r="I1644" s="2">
        <v>1684.45</v>
      </c>
    </row>
    <row r="1645">
      <c r="A1645" s="1" t="s">
        <v>3282</v>
      </c>
      <c r="B1645" s="2" t="s">
        <v>0</v>
      </c>
      <c r="C1645" s="2">
        <v>1278.38</v>
      </c>
      <c r="D1645" s="2" t="s">
        <v>0</v>
      </c>
      <c r="E1645" s="2">
        <v>2315.63</v>
      </c>
      <c r="G1645" s="1" t="s">
        <v>3283</v>
      </c>
      <c r="H1645" s="2" t="s">
        <v>0</v>
      </c>
      <c r="I1645" s="2">
        <v>1684.45</v>
      </c>
    </row>
    <row r="1646">
      <c r="A1646" s="1" t="s">
        <v>3284</v>
      </c>
      <c r="B1646" s="2" t="s">
        <v>0</v>
      </c>
      <c r="C1646" s="2">
        <v>1278.38</v>
      </c>
      <c r="D1646" s="2" t="s">
        <v>0</v>
      </c>
      <c r="E1646" s="2">
        <v>2315.63</v>
      </c>
      <c r="G1646" s="1" t="s">
        <v>3285</v>
      </c>
      <c r="H1646" s="2" t="s">
        <v>0</v>
      </c>
      <c r="I1646" s="2">
        <v>1684.45</v>
      </c>
    </row>
    <row r="1647">
      <c r="A1647" s="1" t="s">
        <v>3286</v>
      </c>
      <c r="B1647" s="2">
        <v>1280.0</v>
      </c>
      <c r="C1647" s="2">
        <v>1280.0</v>
      </c>
      <c r="D1647" s="2">
        <v>2292.98</v>
      </c>
      <c r="E1647" s="2">
        <v>2292.98</v>
      </c>
      <c r="G1647" s="1" t="s">
        <v>3287</v>
      </c>
      <c r="H1647" s="2">
        <v>1674.92</v>
      </c>
      <c r="I1647" s="2">
        <v>1674.92</v>
      </c>
    </row>
    <row r="1648">
      <c r="A1648" s="1" t="s">
        <v>3288</v>
      </c>
      <c r="B1648" s="2">
        <v>1284.91</v>
      </c>
      <c r="C1648" s="2">
        <v>1284.91</v>
      </c>
      <c r="D1648" s="2">
        <v>2304.97</v>
      </c>
      <c r="E1648" s="2">
        <v>2304.97</v>
      </c>
      <c r="G1648" s="1" t="s">
        <v>3289</v>
      </c>
      <c r="H1648" s="2">
        <v>1666.46</v>
      </c>
      <c r="I1648" s="2">
        <v>1666.46</v>
      </c>
    </row>
    <row r="1649">
      <c r="A1649" s="1" t="s">
        <v>3290</v>
      </c>
      <c r="B1649" s="2">
        <v>1261.52</v>
      </c>
      <c r="C1649" s="2">
        <v>1261.52</v>
      </c>
      <c r="D1649" s="2">
        <v>2251.46</v>
      </c>
      <c r="E1649" s="2">
        <v>2251.46</v>
      </c>
      <c r="G1649" s="1" t="s">
        <v>3291</v>
      </c>
      <c r="H1649" s="2">
        <v>1623.6</v>
      </c>
      <c r="I1649" s="2">
        <v>1623.6</v>
      </c>
    </row>
    <row r="1650">
      <c r="A1650" s="1" t="s">
        <v>3292</v>
      </c>
      <c r="B1650" s="2">
        <v>1262.9</v>
      </c>
      <c r="C1650" s="2">
        <v>1262.9</v>
      </c>
      <c r="D1650" s="2">
        <v>2245.38</v>
      </c>
      <c r="E1650" s="2">
        <v>2245.38</v>
      </c>
      <c r="G1650" s="1" t="s">
        <v>3293</v>
      </c>
      <c r="H1650" s="2">
        <v>1606.54</v>
      </c>
      <c r="I1650" s="2">
        <v>1606.54</v>
      </c>
    </row>
    <row r="1651">
      <c r="A1651" s="1" t="s">
        <v>3294</v>
      </c>
      <c r="B1651" s="2" t="s">
        <v>0</v>
      </c>
      <c r="C1651" s="2">
        <v>1262.9</v>
      </c>
      <c r="D1651" s="2" t="s">
        <v>0</v>
      </c>
      <c r="E1651" s="2">
        <v>2245.38</v>
      </c>
      <c r="G1651" s="1" t="s">
        <v>3295</v>
      </c>
      <c r="H1651" s="2">
        <v>1577.94</v>
      </c>
      <c r="I1651" s="2">
        <v>1577.94</v>
      </c>
    </row>
    <row r="1652">
      <c r="A1652" s="1" t="s">
        <v>3296</v>
      </c>
      <c r="B1652" s="2" t="s">
        <v>0</v>
      </c>
      <c r="C1652" s="2">
        <v>1262.9</v>
      </c>
      <c r="D1652" s="2" t="s">
        <v>0</v>
      </c>
      <c r="E1652" s="2">
        <v>2245.38</v>
      </c>
      <c r="G1652" s="1" t="s">
        <v>3297</v>
      </c>
      <c r="H1652" s="2" t="s">
        <v>0</v>
      </c>
      <c r="I1652" s="2">
        <v>1577.94</v>
      </c>
    </row>
    <row r="1653">
      <c r="A1653" s="1" t="s">
        <v>3298</v>
      </c>
      <c r="B1653" s="2" t="s">
        <v>0</v>
      </c>
      <c r="C1653" s="2">
        <v>1262.9</v>
      </c>
      <c r="D1653" s="2" t="s">
        <v>0</v>
      </c>
      <c r="E1653" s="2">
        <v>2245.38</v>
      </c>
      <c r="G1653" s="1" t="s">
        <v>3299</v>
      </c>
      <c r="H1653" s="2" t="s">
        <v>0</v>
      </c>
      <c r="I1653" s="2">
        <v>1577.94</v>
      </c>
    </row>
    <row r="1654">
      <c r="A1654" s="1" t="s">
        <v>3300</v>
      </c>
      <c r="B1654" s="2">
        <v>1252.31</v>
      </c>
      <c r="C1654" s="2">
        <v>1252.31</v>
      </c>
      <c r="D1654" s="2">
        <v>2243.32</v>
      </c>
      <c r="E1654" s="2">
        <v>2243.32</v>
      </c>
      <c r="G1654" s="1" t="s">
        <v>3301</v>
      </c>
      <c r="H1654" s="2">
        <v>1579.72</v>
      </c>
      <c r="I1654" s="2">
        <v>1579.72</v>
      </c>
    </row>
    <row r="1655">
      <c r="A1655" s="1" t="s">
        <v>3302</v>
      </c>
      <c r="B1655" s="2">
        <v>1273.7</v>
      </c>
      <c r="C1655" s="2">
        <v>1273.7</v>
      </c>
      <c r="D1655" s="2">
        <v>2294.44</v>
      </c>
      <c r="E1655" s="2">
        <v>2294.44</v>
      </c>
      <c r="G1655" s="1" t="s">
        <v>3303</v>
      </c>
      <c r="H1655" s="2">
        <v>1533.47</v>
      </c>
      <c r="I1655" s="2">
        <v>1533.47</v>
      </c>
    </row>
    <row r="1656">
      <c r="A1656" s="1" t="s">
        <v>3304</v>
      </c>
      <c r="B1656" s="2">
        <v>1244.69</v>
      </c>
      <c r="C1656" s="2">
        <v>1244.69</v>
      </c>
      <c r="D1656" s="2">
        <v>2234.89</v>
      </c>
      <c r="E1656" s="2">
        <v>2234.89</v>
      </c>
      <c r="G1656" s="1" t="s">
        <v>3305</v>
      </c>
      <c r="H1656" s="2">
        <v>1519.38</v>
      </c>
      <c r="I1656" s="2">
        <v>1519.38</v>
      </c>
    </row>
    <row r="1657">
      <c r="A1657" s="1" t="s">
        <v>3306</v>
      </c>
      <c r="B1657" s="2">
        <v>1253.39</v>
      </c>
      <c r="C1657" s="2">
        <v>1253.39</v>
      </c>
      <c r="D1657" s="2">
        <v>2257.85</v>
      </c>
      <c r="E1657" s="2">
        <v>2257.85</v>
      </c>
      <c r="G1657" s="1" t="s">
        <v>3307</v>
      </c>
      <c r="H1657" s="2">
        <v>1537.43</v>
      </c>
      <c r="I1657" s="2">
        <v>1537.43</v>
      </c>
    </row>
    <row r="1658">
      <c r="A1658" s="1" t="s">
        <v>3308</v>
      </c>
      <c r="B1658" s="2">
        <v>1239.49</v>
      </c>
      <c r="C1658" s="2">
        <v>1239.49</v>
      </c>
      <c r="D1658" s="2">
        <v>2239.08</v>
      </c>
      <c r="E1658" s="2">
        <v>2239.08</v>
      </c>
      <c r="G1658" s="1" t="s">
        <v>3309</v>
      </c>
      <c r="H1658" s="2">
        <v>1567.51</v>
      </c>
      <c r="I1658" s="2">
        <v>1567.51</v>
      </c>
    </row>
    <row r="1659">
      <c r="A1659" s="1" t="s">
        <v>3310</v>
      </c>
      <c r="B1659" s="2" t="s">
        <v>0</v>
      </c>
      <c r="C1659" s="2">
        <v>1239.49</v>
      </c>
      <c r="D1659" s="2" t="s">
        <v>0</v>
      </c>
      <c r="E1659" s="2">
        <v>2239.08</v>
      </c>
      <c r="G1659" s="1" t="s">
        <v>3311</v>
      </c>
      <c r="H1659" s="2" t="s">
        <v>0</v>
      </c>
      <c r="I1659" s="2">
        <v>1567.51</v>
      </c>
    </row>
    <row r="1660">
      <c r="A1660" s="1" t="s">
        <v>3312</v>
      </c>
      <c r="B1660" s="2" t="s">
        <v>0</v>
      </c>
      <c r="C1660" s="2">
        <v>1239.49</v>
      </c>
      <c r="D1660" s="2" t="s">
        <v>0</v>
      </c>
      <c r="E1660" s="2">
        <v>2239.08</v>
      </c>
      <c r="G1660" s="1" t="s">
        <v>3313</v>
      </c>
      <c r="H1660" s="2" t="s">
        <v>0</v>
      </c>
      <c r="I1660" s="2">
        <v>1567.51</v>
      </c>
    </row>
    <row r="1661">
      <c r="A1661" s="1" t="s">
        <v>3314</v>
      </c>
      <c r="B1661" s="2">
        <v>1228.3</v>
      </c>
      <c r="C1661" s="2">
        <v>1228.3</v>
      </c>
      <c r="D1661" s="2">
        <v>2212.87</v>
      </c>
      <c r="E1661" s="2">
        <v>2212.87</v>
      </c>
      <c r="G1661" s="1" t="s">
        <v>3315</v>
      </c>
      <c r="H1661" s="2">
        <v>1558.62</v>
      </c>
      <c r="I1661" s="2">
        <v>1558.62</v>
      </c>
    </row>
    <row r="1662">
      <c r="A1662" s="1" t="s">
        <v>3316</v>
      </c>
      <c r="B1662" s="2">
        <v>1214.91</v>
      </c>
      <c r="C1662" s="2">
        <v>1214.91</v>
      </c>
      <c r="D1662" s="2">
        <v>2215.71</v>
      </c>
      <c r="E1662" s="2">
        <v>2215.71</v>
      </c>
      <c r="G1662" s="1" t="s">
        <v>3317</v>
      </c>
      <c r="H1662" s="2">
        <v>1509.33</v>
      </c>
      <c r="I1662" s="2">
        <v>1509.33</v>
      </c>
    </row>
    <row r="1663">
      <c r="A1663" s="1" t="s">
        <v>3318</v>
      </c>
      <c r="B1663" s="2">
        <v>1245.36</v>
      </c>
      <c r="C1663" s="2">
        <v>1245.36</v>
      </c>
      <c r="D1663" s="2">
        <v>2284.85</v>
      </c>
      <c r="E1663" s="2">
        <v>2284.85</v>
      </c>
      <c r="G1663" s="1" t="s">
        <v>3319</v>
      </c>
      <c r="H1663" s="2">
        <v>1507.4</v>
      </c>
      <c r="I1663" s="2">
        <v>1507.4</v>
      </c>
    </row>
    <row r="1664">
      <c r="A1664" s="1" t="s">
        <v>3320</v>
      </c>
      <c r="B1664" s="2">
        <v>1260.32</v>
      </c>
      <c r="C1664" s="2">
        <v>1260.32</v>
      </c>
      <c r="D1664" s="2">
        <v>2312.3</v>
      </c>
      <c r="E1664" s="2">
        <v>2312.3</v>
      </c>
      <c r="G1664" s="1" t="s">
        <v>3321</v>
      </c>
      <c r="H1664" s="2">
        <v>1525.56</v>
      </c>
      <c r="I1664" s="2">
        <v>1525.56</v>
      </c>
    </row>
    <row r="1665">
      <c r="A1665" s="1" t="s">
        <v>3322</v>
      </c>
      <c r="B1665" s="2">
        <v>1260.68</v>
      </c>
      <c r="C1665" s="2">
        <v>1260.68</v>
      </c>
      <c r="D1665" s="2">
        <v>2282.78</v>
      </c>
      <c r="E1665" s="2">
        <v>2282.78</v>
      </c>
      <c r="G1665" s="1" t="s">
        <v>3323</v>
      </c>
      <c r="H1665" s="2">
        <v>1509.99</v>
      </c>
      <c r="I1665" s="2">
        <v>1509.99</v>
      </c>
    </row>
    <row r="1666">
      <c r="A1666" s="1" t="s">
        <v>3324</v>
      </c>
      <c r="B1666" s="2" t="s">
        <v>0</v>
      </c>
      <c r="C1666" s="2">
        <v>1260.68</v>
      </c>
      <c r="D1666" s="2" t="s">
        <v>0</v>
      </c>
      <c r="E1666" s="2">
        <v>2282.78</v>
      </c>
      <c r="G1666" s="1" t="s">
        <v>3325</v>
      </c>
      <c r="H1666" s="2" t="s">
        <v>0</v>
      </c>
      <c r="I1666" s="2">
        <v>1509.99</v>
      </c>
    </row>
    <row r="1667">
      <c r="A1667" s="1" t="s">
        <v>3326</v>
      </c>
      <c r="B1667" s="2" t="s">
        <v>0</v>
      </c>
      <c r="C1667" s="2">
        <v>1260.68</v>
      </c>
      <c r="D1667" s="2" t="s">
        <v>0</v>
      </c>
      <c r="E1667" s="2">
        <v>2282.78</v>
      </c>
      <c r="G1667" s="1" t="s">
        <v>3327</v>
      </c>
      <c r="H1667" s="2" t="s">
        <v>0</v>
      </c>
      <c r="I1667" s="2">
        <v>1509.99</v>
      </c>
    </row>
    <row r="1668">
      <c r="A1668" s="1" t="s">
        <v>3328</v>
      </c>
      <c r="B1668" s="2">
        <v>1260.0</v>
      </c>
      <c r="C1668" s="2">
        <v>1260.0</v>
      </c>
      <c r="D1668" s="2">
        <v>2279.53</v>
      </c>
      <c r="E1668" s="2">
        <v>2279.53</v>
      </c>
      <c r="G1668" s="1" t="s">
        <v>3329</v>
      </c>
      <c r="H1668" s="2">
        <v>1562.92</v>
      </c>
      <c r="I1668" s="2">
        <v>1562.92</v>
      </c>
    </row>
    <row r="1669">
      <c r="A1669" s="1" t="s">
        <v>3330</v>
      </c>
      <c r="B1669" s="2">
        <v>1277.0</v>
      </c>
      <c r="C1669" s="2">
        <v>1277.0</v>
      </c>
      <c r="D1669" s="2">
        <v>2303.96</v>
      </c>
      <c r="E1669" s="2">
        <v>2303.96</v>
      </c>
      <c r="G1669" s="1" t="s">
        <v>3331</v>
      </c>
      <c r="H1669" s="2">
        <v>1561.23</v>
      </c>
      <c r="I1669" s="2">
        <v>1561.23</v>
      </c>
    </row>
    <row r="1670">
      <c r="A1670" s="1" t="s">
        <v>3332</v>
      </c>
      <c r="B1670" s="2">
        <v>1282.19</v>
      </c>
      <c r="C1670" s="2">
        <v>1282.19</v>
      </c>
      <c r="D1670" s="2">
        <v>2325.88</v>
      </c>
      <c r="E1670" s="2">
        <v>2325.88</v>
      </c>
      <c r="G1670" s="1" t="s">
        <v>3333</v>
      </c>
      <c r="H1670" s="2">
        <v>1591.76</v>
      </c>
      <c r="I1670" s="2">
        <v>1591.76</v>
      </c>
    </row>
    <row r="1671">
      <c r="A1671" s="1" t="s">
        <v>3334</v>
      </c>
      <c r="B1671" s="2">
        <v>1252.54</v>
      </c>
      <c r="C1671" s="2">
        <v>1252.54</v>
      </c>
      <c r="D1671" s="2">
        <v>2280.11</v>
      </c>
      <c r="E1671" s="2">
        <v>2280.11</v>
      </c>
      <c r="G1671" s="1" t="s">
        <v>3335</v>
      </c>
      <c r="H1671" s="2">
        <v>1626.14</v>
      </c>
      <c r="I1671" s="2">
        <v>1626.14</v>
      </c>
    </row>
    <row r="1672">
      <c r="A1672" s="1" t="s">
        <v>3336</v>
      </c>
      <c r="B1672" s="2">
        <v>1257.76</v>
      </c>
      <c r="C1672" s="2">
        <v>1257.76</v>
      </c>
      <c r="D1672" s="2">
        <v>2310.53</v>
      </c>
      <c r="E1672" s="2">
        <v>2310.53</v>
      </c>
      <c r="G1672" s="1" t="s">
        <v>3337</v>
      </c>
      <c r="H1672" s="2">
        <v>1597.93</v>
      </c>
      <c r="I1672" s="2">
        <v>1597.93</v>
      </c>
    </row>
    <row r="1673">
      <c r="A1673" s="1" t="s">
        <v>3338</v>
      </c>
      <c r="B1673" s="2" t="s">
        <v>0</v>
      </c>
      <c r="C1673" s="2">
        <v>1257.76</v>
      </c>
      <c r="D1673" s="2" t="s">
        <v>0</v>
      </c>
      <c r="E1673" s="2">
        <v>2310.53</v>
      </c>
      <c r="G1673" s="1" t="s">
        <v>3339</v>
      </c>
      <c r="H1673" s="2" t="s">
        <v>0</v>
      </c>
      <c r="I1673" s="2">
        <v>1597.93</v>
      </c>
    </row>
    <row r="1674">
      <c r="A1674" s="1" t="s">
        <v>3340</v>
      </c>
      <c r="B1674" s="2" t="s">
        <v>0</v>
      </c>
      <c r="C1674" s="2">
        <v>1257.76</v>
      </c>
      <c r="D1674" s="2" t="s">
        <v>0</v>
      </c>
      <c r="E1674" s="2">
        <v>2310.53</v>
      </c>
      <c r="G1674" s="1" t="s">
        <v>3341</v>
      </c>
      <c r="H1674" s="2" t="s">
        <v>0</v>
      </c>
      <c r="I1674" s="2">
        <v>1597.93</v>
      </c>
    </row>
    <row r="1675">
      <c r="A1675" s="1" t="s">
        <v>3342</v>
      </c>
      <c r="B1675" s="2">
        <v>1234.37</v>
      </c>
      <c r="C1675" s="2">
        <v>1234.37</v>
      </c>
      <c r="D1675" s="2">
        <v>2264.22</v>
      </c>
      <c r="E1675" s="2">
        <v>2264.22</v>
      </c>
      <c r="G1675" s="1" t="s">
        <v>3343</v>
      </c>
      <c r="H1675" s="2">
        <v>1598.29</v>
      </c>
      <c r="I1675" s="2">
        <v>1598.29</v>
      </c>
    </row>
    <row r="1676">
      <c r="A1676" s="1" t="s">
        <v>3344</v>
      </c>
      <c r="B1676" s="2">
        <v>1263.2</v>
      </c>
      <c r="C1676" s="2">
        <v>1263.2</v>
      </c>
      <c r="D1676" s="2">
        <v>2319.62</v>
      </c>
      <c r="E1676" s="2">
        <v>2319.62</v>
      </c>
      <c r="G1676" s="1" t="s">
        <v>3345</v>
      </c>
      <c r="H1676" s="2">
        <v>1567.2</v>
      </c>
      <c r="I1676" s="2">
        <v>1567.2</v>
      </c>
    </row>
    <row r="1677">
      <c r="A1677" s="1" t="s">
        <v>3346</v>
      </c>
      <c r="B1677" s="2">
        <v>1284.26</v>
      </c>
      <c r="C1677" s="2">
        <v>1284.26</v>
      </c>
      <c r="D1677" s="2">
        <v>2329.72</v>
      </c>
      <c r="E1677" s="2">
        <v>2329.72</v>
      </c>
      <c r="G1677" s="1" t="s">
        <v>3347</v>
      </c>
      <c r="H1677" s="2">
        <v>1577.7</v>
      </c>
      <c r="I1677" s="2">
        <v>1577.7</v>
      </c>
    </row>
    <row r="1678">
      <c r="A1678" s="1" t="s">
        <v>3348</v>
      </c>
      <c r="B1678" s="2">
        <v>1267.38</v>
      </c>
      <c r="C1678" s="2">
        <v>1267.38</v>
      </c>
      <c r="D1678" s="2">
        <v>2325.55</v>
      </c>
      <c r="E1678" s="2">
        <v>2325.55</v>
      </c>
      <c r="G1678" s="1" t="s">
        <v>3349</v>
      </c>
      <c r="H1678" s="2">
        <v>1594.67</v>
      </c>
      <c r="I1678" s="2">
        <v>1594.67</v>
      </c>
    </row>
    <row r="1679">
      <c r="A1679" s="1" t="s">
        <v>3350</v>
      </c>
      <c r="B1679" s="2">
        <v>1260.31</v>
      </c>
      <c r="C1679" s="2">
        <v>1260.31</v>
      </c>
      <c r="D1679" s="2">
        <v>2310.96</v>
      </c>
      <c r="E1679" s="2">
        <v>2310.96</v>
      </c>
      <c r="G1679" s="1" t="s">
        <v>3351</v>
      </c>
      <c r="H1679" s="2">
        <v>1573.77</v>
      </c>
      <c r="I1679" s="2">
        <v>1573.77</v>
      </c>
    </row>
    <row r="1680">
      <c r="A1680" s="1" t="s">
        <v>3352</v>
      </c>
      <c r="B1680" s="2" t="s">
        <v>0</v>
      </c>
      <c r="C1680" s="2">
        <v>1260.31</v>
      </c>
      <c r="D1680" s="2" t="s">
        <v>0</v>
      </c>
      <c r="E1680" s="2">
        <v>2310.96</v>
      </c>
      <c r="G1680" s="1" t="s">
        <v>3353</v>
      </c>
      <c r="H1680" s="2" t="s">
        <v>0</v>
      </c>
      <c r="I1680" s="2">
        <v>1573.77</v>
      </c>
    </row>
    <row r="1681">
      <c r="A1681" s="1" t="s">
        <v>3354</v>
      </c>
      <c r="B1681" s="2" t="s">
        <v>0</v>
      </c>
      <c r="C1681" s="2">
        <v>1260.31</v>
      </c>
      <c r="D1681" s="2" t="s">
        <v>0</v>
      </c>
      <c r="E1681" s="2">
        <v>2310.96</v>
      </c>
      <c r="G1681" s="1" t="s">
        <v>3355</v>
      </c>
      <c r="H1681" s="2" t="s">
        <v>0</v>
      </c>
      <c r="I1681" s="2">
        <v>1573.77</v>
      </c>
    </row>
    <row r="1682">
      <c r="A1682" s="1" t="s">
        <v>3356</v>
      </c>
      <c r="B1682" s="2">
        <v>1249.01</v>
      </c>
      <c r="C1682" s="2">
        <v>1249.01</v>
      </c>
      <c r="D1682" s="2">
        <v>2285.56</v>
      </c>
      <c r="E1682" s="2">
        <v>2285.56</v>
      </c>
      <c r="G1682" s="1" t="s">
        <v>3357</v>
      </c>
      <c r="H1682" s="2">
        <v>1543.05</v>
      </c>
      <c r="I1682" s="2">
        <v>1543.05</v>
      </c>
    </row>
    <row r="1683">
      <c r="A1683" s="1" t="s">
        <v>3358</v>
      </c>
      <c r="B1683" s="2">
        <v>1284.88</v>
      </c>
      <c r="C1683" s="2">
        <v>1284.88</v>
      </c>
      <c r="D1683" s="2">
        <v>2349.83</v>
      </c>
      <c r="E1683" s="2">
        <v>2349.83</v>
      </c>
      <c r="G1683" s="1" t="s">
        <v>3359</v>
      </c>
      <c r="H1683" s="2">
        <v>1535.54</v>
      </c>
      <c r="I1683" s="2">
        <v>1535.54</v>
      </c>
    </row>
    <row r="1684">
      <c r="A1684" s="1" t="s">
        <v>3360</v>
      </c>
      <c r="B1684" s="2">
        <v>1289.19</v>
      </c>
      <c r="C1684" s="2">
        <v>1289.19</v>
      </c>
      <c r="D1684" s="2">
        <v>2378.37</v>
      </c>
      <c r="E1684" s="2">
        <v>2378.37</v>
      </c>
      <c r="G1684" s="1" t="s">
        <v>3361</v>
      </c>
      <c r="H1684" s="2">
        <v>1578.71</v>
      </c>
      <c r="I1684" s="2">
        <v>1578.71</v>
      </c>
    </row>
    <row r="1685">
      <c r="A1685" s="1" t="s">
        <v>3362</v>
      </c>
      <c r="B1685" s="2">
        <v>1266.07</v>
      </c>
      <c r="C1685" s="2">
        <v>1266.07</v>
      </c>
      <c r="D1685" s="2">
        <v>2355.73</v>
      </c>
      <c r="E1685" s="2">
        <v>2355.73</v>
      </c>
      <c r="G1685" s="1" t="s">
        <v>3363</v>
      </c>
      <c r="H1685" s="2">
        <v>1564.0</v>
      </c>
      <c r="I1685" s="2">
        <v>1564.0</v>
      </c>
    </row>
    <row r="1686">
      <c r="A1686" s="1" t="s">
        <v>3364</v>
      </c>
      <c r="B1686" s="2">
        <v>1296.32</v>
      </c>
      <c r="C1686" s="2">
        <v>1296.32</v>
      </c>
      <c r="D1686" s="2">
        <v>2414.1</v>
      </c>
      <c r="E1686" s="2">
        <v>2414.1</v>
      </c>
      <c r="G1686" s="1" t="s">
        <v>3365</v>
      </c>
      <c r="H1686" s="2">
        <v>1568.72</v>
      </c>
      <c r="I1686" s="2">
        <v>1568.72</v>
      </c>
    </row>
    <row r="1687">
      <c r="A1687" s="1" t="s">
        <v>3366</v>
      </c>
      <c r="B1687" s="2" t="s">
        <v>0</v>
      </c>
      <c r="C1687" s="2">
        <v>1296.32</v>
      </c>
      <c r="D1687" s="2" t="s">
        <v>0</v>
      </c>
      <c r="E1687" s="2">
        <v>2414.1</v>
      </c>
      <c r="G1687" s="1" t="s">
        <v>3367</v>
      </c>
      <c r="H1687" s="2" t="s">
        <v>0</v>
      </c>
      <c r="I1687" s="2">
        <v>1568.72</v>
      </c>
    </row>
    <row r="1688">
      <c r="A1688" s="1" t="s">
        <v>3368</v>
      </c>
      <c r="B1688" s="2" t="s">
        <v>0</v>
      </c>
      <c r="C1688" s="2">
        <v>1296.32</v>
      </c>
      <c r="D1688" s="2" t="s">
        <v>0</v>
      </c>
      <c r="E1688" s="2">
        <v>2414.1</v>
      </c>
      <c r="G1688" s="1" t="s">
        <v>3369</v>
      </c>
      <c r="H1688" s="2" t="s">
        <v>0</v>
      </c>
      <c r="I1688" s="2">
        <v>1568.72</v>
      </c>
    </row>
    <row r="1689">
      <c r="A1689" s="1" t="s">
        <v>3370</v>
      </c>
      <c r="B1689" s="2">
        <v>1305.32</v>
      </c>
      <c r="C1689" s="2">
        <v>1305.32</v>
      </c>
      <c r="D1689" s="2">
        <v>2439.95</v>
      </c>
      <c r="E1689" s="2">
        <v>2439.95</v>
      </c>
      <c r="G1689" s="1" t="s">
        <v>3371</v>
      </c>
      <c r="H1689" s="2">
        <v>1581.09</v>
      </c>
      <c r="I1689" s="2">
        <v>1581.09</v>
      </c>
    </row>
    <row r="1690">
      <c r="A1690" s="1" t="s">
        <v>3372</v>
      </c>
      <c r="B1690" s="2">
        <v>1289.59</v>
      </c>
      <c r="C1690" s="2">
        <v>1289.59</v>
      </c>
      <c r="D1690" s="2">
        <v>2430.61</v>
      </c>
      <c r="E1690" s="2">
        <v>2430.61</v>
      </c>
      <c r="G1690" s="1" t="s">
        <v>3373</v>
      </c>
      <c r="H1690" s="2">
        <v>1577.12</v>
      </c>
      <c r="I1690" s="2">
        <v>1577.12</v>
      </c>
    </row>
    <row r="1691">
      <c r="A1691" s="1" t="s">
        <v>3374</v>
      </c>
      <c r="B1691" s="2">
        <v>1285.83</v>
      </c>
      <c r="C1691" s="2">
        <v>1285.83</v>
      </c>
      <c r="D1691" s="2">
        <v>2428.62</v>
      </c>
      <c r="E1691" s="2">
        <v>2428.62</v>
      </c>
      <c r="G1691" s="1" t="s">
        <v>3375</v>
      </c>
      <c r="H1691" s="2">
        <v>1562.72</v>
      </c>
      <c r="I1691" s="2">
        <v>1562.72</v>
      </c>
    </row>
    <row r="1692">
      <c r="A1692" s="1" t="s">
        <v>3376</v>
      </c>
      <c r="B1692" s="2">
        <v>1292.93</v>
      </c>
      <c r="C1692" s="2">
        <v>1292.93</v>
      </c>
      <c r="D1692" s="2">
        <v>2453.67</v>
      </c>
      <c r="E1692" s="2">
        <v>2453.67</v>
      </c>
      <c r="G1692" s="1" t="s">
        <v>3377</v>
      </c>
      <c r="H1692" s="2">
        <v>1572.19</v>
      </c>
      <c r="I1692" s="2">
        <v>1572.19</v>
      </c>
    </row>
    <row r="1693">
      <c r="A1693" s="1" t="s">
        <v>3378</v>
      </c>
      <c r="B1693" s="2">
        <v>1298.2</v>
      </c>
      <c r="C1693" s="2">
        <v>1298.2</v>
      </c>
      <c r="D1693" s="2">
        <v>2452.52</v>
      </c>
      <c r="E1693" s="2">
        <v>2452.52</v>
      </c>
      <c r="G1693" s="1" t="s">
        <v>3379</v>
      </c>
      <c r="H1693" s="2" t="s">
        <v>0</v>
      </c>
      <c r="I1693" s="2">
        <v>1572.19</v>
      </c>
    </row>
    <row r="1694">
      <c r="A1694" s="1" t="s">
        <v>3380</v>
      </c>
      <c r="B1694" s="2" t="s">
        <v>0</v>
      </c>
      <c r="C1694" s="2">
        <v>1298.2</v>
      </c>
      <c r="D1694" s="2" t="s">
        <v>0</v>
      </c>
      <c r="E1694" s="2">
        <v>2452.52</v>
      </c>
      <c r="G1694" s="1" t="s">
        <v>3381</v>
      </c>
      <c r="H1694" s="2" t="s">
        <v>0</v>
      </c>
      <c r="I1694" s="2">
        <v>1572.19</v>
      </c>
    </row>
    <row r="1695">
      <c r="A1695" s="1" t="s">
        <v>3382</v>
      </c>
      <c r="B1695" s="2" t="s">
        <v>0</v>
      </c>
      <c r="C1695" s="2">
        <v>1298.2</v>
      </c>
      <c r="D1695" s="2" t="s">
        <v>0</v>
      </c>
      <c r="E1695" s="2">
        <v>2452.52</v>
      </c>
      <c r="G1695" s="1" t="s">
        <v>3383</v>
      </c>
      <c r="H1695" s="2" t="s">
        <v>0</v>
      </c>
      <c r="I1695" s="2">
        <v>1572.19</v>
      </c>
    </row>
    <row r="1696">
      <c r="A1696" s="1" t="s">
        <v>3384</v>
      </c>
      <c r="B1696" s="2">
        <v>1278.6</v>
      </c>
      <c r="C1696" s="2">
        <v>1278.6</v>
      </c>
      <c r="D1696" s="2">
        <v>2416.98</v>
      </c>
      <c r="E1696" s="2">
        <v>2416.98</v>
      </c>
      <c r="G1696" s="1" t="s">
        <v>3385</v>
      </c>
      <c r="H1696" s="2">
        <v>1567.71</v>
      </c>
      <c r="I1696" s="2">
        <v>1567.71</v>
      </c>
    </row>
    <row r="1697">
      <c r="A1697" s="1" t="s">
        <v>3386</v>
      </c>
      <c r="B1697" s="2">
        <v>1266.69</v>
      </c>
      <c r="C1697" s="2">
        <v>1266.69</v>
      </c>
      <c r="D1697" s="2">
        <v>2384.36</v>
      </c>
      <c r="E1697" s="2">
        <v>2384.36</v>
      </c>
      <c r="G1697" s="1" t="s">
        <v>3387</v>
      </c>
      <c r="H1697" s="2">
        <v>1541.41</v>
      </c>
      <c r="I1697" s="2">
        <v>1541.41</v>
      </c>
    </row>
    <row r="1698">
      <c r="A1698" s="1" t="s">
        <v>3388</v>
      </c>
      <c r="B1698" s="2">
        <v>1274.54</v>
      </c>
      <c r="C1698" s="2">
        <v>1274.54</v>
      </c>
      <c r="D1698" s="2">
        <v>2389.08</v>
      </c>
      <c r="E1698" s="2">
        <v>2389.08</v>
      </c>
      <c r="G1698" s="1" t="s">
        <v>3389</v>
      </c>
      <c r="H1698" s="2">
        <v>1540.71</v>
      </c>
      <c r="I1698" s="2">
        <v>1540.71</v>
      </c>
    </row>
    <row r="1699">
      <c r="A1699" s="1" t="s">
        <v>3390</v>
      </c>
      <c r="B1699" s="2">
        <v>1277.72</v>
      </c>
      <c r="C1699" s="2">
        <v>1277.72</v>
      </c>
      <c r="D1699" s="2">
        <v>2380.38</v>
      </c>
      <c r="E1699" s="2">
        <v>2380.38</v>
      </c>
      <c r="G1699" s="1" t="s">
        <v>3391</v>
      </c>
      <c r="H1699" s="2">
        <v>1512.59</v>
      </c>
      <c r="I1699" s="2">
        <v>1512.59</v>
      </c>
    </row>
    <row r="1700">
      <c r="A1700" s="1" t="s">
        <v>3392</v>
      </c>
      <c r="B1700" s="2">
        <v>1292.2</v>
      </c>
      <c r="C1700" s="2">
        <v>1292.2</v>
      </c>
      <c r="D1700" s="2">
        <v>2414.71</v>
      </c>
      <c r="E1700" s="2">
        <v>2414.71</v>
      </c>
      <c r="G1700" s="1" t="s">
        <v>3393</v>
      </c>
      <c r="H1700" s="2">
        <v>1496.91</v>
      </c>
      <c r="I1700" s="2">
        <v>1496.91</v>
      </c>
    </row>
    <row r="1701">
      <c r="A1701" s="1" t="s">
        <v>3394</v>
      </c>
      <c r="B1701" s="2" t="s">
        <v>0</v>
      </c>
      <c r="C1701" s="2">
        <v>1292.2</v>
      </c>
      <c r="D1701" s="2" t="s">
        <v>0</v>
      </c>
      <c r="E1701" s="2">
        <v>2414.71</v>
      </c>
      <c r="G1701" s="1" t="s">
        <v>3395</v>
      </c>
      <c r="H1701" s="2" t="s">
        <v>0</v>
      </c>
      <c r="I1701" s="2">
        <v>1496.91</v>
      </c>
    </row>
    <row r="1702">
      <c r="A1702" s="1" t="s">
        <v>3396</v>
      </c>
      <c r="B1702" s="2" t="s">
        <v>0</v>
      </c>
      <c r="C1702" s="2">
        <v>1292.2</v>
      </c>
      <c r="D1702" s="2" t="s">
        <v>0</v>
      </c>
      <c r="E1702" s="2">
        <v>2414.71</v>
      </c>
      <c r="G1702" s="1" t="s">
        <v>3397</v>
      </c>
      <c r="H1702" s="2" t="s">
        <v>0</v>
      </c>
      <c r="I1702" s="2">
        <v>1496.91</v>
      </c>
    </row>
    <row r="1703">
      <c r="A1703" s="1" t="s">
        <v>3398</v>
      </c>
      <c r="B1703" s="2">
        <v>1266.84</v>
      </c>
      <c r="C1703" s="2">
        <v>1266.84</v>
      </c>
      <c r="D1703" s="2">
        <v>2365.59</v>
      </c>
      <c r="E1703" s="2">
        <v>2365.59</v>
      </c>
      <c r="G1703" s="1" t="s">
        <v>3399</v>
      </c>
      <c r="H1703" s="2">
        <v>1502.11</v>
      </c>
      <c r="I1703" s="2">
        <v>1502.11</v>
      </c>
    </row>
    <row r="1704">
      <c r="A1704" s="1" t="s">
        <v>3400</v>
      </c>
      <c r="B1704" s="2">
        <v>1271.51</v>
      </c>
      <c r="C1704" s="2">
        <v>1271.51</v>
      </c>
      <c r="D1704" s="2">
        <v>2361.97</v>
      </c>
      <c r="E1704" s="2">
        <v>2361.97</v>
      </c>
      <c r="G1704" s="1" t="s">
        <v>3401</v>
      </c>
      <c r="H1704" s="2">
        <v>1490.25</v>
      </c>
      <c r="I1704" s="2">
        <v>1490.25</v>
      </c>
    </row>
    <row r="1705">
      <c r="A1705" s="1" t="s">
        <v>3402</v>
      </c>
      <c r="B1705" s="2">
        <v>1281.66</v>
      </c>
      <c r="C1705" s="2">
        <v>1281.66</v>
      </c>
      <c r="D1705" s="2">
        <v>2382.46</v>
      </c>
      <c r="E1705" s="2">
        <v>2382.46</v>
      </c>
      <c r="G1705" s="1" t="s">
        <v>3403</v>
      </c>
      <c r="H1705" s="2">
        <v>1493.92</v>
      </c>
      <c r="I1705" s="2">
        <v>1493.92</v>
      </c>
    </row>
    <row r="1706">
      <c r="A1706" s="1" t="s">
        <v>3404</v>
      </c>
      <c r="B1706" s="2">
        <v>1300.68</v>
      </c>
      <c r="C1706" s="2">
        <v>1300.68</v>
      </c>
      <c r="D1706" s="2">
        <v>2411.64</v>
      </c>
      <c r="E1706" s="2">
        <v>2411.64</v>
      </c>
      <c r="G1706" s="1" t="s">
        <v>3405</v>
      </c>
      <c r="H1706" s="2">
        <v>1474.15</v>
      </c>
      <c r="I1706" s="2">
        <v>1474.15</v>
      </c>
    </row>
    <row r="1707">
      <c r="A1707" s="1" t="s">
        <v>3406</v>
      </c>
      <c r="B1707" s="2">
        <v>1282.83</v>
      </c>
      <c r="C1707" s="2">
        <v>1282.83</v>
      </c>
      <c r="D1707" s="2">
        <v>2367.52</v>
      </c>
      <c r="E1707" s="2">
        <v>2367.52</v>
      </c>
      <c r="G1707" s="1" t="s">
        <v>3407</v>
      </c>
      <c r="H1707" s="2">
        <v>1474.24</v>
      </c>
      <c r="I1707" s="2">
        <v>1474.24</v>
      </c>
    </row>
    <row r="1708">
      <c r="A1708" s="1" t="s">
        <v>3408</v>
      </c>
      <c r="B1708" s="2" t="s">
        <v>0</v>
      </c>
      <c r="C1708" s="2">
        <v>1282.83</v>
      </c>
      <c r="D1708" s="2" t="s">
        <v>0</v>
      </c>
      <c r="E1708" s="2">
        <v>2367.52</v>
      </c>
      <c r="G1708" s="1" t="s">
        <v>3409</v>
      </c>
      <c r="H1708" s="2" t="s">
        <v>0</v>
      </c>
      <c r="I1708" s="2">
        <v>1474.24</v>
      </c>
    </row>
    <row r="1709">
      <c r="A1709" s="1" t="s">
        <v>3410</v>
      </c>
      <c r="B1709" s="2" t="s">
        <v>0</v>
      </c>
      <c r="C1709" s="2">
        <v>1282.83</v>
      </c>
      <c r="D1709" s="2" t="s">
        <v>0</v>
      </c>
      <c r="E1709" s="2">
        <v>2367.52</v>
      </c>
      <c r="G1709" s="1" t="s">
        <v>3411</v>
      </c>
      <c r="H1709" s="2" t="s">
        <v>0</v>
      </c>
      <c r="I1709" s="2">
        <v>1474.24</v>
      </c>
    </row>
    <row r="1710">
      <c r="A1710" s="1" t="s">
        <v>3412</v>
      </c>
      <c r="B1710" s="2" t="s">
        <v>0</v>
      </c>
      <c r="C1710" s="2">
        <v>1282.83</v>
      </c>
      <c r="D1710" s="2" t="s">
        <v>0</v>
      </c>
      <c r="E1710" s="2">
        <v>2367.52</v>
      </c>
      <c r="G1710" s="1" t="s">
        <v>3413</v>
      </c>
      <c r="H1710" s="2">
        <v>1414.43</v>
      </c>
      <c r="I1710" s="2">
        <v>1414.43</v>
      </c>
    </row>
    <row r="1711">
      <c r="A1711" s="1" t="s">
        <v>3414</v>
      </c>
      <c r="B1711" s="2">
        <v>1277.58</v>
      </c>
      <c r="C1711" s="2">
        <v>1277.58</v>
      </c>
      <c r="D1711" s="2">
        <v>2349.24</v>
      </c>
      <c r="E1711" s="2">
        <v>2349.24</v>
      </c>
      <c r="G1711" s="1" t="s">
        <v>3415</v>
      </c>
      <c r="H1711" s="2">
        <v>1407.14</v>
      </c>
      <c r="I1711" s="2">
        <v>1407.14</v>
      </c>
    </row>
    <row r="1712">
      <c r="A1712" s="1" t="s">
        <v>3416</v>
      </c>
      <c r="B1712" s="2">
        <v>1274.98</v>
      </c>
      <c r="C1712" s="2">
        <v>1274.98</v>
      </c>
      <c r="D1712" s="2">
        <v>2333.73</v>
      </c>
      <c r="E1712" s="2">
        <v>2333.73</v>
      </c>
      <c r="G1712" s="1" t="s">
        <v>3417</v>
      </c>
      <c r="H1712" s="2">
        <v>1426.89</v>
      </c>
      <c r="I1712" s="2">
        <v>1426.89</v>
      </c>
    </row>
    <row r="1713">
      <c r="A1713" s="1" t="s">
        <v>3418</v>
      </c>
      <c r="B1713" s="2">
        <v>1236.83</v>
      </c>
      <c r="C1713" s="2">
        <v>1236.83</v>
      </c>
      <c r="D1713" s="2">
        <v>2259.04</v>
      </c>
      <c r="E1713" s="2">
        <v>2259.04</v>
      </c>
      <c r="G1713" s="1" t="s">
        <v>3419</v>
      </c>
      <c r="H1713" s="2">
        <v>1426.43</v>
      </c>
      <c r="I1713" s="2">
        <v>1426.43</v>
      </c>
    </row>
    <row r="1714">
      <c r="A1714" s="1" t="s">
        <v>3420</v>
      </c>
      <c r="B1714" s="2">
        <v>1242.31</v>
      </c>
      <c r="C1714" s="2">
        <v>1242.31</v>
      </c>
      <c r="D1714" s="2">
        <v>2255.88</v>
      </c>
      <c r="E1714" s="2">
        <v>2255.88</v>
      </c>
      <c r="G1714" s="1" t="s">
        <v>3421</v>
      </c>
      <c r="H1714" s="2">
        <v>1404.38</v>
      </c>
      <c r="I1714" s="2">
        <v>1404.38</v>
      </c>
    </row>
    <row r="1715">
      <c r="A1715" s="1" t="s">
        <v>3422</v>
      </c>
      <c r="B1715" s="2" t="s">
        <v>0</v>
      </c>
      <c r="C1715" s="2">
        <v>1242.31</v>
      </c>
      <c r="D1715" s="2" t="s">
        <v>0</v>
      </c>
      <c r="E1715" s="2">
        <v>2255.88</v>
      </c>
      <c r="G1715" s="1" t="s">
        <v>3423</v>
      </c>
      <c r="H1715" s="2" t="s">
        <v>0</v>
      </c>
      <c r="I1715" s="2">
        <v>1404.38</v>
      </c>
    </row>
    <row r="1716">
      <c r="A1716" s="1" t="s">
        <v>3424</v>
      </c>
      <c r="B1716" s="2" t="s">
        <v>0</v>
      </c>
      <c r="C1716" s="2">
        <v>1242.31</v>
      </c>
      <c r="D1716" s="2" t="s">
        <v>0</v>
      </c>
      <c r="E1716" s="2">
        <v>2255.88</v>
      </c>
      <c r="G1716" s="1" t="s">
        <v>3425</v>
      </c>
      <c r="H1716" s="2" t="s">
        <v>0</v>
      </c>
      <c r="I1716" s="2">
        <v>1404.38</v>
      </c>
    </row>
    <row r="1717">
      <c r="A1717" s="1" t="s">
        <v>3426</v>
      </c>
      <c r="B1717" s="2">
        <v>1267.79</v>
      </c>
      <c r="C1717" s="2">
        <v>1267.79</v>
      </c>
      <c r="D1717" s="2">
        <v>2269.76</v>
      </c>
      <c r="E1717" s="2">
        <v>2269.76</v>
      </c>
      <c r="G1717" s="1" t="s">
        <v>3427</v>
      </c>
      <c r="H1717" s="2">
        <v>1476.65</v>
      </c>
      <c r="I1717" s="2">
        <v>1476.65</v>
      </c>
    </row>
    <row r="1718">
      <c r="A1718" s="1" t="s">
        <v>3428</v>
      </c>
      <c r="B1718" s="2">
        <v>1224.51</v>
      </c>
      <c r="C1718" s="2">
        <v>1224.51</v>
      </c>
      <c r="D1718" s="2">
        <v>2209.81</v>
      </c>
      <c r="E1718" s="2">
        <v>2209.81</v>
      </c>
      <c r="G1718" s="1" t="s">
        <v>3429</v>
      </c>
      <c r="H1718" s="2">
        <v>1454.5</v>
      </c>
      <c r="I1718" s="2">
        <v>1454.5</v>
      </c>
    </row>
    <row r="1719">
      <c r="A1719" s="1" t="s">
        <v>3430</v>
      </c>
      <c r="B1719" s="2">
        <v>1232.04</v>
      </c>
      <c r="C1719" s="2">
        <v>1232.04</v>
      </c>
      <c r="D1719" s="2">
        <v>2228.7</v>
      </c>
      <c r="E1719" s="2">
        <v>2228.7</v>
      </c>
      <c r="G1719" s="1" t="s">
        <v>3431</v>
      </c>
      <c r="H1719" s="2">
        <v>1464.98</v>
      </c>
      <c r="I1719" s="2">
        <v>1464.98</v>
      </c>
    </row>
    <row r="1720">
      <c r="A1720" s="1" t="s">
        <v>3432</v>
      </c>
      <c r="B1720" s="2">
        <v>1249.05</v>
      </c>
      <c r="C1720" s="2">
        <v>1249.05</v>
      </c>
      <c r="D1720" s="2">
        <v>2258.22</v>
      </c>
      <c r="E1720" s="2">
        <v>2258.22</v>
      </c>
      <c r="G1720" s="1" t="s">
        <v>3433</v>
      </c>
      <c r="H1720" s="2">
        <v>1443.24</v>
      </c>
      <c r="I1720" s="2">
        <v>1443.24</v>
      </c>
    </row>
    <row r="1721">
      <c r="A1721" s="1" t="s">
        <v>3434</v>
      </c>
      <c r="B1721" s="2">
        <v>1251.7</v>
      </c>
      <c r="C1721" s="2">
        <v>1251.7</v>
      </c>
      <c r="D1721" s="2">
        <v>2261.27</v>
      </c>
      <c r="E1721" s="2">
        <v>2261.27</v>
      </c>
      <c r="G1721" s="1" t="s">
        <v>3435</v>
      </c>
      <c r="H1721" s="2">
        <v>1477.92</v>
      </c>
      <c r="I1721" s="2">
        <v>1477.92</v>
      </c>
    </row>
    <row r="1722">
      <c r="A1722" s="1" t="s">
        <v>3436</v>
      </c>
      <c r="B1722" s="2" t="s">
        <v>0</v>
      </c>
      <c r="C1722" s="2">
        <v>1251.7</v>
      </c>
      <c r="D1722" s="2" t="s">
        <v>0</v>
      </c>
      <c r="E1722" s="2">
        <v>2261.27</v>
      </c>
      <c r="G1722" s="1" t="s">
        <v>3437</v>
      </c>
      <c r="H1722" s="2" t="s">
        <v>0</v>
      </c>
      <c r="I1722" s="2">
        <v>1477.92</v>
      </c>
    </row>
    <row r="1723">
      <c r="A1723" s="1" t="s">
        <v>3438</v>
      </c>
      <c r="B1723" s="2" t="s">
        <v>0</v>
      </c>
      <c r="C1723" s="2">
        <v>1251.7</v>
      </c>
      <c r="D1723" s="2" t="s">
        <v>0</v>
      </c>
      <c r="E1723" s="2">
        <v>2261.27</v>
      </c>
      <c r="G1723" s="1" t="s">
        <v>3439</v>
      </c>
      <c r="H1723" s="2" t="s">
        <v>0</v>
      </c>
      <c r="I1723" s="2">
        <v>1477.92</v>
      </c>
    </row>
    <row r="1724">
      <c r="A1724" s="1" t="s">
        <v>3440</v>
      </c>
      <c r="B1724" s="2">
        <v>1192.7</v>
      </c>
      <c r="C1724" s="2">
        <v>1192.7</v>
      </c>
      <c r="D1724" s="2">
        <v>2179.91</v>
      </c>
      <c r="E1724" s="2">
        <v>2179.91</v>
      </c>
      <c r="G1724" s="1" t="s">
        <v>3441</v>
      </c>
      <c r="H1724" s="2" t="s">
        <v>0</v>
      </c>
      <c r="I1724" s="2">
        <v>1477.92</v>
      </c>
    </row>
    <row r="1725">
      <c r="A1725" s="1" t="s">
        <v>3442</v>
      </c>
      <c r="B1725" s="2">
        <v>1213.6</v>
      </c>
      <c r="C1725" s="2">
        <v>1213.6</v>
      </c>
      <c r="D1725" s="2">
        <v>2207.9</v>
      </c>
      <c r="E1725" s="2">
        <v>2207.9</v>
      </c>
      <c r="G1725" s="1" t="s">
        <v>3443</v>
      </c>
      <c r="H1725" s="2">
        <v>1387.75</v>
      </c>
      <c r="I1725" s="2">
        <v>1387.75</v>
      </c>
    </row>
    <row r="1726">
      <c r="A1726" s="1" t="s">
        <v>3444</v>
      </c>
      <c r="B1726" s="2">
        <v>1156.39</v>
      </c>
      <c r="C1726" s="2">
        <v>1156.39</v>
      </c>
      <c r="D1726" s="2">
        <v>2098.85</v>
      </c>
      <c r="E1726" s="2">
        <v>2098.85</v>
      </c>
      <c r="G1726" s="1" t="s">
        <v>3445</v>
      </c>
      <c r="H1726" s="2">
        <v>1425.26</v>
      </c>
      <c r="I1726" s="2">
        <v>1425.26</v>
      </c>
    </row>
    <row r="1727">
      <c r="A1727" s="1" t="s">
        <v>3446</v>
      </c>
      <c r="B1727" s="2">
        <v>1206.51</v>
      </c>
      <c r="C1727" s="2">
        <v>1206.51</v>
      </c>
      <c r="D1727" s="2">
        <v>2199.1</v>
      </c>
      <c r="E1727" s="2">
        <v>2199.1</v>
      </c>
      <c r="G1727" s="1" t="s">
        <v>3447</v>
      </c>
      <c r="H1727" s="2">
        <v>1392.42</v>
      </c>
      <c r="I1727" s="2">
        <v>1392.42</v>
      </c>
    </row>
    <row r="1728">
      <c r="A1728" s="1" t="s">
        <v>3448</v>
      </c>
      <c r="B1728" s="2">
        <v>1255.08</v>
      </c>
      <c r="C1728" s="2">
        <v>1255.08</v>
      </c>
      <c r="D1728" s="2">
        <v>2273.9</v>
      </c>
      <c r="E1728" s="2">
        <v>2273.9</v>
      </c>
      <c r="G1728" s="1" t="s">
        <v>3449</v>
      </c>
      <c r="H1728" s="2">
        <v>1455.78</v>
      </c>
      <c r="I1728" s="2">
        <v>1455.78</v>
      </c>
    </row>
    <row r="1729">
      <c r="A1729" s="1" t="s">
        <v>3450</v>
      </c>
      <c r="B1729" s="2" t="s">
        <v>0</v>
      </c>
      <c r="C1729" s="2">
        <v>1255.08</v>
      </c>
      <c r="D1729" s="2" t="s">
        <v>0</v>
      </c>
      <c r="E1729" s="2">
        <v>2273.9</v>
      </c>
      <c r="G1729" s="1" t="s">
        <v>3451</v>
      </c>
      <c r="H1729" s="2" t="s">
        <v>0</v>
      </c>
      <c r="I1729" s="2">
        <v>1455.78</v>
      </c>
    </row>
    <row r="1730">
      <c r="A1730" s="1" t="s">
        <v>3452</v>
      </c>
      <c r="B1730" s="2" t="s">
        <v>0</v>
      </c>
      <c r="C1730" s="2">
        <v>1255.08</v>
      </c>
      <c r="D1730" s="2" t="s">
        <v>0</v>
      </c>
      <c r="E1730" s="2">
        <v>2273.9</v>
      </c>
      <c r="G1730" s="1" t="s">
        <v>3453</v>
      </c>
      <c r="H1730" s="2" t="s">
        <v>0</v>
      </c>
      <c r="I1730" s="2">
        <v>1455.78</v>
      </c>
    </row>
    <row r="1731">
      <c r="A1731" s="1" t="s">
        <v>3454</v>
      </c>
      <c r="B1731" s="2">
        <v>1207.09</v>
      </c>
      <c r="C1731" s="2">
        <v>1207.09</v>
      </c>
      <c r="D1731" s="2">
        <v>2178.98</v>
      </c>
      <c r="E1731" s="2">
        <v>2178.98</v>
      </c>
      <c r="G1731" s="1" t="s">
        <v>3455</v>
      </c>
      <c r="H1731" s="2">
        <v>1460.34</v>
      </c>
      <c r="I1731" s="2">
        <v>1460.34</v>
      </c>
    </row>
    <row r="1732">
      <c r="A1732" s="1" t="s">
        <v>3456</v>
      </c>
      <c r="B1732" s="2">
        <v>1188.22</v>
      </c>
      <c r="C1732" s="2">
        <v>1188.22</v>
      </c>
      <c r="D1732" s="2">
        <v>2153.33</v>
      </c>
      <c r="E1732" s="2">
        <v>2153.33</v>
      </c>
      <c r="G1732" s="1" t="s">
        <v>3457</v>
      </c>
      <c r="H1732" s="2">
        <v>1481.37</v>
      </c>
      <c r="I1732" s="2">
        <v>1481.37</v>
      </c>
    </row>
    <row r="1733">
      <c r="A1733" s="1" t="s">
        <v>3458</v>
      </c>
      <c r="B1733" s="2">
        <v>1185.87</v>
      </c>
      <c r="C1733" s="2">
        <v>1185.87</v>
      </c>
      <c r="D1733" s="2">
        <v>2155.68</v>
      </c>
      <c r="E1733" s="2">
        <v>2155.68</v>
      </c>
      <c r="G1733" s="1" t="s">
        <v>3459</v>
      </c>
      <c r="H1733" s="2">
        <v>1495.98</v>
      </c>
      <c r="I1733" s="2">
        <v>1495.98</v>
      </c>
    </row>
    <row r="1734">
      <c r="A1734" s="1" t="s">
        <v>3460</v>
      </c>
      <c r="B1734" s="2">
        <v>1209.18</v>
      </c>
      <c r="C1734" s="2">
        <v>1209.18</v>
      </c>
      <c r="D1734" s="2">
        <v>2186.57</v>
      </c>
      <c r="E1734" s="2">
        <v>2186.57</v>
      </c>
      <c r="G1734" s="1" t="s">
        <v>3461</v>
      </c>
      <c r="H1734" s="2">
        <v>1501.63</v>
      </c>
      <c r="I1734" s="2">
        <v>1501.63</v>
      </c>
    </row>
    <row r="1735">
      <c r="A1735" s="1" t="s">
        <v>3462</v>
      </c>
      <c r="B1735" s="2">
        <v>1213.27</v>
      </c>
      <c r="C1735" s="2">
        <v>1213.27</v>
      </c>
      <c r="D1735" s="2">
        <v>2183.34</v>
      </c>
      <c r="E1735" s="2">
        <v>2183.34</v>
      </c>
      <c r="G1735" s="1" t="s">
        <v>3463</v>
      </c>
      <c r="H1735" s="2">
        <v>1476.33</v>
      </c>
      <c r="I1735" s="2">
        <v>1476.33</v>
      </c>
    </row>
    <row r="1736">
      <c r="A1736" s="1" t="s">
        <v>3464</v>
      </c>
      <c r="B1736" s="2" t="s">
        <v>0</v>
      </c>
      <c r="C1736" s="2">
        <v>1213.27</v>
      </c>
      <c r="D1736" s="2" t="s">
        <v>0</v>
      </c>
      <c r="E1736" s="2">
        <v>2183.34</v>
      </c>
      <c r="G1736" s="1" t="s">
        <v>3465</v>
      </c>
      <c r="H1736" s="2" t="s">
        <v>0</v>
      </c>
      <c r="I1736" s="2">
        <v>1476.33</v>
      </c>
    </row>
    <row r="1737">
      <c r="A1737" s="1" t="s">
        <v>3466</v>
      </c>
      <c r="B1737" s="2" t="s">
        <v>0</v>
      </c>
      <c r="C1737" s="2">
        <v>1213.27</v>
      </c>
      <c r="D1737" s="2" t="s">
        <v>0</v>
      </c>
      <c r="E1737" s="2">
        <v>2183.34</v>
      </c>
      <c r="G1737" s="1" t="s">
        <v>3467</v>
      </c>
      <c r="H1737" s="2" t="s">
        <v>0</v>
      </c>
      <c r="I1737" s="2">
        <v>1476.33</v>
      </c>
    </row>
    <row r="1738">
      <c r="A1738" s="1" t="s">
        <v>3468</v>
      </c>
      <c r="B1738" s="2">
        <v>1106.42</v>
      </c>
      <c r="C1738" s="2">
        <v>1106.42</v>
      </c>
      <c r="D1738" s="2">
        <v>1983.73</v>
      </c>
      <c r="E1738" s="2">
        <v>1983.73</v>
      </c>
      <c r="G1738" s="1" t="s">
        <v>3469</v>
      </c>
      <c r="H1738" s="2">
        <v>1456.36</v>
      </c>
      <c r="I1738" s="2">
        <v>1456.36</v>
      </c>
    </row>
    <row r="1739">
      <c r="A1739" s="1" t="s">
        <v>3470</v>
      </c>
      <c r="B1739" s="2">
        <v>1164.74</v>
      </c>
      <c r="C1739" s="2">
        <v>1164.74</v>
      </c>
      <c r="D1739" s="2">
        <v>2082.33</v>
      </c>
      <c r="E1739" s="2">
        <v>2082.33</v>
      </c>
      <c r="G1739" s="1" t="s">
        <v>3471</v>
      </c>
      <c r="H1739" s="2">
        <v>1448.06</v>
      </c>
      <c r="I1739" s="2">
        <v>1448.06</v>
      </c>
    </row>
    <row r="1740">
      <c r="A1740" s="1" t="s">
        <v>3472</v>
      </c>
      <c r="B1740" s="2">
        <v>1161.06</v>
      </c>
      <c r="C1740" s="2">
        <v>1161.06</v>
      </c>
      <c r="D1740" s="2">
        <v>2069.4</v>
      </c>
      <c r="E1740" s="2">
        <v>2069.4</v>
      </c>
      <c r="G1740" s="1" t="s">
        <v>3473</v>
      </c>
      <c r="H1740" s="2">
        <v>1439.67</v>
      </c>
      <c r="I1740" s="2">
        <v>1439.67</v>
      </c>
    </row>
    <row r="1741">
      <c r="A1741" s="1" t="s">
        <v>3474</v>
      </c>
      <c r="B1741" s="2">
        <v>1114.28</v>
      </c>
      <c r="C1741" s="2">
        <v>1114.28</v>
      </c>
      <c r="D1741" s="2">
        <v>1976.72</v>
      </c>
      <c r="E1741" s="2">
        <v>1976.72</v>
      </c>
      <c r="G1741" s="1" t="s">
        <v>3475</v>
      </c>
      <c r="H1741" s="2">
        <v>1419.65</v>
      </c>
      <c r="I1741" s="2">
        <v>1419.65</v>
      </c>
    </row>
    <row r="1742">
      <c r="A1742" s="1" t="s">
        <v>3476</v>
      </c>
      <c r="B1742" s="2">
        <v>1099.23</v>
      </c>
      <c r="C1742" s="2">
        <v>1099.23</v>
      </c>
      <c r="D1742" s="2">
        <v>1947.39</v>
      </c>
      <c r="E1742" s="2">
        <v>1947.39</v>
      </c>
      <c r="G1742" s="1" t="s">
        <v>3477</v>
      </c>
      <c r="H1742" s="2" t="s">
        <v>0</v>
      </c>
      <c r="I1742" s="2">
        <v>1419.65</v>
      </c>
    </row>
    <row r="1743">
      <c r="A1743" s="1" t="s">
        <v>3478</v>
      </c>
      <c r="B1743" s="2" t="s">
        <v>0</v>
      </c>
      <c r="C1743" s="2">
        <v>1099.23</v>
      </c>
      <c r="D1743" s="2" t="s">
        <v>0</v>
      </c>
      <c r="E1743" s="2">
        <v>1947.39</v>
      </c>
      <c r="G1743" s="1" t="s">
        <v>3479</v>
      </c>
      <c r="H1743" s="2" t="s">
        <v>0</v>
      </c>
      <c r="I1743" s="2">
        <v>1419.65</v>
      </c>
    </row>
    <row r="1744">
      <c r="A1744" s="1" t="s">
        <v>3480</v>
      </c>
      <c r="B1744" s="2" t="s">
        <v>0</v>
      </c>
      <c r="C1744" s="2">
        <v>1099.23</v>
      </c>
      <c r="D1744" s="2" t="s">
        <v>0</v>
      </c>
      <c r="E1744" s="2">
        <v>1947.39</v>
      </c>
      <c r="G1744" s="1" t="s">
        <v>3481</v>
      </c>
      <c r="H1744" s="2" t="s">
        <v>0</v>
      </c>
      <c r="I1744" s="2">
        <v>1419.65</v>
      </c>
    </row>
    <row r="1745">
      <c r="A1745" s="1" t="s">
        <v>3482</v>
      </c>
      <c r="B1745" s="2">
        <v>1056.89</v>
      </c>
      <c r="C1745" s="2">
        <v>1056.89</v>
      </c>
      <c r="D1745" s="2">
        <v>1862.96</v>
      </c>
      <c r="E1745" s="2">
        <v>1862.96</v>
      </c>
      <c r="G1745" s="1" t="s">
        <v>3483</v>
      </c>
      <c r="H1745" s="2">
        <v>1358.75</v>
      </c>
      <c r="I1745" s="2">
        <v>1358.75</v>
      </c>
    </row>
    <row r="1746">
      <c r="A1746" s="1" t="s">
        <v>3484</v>
      </c>
      <c r="B1746" s="2">
        <v>996.23</v>
      </c>
      <c r="C1746" s="2">
        <v>996.23</v>
      </c>
      <c r="D1746" s="2">
        <v>1754.88</v>
      </c>
      <c r="E1746" s="2">
        <v>1754.88</v>
      </c>
      <c r="G1746" s="1" t="s">
        <v>3485</v>
      </c>
      <c r="H1746" s="2">
        <v>1366.1</v>
      </c>
      <c r="I1746" s="2">
        <v>1366.1</v>
      </c>
    </row>
    <row r="1747">
      <c r="A1747" s="1" t="s">
        <v>3486</v>
      </c>
      <c r="B1747" s="2">
        <v>984.94</v>
      </c>
      <c r="C1747" s="2">
        <v>984.94</v>
      </c>
      <c r="D1747" s="2">
        <v>1740.33</v>
      </c>
      <c r="E1747" s="2">
        <v>1740.33</v>
      </c>
      <c r="G1747" s="1" t="s">
        <v>3487</v>
      </c>
      <c r="H1747" s="2">
        <v>1286.69</v>
      </c>
      <c r="I1747" s="2">
        <v>1286.69</v>
      </c>
    </row>
    <row r="1748">
      <c r="A1748" s="1" t="s">
        <v>3488</v>
      </c>
      <c r="B1748" s="2">
        <v>909.92</v>
      </c>
      <c r="C1748" s="2">
        <v>909.92</v>
      </c>
      <c r="D1748" s="2">
        <v>1645.12</v>
      </c>
      <c r="E1748" s="2">
        <v>1645.12</v>
      </c>
      <c r="G1748" s="1" t="s">
        <v>3489</v>
      </c>
      <c r="H1748" s="2">
        <v>1294.89</v>
      </c>
      <c r="I1748" s="2">
        <v>1294.89</v>
      </c>
    </row>
    <row r="1749">
      <c r="A1749" s="1" t="s">
        <v>3490</v>
      </c>
      <c r="B1749" s="2">
        <v>899.22</v>
      </c>
      <c r="C1749" s="2">
        <v>899.22</v>
      </c>
      <c r="D1749" s="2">
        <v>1649.51</v>
      </c>
      <c r="E1749" s="2">
        <v>1649.51</v>
      </c>
      <c r="G1749" s="1" t="s">
        <v>3491</v>
      </c>
      <c r="H1749" s="2">
        <v>1241.47</v>
      </c>
      <c r="I1749" s="2">
        <v>1241.47</v>
      </c>
    </row>
    <row r="1750">
      <c r="A1750" s="1" t="s">
        <v>3492</v>
      </c>
      <c r="B1750" s="2" t="s">
        <v>0</v>
      </c>
      <c r="C1750" s="2">
        <v>899.22</v>
      </c>
      <c r="D1750" s="2" t="s">
        <v>0</v>
      </c>
      <c r="E1750" s="2">
        <v>1649.51</v>
      </c>
      <c r="G1750" s="1" t="s">
        <v>3493</v>
      </c>
      <c r="H1750" s="2" t="s">
        <v>0</v>
      </c>
      <c r="I1750" s="2">
        <v>1241.47</v>
      </c>
    </row>
    <row r="1751">
      <c r="A1751" s="1" t="s">
        <v>3494</v>
      </c>
      <c r="B1751" s="2" t="s">
        <v>0</v>
      </c>
      <c r="C1751" s="2">
        <v>899.22</v>
      </c>
      <c r="D1751" s="2" t="s">
        <v>0</v>
      </c>
      <c r="E1751" s="2">
        <v>1649.51</v>
      </c>
      <c r="G1751" s="1" t="s">
        <v>3495</v>
      </c>
      <c r="H1751" s="2" t="s">
        <v>0</v>
      </c>
      <c r="I1751" s="2">
        <v>1241.47</v>
      </c>
    </row>
    <row r="1752">
      <c r="A1752" s="1" t="s">
        <v>3496</v>
      </c>
      <c r="B1752" s="2">
        <v>1003.35</v>
      </c>
      <c r="C1752" s="2">
        <v>1003.35</v>
      </c>
      <c r="D1752" s="2">
        <v>1844.25</v>
      </c>
      <c r="E1752" s="2">
        <v>1844.25</v>
      </c>
      <c r="G1752" s="1" t="s">
        <v>3497</v>
      </c>
      <c r="H1752" s="2">
        <v>1288.53</v>
      </c>
      <c r="I1752" s="2">
        <v>1288.53</v>
      </c>
    </row>
    <row r="1753">
      <c r="A1753" s="1" t="s">
        <v>3498</v>
      </c>
      <c r="B1753" s="2">
        <v>998.01</v>
      </c>
      <c r="C1753" s="2">
        <v>998.01</v>
      </c>
      <c r="D1753" s="2">
        <v>1779.01</v>
      </c>
      <c r="E1753" s="2">
        <v>1779.01</v>
      </c>
      <c r="G1753" s="1" t="s">
        <v>3499</v>
      </c>
      <c r="H1753" s="2">
        <v>1367.69</v>
      </c>
      <c r="I1753" s="2">
        <v>1367.69</v>
      </c>
    </row>
    <row r="1754">
      <c r="A1754" s="1" t="s">
        <v>3500</v>
      </c>
      <c r="B1754" s="2">
        <v>907.84</v>
      </c>
      <c r="C1754" s="2">
        <v>907.84</v>
      </c>
      <c r="D1754" s="2">
        <v>1628.33</v>
      </c>
      <c r="E1754" s="2">
        <v>1628.33</v>
      </c>
      <c r="G1754" s="1" t="s">
        <v>3501</v>
      </c>
      <c r="H1754" s="2">
        <v>1340.28</v>
      </c>
      <c r="I1754" s="2">
        <v>1340.28</v>
      </c>
    </row>
    <row r="1755">
      <c r="A1755" s="1" t="s">
        <v>3502</v>
      </c>
      <c r="B1755" s="2">
        <v>946.43</v>
      </c>
      <c r="C1755" s="2">
        <v>946.43</v>
      </c>
      <c r="D1755" s="2">
        <v>1717.71</v>
      </c>
      <c r="E1755" s="2">
        <v>1717.71</v>
      </c>
      <c r="G1755" s="1" t="s">
        <v>3503</v>
      </c>
      <c r="H1755" s="2">
        <v>1213.78</v>
      </c>
      <c r="I1755" s="2">
        <v>1213.78</v>
      </c>
    </row>
    <row r="1756">
      <c r="A1756" s="1" t="s">
        <v>3504</v>
      </c>
      <c r="B1756" s="2">
        <v>940.55</v>
      </c>
      <c r="C1756" s="2">
        <v>940.55</v>
      </c>
      <c r="D1756" s="2">
        <v>1711.29</v>
      </c>
      <c r="E1756" s="2">
        <v>1711.29</v>
      </c>
      <c r="G1756" s="1" t="s">
        <v>3505</v>
      </c>
      <c r="H1756" s="2">
        <v>1180.67</v>
      </c>
      <c r="I1756" s="2">
        <v>1180.67</v>
      </c>
    </row>
    <row r="1757">
      <c r="A1757" s="1" t="s">
        <v>3506</v>
      </c>
      <c r="B1757" s="2" t="s">
        <v>0</v>
      </c>
      <c r="C1757" s="2">
        <v>940.55</v>
      </c>
      <c r="D1757" s="2" t="s">
        <v>0</v>
      </c>
      <c r="E1757" s="2">
        <v>1711.29</v>
      </c>
      <c r="G1757" s="1" t="s">
        <v>3507</v>
      </c>
      <c r="H1757" s="2" t="s">
        <v>0</v>
      </c>
      <c r="I1757" s="2">
        <v>1180.67</v>
      </c>
    </row>
    <row r="1758">
      <c r="A1758" s="1" t="s">
        <v>3508</v>
      </c>
      <c r="B1758" s="2" t="s">
        <v>0</v>
      </c>
      <c r="C1758" s="2">
        <v>940.55</v>
      </c>
      <c r="D1758" s="2" t="s">
        <v>0</v>
      </c>
      <c r="E1758" s="2">
        <v>1711.29</v>
      </c>
      <c r="G1758" s="1" t="s">
        <v>3509</v>
      </c>
      <c r="H1758" s="2" t="s">
        <v>0</v>
      </c>
      <c r="I1758" s="2">
        <v>1180.67</v>
      </c>
    </row>
    <row r="1759">
      <c r="A1759" s="1" t="s">
        <v>3510</v>
      </c>
      <c r="B1759" s="2">
        <v>985.4</v>
      </c>
      <c r="C1759" s="2">
        <v>985.4</v>
      </c>
      <c r="D1759" s="2">
        <v>1770.03</v>
      </c>
      <c r="E1759" s="2">
        <v>1770.03</v>
      </c>
      <c r="G1759" s="1" t="s">
        <v>3511</v>
      </c>
      <c r="H1759" s="2">
        <v>1207.63</v>
      </c>
      <c r="I1759" s="2">
        <v>1207.63</v>
      </c>
    </row>
    <row r="1760">
      <c r="A1760" s="1" t="s">
        <v>3512</v>
      </c>
      <c r="B1760" s="2">
        <v>955.05</v>
      </c>
      <c r="C1760" s="2">
        <v>955.05</v>
      </c>
      <c r="D1760" s="2">
        <v>1696.68</v>
      </c>
      <c r="E1760" s="2">
        <v>1696.68</v>
      </c>
      <c r="G1760" s="1" t="s">
        <v>3513</v>
      </c>
      <c r="H1760" s="2">
        <v>1196.1</v>
      </c>
      <c r="I1760" s="2">
        <v>1196.1</v>
      </c>
    </row>
    <row r="1761">
      <c r="A1761" s="1" t="s">
        <v>3514</v>
      </c>
      <c r="B1761" s="2">
        <v>896.78</v>
      </c>
      <c r="C1761" s="2">
        <v>896.78</v>
      </c>
      <c r="D1761" s="2">
        <v>1615.75</v>
      </c>
      <c r="E1761" s="2">
        <v>1615.75</v>
      </c>
      <c r="G1761" s="1" t="s">
        <v>3515</v>
      </c>
      <c r="H1761" s="2">
        <v>1134.59</v>
      </c>
      <c r="I1761" s="2">
        <v>1134.59</v>
      </c>
    </row>
    <row r="1762">
      <c r="A1762" s="1" t="s">
        <v>3516</v>
      </c>
      <c r="B1762" s="2">
        <v>908.11</v>
      </c>
      <c r="C1762" s="2">
        <v>908.11</v>
      </c>
      <c r="D1762" s="2">
        <v>1603.91</v>
      </c>
      <c r="E1762" s="2">
        <v>1603.91</v>
      </c>
      <c r="G1762" s="1" t="s">
        <v>3517</v>
      </c>
      <c r="H1762" s="2">
        <v>1049.71</v>
      </c>
      <c r="I1762" s="2">
        <v>1049.71</v>
      </c>
    </row>
    <row r="1763">
      <c r="A1763" s="1" t="s">
        <v>3518</v>
      </c>
      <c r="B1763" s="2">
        <v>876.77</v>
      </c>
      <c r="C1763" s="2">
        <v>876.77</v>
      </c>
      <c r="D1763" s="2">
        <v>1552.03</v>
      </c>
      <c r="E1763" s="2">
        <v>1552.03</v>
      </c>
      <c r="G1763" s="1" t="s">
        <v>3519</v>
      </c>
      <c r="H1763" s="2">
        <v>938.75</v>
      </c>
      <c r="I1763" s="2">
        <v>938.75</v>
      </c>
    </row>
    <row r="1764">
      <c r="A1764" s="1" t="s">
        <v>3520</v>
      </c>
      <c r="B1764" s="2" t="s">
        <v>0</v>
      </c>
      <c r="C1764" s="2">
        <v>876.77</v>
      </c>
      <c r="D1764" s="2" t="s">
        <v>0</v>
      </c>
      <c r="E1764" s="2">
        <v>1552.03</v>
      </c>
      <c r="G1764" s="1" t="s">
        <v>3521</v>
      </c>
      <c r="H1764" s="2" t="s">
        <v>0</v>
      </c>
      <c r="I1764" s="2">
        <v>938.75</v>
      </c>
    </row>
    <row r="1765">
      <c r="A1765" s="1" t="s">
        <v>3522</v>
      </c>
      <c r="B1765" s="2" t="s">
        <v>0</v>
      </c>
      <c r="C1765" s="2">
        <v>876.77</v>
      </c>
      <c r="D1765" s="2" t="s">
        <v>0</v>
      </c>
      <c r="E1765" s="2">
        <v>1552.03</v>
      </c>
      <c r="G1765" s="1" t="s">
        <v>3523</v>
      </c>
      <c r="H1765" s="2" t="s">
        <v>0</v>
      </c>
      <c r="I1765" s="2">
        <v>938.75</v>
      </c>
    </row>
    <row r="1766">
      <c r="A1766" s="1" t="s">
        <v>3524</v>
      </c>
      <c r="B1766" s="2">
        <v>848.92</v>
      </c>
      <c r="C1766" s="2">
        <v>848.92</v>
      </c>
      <c r="D1766" s="2">
        <v>1505.9</v>
      </c>
      <c r="E1766" s="2">
        <v>1505.9</v>
      </c>
      <c r="G1766" s="1" t="s">
        <v>3525</v>
      </c>
      <c r="H1766" s="2">
        <v>946.45</v>
      </c>
      <c r="I1766" s="2">
        <v>946.45</v>
      </c>
    </row>
    <row r="1767">
      <c r="A1767" s="1" t="s">
        <v>3526</v>
      </c>
      <c r="B1767" s="2">
        <v>940.51</v>
      </c>
      <c r="C1767" s="2">
        <v>940.51</v>
      </c>
      <c r="D1767" s="2">
        <v>1649.47</v>
      </c>
      <c r="E1767" s="2">
        <v>1649.47</v>
      </c>
      <c r="G1767" s="1" t="s">
        <v>3527</v>
      </c>
      <c r="H1767" s="2">
        <v>999.16</v>
      </c>
      <c r="I1767" s="2">
        <v>999.16</v>
      </c>
    </row>
    <row r="1768">
      <c r="A1768" s="1" t="s">
        <v>3528</v>
      </c>
      <c r="B1768" s="2">
        <v>930.09</v>
      </c>
      <c r="C1768" s="2">
        <v>930.09</v>
      </c>
      <c r="D1768" s="2">
        <v>1657.21</v>
      </c>
      <c r="E1768" s="2">
        <v>1657.21</v>
      </c>
      <c r="G1768" s="1" t="s">
        <v>3529</v>
      </c>
      <c r="H1768" s="2">
        <v>968.97</v>
      </c>
      <c r="I1768" s="2">
        <v>968.97</v>
      </c>
    </row>
    <row r="1769">
      <c r="A1769" s="1" t="s">
        <v>3530</v>
      </c>
      <c r="B1769" s="2">
        <v>954.09</v>
      </c>
      <c r="C1769" s="2">
        <v>954.09</v>
      </c>
      <c r="D1769" s="2">
        <v>1698.52</v>
      </c>
      <c r="E1769" s="2">
        <v>1698.52</v>
      </c>
      <c r="G1769" s="1" t="s">
        <v>3531</v>
      </c>
      <c r="H1769" s="2">
        <v>1084.72</v>
      </c>
      <c r="I1769" s="2">
        <v>1084.72</v>
      </c>
    </row>
    <row r="1770">
      <c r="A1770" s="1" t="s">
        <v>3532</v>
      </c>
      <c r="B1770" s="2">
        <v>968.75</v>
      </c>
      <c r="C1770" s="2">
        <v>968.75</v>
      </c>
      <c r="D1770" s="2">
        <v>1720.95</v>
      </c>
      <c r="E1770" s="2">
        <v>1720.95</v>
      </c>
      <c r="G1770" s="1" t="s">
        <v>3533</v>
      </c>
      <c r="H1770" s="2">
        <v>1113.06</v>
      </c>
      <c r="I1770" s="2">
        <v>1113.06</v>
      </c>
    </row>
    <row r="1771">
      <c r="A1771" s="1" t="s">
        <v>3534</v>
      </c>
      <c r="B1771" s="2" t="s">
        <v>0</v>
      </c>
      <c r="C1771" s="2">
        <v>968.75</v>
      </c>
      <c r="D1771" s="2" t="s">
        <v>0</v>
      </c>
      <c r="E1771" s="2">
        <v>1720.95</v>
      </c>
      <c r="G1771" s="1" t="s">
        <v>3535</v>
      </c>
      <c r="H1771" s="2" t="s">
        <v>0</v>
      </c>
      <c r="I1771" s="2">
        <v>1113.06</v>
      </c>
    </row>
    <row r="1772">
      <c r="A1772" s="1" t="s">
        <v>3536</v>
      </c>
      <c r="B1772" s="2" t="s">
        <v>0</v>
      </c>
      <c r="C1772" s="2">
        <v>968.75</v>
      </c>
      <c r="D1772" s="2" t="s">
        <v>0</v>
      </c>
      <c r="E1772" s="2">
        <v>1720.95</v>
      </c>
      <c r="G1772" s="1" t="s">
        <v>3537</v>
      </c>
      <c r="H1772" s="2" t="s">
        <v>0</v>
      </c>
      <c r="I1772" s="2">
        <v>1113.06</v>
      </c>
    </row>
    <row r="1773">
      <c r="A1773" s="1" t="s">
        <v>3538</v>
      </c>
      <c r="B1773" s="2">
        <v>966.3</v>
      </c>
      <c r="C1773" s="2">
        <v>966.3</v>
      </c>
      <c r="D1773" s="2">
        <v>1726.33</v>
      </c>
      <c r="E1773" s="2">
        <v>1726.33</v>
      </c>
      <c r="G1773" s="1" t="s">
        <v>3539</v>
      </c>
      <c r="H1773" s="2">
        <v>1129.08</v>
      </c>
      <c r="I1773" s="2">
        <v>1129.08</v>
      </c>
    </row>
    <row r="1774">
      <c r="A1774" s="1" t="s">
        <v>3540</v>
      </c>
      <c r="B1774" s="2">
        <v>1005.75</v>
      </c>
      <c r="C1774" s="2">
        <v>1005.75</v>
      </c>
      <c r="D1774" s="2">
        <v>1780.12</v>
      </c>
      <c r="E1774" s="2">
        <v>1780.12</v>
      </c>
      <c r="G1774" s="1" t="s">
        <v>3541</v>
      </c>
      <c r="H1774" s="2">
        <v>1153.35</v>
      </c>
      <c r="I1774" s="2">
        <v>1153.35</v>
      </c>
    </row>
    <row r="1775">
      <c r="A1775" s="1" t="s">
        <v>3542</v>
      </c>
      <c r="B1775" s="2">
        <v>952.77</v>
      </c>
      <c r="C1775" s="2">
        <v>952.77</v>
      </c>
      <c r="D1775" s="2">
        <v>1681.64</v>
      </c>
      <c r="E1775" s="2">
        <v>1681.64</v>
      </c>
      <c r="G1775" s="1" t="s">
        <v>3543</v>
      </c>
      <c r="H1775" s="2">
        <v>1181.5</v>
      </c>
      <c r="I1775" s="2">
        <v>1181.5</v>
      </c>
    </row>
    <row r="1776">
      <c r="A1776" s="1" t="s">
        <v>3544</v>
      </c>
      <c r="B1776" s="2">
        <v>904.88</v>
      </c>
      <c r="C1776" s="2">
        <v>904.88</v>
      </c>
      <c r="D1776" s="2">
        <v>1608.7</v>
      </c>
      <c r="E1776" s="2">
        <v>1608.7</v>
      </c>
      <c r="G1776" s="1" t="s">
        <v>3545</v>
      </c>
      <c r="H1776" s="2">
        <v>1092.22</v>
      </c>
      <c r="I1776" s="2">
        <v>1092.22</v>
      </c>
    </row>
    <row r="1777">
      <c r="A1777" s="1" t="s">
        <v>3546</v>
      </c>
      <c r="B1777" s="2">
        <v>930.99</v>
      </c>
      <c r="C1777" s="2">
        <v>930.99</v>
      </c>
      <c r="D1777" s="2">
        <v>1647.4</v>
      </c>
      <c r="E1777" s="2">
        <v>1647.4</v>
      </c>
      <c r="G1777" s="1" t="s">
        <v>3547</v>
      </c>
      <c r="H1777" s="2">
        <v>1134.49</v>
      </c>
      <c r="I1777" s="2">
        <v>1134.49</v>
      </c>
    </row>
    <row r="1778">
      <c r="A1778" s="1" t="s">
        <v>3548</v>
      </c>
      <c r="B1778" s="2" t="s">
        <v>0</v>
      </c>
      <c r="C1778" s="2">
        <v>930.99</v>
      </c>
      <c r="D1778" s="2" t="s">
        <v>0</v>
      </c>
      <c r="E1778" s="2">
        <v>1647.4</v>
      </c>
      <c r="G1778" s="1" t="s">
        <v>3549</v>
      </c>
      <c r="H1778" s="2" t="s">
        <v>0</v>
      </c>
      <c r="I1778" s="2">
        <v>1134.49</v>
      </c>
    </row>
    <row r="1779">
      <c r="A1779" s="1" t="s">
        <v>3550</v>
      </c>
      <c r="B1779" s="2" t="s">
        <v>0</v>
      </c>
      <c r="C1779" s="2">
        <v>930.99</v>
      </c>
      <c r="D1779" s="2" t="s">
        <v>0</v>
      </c>
      <c r="E1779" s="2">
        <v>1647.4</v>
      </c>
      <c r="G1779" s="1" t="s">
        <v>3551</v>
      </c>
      <c r="H1779" s="2" t="s">
        <v>0</v>
      </c>
      <c r="I1779" s="2">
        <v>1134.49</v>
      </c>
    </row>
    <row r="1780">
      <c r="A1780" s="1" t="s">
        <v>3552</v>
      </c>
      <c r="B1780" s="2">
        <v>919.21</v>
      </c>
      <c r="C1780" s="2">
        <v>919.21</v>
      </c>
      <c r="D1780" s="2">
        <v>1616.74</v>
      </c>
      <c r="E1780" s="2">
        <v>1616.74</v>
      </c>
      <c r="G1780" s="1" t="s">
        <v>3553</v>
      </c>
      <c r="H1780" s="2">
        <v>1152.46</v>
      </c>
      <c r="I1780" s="2">
        <v>1152.46</v>
      </c>
    </row>
    <row r="1781">
      <c r="A1781" s="1" t="s">
        <v>3554</v>
      </c>
      <c r="B1781" s="2">
        <v>898.95</v>
      </c>
      <c r="C1781" s="2">
        <v>898.95</v>
      </c>
      <c r="D1781" s="2">
        <v>1580.9</v>
      </c>
      <c r="E1781" s="2">
        <v>1580.9</v>
      </c>
      <c r="G1781" s="1" t="s">
        <v>3555</v>
      </c>
      <c r="H1781" s="2">
        <v>1128.73</v>
      </c>
      <c r="I1781" s="2">
        <v>1128.73</v>
      </c>
    </row>
    <row r="1782">
      <c r="A1782" s="1" t="s">
        <v>3556</v>
      </c>
      <c r="B1782" s="2">
        <v>852.3</v>
      </c>
      <c r="C1782" s="2">
        <v>852.3</v>
      </c>
      <c r="D1782" s="2">
        <v>1499.21</v>
      </c>
      <c r="E1782" s="2">
        <v>1499.21</v>
      </c>
      <c r="G1782" s="1" t="s">
        <v>3557</v>
      </c>
      <c r="H1782" s="2">
        <v>1123.86</v>
      </c>
      <c r="I1782" s="2">
        <v>1123.86</v>
      </c>
    </row>
    <row r="1783">
      <c r="A1783" s="1" t="s">
        <v>3558</v>
      </c>
      <c r="B1783" s="2">
        <v>911.29</v>
      </c>
      <c r="C1783" s="2">
        <v>911.29</v>
      </c>
      <c r="D1783" s="2">
        <v>1596.7</v>
      </c>
      <c r="E1783" s="2">
        <v>1596.7</v>
      </c>
      <c r="G1783" s="1" t="s">
        <v>3559</v>
      </c>
      <c r="H1783" s="2">
        <v>1088.44</v>
      </c>
      <c r="I1783" s="2">
        <v>1088.44</v>
      </c>
    </row>
    <row r="1784">
      <c r="A1784" s="1" t="s">
        <v>3560</v>
      </c>
      <c r="B1784" s="2">
        <v>873.29</v>
      </c>
      <c r="C1784" s="2">
        <v>873.29</v>
      </c>
      <c r="D1784" s="2">
        <v>1516.85</v>
      </c>
      <c r="E1784" s="2">
        <v>1516.85</v>
      </c>
      <c r="G1784" s="1" t="s">
        <v>3561</v>
      </c>
      <c r="H1784" s="2">
        <v>1088.26</v>
      </c>
      <c r="I1784" s="2">
        <v>1088.26</v>
      </c>
    </row>
    <row r="1785">
      <c r="A1785" s="1" t="s">
        <v>3562</v>
      </c>
      <c r="B1785" s="2" t="s">
        <v>0</v>
      </c>
      <c r="C1785" s="2">
        <v>873.29</v>
      </c>
      <c r="D1785" s="2" t="s">
        <v>0</v>
      </c>
      <c r="E1785" s="2">
        <v>1516.85</v>
      </c>
      <c r="G1785" s="1" t="s">
        <v>3563</v>
      </c>
      <c r="H1785" s="2" t="s">
        <v>0</v>
      </c>
      <c r="I1785" s="2">
        <v>1088.26</v>
      </c>
    </row>
    <row r="1786">
      <c r="A1786" s="1" t="s">
        <v>3564</v>
      </c>
      <c r="B1786" s="2" t="s">
        <v>0</v>
      </c>
      <c r="C1786" s="2">
        <v>873.29</v>
      </c>
      <c r="D1786" s="2" t="s">
        <v>0</v>
      </c>
      <c r="E1786" s="2">
        <v>1516.85</v>
      </c>
      <c r="G1786" s="1" t="s">
        <v>3565</v>
      </c>
      <c r="H1786" s="2" t="s">
        <v>0</v>
      </c>
      <c r="I1786" s="2">
        <v>1088.26</v>
      </c>
    </row>
    <row r="1787">
      <c r="A1787" s="1" t="s">
        <v>3566</v>
      </c>
      <c r="B1787" s="2">
        <v>850.75</v>
      </c>
      <c r="C1787" s="2">
        <v>850.75</v>
      </c>
      <c r="D1787" s="2">
        <v>1482.05</v>
      </c>
      <c r="E1787" s="2">
        <v>1482.05</v>
      </c>
      <c r="G1787" s="1" t="s">
        <v>3567</v>
      </c>
      <c r="H1787" s="2">
        <v>1078.32</v>
      </c>
      <c r="I1787" s="2">
        <v>1078.32</v>
      </c>
    </row>
    <row r="1788">
      <c r="A1788" s="1" t="s">
        <v>3568</v>
      </c>
      <c r="B1788" s="2">
        <v>859.12</v>
      </c>
      <c r="C1788" s="2">
        <v>859.12</v>
      </c>
      <c r="D1788" s="2">
        <v>1483.27</v>
      </c>
      <c r="E1788" s="2">
        <v>1483.27</v>
      </c>
      <c r="G1788" s="1" t="s">
        <v>3569</v>
      </c>
      <c r="H1788" s="2">
        <v>1036.16</v>
      </c>
      <c r="I1788" s="2">
        <v>1036.16</v>
      </c>
    </row>
    <row r="1789">
      <c r="A1789" s="1" t="s">
        <v>3570</v>
      </c>
      <c r="B1789" s="2">
        <v>806.58</v>
      </c>
      <c r="C1789" s="2">
        <v>806.58</v>
      </c>
      <c r="D1789" s="2">
        <v>1386.42</v>
      </c>
      <c r="E1789" s="2">
        <v>1386.42</v>
      </c>
      <c r="G1789" s="1" t="s">
        <v>3571</v>
      </c>
      <c r="H1789" s="2">
        <v>1016.82</v>
      </c>
      <c r="I1789" s="2">
        <v>1016.82</v>
      </c>
    </row>
    <row r="1790">
      <c r="A1790" s="1" t="s">
        <v>3572</v>
      </c>
      <c r="B1790" s="2">
        <v>752.44</v>
      </c>
      <c r="C1790" s="2">
        <v>752.44</v>
      </c>
      <c r="D1790" s="2">
        <v>1316.12</v>
      </c>
      <c r="E1790" s="2">
        <v>1316.12</v>
      </c>
      <c r="G1790" s="1" t="s">
        <v>3573</v>
      </c>
      <c r="H1790" s="2">
        <v>948.69</v>
      </c>
      <c r="I1790" s="2">
        <v>948.69</v>
      </c>
    </row>
    <row r="1791">
      <c r="A1791" s="1" t="s">
        <v>3574</v>
      </c>
      <c r="B1791" s="2">
        <v>800.03</v>
      </c>
      <c r="C1791" s="2">
        <v>800.03</v>
      </c>
      <c r="D1791" s="2">
        <v>1384.35</v>
      </c>
      <c r="E1791" s="2">
        <v>1384.35</v>
      </c>
      <c r="G1791" s="1" t="s">
        <v>3575</v>
      </c>
      <c r="H1791" s="2" t="s">
        <v>0</v>
      </c>
      <c r="I1791" s="2">
        <v>948.69</v>
      </c>
    </row>
    <row r="1792">
      <c r="A1792" s="1" t="s">
        <v>3576</v>
      </c>
      <c r="B1792" s="2" t="s">
        <v>0</v>
      </c>
      <c r="C1792" s="2">
        <v>800.03</v>
      </c>
      <c r="D1792" s="2" t="s">
        <v>0</v>
      </c>
      <c r="E1792" s="2">
        <v>1384.35</v>
      </c>
      <c r="G1792" s="1" t="s">
        <v>3577</v>
      </c>
      <c r="H1792" s="2" t="s">
        <v>0</v>
      </c>
      <c r="I1792" s="2">
        <v>948.69</v>
      </c>
    </row>
    <row r="1793">
      <c r="A1793" s="1" t="s">
        <v>3578</v>
      </c>
      <c r="B1793" s="2" t="s">
        <v>0</v>
      </c>
      <c r="C1793" s="2">
        <v>800.03</v>
      </c>
      <c r="D1793" s="2" t="s">
        <v>0</v>
      </c>
      <c r="E1793" s="2">
        <v>1384.35</v>
      </c>
      <c r="G1793" s="1" t="s">
        <v>3579</v>
      </c>
      <c r="H1793" s="2" t="s">
        <v>0</v>
      </c>
      <c r="I1793" s="2">
        <v>948.69</v>
      </c>
    </row>
    <row r="1794">
      <c r="A1794" s="1" t="s">
        <v>3580</v>
      </c>
      <c r="B1794" s="2">
        <v>851.81</v>
      </c>
      <c r="C1794" s="2">
        <v>851.81</v>
      </c>
      <c r="D1794" s="2">
        <v>1472.02</v>
      </c>
      <c r="E1794" s="2">
        <v>1472.02</v>
      </c>
      <c r="G1794" s="1" t="s">
        <v>3581</v>
      </c>
      <c r="H1794" s="2" t="s">
        <v>0</v>
      </c>
      <c r="I1794" s="2">
        <v>948.69</v>
      </c>
    </row>
    <row r="1795">
      <c r="A1795" s="1" t="s">
        <v>3582</v>
      </c>
      <c r="B1795" s="2">
        <v>857.39</v>
      </c>
      <c r="C1795" s="2">
        <v>857.39</v>
      </c>
      <c r="D1795" s="2">
        <v>1464.73</v>
      </c>
      <c r="E1795" s="2">
        <v>1464.73</v>
      </c>
      <c r="G1795" s="1" t="s">
        <v>3583</v>
      </c>
      <c r="H1795" s="2" t="s">
        <v>0</v>
      </c>
      <c r="I1795" s="2">
        <v>948.69</v>
      </c>
    </row>
    <row r="1796">
      <c r="A1796" s="1" t="s">
        <v>3584</v>
      </c>
      <c r="B1796" s="2">
        <v>887.68</v>
      </c>
      <c r="C1796" s="2">
        <v>887.68</v>
      </c>
      <c r="D1796" s="2">
        <v>1532.1</v>
      </c>
      <c r="E1796" s="2">
        <v>1532.1</v>
      </c>
      <c r="G1796" s="1" t="s">
        <v>3585</v>
      </c>
      <c r="H1796" s="2" t="s">
        <v>0</v>
      </c>
      <c r="I1796" s="2">
        <v>948.69</v>
      </c>
    </row>
    <row r="1797">
      <c r="A1797" s="1" t="s">
        <v>3586</v>
      </c>
      <c r="B1797" s="2" t="s">
        <v>0</v>
      </c>
      <c r="C1797" s="2">
        <v>887.68</v>
      </c>
      <c r="D1797" s="2" t="s">
        <v>0</v>
      </c>
      <c r="E1797" s="2">
        <v>1532.1</v>
      </c>
      <c r="G1797" s="1" t="s">
        <v>3587</v>
      </c>
      <c r="H1797" s="2" t="s">
        <v>0</v>
      </c>
      <c r="I1797" s="2">
        <v>948.69</v>
      </c>
    </row>
    <row r="1798">
      <c r="A1798" s="1" t="s">
        <v>3588</v>
      </c>
      <c r="B1798" s="2">
        <v>896.24</v>
      </c>
      <c r="C1798" s="2">
        <v>896.24</v>
      </c>
      <c r="D1798" s="2">
        <v>1535.57</v>
      </c>
      <c r="E1798" s="2">
        <v>1535.57</v>
      </c>
      <c r="G1798" s="1" t="s">
        <v>3589</v>
      </c>
      <c r="H1798" s="2" t="s">
        <v>0</v>
      </c>
      <c r="I1798" s="2">
        <v>948.69</v>
      </c>
    </row>
    <row r="1799">
      <c r="A1799" s="1" t="s">
        <v>3590</v>
      </c>
      <c r="B1799" s="2" t="s">
        <v>0</v>
      </c>
      <c r="C1799" s="2">
        <v>896.24</v>
      </c>
      <c r="D1799" s="2" t="s">
        <v>0</v>
      </c>
      <c r="E1799" s="2">
        <v>1535.57</v>
      </c>
      <c r="G1799" s="1" t="s">
        <v>3591</v>
      </c>
      <c r="H1799" s="2" t="s">
        <v>0</v>
      </c>
      <c r="I1799" s="2">
        <v>948.69</v>
      </c>
    </row>
    <row r="1800">
      <c r="A1800" s="1" t="s">
        <v>3592</v>
      </c>
      <c r="B1800" s="2" t="s">
        <v>0</v>
      </c>
      <c r="C1800" s="2">
        <v>896.24</v>
      </c>
      <c r="D1800" s="2" t="s">
        <v>0</v>
      </c>
      <c r="E1800" s="2">
        <v>1535.57</v>
      </c>
      <c r="G1800" s="1" t="s">
        <v>3593</v>
      </c>
      <c r="H1800" s="2" t="s">
        <v>0</v>
      </c>
      <c r="I1800" s="2">
        <v>948.69</v>
      </c>
    </row>
    <row r="1801">
      <c r="A1801" s="1" t="s">
        <v>3594</v>
      </c>
      <c r="B1801" s="2">
        <v>816.21</v>
      </c>
      <c r="C1801" s="2">
        <v>816.21</v>
      </c>
      <c r="D1801" s="2">
        <v>1398.07</v>
      </c>
      <c r="E1801" s="2">
        <v>1398.07</v>
      </c>
      <c r="G1801" s="1" t="s">
        <v>3595</v>
      </c>
      <c r="H1801" s="2" t="s">
        <v>0</v>
      </c>
      <c r="I1801" s="2">
        <v>948.69</v>
      </c>
    </row>
    <row r="1802">
      <c r="A1802" s="1" t="s">
        <v>3596</v>
      </c>
      <c r="B1802" s="2">
        <v>848.81</v>
      </c>
      <c r="C1802" s="2">
        <v>848.81</v>
      </c>
      <c r="D1802" s="2">
        <v>1449.8</v>
      </c>
      <c r="E1802" s="2">
        <v>1449.8</v>
      </c>
      <c r="G1802" s="1" t="s">
        <v>3597</v>
      </c>
      <c r="H1802" s="2">
        <v>1023.2</v>
      </c>
      <c r="I1802" s="2">
        <v>1023.2</v>
      </c>
    </row>
    <row r="1803">
      <c r="A1803" s="1" t="s">
        <v>3598</v>
      </c>
      <c r="B1803" s="2">
        <v>870.74</v>
      </c>
      <c r="C1803" s="2">
        <v>870.74</v>
      </c>
      <c r="D1803" s="2">
        <v>1492.38</v>
      </c>
      <c r="E1803" s="2">
        <v>1492.38</v>
      </c>
      <c r="G1803" s="1" t="s">
        <v>3599</v>
      </c>
      <c r="H1803" s="2">
        <v>1022.67</v>
      </c>
      <c r="I1803" s="2">
        <v>1022.67</v>
      </c>
    </row>
    <row r="1804">
      <c r="A1804" s="1" t="s">
        <v>3600</v>
      </c>
      <c r="B1804" s="2">
        <v>845.22</v>
      </c>
      <c r="C1804" s="2">
        <v>845.22</v>
      </c>
      <c r="D1804" s="2">
        <v>1445.56</v>
      </c>
      <c r="E1804" s="2">
        <v>1445.56</v>
      </c>
      <c r="G1804" s="1" t="s">
        <v>3601</v>
      </c>
      <c r="H1804" s="2">
        <v>1006.54</v>
      </c>
      <c r="I1804" s="2">
        <v>1006.54</v>
      </c>
    </row>
    <row r="1805">
      <c r="A1805" s="1" t="s">
        <v>3602</v>
      </c>
      <c r="B1805" s="2">
        <v>876.07</v>
      </c>
      <c r="C1805" s="2">
        <v>876.07</v>
      </c>
      <c r="D1805" s="2">
        <v>1509.31</v>
      </c>
      <c r="E1805" s="2">
        <v>1509.31</v>
      </c>
      <c r="G1805" s="1" t="s">
        <v>3603</v>
      </c>
      <c r="H1805" s="2">
        <v>1028.13</v>
      </c>
      <c r="I1805" s="2">
        <v>1028.13</v>
      </c>
    </row>
    <row r="1806">
      <c r="A1806" s="1" t="s">
        <v>3604</v>
      </c>
      <c r="B1806" s="2" t="s">
        <v>0</v>
      </c>
      <c r="C1806" s="2">
        <v>876.07</v>
      </c>
      <c r="D1806" s="2" t="s">
        <v>0</v>
      </c>
      <c r="E1806" s="2">
        <v>1509.31</v>
      </c>
      <c r="G1806" s="1" t="s">
        <v>3605</v>
      </c>
      <c r="H1806" s="2" t="s">
        <v>0</v>
      </c>
      <c r="I1806" s="2">
        <v>1028.13</v>
      </c>
    </row>
    <row r="1807">
      <c r="A1807" s="1" t="s">
        <v>3606</v>
      </c>
      <c r="B1807" s="2" t="s">
        <v>0</v>
      </c>
      <c r="C1807" s="2">
        <v>876.07</v>
      </c>
      <c r="D1807" s="2" t="s">
        <v>0</v>
      </c>
      <c r="E1807" s="2">
        <v>1509.31</v>
      </c>
      <c r="G1807" s="1" t="s">
        <v>3607</v>
      </c>
      <c r="H1807" s="2" t="s">
        <v>0</v>
      </c>
      <c r="I1807" s="2">
        <v>1028.13</v>
      </c>
    </row>
    <row r="1808">
      <c r="A1808" s="1" t="s">
        <v>3608</v>
      </c>
      <c r="B1808" s="2">
        <v>909.7</v>
      </c>
      <c r="C1808" s="2">
        <v>909.7</v>
      </c>
      <c r="D1808" s="2">
        <v>1571.74</v>
      </c>
      <c r="E1808" s="2">
        <v>1571.74</v>
      </c>
      <c r="G1808" s="1" t="s">
        <v>3609</v>
      </c>
      <c r="H1808" s="2">
        <v>1105.05</v>
      </c>
      <c r="I1808" s="2">
        <v>1105.05</v>
      </c>
    </row>
    <row r="1809">
      <c r="A1809" s="1" t="s">
        <v>3610</v>
      </c>
      <c r="B1809" s="2">
        <v>888.67</v>
      </c>
      <c r="C1809" s="2">
        <v>888.67</v>
      </c>
      <c r="D1809" s="2">
        <v>1547.34</v>
      </c>
      <c r="E1809" s="2">
        <v>1547.34</v>
      </c>
      <c r="G1809" s="1" t="s">
        <v>3611</v>
      </c>
      <c r="H1809" s="2">
        <v>1105.84</v>
      </c>
      <c r="I1809" s="2">
        <v>1105.84</v>
      </c>
    </row>
    <row r="1810">
      <c r="A1810" s="1" t="s">
        <v>3612</v>
      </c>
      <c r="B1810" s="2">
        <v>899.24</v>
      </c>
      <c r="C1810" s="2">
        <v>899.24</v>
      </c>
      <c r="D1810" s="2">
        <v>1565.48</v>
      </c>
      <c r="E1810" s="2">
        <v>1565.48</v>
      </c>
      <c r="G1810" s="1" t="s">
        <v>3613</v>
      </c>
      <c r="H1810" s="2" t="s">
        <v>0</v>
      </c>
      <c r="I1810" s="2">
        <v>1105.84</v>
      </c>
    </row>
    <row r="1811">
      <c r="A1811" s="1" t="s">
        <v>3614</v>
      </c>
      <c r="B1811" s="2">
        <v>873.59</v>
      </c>
      <c r="C1811" s="2">
        <v>873.59</v>
      </c>
      <c r="D1811" s="2">
        <v>1507.88</v>
      </c>
      <c r="E1811" s="2">
        <v>1507.88</v>
      </c>
      <c r="G1811" s="1" t="s">
        <v>3615</v>
      </c>
      <c r="H1811" s="2" t="s">
        <v>0</v>
      </c>
      <c r="I1811" s="2">
        <v>1105.84</v>
      </c>
    </row>
    <row r="1812">
      <c r="A1812" s="1" t="s">
        <v>3616</v>
      </c>
      <c r="B1812" s="2">
        <v>879.73</v>
      </c>
      <c r="C1812" s="2">
        <v>879.73</v>
      </c>
      <c r="D1812" s="2">
        <v>1540.72</v>
      </c>
      <c r="E1812" s="2">
        <v>1540.72</v>
      </c>
      <c r="G1812" s="1" t="s">
        <v>3617</v>
      </c>
      <c r="H1812" s="2" t="s">
        <v>0</v>
      </c>
      <c r="I1812" s="2">
        <v>1105.84</v>
      </c>
    </row>
    <row r="1813">
      <c r="A1813" s="1" t="s">
        <v>3618</v>
      </c>
      <c r="B1813" s="2" t="s">
        <v>0</v>
      </c>
      <c r="C1813" s="2">
        <v>879.73</v>
      </c>
      <c r="D1813" s="2" t="s">
        <v>0</v>
      </c>
      <c r="E1813" s="2">
        <v>1540.72</v>
      </c>
      <c r="G1813" s="1" t="s">
        <v>3619</v>
      </c>
      <c r="H1813" s="2" t="s">
        <v>0</v>
      </c>
      <c r="I1813" s="2">
        <v>1105.84</v>
      </c>
    </row>
    <row r="1814">
      <c r="A1814" s="1" t="s">
        <v>3620</v>
      </c>
      <c r="B1814" s="2" t="s">
        <v>0</v>
      </c>
      <c r="C1814" s="2">
        <v>879.73</v>
      </c>
      <c r="D1814" s="2" t="s">
        <v>0</v>
      </c>
      <c r="E1814" s="2">
        <v>1540.72</v>
      </c>
      <c r="G1814" s="1" t="s">
        <v>3621</v>
      </c>
      <c r="H1814" s="2" t="s">
        <v>0</v>
      </c>
      <c r="I1814" s="2">
        <v>1105.84</v>
      </c>
    </row>
    <row r="1815">
      <c r="A1815" s="1" t="s">
        <v>3622</v>
      </c>
      <c r="B1815" s="2">
        <v>868.57</v>
      </c>
      <c r="C1815" s="2">
        <v>868.57</v>
      </c>
      <c r="D1815" s="2">
        <v>1508.34</v>
      </c>
      <c r="E1815" s="2">
        <v>1508.34</v>
      </c>
      <c r="G1815" s="1" t="s">
        <v>3623</v>
      </c>
      <c r="H1815" s="2" t="s">
        <v>0</v>
      </c>
      <c r="I1815" s="2">
        <v>1105.84</v>
      </c>
    </row>
    <row r="1816">
      <c r="A1816" s="1" t="s">
        <v>3624</v>
      </c>
      <c r="B1816" s="2">
        <v>913.18</v>
      </c>
      <c r="C1816" s="2">
        <v>913.18</v>
      </c>
      <c r="D1816" s="2">
        <v>1589.89</v>
      </c>
      <c r="E1816" s="2">
        <v>1589.89</v>
      </c>
      <c r="G1816" s="1" t="s">
        <v>3625</v>
      </c>
      <c r="H1816" s="2">
        <v>1161.56</v>
      </c>
      <c r="I1816" s="2">
        <v>1161.56</v>
      </c>
    </row>
    <row r="1817">
      <c r="A1817" s="1" t="s">
        <v>3626</v>
      </c>
      <c r="B1817" s="2">
        <v>904.42</v>
      </c>
      <c r="C1817" s="2">
        <v>904.42</v>
      </c>
      <c r="D1817" s="2">
        <v>1579.31</v>
      </c>
      <c r="E1817" s="2">
        <v>1579.31</v>
      </c>
      <c r="G1817" s="1" t="s">
        <v>3627</v>
      </c>
      <c r="H1817" s="2" t="s">
        <v>0</v>
      </c>
      <c r="I1817" s="2">
        <v>1161.56</v>
      </c>
    </row>
    <row r="1818">
      <c r="A1818" s="1" t="s">
        <v>3628</v>
      </c>
      <c r="B1818" s="2">
        <v>885.28</v>
      </c>
      <c r="C1818" s="2">
        <v>885.28</v>
      </c>
      <c r="D1818" s="2">
        <v>1552.37</v>
      </c>
      <c r="E1818" s="2">
        <v>1552.37</v>
      </c>
      <c r="G1818" s="1" t="s">
        <v>3629</v>
      </c>
      <c r="H1818" s="2" t="s">
        <v>0</v>
      </c>
      <c r="I1818" s="2">
        <v>1161.56</v>
      </c>
    </row>
    <row r="1819">
      <c r="A1819" s="1" t="s">
        <v>3630</v>
      </c>
      <c r="B1819" s="2">
        <v>887.88</v>
      </c>
      <c r="C1819" s="2">
        <v>887.88</v>
      </c>
      <c r="D1819" s="2">
        <v>1564.32</v>
      </c>
      <c r="E1819" s="2">
        <v>1564.32</v>
      </c>
      <c r="G1819" s="1" t="s">
        <v>3631</v>
      </c>
      <c r="H1819" s="2">
        <v>1180.97</v>
      </c>
      <c r="I1819" s="2">
        <v>1180.97</v>
      </c>
    </row>
    <row r="1820">
      <c r="A1820" s="1" t="s">
        <v>3632</v>
      </c>
      <c r="B1820" s="2" t="s">
        <v>0</v>
      </c>
      <c r="C1820" s="2">
        <v>887.88</v>
      </c>
      <c r="D1820" s="2" t="s">
        <v>0</v>
      </c>
      <c r="E1820" s="2">
        <v>1564.32</v>
      </c>
      <c r="G1820" s="1" t="s">
        <v>3633</v>
      </c>
      <c r="H1820" s="2" t="s">
        <v>0</v>
      </c>
      <c r="I1820" s="2">
        <v>1180.97</v>
      </c>
    </row>
    <row r="1821">
      <c r="A1821" s="1" t="s">
        <v>3634</v>
      </c>
      <c r="B1821" s="2" t="s">
        <v>0</v>
      </c>
      <c r="C1821" s="2">
        <v>887.88</v>
      </c>
      <c r="D1821" s="2" t="s">
        <v>0</v>
      </c>
      <c r="E1821" s="2">
        <v>1564.32</v>
      </c>
      <c r="G1821" s="1" t="s">
        <v>3635</v>
      </c>
      <c r="H1821" s="2" t="s">
        <v>0</v>
      </c>
      <c r="I1821" s="2">
        <v>1180.97</v>
      </c>
    </row>
    <row r="1822">
      <c r="A1822" s="1" t="s">
        <v>3636</v>
      </c>
      <c r="B1822" s="2">
        <v>871.63</v>
      </c>
      <c r="C1822" s="2">
        <v>871.63</v>
      </c>
      <c r="D1822" s="2">
        <v>1532.35</v>
      </c>
      <c r="E1822" s="2">
        <v>1532.35</v>
      </c>
      <c r="G1822" s="1" t="s">
        <v>3637</v>
      </c>
      <c r="H1822" s="2" t="s">
        <v>0</v>
      </c>
      <c r="I1822" s="2">
        <v>1180.97</v>
      </c>
    </row>
    <row r="1823">
      <c r="A1823" s="1" t="s">
        <v>3638</v>
      </c>
      <c r="B1823" s="2">
        <v>863.16</v>
      </c>
      <c r="C1823" s="2">
        <v>863.16</v>
      </c>
      <c r="D1823" s="2">
        <v>1521.54</v>
      </c>
      <c r="E1823" s="2">
        <v>1521.54</v>
      </c>
      <c r="G1823" s="1" t="s">
        <v>3639</v>
      </c>
      <c r="H1823" s="2" t="s">
        <v>0</v>
      </c>
      <c r="I1823" s="2">
        <v>1180.97</v>
      </c>
    </row>
    <row r="1824">
      <c r="A1824" s="1" t="s">
        <v>3640</v>
      </c>
      <c r="B1824" s="2">
        <v>868.15</v>
      </c>
      <c r="C1824" s="2">
        <v>868.15</v>
      </c>
      <c r="D1824" s="2">
        <v>1524.9</v>
      </c>
      <c r="E1824" s="2">
        <v>1524.9</v>
      </c>
      <c r="G1824" s="1" t="s">
        <v>3641</v>
      </c>
      <c r="H1824" s="2" t="s">
        <v>0</v>
      </c>
      <c r="I1824" s="2">
        <v>1180.97</v>
      </c>
    </row>
    <row r="1825">
      <c r="A1825" s="1" t="s">
        <v>3642</v>
      </c>
      <c r="B1825" s="2" t="s">
        <v>0</v>
      </c>
      <c r="C1825" s="2">
        <v>868.15</v>
      </c>
      <c r="D1825" s="2" t="s">
        <v>0</v>
      </c>
      <c r="E1825" s="2">
        <v>1524.9</v>
      </c>
      <c r="G1825" s="1" t="s">
        <v>3643</v>
      </c>
      <c r="H1825" s="2" t="s">
        <v>0</v>
      </c>
      <c r="I1825" s="2">
        <v>1180.97</v>
      </c>
    </row>
    <row r="1826">
      <c r="A1826" s="1" t="s">
        <v>3644</v>
      </c>
      <c r="B1826" s="2">
        <v>872.8</v>
      </c>
      <c r="C1826" s="2">
        <v>872.8</v>
      </c>
      <c r="D1826" s="2">
        <v>1530.24</v>
      </c>
      <c r="E1826" s="2">
        <v>1530.24</v>
      </c>
      <c r="G1826" s="1" t="s">
        <v>3645</v>
      </c>
      <c r="H1826" s="2" t="s">
        <v>0</v>
      </c>
      <c r="I1826" s="2">
        <v>1180.97</v>
      </c>
    </row>
    <row r="1827">
      <c r="A1827" s="1" t="s">
        <v>3646</v>
      </c>
      <c r="B1827" s="2" t="s">
        <v>0</v>
      </c>
      <c r="C1827" s="2">
        <v>872.8</v>
      </c>
      <c r="D1827" s="2" t="s">
        <v>0</v>
      </c>
      <c r="E1827" s="2">
        <v>1530.24</v>
      </c>
      <c r="G1827" s="1" t="s">
        <v>3647</v>
      </c>
      <c r="H1827" s="2" t="s">
        <v>0</v>
      </c>
      <c r="I1827" s="2">
        <v>1180.97</v>
      </c>
    </row>
    <row r="1828">
      <c r="A1828" s="1" t="s">
        <v>3648</v>
      </c>
      <c r="B1828" s="2" t="s">
        <v>0</v>
      </c>
      <c r="C1828" s="2">
        <v>872.8</v>
      </c>
      <c r="D1828" s="2" t="s">
        <v>0</v>
      </c>
      <c r="E1828" s="2">
        <v>1530.24</v>
      </c>
      <c r="G1828" s="1" t="s">
        <v>3649</v>
      </c>
      <c r="H1828" s="2" t="s">
        <v>0</v>
      </c>
      <c r="I1828" s="2">
        <v>1180.97</v>
      </c>
    </row>
    <row r="1829">
      <c r="A1829" s="1" t="s">
        <v>3650</v>
      </c>
      <c r="B1829" s="2">
        <v>869.42</v>
      </c>
      <c r="C1829" s="2">
        <v>869.42</v>
      </c>
      <c r="D1829" s="2">
        <v>1510.32</v>
      </c>
      <c r="E1829" s="2">
        <v>1510.32</v>
      </c>
      <c r="G1829" s="1" t="s">
        <v>3651</v>
      </c>
      <c r="H1829" s="2" t="s">
        <v>0</v>
      </c>
      <c r="I1829" s="2">
        <v>1180.97</v>
      </c>
    </row>
    <row r="1830">
      <c r="A1830" s="1" t="s">
        <v>3652</v>
      </c>
      <c r="B1830" s="2">
        <v>890.64</v>
      </c>
      <c r="C1830" s="2">
        <v>890.64</v>
      </c>
      <c r="D1830" s="2">
        <v>1550.7</v>
      </c>
      <c r="E1830" s="2">
        <v>1550.7</v>
      </c>
      <c r="G1830" s="1" t="s">
        <v>3653</v>
      </c>
      <c r="H1830" s="2" t="s">
        <v>0</v>
      </c>
      <c r="I1830" s="2">
        <v>1180.97</v>
      </c>
    </row>
    <row r="1831">
      <c r="A1831" s="1" t="s">
        <v>3654</v>
      </c>
      <c r="B1831" s="2">
        <v>903.25</v>
      </c>
      <c r="C1831" s="2">
        <v>903.25</v>
      </c>
      <c r="D1831" s="2">
        <v>1577.03</v>
      </c>
      <c r="E1831" s="2">
        <v>1577.03</v>
      </c>
      <c r="G1831" s="1" t="s">
        <v>3655</v>
      </c>
      <c r="H1831" s="2">
        <v>1124.47</v>
      </c>
      <c r="I1831" s="2">
        <v>1124.47</v>
      </c>
    </row>
    <row r="1832">
      <c r="A1832" s="1" t="s">
        <v>3656</v>
      </c>
      <c r="B1832" s="2" t="s">
        <v>0</v>
      </c>
      <c r="C1832" s="2">
        <v>903.25</v>
      </c>
      <c r="D1832" s="2" t="s">
        <v>0</v>
      </c>
      <c r="E1832" s="2">
        <v>1577.03</v>
      </c>
      <c r="G1832" s="1" t="s">
        <v>3657</v>
      </c>
      <c r="H1832" s="2" t="s">
        <v>0</v>
      </c>
      <c r="I1832" s="2">
        <v>1124.47</v>
      </c>
    </row>
    <row r="1833">
      <c r="A1833" s="1" t="s">
        <v>3658</v>
      </c>
      <c r="B1833" s="2">
        <v>931.8</v>
      </c>
      <c r="C1833" s="2">
        <v>931.8</v>
      </c>
      <c r="D1833" s="2">
        <v>1632.21</v>
      </c>
      <c r="E1833" s="2">
        <v>1632.21</v>
      </c>
      <c r="G1833" s="1" t="s">
        <v>3659</v>
      </c>
      <c r="H1833" s="2" t="s">
        <v>0</v>
      </c>
      <c r="I1833" s="2">
        <v>1124.47</v>
      </c>
    </row>
    <row r="1834">
      <c r="A1834" s="1" t="s">
        <v>3660</v>
      </c>
      <c r="B1834" s="2" t="s">
        <v>0</v>
      </c>
      <c r="C1834" s="2">
        <v>931.8</v>
      </c>
      <c r="D1834" s="2" t="s">
        <v>0</v>
      </c>
      <c r="E1834" s="2">
        <v>1632.21</v>
      </c>
      <c r="G1834" s="1" t="s">
        <v>3661</v>
      </c>
      <c r="H1834" s="2" t="s">
        <v>0</v>
      </c>
      <c r="I1834" s="2">
        <v>1124.47</v>
      </c>
    </row>
    <row r="1835">
      <c r="A1835" s="1" t="s">
        <v>3662</v>
      </c>
      <c r="B1835" s="2" t="s">
        <v>0</v>
      </c>
      <c r="C1835" s="2">
        <v>931.8</v>
      </c>
      <c r="D1835" s="2" t="s">
        <v>0</v>
      </c>
      <c r="E1835" s="2">
        <v>1632.21</v>
      </c>
      <c r="G1835" s="1" t="s">
        <v>3663</v>
      </c>
      <c r="H1835" s="2" t="s">
        <v>0</v>
      </c>
      <c r="I1835" s="2">
        <v>1124.47</v>
      </c>
    </row>
    <row r="1836">
      <c r="A1836" s="1" t="s">
        <v>3664</v>
      </c>
      <c r="B1836" s="2">
        <v>927.45</v>
      </c>
      <c r="C1836" s="2">
        <v>927.45</v>
      </c>
      <c r="D1836" s="2">
        <v>1628.03</v>
      </c>
      <c r="E1836" s="2">
        <v>1628.03</v>
      </c>
      <c r="G1836" s="1" t="s">
        <v>3665</v>
      </c>
      <c r="H1836" s="2" t="s">
        <v>0</v>
      </c>
      <c r="I1836" s="2">
        <v>1124.47</v>
      </c>
    </row>
    <row r="1837">
      <c r="A1837" s="1" t="s">
        <v>3666</v>
      </c>
      <c r="B1837" s="2">
        <v>934.7</v>
      </c>
      <c r="C1837" s="2">
        <v>934.7</v>
      </c>
      <c r="D1837" s="2">
        <v>1652.38</v>
      </c>
      <c r="E1837" s="2">
        <v>1652.38</v>
      </c>
      <c r="G1837" s="1" t="s">
        <v>3667</v>
      </c>
      <c r="H1837" s="2" t="s">
        <v>0</v>
      </c>
      <c r="I1837" s="2">
        <v>1124.47</v>
      </c>
    </row>
    <row r="1838">
      <c r="A1838" s="1" t="s">
        <v>3668</v>
      </c>
      <c r="B1838" s="2">
        <v>906.65</v>
      </c>
      <c r="C1838" s="2">
        <v>906.65</v>
      </c>
      <c r="D1838" s="2">
        <v>1599.06</v>
      </c>
      <c r="E1838" s="2">
        <v>1599.06</v>
      </c>
      <c r="G1838" s="1" t="s">
        <v>3669</v>
      </c>
      <c r="H1838" s="2">
        <v>1228.17</v>
      </c>
      <c r="I1838" s="2">
        <v>1228.17</v>
      </c>
    </row>
    <row r="1839">
      <c r="A1839" s="1" t="s">
        <v>3670</v>
      </c>
      <c r="B1839" s="2">
        <v>909.73</v>
      </c>
      <c r="C1839" s="2">
        <v>909.73</v>
      </c>
      <c r="D1839" s="2">
        <v>1617.01</v>
      </c>
      <c r="E1839" s="2">
        <v>1617.01</v>
      </c>
      <c r="G1839" s="1" t="s">
        <v>3671</v>
      </c>
      <c r="H1839" s="2">
        <v>1205.7</v>
      </c>
      <c r="I1839" s="2">
        <v>1205.7</v>
      </c>
    </row>
    <row r="1840">
      <c r="A1840" s="1" t="s">
        <v>3672</v>
      </c>
      <c r="B1840" s="2">
        <v>890.35</v>
      </c>
      <c r="C1840" s="2">
        <v>890.35</v>
      </c>
      <c r="D1840" s="2">
        <v>1571.59</v>
      </c>
      <c r="E1840" s="2">
        <v>1571.59</v>
      </c>
      <c r="G1840" s="1" t="s">
        <v>3673</v>
      </c>
      <c r="H1840" s="2">
        <v>1180.96</v>
      </c>
      <c r="I1840" s="2">
        <v>1180.96</v>
      </c>
    </row>
    <row r="1841">
      <c r="A1841" s="1" t="s">
        <v>3674</v>
      </c>
      <c r="B1841" s="2" t="s">
        <v>0</v>
      </c>
      <c r="C1841" s="2">
        <v>890.35</v>
      </c>
      <c r="D1841" s="2" t="s">
        <v>0</v>
      </c>
      <c r="E1841" s="2">
        <v>1571.59</v>
      </c>
      <c r="G1841" s="1" t="s">
        <v>3675</v>
      </c>
      <c r="H1841" s="2" t="s">
        <v>0</v>
      </c>
      <c r="I1841" s="2">
        <v>1180.96</v>
      </c>
    </row>
    <row r="1842">
      <c r="A1842" s="1" t="s">
        <v>3676</v>
      </c>
      <c r="B1842" s="2" t="s">
        <v>0</v>
      </c>
      <c r="C1842" s="2">
        <v>890.35</v>
      </c>
      <c r="D1842" s="2" t="s">
        <v>0</v>
      </c>
      <c r="E1842" s="2">
        <v>1571.59</v>
      </c>
      <c r="G1842" s="1" t="s">
        <v>3677</v>
      </c>
      <c r="H1842" s="2" t="s">
        <v>0</v>
      </c>
      <c r="I1842" s="2">
        <v>1180.96</v>
      </c>
    </row>
    <row r="1843">
      <c r="A1843" s="1" t="s">
        <v>3678</v>
      </c>
      <c r="B1843" s="2">
        <v>870.26</v>
      </c>
      <c r="C1843" s="2">
        <v>870.26</v>
      </c>
      <c r="D1843" s="2">
        <v>1538.79</v>
      </c>
      <c r="E1843" s="2">
        <v>1538.79</v>
      </c>
      <c r="G1843" s="1" t="s">
        <v>3679</v>
      </c>
      <c r="H1843" s="2">
        <v>1156.75</v>
      </c>
      <c r="I1843" s="2">
        <v>1156.75</v>
      </c>
    </row>
    <row r="1844">
      <c r="A1844" s="1" t="s">
        <v>3680</v>
      </c>
      <c r="B1844" s="2">
        <v>871.79</v>
      </c>
      <c r="C1844" s="2">
        <v>871.79</v>
      </c>
      <c r="D1844" s="2">
        <v>1546.46</v>
      </c>
      <c r="E1844" s="2">
        <v>1546.46</v>
      </c>
      <c r="G1844" s="1" t="s">
        <v>3681</v>
      </c>
      <c r="H1844" s="2">
        <v>1167.71</v>
      </c>
      <c r="I1844" s="2">
        <v>1167.71</v>
      </c>
    </row>
    <row r="1845">
      <c r="A1845" s="1" t="s">
        <v>3682</v>
      </c>
      <c r="B1845" s="2">
        <v>842.62</v>
      </c>
      <c r="C1845" s="2">
        <v>842.62</v>
      </c>
      <c r="D1845" s="2">
        <v>1489.64</v>
      </c>
      <c r="E1845" s="2">
        <v>1489.64</v>
      </c>
      <c r="G1845" s="1" t="s">
        <v>3683</v>
      </c>
      <c r="H1845" s="2">
        <v>1182.68</v>
      </c>
      <c r="I1845" s="2">
        <v>1182.68</v>
      </c>
    </row>
    <row r="1846">
      <c r="A1846" s="1" t="s">
        <v>3684</v>
      </c>
      <c r="B1846" s="2">
        <v>843.74</v>
      </c>
      <c r="C1846" s="2">
        <v>843.74</v>
      </c>
      <c r="D1846" s="2">
        <v>1511.84</v>
      </c>
      <c r="E1846" s="2">
        <v>1511.84</v>
      </c>
      <c r="G1846" s="1" t="s">
        <v>3685</v>
      </c>
      <c r="H1846" s="2">
        <v>1111.34</v>
      </c>
      <c r="I1846" s="2">
        <v>1111.34</v>
      </c>
    </row>
    <row r="1847">
      <c r="A1847" s="1" t="s">
        <v>3686</v>
      </c>
      <c r="B1847" s="2">
        <v>850.12</v>
      </c>
      <c r="C1847" s="2">
        <v>850.12</v>
      </c>
      <c r="D1847" s="2">
        <v>1529.33</v>
      </c>
      <c r="E1847" s="2">
        <v>1529.33</v>
      </c>
      <c r="G1847" s="1" t="s">
        <v>3687</v>
      </c>
      <c r="H1847" s="2">
        <v>1135.2</v>
      </c>
      <c r="I1847" s="2">
        <v>1135.2</v>
      </c>
    </row>
    <row r="1848">
      <c r="A1848" s="1" t="s">
        <v>3688</v>
      </c>
      <c r="B1848" s="2" t="s">
        <v>0</v>
      </c>
      <c r="C1848" s="2">
        <v>850.12</v>
      </c>
      <c r="D1848" s="2" t="s">
        <v>0</v>
      </c>
      <c r="E1848" s="2">
        <v>1529.33</v>
      </c>
      <c r="G1848" s="1" t="s">
        <v>3689</v>
      </c>
      <c r="H1848" s="2" t="s">
        <v>0</v>
      </c>
      <c r="I1848" s="2">
        <v>1135.2</v>
      </c>
    </row>
    <row r="1849">
      <c r="A1849" s="1" t="s">
        <v>3690</v>
      </c>
      <c r="B1849" s="2" t="s">
        <v>0</v>
      </c>
      <c r="C1849" s="2">
        <v>850.12</v>
      </c>
      <c r="D1849" s="2" t="s">
        <v>0</v>
      </c>
      <c r="E1849" s="2">
        <v>1529.33</v>
      </c>
      <c r="G1849" s="1" t="s">
        <v>3691</v>
      </c>
      <c r="H1849" s="2" t="s">
        <v>0</v>
      </c>
      <c r="I1849" s="2">
        <v>1135.2</v>
      </c>
    </row>
    <row r="1850">
      <c r="A1850" s="1" t="s">
        <v>3692</v>
      </c>
      <c r="B1850" s="2" t="s">
        <v>0</v>
      </c>
      <c r="C1850" s="2">
        <v>850.12</v>
      </c>
      <c r="D1850" s="2" t="s">
        <v>0</v>
      </c>
      <c r="E1850" s="2">
        <v>1529.33</v>
      </c>
      <c r="G1850" s="1" t="s">
        <v>3693</v>
      </c>
      <c r="H1850" s="2">
        <v>1150.65</v>
      </c>
      <c r="I1850" s="2">
        <v>1150.65</v>
      </c>
    </row>
    <row r="1851">
      <c r="A1851" s="1" t="s">
        <v>3694</v>
      </c>
      <c r="B1851" s="2">
        <v>805.22</v>
      </c>
      <c r="C1851" s="2">
        <v>805.22</v>
      </c>
      <c r="D1851" s="2">
        <v>1440.86</v>
      </c>
      <c r="E1851" s="2">
        <v>1440.86</v>
      </c>
      <c r="G1851" s="1" t="s">
        <v>3695</v>
      </c>
      <c r="H1851" s="2">
        <v>1126.81</v>
      </c>
      <c r="I1851" s="2">
        <v>1126.81</v>
      </c>
    </row>
    <row r="1852">
      <c r="A1852" s="1" t="s">
        <v>3696</v>
      </c>
      <c r="B1852" s="2">
        <v>840.24</v>
      </c>
      <c r="C1852" s="2">
        <v>840.24</v>
      </c>
      <c r="D1852" s="2">
        <v>1507.07</v>
      </c>
      <c r="E1852" s="2">
        <v>1507.07</v>
      </c>
      <c r="G1852" s="1" t="s">
        <v>3697</v>
      </c>
      <c r="H1852" s="2">
        <v>1103.61</v>
      </c>
      <c r="I1852" s="2">
        <v>1103.61</v>
      </c>
    </row>
    <row r="1853">
      <c r="A1853" s="1" t="s">
        <v>3698</v>
      </c>
      <c r="B1853" s="2">
        <v>827.5</v>
      </c>
      <c r="C1853" s="2">
        <v>827.5</v>
      </c>
      <c r="D1853" s="2">
        <v>1465.49</v>
      </c>
      <c r="E1853" s="2">
        <v>1465.49</v>
      </c>
      <c r="G1853" s="1" t="s">
        <v>3699</v>
      </c>
      <c r="H1853" s="2">
        <v>1116.23</v>
      </c>
      <c r="I1853" s="2">
        <v>1116.23</v>
      </c>
    </row>
    <row r="1854">
      <c r="A1854" s="1" t="s">
        <v>3700</v>
      </c>
      <c r="B1854" s="2">
        <v>831.95</v>
      </c>
      <c r="C1854" s="2">
        <v>831.95</v>
      </c>
      <c r="D1854" s="2">
        <v>1477.29</v>
      </c>
      <c r="E1854" s="2">
        <v>1477.29</v>
      </c>
      <c r="G1854" s="1" t="s">
        <v>3701</v>
      </c>
      <c r="H1854" s="2">
        <v>1093.4</v>
      </c>
      <c r="I1854" s="2">
        <v>1093.4</v>
      </c>
    </row>
    <row r="1855">
      <c r="A1855" s="1" t="s">
        <v>3702</v>
      </c>
      <c r="B1855" s="2" t="s">
        <v>0</v>
      </c>
      <c r="C1855" s="2">
        <v>831.95</v>
      </c>
      <c r="D1855" s="2" t="s">
        <v>0</v>
      </c>
      <c r="E1855" s="2">
        <v>1477.29</v>
      </c>
      <c r="G1855" s="1" t="s">
        <v>3703</v>
      </c>
      <c r="H1855" s="2" t="s">
        <v>0</v>
      </c>
      <c r="I1855" s="2">
        <v>1093.4</v>
      </c>
    </row>
    <row r="1856">
      <c r="A1856" s="1" t="s">
        <v>3704</v>
      </c>
      <c r="B1856" s="2" t="s">
        <v>0</v>
      </c>
      <c r="C1856" s="2">
        <v>831.95</v>
      </c>
      <c r="D1856" s="2" t="s">
        <v>0</v>
      </c>
      <c r="E1856" s="2">
        <v>1477.29</v>
      </c>
      <c r="G1856" s="1" t="s">
        <v>3705</v>
      </c>
      <c r="H1856" s="2" t="s">
        <v>0</v>
      </c>
      <c r="I1856" s="2">
        <v>1093.4</v>
      </c>
    </row>
    <row r="1857">
      <c r="A1857" s="1" t="s">
        <v>3706</v>
      </c>
      <c r="B1857" s="2">
        <v>836.57</v>
      </c>
      <c r="C1857" s="2">
        <v>836.57</v>
      </c>
      <c r="D1857" s="2">
        <v>1489.46</v>
      </c>
      <c r="E1857" s="2">
        <v>1489.46</v>
      </c>
      <c r="G1857" s="1" t="s">
        <v>3707</v>
      </c>
      <c r="H1857" s="2" t="s">
        <v>0</v>
      </c>
      <c r="I1857" s="2">
        <v>1093.4</v>
      </c>
    </row>
    <row r="1858">
      <c r="A1858" s="1" t="s">
        <v>3708</v>
      </c>
      <c r="B1858" s="2">
        <v>845.71</v>
      </c>
      <c r="C1858" s="2">
        <v>845.71</v>
      </c>
      <c r="D1858" s="2">
        <v>1504.9</v>
      </c>
      <c r="E1858" s="2">
        <v>1504.9</v>
      </c>
      <c r="G1858" s="1" t="s">
        <v>3709</v>
      </c>
      <c r="H1858" s="2" t="s">
        <v>0</v>
      </c>
      <c r="I1858" s="2">
        <v>1093.4</v>
      </c>
    </row>
    <row r="1859">
      <c r="A1859" s="1" t="s">
        <v>3710</v>
      </c>
      <c r="B1859" s="2">
        <v>874.09</v>
      </c>
      <c r="C1859" s="2">
        <v>874.09</v>
      </c>
      <c r="D1859" s="2">
        <v>1558.34</v>
      </c>
      <c r="E1859" s="2">
        <v>1558.34</v>
      </c>
      <c r="G1859" s="1" t="s">
        <v>3711</v>
      </c>
      <c r="H1859" s="2">
        <v>1157.98</v>
      </c>
      <c r="I1859" s="2">
        <v>1157.98</v>
      </c>
    </row>
    <row r="1860">
      <c r="A1860" s="1" t="s">
        <v>3712</v>
      </c>
      <c r="B1860" s="2">
        <v>845.14</v>
      </c>
      <c r="C1860" s="2">
        <v>845.14</v>
      </c>
      <c r="D1860" s="2">
        <v>1507.84</v>
      </c>
      <c r="E1860" s="2">
        <v>1507.84</v>
      </c>
      <c r="G1860" s="1" t="s">
        <v>3713</v>
      </c>
      <c r="H1860" s="2">
        <v>1166.56</v>
      </c>
      <c r="I1860" s="2">
        <v>1166.56</v>
      </c>
    </row>
    <row r="1861">
      <c r="A1861" s="1" t="s">
        <v>3714</v>
      </c>
      <c r="B1861" s="2">
        <v>825.88</v>
      </c>
      <c r="C1861" s="2">
        <v>825.88</v>
      </c>
      <c r="D1861" s="2">
        <v>1476.42</v>
      </c>
      <c r="E1861" s="2">
        <v>1476.42</v>
      </c>
      <c r="G1861" s="1" t="s">
        <v>3715</v>
      </c>
      <c r="H1861" s="2">
        <v>1162.11</v>
      </c>
      <c r="I1861" s="2">
        <v>1162.11</v>
      </c>
    </row>
    <row r="1862">
      <c r="A1862" s="1" t="s">
        <v>3716</v>
      </c>
      <c r="B1862" s="2" t="s">
        <v>0</v>
      </c>
      <c r="C1862" s="2">
        <v>825.88</v>
      </c>
      <c r="D1862" s="2" t="s">
        <v>0</v>
      </c>
      <c r="E1862" s="2">
        <v>1476.42</v>
      </c>
      <c r="G1862" s="1" t="s">
        <v>3717</v>
      </c>
      <c r="H1862" s="2" t="s">
        <v>0</v>
      </c>
      <c r="I1862" s="2">
        <v>1162.11</v>
      </c>
    </row>
    <row r="1863">
      <c r="A1863" s="1" t="s">
        <v>3718</v>
      </c>
      <c r="B1863" s="2" t="s">
        <v>0</v>
      </c>
      <c r="C1863" s="2">
        <v>825.88</v>
      </c>
      <c r="D1863" s="2" t="s">
        <v>0</v>
      </c>
      <c r="E1863" s="2">
        <v>1476.42</v>
      </c>
      <c r="G1863" s="1" t="s">
        <v>3719</v>
      </c>
      <c r="H1863" s="2" t="s">
        <v>0</v>
      </c>
      <c r="I1863" s="2">
        <v>1162.11</v>
      </c>
    </row>
    <row r="1864">
      <c r="A1864" s="1" t="s">
        <v>3720</v>
      </c>
      <c r="B1864" s="2">
        <v>825.44</v>
      </c>
      <c r="C1864" s="2">
        <v>825.44</v>
      </c>
      <c r="D1864" s="2">
        <v>1494.43</v>
      </c>
      <c r="E1864" s="2">
        <v>1494.43</v>
      </c>
      <c r="G1864" s="1" t="s">
        <v>3721</v>
      </c>
      <c r="H1864" s="2">
        <v>1146.95</v>
      </c>
      <c r="I1864" s="2">
        <v>1146.95</v>
      </c>
    </row>
    <row r="1865">
      <c r="A1865" s="1" t="s">
        <v>3722</v>
      </c>
      <c r="B1865" s="2">
        <v>838.51</v>
      </c>
      <c r="C1865" s="2">
        <v>838.51</v>
      </c>
      <c r="D1865" s="2">
        <v>1516.3</v>
      </c>
      <c r="E1865" s="2">
        <v>1516.3</v>
      </c>
      <c r="G1865" s="1" t="s">
        <v>3723</v>
      </c>
      <c r="H1865" s="2">
        <v>1163.2</v>
      </c>
      <c r="I1865" s="2">
        <v>1163.2</v>
      </c>
    </row>
    <row r="1866">
      <c r="A1866" s="1" t="s">
        <v>3724</v>
      </c>
      <c r="B1866" s="2">
        <v>832.23</v>
      </c>
      <c r="C1866" s="2">
        <v>832.23</v>
      </c>
      <c r="D1866" s="2">
        <v>1515.05</v>
      </c>
      <c r="E1866" s="2">
        <v>1515.05</v>
      </c>
      <c r="G1866" s="1" t="s">
        <v>3725</v>
      </c>
      <c r="H1866" s="2">
        <v>1195.37</v>
      </c>
      <c r="I1866" s="2">
        <v>1195.37</v>
      </c>
    </row>
    <row r="1867">
      <c r="A1867" s="1" t="s">
        <v>3726</v>
      </c>
      <c r="B1867" s="2">
        <v>845.85</v>
      </c>
      <c r="C1867" s="2">
        <v>845.85</v>
      </c>
      <c r="D1867" s="2">
        <v>1546.24</v>
      </c>
      <c r="E1867" s="2">
        <v>1546.24</v>
      </c>
      <c r="G1867" s="1" t="s">
        <v>3727</v>
      </c>
      <c r="H1867" s="2">
        <v>1177.88</v>
      </c>
      <c r="I1867" s="2">
        <v>1177.88</v>
      </c>
    </row>
    <row r="1868">
      <c r="A1868" s="1" t="s">
        <v>3728</v>
      </c>
      <c r="B1868" s="2">
        <v>868.6</v>
      </c>
      <c r="C1868" s="2">
        <v>868.6</v>
      </c>
      <c r="D1868" s="2">
        <v>1591.71</v>
      </c>
      <c r="E1868" s="2">
        <v>1591.71</v>
      </c>
      <c r="G1868" s="1" t="s">
        <v>3729</v>
      </c>
      <c r="H1868" s="2">
        <v>1210.26</v>
      </c>
      <c r="I1868" s="2">
        <v>1210.26</v>
      </c>
    </row>
    <row r="1869">
      <c r="A1869" s="1" t="s">
        <v>3730</v>
      </c>
      <c r="B1869" s="2" t="s">
        <v>0</v>
      </c>
      <c r="C1869" s="2">
        <v>868.6</v>
      </c>
      <c r="D1869" s="2" t="s">
        <v>0</v>
      </c>
      <c r="E1869" s="2">
        <v>1591.71</v>
      </c>
      <c r="G1869" s="1" t="s">
        <v>3731</v>
      </c>
      <c r="H1869" s="2" t="s">
        <v>0</v>
      </c>
      <c r="I1869" s="2">
        <v>1210.26</v>
      </c>
    </row>
    <row r="1870">
      <c r="A1870" s="1" t="s">
        <v>3732</v>
      </c>
      <c r="B1870" s="2" t="s">
        <v>0</v>
      </c>
      <c r="C1870" s="2">
        <v>868.6</v>
      </c>
      <c r="D1870" s="2" t="s">
        <v>0</v>
      </c>
      <c r="E1870" s="2">
        <v>1591.71</v>
      </c>
      <c r="G1870" s="1" t="s">
        <v>3733</v>
      </c>
      <c r="H1870" s="2" t="s">
        <v>0</v>
      </c>
      <c r="I1870" s="2">
        <v>1210.26</v>
      </c>
    </row>
    <row r="1871">
      <c r="A1871" s="1" t="s">
        <v>3734</v>
      </c>
      <c r="B1871" s="2">
        <v>869.89</v>
      </c>
      <c r="C1871" s="2">
        <v>869.89</v>
      </c>
      <c r="D1871" s="2">
        <v>1591.56</v>
      </c>
      <c r="E1871" s="2">
        <v>1591.56</v>
      </c>
      <c r="G1871" s="1" t="s">
        <v>3735</v>
      </c>
      <c r="H1871" s="2">
        <v>1202.69</v>
      </c>
      <c r="I1871" s="2">
        <v>1202.69</v>
      </c>
    </row>
    <row r="1872">
      <c r="A1872" s="1" t="s">
        <v>3736</v>
      </c>
      <c r="B1872" s="2">
        <v>827.16</v>
      </c>
      <c r="C1872" s="2">
        <v>827.16</v>
      </c>
      <c r="D1872" s="2">
        <v>1524.73</v>
      </c>
      <c r="E1872" s="2">
        <v>1524.73</v>
      </c>
      <c r="G1872" s="1" t="s">
        <v>3737</v>
      </c>
      <c r="H1872" s="2">
        <v>1198.87</v>
      </c>
      <c r="I1872" s="2">
        <v>1198.87</v>
      </c>
    </row>
    <row r="1873">
      <c r="A1873" s="1" t="s">
        <v>3738</v>
      </c>
      <c r="B1873" s="2">
        <v>833.74</v>
      </c>
      <c r="C1873" s="2">
        <v>833.74</v>
      </c>
      <c r="D1873" s="2">
        <v>1530.5</v>
      </c>
      <c r="E1873" s="2">
        <v>1530.5</v>
      </c>
      <c r="G1873" s="1" t="s">
        <v>3739</v>
      </c>
      <c r="H1873" s="2">
        <v>1190.18</v>
      </c>
      <c r="I1873" s="2">
        <v>1190.18</v>
      </c>
    </row>
    <row r="1874">
      <c r="A1874" s="1" t="s">
        <v>3740</v>
      </c>
      <c r="B1874" s="2">
        <v>835.19</v>
      </c>
      <c r="C1874" s="2">
        <v>835.19</v>
      </c>
      <c r="D1874" s="2">
        <v>1541.71</v>
      </c>
      <c r="E1874" s="2">
        <v>1541.71</v>
      </c>
      <c r="G1874" s="1" t="s">
        <v>3741</v>
      </c>
      <c r="H1874" s="2">
        <v>1179.84</v>
      </c>
      <c r="I1874" s="2">
        <v>1179.84</v>
      </c>
    </row>
    <row r="1875">
      <c r="A1875" s="1" t="s">
        <v>3742</v>
      </c>
      <c r="B1875" s="2">
        <v>826.84</v>
      </c>
      <c r="C1875" s="2">
        <v>826.84</v>
      </c>
      <c r="D1875" s="2">
        <v>1534.36</v>
      </c>
      <c r="E1875" s="2">
        <v>1534.36</v>
      </c>
      <c r="G1875" s="1" t="s">
        <v>3743</v>
      </c>
      <c r="H1875" s="2">
        <v>1192.44</v>
      </c>
      <c r="I1875" s="2">
        <v>1192.44</v>
      </c>
    </row>
    <row r="1876">
      <c r="A1876" s="1" t="s">
        <v>3744</v>
      </c>
      <c r="B1876" s="2" t="s">
        <v>0</v>
      </c>
      <c r="C1876" s="2">
        <v>826.84</v>
      </c>
      <c r="D1876" s="2" t="s">
        <v>0</v>
      </c>
      <c r="E1876" s="2">
        <v>1534.36</v>
      </c>
      <c r="G1876" s="1" t="s">
        <v>3745</v>
      </c>
      <c r="H1876" s="2" t="s">
        <v>0</v>
      </c>
      <c r="I1876" s="2">
        <v>1192.44</v>
      </c>
    </row>
    <row r="1877">
      <c r="A1877" s="1" t="s">
        <v>3746</v>
      </c>
      <c r="B1877" s="2" t="s">
        <v>0</v>
      </c>
      <c r="C1877" s="2">
        <v>826.84</v>
      </c>
      <c r="D1877" s="2" t="s">
        <v>0</v>
      </c>
      <c r="E1877" s="2">
        <v>1534.36</v>
      </c>
      <c r="G1877" s="1" t="s">
        <v>3747</v>
      </c>
      <c r="H1877" s="2" t="s">
        <v>0</v>
      </c>
      <c r="I1877" s="2">
        <v>1192.44</v>
      </c>
    </row>
    <row r="1878">
      <c r="A1878" s="1" t="s">
        <v>3748</v>
      </c>
      <c r="B1878" s="2" t="s">
        <v>0</v>
      </c>
      <c r="C1878" s="2">
        <v>826.84</v>
      </c>
      <c r="D1878" s="2" t="s">
        <v>0</v>
      </c>
      <c r="E1878" s="2">
        <v>1534.36</v>
      </c>
      <c r="G1878" s="1" t="s">
        <v>3749</v>
      </c>
      <c r="H1878" s="2">
        <v>1175.47</v>
      </c>
      <c r="I1878" s="2">
        <v>1175.47</v>
      </c>
    </row>
    <row r="1879">
      <c r="A1879" s="1" t="s">
        <v>3750</v>
      </c>
      <c r="B1879" s="2">
        <v>789.17</v>
      </c>
      <c r="C1879" s="2">
        <v>789.17</v>
      </c>
      <c r="D1879" s="2">
        <v>1470.66</v>
      </c>
      <c r="E1879" s="2">
        <v>1470.66</v>
      </c>
      <c r="G1879" s="1" t="s">
        <v>3751</v>
      </c>
      <c r="H1879" s="2">
        <v>1127.19</v>
      </c>
      <c r="I1879" s="2">
        <v>1127.19</v>
      </c>
    </row>
    <row r="1880">
      <c r="A1880" s="1" t="s">
        <v>3752</v>
      </c>
      <c r="B1880" s="2">
        <v>788.42</v>
      </c>
      <c r="C1880" s="2">
        <v>788.42</v>
      </c>
      <c r="D1880" s="2">
        <v>1467.97</v>
      </c>
      <c r="E1880" s="2">
        <v>1467.97</v>
      </c>
      <c r="G1880" s="1" t="s">
        <v>3753</v>
      </c>
      <c r="H1880" s="2">
        <v>1113.19</v>
      </c>
      <c r="I1880" s="2">
        <v>1113.19</v>
      </c>
    </row>
    <row r="1881">
      <c r="A1881" s="1" t="s">
        <v>3754</v>
      </c>
      <c r="B1881" s="2">
        <v>778.94</v>
      </c>
      <c r="C1881" s="2">
        <v>778.94</v>
      </c>
      <c r="D1881" s="2">
        <v>1442.82</v>
      </c>
      <c r="E1881" s="2">
        <v>1442.82</v>
      </c>
      <c r="G1881" s="1" t="s">
        <v>3755</v>
      </c>
      <c r="H1881" s="2">
        <v>1107.1</v>
      </c>
      <c r="I1881" s="2">
        <v>1107.1</v>
      </c>
    </row>
    <row r="1882">
      <c r="A1882" s="1" t="s">
        <v>3756</v>
      </c>
      <c r="B1882" s="2">
        <v>770.05</v>
      </c>
      <c r="C1882" s="2">
        <v>770.05</v>
      </c>
      <c r="D1882" s="2">
        <v>1441.23</v>
      </c>
      <c r="E1882" s="2">
        <v>1441.23</v>
      </c>
      <c r="G1882" s="1" t="s">
        <v>3757</v>
      </c>
      <c r="H1882" s="2">
        <v>1065.95</v>
      </c>
      <c r="I1882" s="2">
        <v>1065.95</v>
      </c>
    </row>
    <row r="1883">
      <c r="A1883" s="1" t="s">
        <v>3758</v>
      </c>
      <c r="B1883" s="2" t="s">
        <v>0</v>
      </c>
      <c r="C1883" s="2">
        <v>770.05</v>
      </c>
      <c r="D1883" s="2" t="s">
        <v>0</v>
      </c>
      <c r="E1883" s="2">
        <v>1441.23</v>
      </c>
      <c r="G1883" s="1" t="s">
        <v>3759</v>
      </c>
      <c r="H1883" s="2" t="s">
        <v>0</v>
      </c>
      <c r="I1883" s="2">
        <v>1065.95</v>
      </c>
    </row>
    <row r="1884">
      <c r="A1884" s="1" t="s">
        <v>3760</v>
      </c>
      <c r="B1884" s="2" t="s">
        <v>0</v>
      </c>
      <c r="C1884" s="2">
        <v>770.05</v>
      </c>
      <c r="D1884" s="2" t="s">
        <v>0</v>
      </c>
      <c r="E1884" s="2">
        <v>1441.23</v>
      </c>
      <c r="G1884" s="1" t="s">
        <v>3761</v>
      </c>
      <c r="H1884" s="2" t="s">
        <v>0</v>
      </c>
      <c r="I1884" s="2">
        <v>1065.95</v>
      </c>
    </row>
    <row r="1885">
      <c r="A1885" s="1" t="s">
        <v>3762</v>
      </c>
      <c r="B1885" s="2">
        <v>743.33</v>
      </c>
      <c r="C1885" s="2">
        <v>743.33</v>
      </c>
      <c r="D1885" s="2">
        <v>1387.72</v>
      </c>
      <c r="E1885" s="2">
        <v>1387.72</v>
      </c>
      <c r="G1885" s="1" t="s">
        <v>3763</v>
      </c>
      <c r="H1885" s="2">
        <v>1099.55</v>
      </c>
      <c r="I1885" s="2">
        <v>1099.55</v>
      </c>
    </row>
    <row r="1886">
      <c r="A1886" s="1" t="s">
        <v>3764</v>
      </c>
      <c r="B1886" s="2">
        <v>773.14</v>
      </c>
      <c r="C1886" s="2">
        <v>773.14</v>
      </c>
      <c r="D1886" s="2">
        <v>1441.83</v>
      </c>
      <c r="E1886" s="2">
        <v>1441.83</v>
      </c>
      <c r="G1886" s="1" t="s">
        <v>3765</v>
      </c>
      <c r="H1886" s="2">
        <v>1063.88</v>
      </c>
      <c r="I1886" s="2">
        <v>1063.88</v>
      </c>
    </row>
    <row r="1887">
      <c r="A1887" s="1" t="s">
        <v>3766</v>
      </c>
      <c r="B1887" s="2">
        <v>764.9</v>
      </c>
      <c r="C1887" s="2">
        <v>764.9</v>
      </c>
      <c r="D1887" s="2">
        <v>1425.43</v>
      </c>
      <c r="E1887" s="2">
        <v>1425.43</v>
      </c>
      <c r="G1887" s="1" t="s">
        <v>3767</v>
      </c>
      <c r="H1887" s="2">
        <v>1067.08</v>
      </c>
      <c r="I1887" s="2">
        <v>1067.08</v>
      </c>
    </row>
    <row r="1888">
      <c r="A1888" s="1" t="s">
        <v>3768</v>
      </c>
      <c r="B1888" s="2">
        <v>752.83</v>
      </c>
      <c r="C1888" s="2">
        <v>752.83</v>
      </c>
      <c r="D1888" s="2">
        <v>1391.47</v>
      </c>
      <c r="E1888" s="2">
        <v>1391.47</v>
      </c>
      <c r="G1888" s="1" t="s">
        <v>3769</v>
      </c>
      <c r="H1888" s="2">
        <v>1054.79</v>
      </c>
      <c r="I1888" s="2">
        <v>1054.79</v>
      </c>
    </row>
    <row r="1889">
      <c r="A1889" s="1" t="s">
        <v>3770</v>
      </c>
      <c r="B1889" s="2">
        <v>735.09</v>
      </c>
      <c r="C1889" s="2">
        <v>735.09</v>
      </c>
      <c r="D1889" s="2">
        <v>1377.84</v>
      </c>
      <c r="E1889" s="2">
        <v>1377.84</v>
      </c>
      <c r="G1889" s="1" t="s">
        <v>3771</v>
      </c>
      <c r="H1889" s="2">
        <v>1063.03</v>
      </c>
      <c r="I1889" s="2">
        <v>1063.03</v>
      </c>
    </row>
    <row r="1890">
      <c r="A1890" s="1" t="s">
        <v>3772</v>
      </c>
      <c r="B1890" s="2" t="s">
        <v>0</v>
      </c>
      <c r="C1890" s="2">
        <v>735.09</v>
      </c>
      <c r="D1890" s="2" t="s">
        <v>0</v>
      </c>
      <c r="E1890" s="2">
        <v>1377.84</v>
      </c>
      <c r="G1890" s="1" t="s">
        <v>3773</v>
      </c>
      <c r="H1890" s="2" t="s">
        <v>0</v>
      </c>
      <c r="I1890" s="2">
        <v>1063.03</v>
      </c>
    </row>
    <row r="1891">
      <c r="A1891" s="1" t="s">
        <v>3774</v>
      </c>
      <c r="B1891" s="2" t="s">
        <v>0</v>
      </c>
      <c r="C1891" s="2">
        <v>735.09</v>
      </c>
      <c r="D1891" s="2" t="s">
        <v>0</v>
      </c>
      <c r="E1891" s="2">
        <v>1377.84</v>
      </c>
      <c r="G1891" s="1" t="s">
        <v>3775</v>
      </c>
      <c r="H1891" s="2" t="s">
        <v>0</v>
      </c>
      <c r="I1891" s="2">
        <v>1063.03</v>
      </c>
    </row>
    <row r="1892">
      <c r="A1892" s="1" t="s">
        <v>3776</v>
      </c>
      <c r="B1892" s="2">
        <v>700.82</v>
      </c>
      <c r="C1892" s="2">
        <v>700.82</v>
      </c>
      <c r="D1892" s="2">
        <v>1322.85</v>
      </c>
      <c r="E1892" s="2">
        <v>1322.85</v>
      </c>
      <c r="G1892" s="1" t="s">
        <v>3777</v>
      </c>
      <c r="H1892" s="2">
        <v>1018.81</v>
      </c>
      <c r="I1892" s="2">
        <v>1018.81</v>
      </c>
    </row>
    <row r="1893">
      <c r="A1893" s="1" t="s">
        <v>3778</v>
      </c>
      <c r="B1893" s="2">
        <v>696.33</v>
      </c>
      <c r="C1893" s="2">
        <v>696.33</v>
      </c>
      <c r="D1893" s="2">
        <v>1321.01</v>
      </c>
      <c r="E1893" s="2">
        <v>1321.01</v>
      </c>
      <c r="G1893" s="1" t="s">
        <v>3779</v>
      </c>
      <c r="H1893" s="2">
        <v>1025.57</v>
      </c>
      <c r="I1893" s="2">
        <v>1025.57</v>
      </c>
    </row>
    <row r="1894">
      <c r="A1894" s="1" t="s">
        <v>3780</v>
      </c>
      <c r="B1894" s="2">
        <v>712.87</v>
      </c>
      <c r="C1894" s="2">
        <v>712.87</v>
      </c>
      <c r="D1894" s="2">
        <v>1353.74</v>
      </c>
      <c r="E1894" s="2">
        <v>1353.74</v>
      </c>
      <c r="G1894" s="1" t="s">
        <v>3781</v>
      </c>
      <c r="H1894" s="2">
        <v>1059.26</v>
      </c>
      <c r="I1894" s="2">
        <v>1059.26</v>
      </c>
    </row>
    <row r="1895">
      <c r="A1895" s="1" t="s">
        <v>3782</v>
      </c>
      <c r="B1895" s="2">
        <v>682.55</v>
      </c>
      <c r="C1895" s="2">
        <v>682.55</v>
      </c>
      <c r="D1895" s="2">
        <v>1299.59</v>
      </c>
      <c r="E1895" s="2">
        <v>1299.59</v>
      </c>
      <c r="G1895" s="1" t="s">
        <v>3783</v>
      </c>
      <c r="H1895" s="2">
        <v>1058.18</v>
      </c>
      <c r="I1895" s="2">
        <v>1058.18</v>
      </c>
    </row>
    <row r="1896">
      <c r="A1896" s="1" t="s">
        <v>3784</v>
      </c>
      <c r="B1896" s="2">
        <v>683.38</v>
      </c>
      <c r="C1896" s="2">
        <v>683.38</v>
      </c>
      <c r="D1896" s="2">
        <v>1293.85</v>
      </c>
      <c r="E1896" s="2">
        <v>1293.85</v>
      </c>
      <c r="G1896" s="1" t="s">
        <v>3785</v>
      </c>
      <c r="H1896" s="2">
        <v>1055.03</v>
      </c>
      <c r="I1896" s="2">
        <v>1055.03</v>
      </c>
    </row>
    <row r="1897">
      <c r="A1897" s="1" t="s">
        <v>3786</v>
      </c>
      <c r="B1897" s="2" t="s">
        <v>0</v>
      </c>
      <c r="C1897" s="2">
        <v>683.38</v>
      </c>
      <c r="D1897" s="2" t="s">
        <v>0</v>
      </c>
      <c r="E1897" s="2">
        <v>1293.85</v>
      </c>
      <c r="G1897" s="1" t="s">
        <v>3787</v>
      </c>
      <c r="H1897" s="2" t="s">
        <v>0</v>
      </c>
      <c r="I1897" s="2">
        <v>1055.03</v>
      </c>
    </row>
    <row r="1898">
      <c r="A1898" s="1" t="s">
        <v>3788</v>
      </c>
      <c r="B1898" s="2" t="s">
        <v>0</v>
      </c>
      <c r="C1898" s="2">
        <v>683.38</v>
      </c>
      <c r="D1898" s="2" t="s">
        <v>0</v>
      </c>
      <c r="E1898" s="2">
        <v>1293.85</v>
      </c>
      <c r="G1898" s="1" t="s">
        <v>3789</v>
      </c>
      <c r="H1898" s="2" t="s">
        <v>0</v>
      </c>
      <c r="I1898" s="2">
        <v>1055.03</v>
      </c>
    </row>
    <row r="1899">
      <c r="A1899" s="1" t="s">
        <v>3790</v>
      </c>
      <c r="B1899" s="2">
        <v>676.53</v>
      </c>
      <c r="C1899" s="2">
        <v>676.53</v>
      </c>
      <c r="D1899" s="2">
        <v>1268.64</v>
      </c>
      <c r="E1899" s="2">
        <v>1268.64</v>
      </c>
      <c r="G1899" s="1" t="s">
        <v>3791</v>
      </c>
      <c r="H1899" s="2">
        <v>1071.73</v>
      </c>
      <c r="I1899" s="2">
        <v>1071.73</v>
      </c>
    </row>
    <row r="1900">
      <c r="A1900" s="1" t="s">
        <v>3792</v>
      </c>
      <c r="B1900" s="2">
        <v>719.6</v>
      </c>
      <c r="C1900" s="2">
        <v>719.6</v>
      </c>
      <c r="D1900" s="2">
        <v>1358.28</v>
      </c>
      <c r="E1900" s="2">
        <v>1358.28</v>
      </c>
      <c r="G1900" s="1" t="s">
        <v>3793</v>
      </c>
      <c r="H1900" s="2">
        <v>1092.2</v>
      </c>
      <c r="I1900" s="2">
        <v>1092.2</v>
      </c>
    </row>
    <row r="1901">
      <c r="A1901" s="1" t="s">
        <v>3794</v>
      </c>
      <c r="B1901" s="2">
        <v>721.36</v>
      </c>
      <c r="C1901" s="2">
        <v>721.36</v>
      </c>
      <c r="D1901" s="2">
        <v>1371.64</v>
      </c>
      <c r="E1901" s="2">
        <v>1371.64</v>
      </c>
      <c r="G1901" s="1" t="s">
        <v>3795</v>
      </c>
      <c r="H1901" s="2">
        <v>1127.51</v>
      </c>
      <c r="I1901" s="2">
        <v>1127.51</v>
      </c>
    </row>
    <row r="1902">
      <c r="A1902" s="1" t="s">
        <v>3796</v>
      </c>
      <c r="B1902" s="2">
        <v>750.74</v>
      </c>
      <c r="C1902" s="2">
        <v>750.74</v>
      </c>
      <c r="D1902" s="2">
        <v>1426.1</v>
      </c>
      <c r="E1902" s="2">
        <v>1426.1</v>
      </c>
      <c r="G1902" s="1" t="s">
        <v>3797</v>
      </c>
      <c r="H1902" s="2">
        <v>1128.39</v>
      </c>
      <c r="I1902" s="2">
        <v>1128.39</v>
      </c>
    </row>
    <row r="1903">
      <c r="A1903" s="1" t="s">
        <v>3798</v>
      </c>
      <c r="B1903" s="2">
        <v>756.55</v>
      </c>
      <c r="C1903" s="2">
        <v>756.55</v>
      </c>
      <c r="D1903" s="2">
        <v>1431.5</v>
      </c>
      <c r="E1903" s="2">
        <v>1431.5</v>
      </c>
      <c r="G1903" s="1" t="s">
        <v>3799</v>
      </c>
      <c r="H1903" s="2">
        <v>1126.03</v>
      </c>
      <c r="I1903" s="2">
        <v>1126.03</v>
      </c>
    </row>
    <row r="1904">
      <c r="A1904" s="1" t="s">
        <v>3800</v>
      </c>
      <c r="B1904" s="2" t="s">
        <v>0</v>
      </c>
      <c r="C1904" s="2">
        <v>756.55</v>
      </c>
      <c r="D1904" s="2" t="s">
        <v>0</v>
      </c>
      <c r="E1904" s="2">
        <v>1431.5</v>
      </c>
      <c r="G1904" s="1" t="s">
        <v>3801</v>
      </c>
      <c r="H1904" s="2" t="s">
        <v>0</v>
      </c>
      <c r="I1904" s="2">
        <v>1126.03</v>
      </c>
    </row>
    <row r="1905">
      <c r="A1905" s="1" t="s">
        <v>3802</v>
      </c>
      <c r="B1905" s="2" t="s">
        <v>0</v>
      </c>
      <c r="C1905" s="2">
        <v>756.55</v>
      </c>
      <c r="D1905" s="2" t="s">
        <v>0</v>
      </c>
      <c r="E1905" s="2">
        <v>1431.5</v>
      </c>
      <c r="G1905" s="1" t="s">
        <v>3803</v>
      </c>
      <c r="H1905" s="2" t="s">
        <v>0</v>
      </c>
      <c r="I1905" s="2">
        <v>1126.03</v>
      </c>
    </row>
    <row r="1906">
      <c r="A1906" s="1" t="s">
        <v>3804</v>
      </c>
      <c r="B1906" s="2">
        <v>753.89</v>
      </c>
      <c r="C1906" s="2">
        <v>753.89</v>
      </c>
      <c r="D1906" s="2">
        <v>1404.02</v>
      </c>
      <c r="E1906" s="2">
        <v>1404.02</v>
      </c>
      <c r="G1906" s="1" t="s">
        <v>3805</v>
      </c>
      <c r="H1906" s="2">
        <v>1125.46</v>
      </c>
      <c r="I1906" s="2">
        <v>1125.46</v>
      </c>
    </row>
    <row r="1907">
      <c r="A1907" s="1" t="s">
        <v>3806</v>
      </c>
      <c r="B1907" s="2">
        <v>778.12</v>
      </c>
      <c r="C1907" s="2">
        <v>778.12</v>
      </c>
      <c r="D1907" s="2">
        <v>1462.11</v>
      </c>
      <c r="E1907" s="2">
        <v>1462.11</v>
      </c>
      <c r="G1907" s="1" t="s">
        <v>3807</v>
      </c>
      <c r="H1907" s="2">
        <v>1163.88</v>
      </c>
      <c r="I1907" s="2">
        <v>1163.88</v>
      </c>
    </row>
    <row r="1908">
      <c r="A1908" s="1" t="s">
        <v>3808</v>
      </c>
      <c r="B1908" s="2">
        <v>794.35</v>
      </c>
      <c r="C1908" s="2">
        <v>794.35</v>
      </c>
      <c r="D1908" s="2">
        <v>1491.22</v>
      </c>
      <c r="E1908" s="2">
        <v>1491.22</v>
      </c>
      <c r="G1908" s="1" t="s">
        <v>3809</v>
      </c>
      <c r="H1908" s="2">
        <v>1169.95</v>
      </c>
      <c r="I1908" s="2">
        <v>1169.95</v>
      </c>
    </row>
    <row r="1909">
      <c r="A1909" s="1" t="s">
        <v>3810</v>
      </c>
      <c r="B1909" s="2">
        <v>784.04</v>
      </c>
      <c r="C1909" s="2">
        <v>784.04</v>
      </c>
      <c r="D1909" s="2">
        <v>1483.48</v>
      </c>
      <c r="E1909" s="2">
        <v>1483.48</v>
      </c>
      <c r="G1909" s="1" t="s">
        <v>3811</v>
      </c>
      <c r="H1909" s="2">
        <v>1161.81</v>
      </c>
      <c r="I1909" s="2">
        <v>1161.81</v>
      </c>
    </row>
    <row r="1910">
      <c r="A1910" s="1" t="s">
        <v>3812</v>
      </c>
      <c r="B1910" s="2">
        <v>768.54</v>
      </c>
      <c r="C1910" s="2">
        <v>768.54</v>
      </c>
      <c r="D1910" s="2">
        <v>1457.27</v>
      </c>
      <c r="E1910" s="2">
        <v>1457.27</v>
      </c>
      <c r="G1910" s="1" t="s">
        <v>3813</v>
      </c>
      <c r="H1910" s="2">
        <v>1170.94</v>
      </c>
      <c r="I1910" s="2">
        <v>1170.94</v>
      </c>
    </row>
    <row r="1911">
      <c r="A1911" s="1" t="s">
        <v>3814</v>
      </c>
      <c r="B1911" s="2" t="s">
        <v>0</v>
      </c>
      <c r="C1911" s="2">
        <v>768.54</v>
      </c>
      <c r="D1911" s="2" t="s">
        <v>0</v>
      </c>
      <c r="E1911" s="2">
        <v>1457.27</v>
      </c>
      <c r="G1911" s="1" t="s">
        <v>3815</v>
      </c>
      <c r="H1911" s="2" t="s">
        <v>0</v>
      </c>
      <c r="I1911" s="2">
        <v>1170.94</v>
      </c>
    </row>
    <row r="1912">
      <c r="A1912" s="1" t="s">
        <v>3816</v>
      </c>
      <c r="B1912" s="2" t="s">
        <v>0</v>
      </c>
      <c r="C1912" s="2">
        <v>768.54</v>
      </c>
      <c r="D1912" s="2" t="s">
        <v>0</v>
      </c>
      <c r="E1912" s="2">
        <v>1457.27</v>
      </c>
      <c r="G1912" s="1" t="s">
        <v>3817</v>
      </c>
      <c r="H1912" s="2" t="s">
        <v>0</v>
      </c>
      <c r="I1912" s="2">
        <v>1170.94</v>
      </c>
    </row>
    <row r="1913">
      <c r="A1913" s="1" t="s">
        <v>3818</v>
      </c>
      <c r="B1913" s="2">
        <v>822.92</v>
      </c>
      <c r="C1913" s="2">
        <v>822.92</v>
      </c>
      <c r="D1913" s="2">
        <v>1555.77</v>
      </c>
      <c r="E1913" s="2">
        <v>1555.77</v>
      </c>
      <c r="G1913" s="1" t="s">
        <v>3819</v>
      </c>
      <c r="H1913" s="2">
        <v>1193.52</v>
      </c>
      <c r="I1913" s="2">
        <v>1193.52</v>
      </c>
    </row>
    <row r="1914">
      <c r="A1914" s="1" t="s">
        <v>3820</v>
      </c>
      <c r="B1914" s="2">
        <v>806.25</v>
      </c>
      <c r="C1914" s="2">
        <v>806.25</v>
      </c>
      <c r="D1914" s="2">
        <v>1516.52</v>
      </c>
      <c r="E1914" s="2">
        <v>1516.52</v>
      </c>
      <c r="G1914" s="1" t="s">
        <v>3821</v>
      </c>
      <c r="H1914" s="2">
        <v>1221.7</v>
      </c>
      <c r="I1914" s="2">
        <v>1221.7</v>
      </c>
    </row>
    <row r="1915">
      <c r="A1915" s="1" t="s">
        <v>3822</v>
      </c>
      <c r="B1915" s="2">
        <v>813.88</v>
      </c>
      <c r="C1915" s="2">
        <v>813.88</v>
      </c>
      <c r="D1915" s="2">
        <v>1528.95</v>
      </c>
      <c r="E1915" s="2">
        <v>1528.95</v>
      </c>
      <c r="G1915" s="1" t="s">
        <v>3823</v>
      </c>
      <c r="H1915" s="2">
        <v>1229.02</v>
      </c>
      <c r="I1915" s="2">
        <v>1229.02</v>
      </c>
    </row>
    <row r="1916">
      <c r="A1916" s="1" t="s">
        <v>3824</v>
      </c>
      <c r="B1916" s="2">
        <v>832.86</v>
      </c>
      <c r="C1916" s="2">
        <v>832.86</v>
      </c>
      <c r="D1916" s="2">
        <v>1587.0</v>
      </c>
      <c r="E1916" s="2">
        <v>1587.0</v>
      </c>
      <c r="G1916" s="1" t="s">
        <v>3825</v>
      </c>
      <c r="H1916" s="2">
        <v>1243.8</v>
      </c>
      <c r="I1916" s="2">
        <v>1243.8</v>
      </c>
    </row>
    <row r="1917">
      <c r="A1917" s="1" t="s">
        <v>3826</v>
      </c>
      <c r="B1917" s="2">
        <v>815.94</v>
      </c>
      <c r="C1917" s="2">
        <v>815.94</v>
      </c>
      <c r="D1917" s="2">
        <v>1545.2</v>
      </c>
      <c r="E1917" s="2">
        <v>1545.2</v>
      </c>
      <c r="G1917" s="1" t="s">
        <v>3827</v>
      </c>
      <c r="H1917" s="2">
        <v>1237.51</v>
      </c>
      <c r="I1917" s="2">
        <v>1237.51</v>
      </c>
    </row>
    <row r="1918">
      <c r="A1918" s="1" t="s">
        <v>3828</v>
      </c>
      <c r="B1918" s="2" t="s">
        <v>0</v>
      </c>
      <c r="C1918" s="2">
        <v>815.94</v>
      </c>
      <c r="D1918" s="2" t="s">
        <v>0</v>
      </c>
      <c r="E1918" s="2">
        <v>1545.2</v>
      </c>
      <c r="G1918" s="1" t="s">
        <v>3829</v>
      </c>
      <c r="H1918" s="2" t="s">
        <v>0</v>
      </c>
      <c r="I1918" s="2">
        <v>1237.51</v>
      </c>
    </row>
    <row r="1919">
      <c r="A1919" s="1" t="s">
        <v>3830</v>
      </c>
      <c r="B1919" s="2" t="s">
        <v>0</v>
      </c>
      <c r="C1919" s="2">
        <v>815.94</v>
      </c>
      <c r="D1919" s="2" t="s">
        <v>0</v>
      </c>
      <c r="E1919" s="2">
        <v>1545.2</v>
      </c>
      <c r="G1919" s="1" t="s">
        <v>3831</v>
      </c>
      <c r="H1919" s="2" t="s">
        <v>0</v>
      </c>
      <c r="I1919" s="2">
        <v>1237.51</v>
      </c>
    </row>
    <row r="1920">
      <c r="A1920" s="1" t="s">
        <v>3832</v>
      </c>
      <c r="B1920" s="2">
        <v>787.53</v>
      </c>
      <c r="C1920" s="2">
        <v>787.53</v>
      </c>
      <c r="D1920" s="2">
        <v>1501.8</v>
      </c>
      <c r="E1920" s="2">
        <v>1501.8</v>
      </c>
      <c r="G1920" s="1" t="s">
        <v>3833</v>
      </c>
      <c r="H1920" s="2">
        <v>1197.46</v>
      </c>
      <c r="I1920" s="2">
        <v>1197.46</v>
      </c>
    </row>
    <row r="1921">
      <c r="A1921" s="1" t="s">
        <v>3834</v>
      </c>
      <c r="B1921" s="2">
        <v>797.87</v>
      </c>
      <c r="C1921" s="2">
        <v>797.87</v>
      </c>
      <c r="D1921" s="2">
        <v>1528.59</v>
      </c>
      <c r="E1921" s="2">
        <v>1528.59</v>
      </c>
      <c r="G1921" s="1" t="s">
        <v>3835</v>
      </c>
      <c r="H1921" s="2">
        <v>1206.26</v>
      </c>
      <c r="I1921" s="2">
        <v>1206.26</v>
      </c>
    </row>
    <row r="1922">
      <c r="A1922" s="1" t="s">
        <v>3836</v>
      </c>
      <c r="B1922" s="2">
        <v>811.08</v>
      </c>
      <c r="C1922" s="2">
        <v>811.08</v>
      </c>
      <c r="D1922" s="2">
        <v>1551.6</v>
      </c>
      <c r="E1922" s="2">
        <v>1551.6</v>
      </c>
      <c r="G1922" s="1" t="s">
        <v>3837</v>
      </c>
      <c r="H1922" s="2">
        <v>1233.36</v>
      </c>
      <c r="I1922" s="2">
        <v>1233.36</v>
      </c>
    </row>
    <row r="1923">
      <c r="A1923" s="1" t="s">
        <v>3838</v>
      </c>
      <c r="B1923" s="2">
        <v>834.38</v>
      </c>
      <c r="C1923" s="2">
        <v>834.38</v>
      </c>
      <c r="D1923" s="2">
        <v>1602.63</v>
      </c>
      <c r="E1923" s="2">
        <v>1602.63</v>
      </c>
      <c r="G1923" s="1" t="s">
        <v>3839</v>
      </c>
      <c r="H1923" s="2">
        <v>1276.97</v>
      </c>
      <c r="I1923" s="2">
        <v>1276.97</v>
      </c>
    </row>
    <row r="1924">
      <c r="A1924" s="1" t="s">
        <v>3840</v>
      </c>
      <c r="B1924" s="2">
        <v>842.5</v>
      </c>
      <c r="C1924" s="2">
        <v>842.5</v>
      </c>
      <c r="D1924" s="2">
        <v>1621.87</v>
      </c>
      <c r="E1924" s="2">
        <v>1621.87</v>
      </c>
      <c r="G1924" s="1" t="s">
        <v>3841</v>
      </c>
      <c r="H1924" s="2">
        <v>1283.75</v>
      </c>
      <c r="I1924" s="2">
        <v>1283.75</v>
      </c>
    </row>
    <row r="1925">
      <c r="A1925" s="1" t="s">
        <v>3842</v>
      </c>
      <c r="B1925" s="2" t="s">
        <v>0</v>
      </c>
      <c r="C1925" s="2">
        <v>842.5</v>
      </c>
      <c r="D1925" s="2" t="s">
        <v>0</v>
      </c>
      <c r="E1925" s="2">
        <v>1621.87</v>
      </c>
      <c r="G1925" s="1" t="s">
        <v>3843</v>
      </c>
      <c r="H1925" s="2" t="s">
        <v>0</v>
      </c>
      <c r="I1925" s="2">
        <v>1283.75</v>
      </c>
    </row>
    <row r="1926">
      <c r="A1926" s="1" t="s">
        <v>3844</v>
      </c>
      <c r="B1926" s="2" t="s">
        <v>0</v>
      </c>
      <c r="C1926" s="2">
        <v>842.5</v>
      </c>
      <c r="D1926" s="2" t="s">
        <v>0</v>
      </c>
      <c r="E1926" s="2">
        <v>1621.87</v>
      </c>
      <c r="G1926" s="1" t="s">
        <v>3845</v>
      </c>
      <c r="H1926" s="2" t="s">
        <v>0</v>
      </c>
      <c r="I1926" s="2">
        <v>1283.75</v>
      </c>
    </row>
    <row r="1927">
      <c r="A1927" s="1" t="s">
        <v>3846</v>
      </c>
      <c r="B1927" s="2">
        <v>835.48</v>
      </c>
      <c r="C1927" s="2">
        <v>835.48</v>
      </c>
      <c r="D1927" s="2">
        <v>1606.71</v>
      </c>
      <c r="E1927" s="2">
        <v>1606.71</v>
      </c>
      <c r="G1927" s="1" t="s">
        <v>3847</v>
      </c>
      <c r="H1927" s="2">
        <v>1297.85</v>
      </c>
      <c r="I1927" s="2">
        <v>1297.85</v>
      </c>
    </row>
    <row r="1928">
      <c r="A1928" s="1" t="s">
        <v>3848</v>
      </c>
      <c r="B1928" s="2">
        <v>815.55</v>
      </c>
      <c r="C1928" s="2">
        <v>815.55</v>
      </c>
      <c r="D1928" s="2">
        <v>1561.61</v>
      </c>
      <c r="E1928" s="2">
        <v>1561.61</v>
      </c>
      <c r="G1928" s="1" t="s">
        <v>3849</v>
      </c>
      <c r="H1928" s="2">
        <v>1300.1</v>
      </c>
      <c r="I1928" s="2">
        <v>1300.1</v>
      </c>
    </row>
    <row r="1929">
      <c r="A1929" s="1" t="s">
        <v>3850</v>
      </c>
      <c r="B1929" s="2">
        <v>825.16</v>
      </c>
      <c r="C1929" s="2">
        <v>825.16</v>
      </c>
      <c r="D1929" s="2">
        <v>1590.66</v>
      </c>
      <c r="E1929" s="2">
        <v>1590.66</v>
      </c>
      <c r="G1929" s="1" t="s">
        <v>3851</v>
      </c>
      <c r="H1929" s="2">
        <v>1262.07</v>
      </c>
      <c r="I1929" s="2">
        <v>1262.07</v>
      </c>
    </row>
    <row r="1930">
      <c r="A1930" s="1" t="s">
        <v>3852</v>
      </c>
      <c r="B1930" s="2">
        <v>856.56</v>
      </c>
      <c r="C1930" s="2">
        <v>856.56</v>
      </c>
      <c r="D1930" s="2">
        <v>1652.54</v>
      </c>
      <c r="E1930" s="2">
        <v>1652.54</v>
      </c>
      <c r="G1930" s="1" t="s">
        <v>3853</v>
      </c>
      <c r="H1930" s="2">
        <v>1316.35</v>
      </c>
      <c r="I1930" s="2">
        <v>1316.35</v>
      </c>
    </row>
    <row r="1931">
      <c r="A1931" s="1" t="s">
        <v>3854</v>
      </c>
      <c r="B1931" s="2" t="s">
        <v>0</v>
      </c>
      <c r="C1931" s="2">
        <v>856.56</v>
      </c>
      <c r="D1931" s="2" t="s">
        <v>0</v>
      </c>
      <c r="E1931" s="2">
        <v>1652.54</v>
      </c>
      <c r="G1931" s="1" t="s">
        <v>3855</v>
      </c>
      <c r="H1931" s="2">
        <v>1336.04</v>
      </c>
      <c r="I1931" s="2">
        <v>1336.04</v>
      </c>
    </row>
    <row r="1932">
      <c r="A1932" s="1" t="s">
        <v>3856</v>
      </c>
      <c r="B1932" s="2" t="s">
        <v>0</v>
      </c>
      <c r="C1932" s="2">
        <v>856.56</v>
      </c>
      <c r="D1932" s="2" t="s">
        <v>0</v>
      </c>
      <c r="E1932" s="2">
        <v>1652.54</v>
      </c>
      <c r="G1932" s="1" t="s">
        <v>3857</v>
      </c>
      <c r="H1932" s="2" t="s">
        <v>0</v>
      </c>
      <c r="I1932" s="2">
        <v>1336.04</v>
      </c>
    </row>
    <row r="1933">
      <c r="A1933" s="1" t="s">
        <v>3858</v>
      </c>
      <c r="B1933" s="2" t="s">
        <v>0</v>
      </c>
      <c r="C1933" s="2">
        <v>856.56</v>
      </c>
      <c r="D1933" s="2" t="s">
        <v>0</v>
      </c>
      <c r="E1933" s="2">
        <v>1652.54</v>
      </c>
      <c r="G1933" s="1" t="s">
        <v>3859</v>
      </c>
      <c r="H1933" s="2" t="s">
        <v>0</v>
      </c>
      <c r="I1933" s="2">
        <v>1336.04</v>
      </c>
    </row>
    <row r="1934">
      <c r="A1934" s="1" t="s">
        <v>3860</v>
      </c>
      <c r="B1934" s="2">
        <v>858.73</v>
      </c>
      <c r="C1934" s="2">
        <v>858.73</v>
      </c>
      <c r="D1934" s="2">
        <v>1653.31</v>
      </c>
      <c r="E1934" s="2">
        <v>1653.31</v>
      </c>
      <c r="G1934" s="1" t="s">
        <v>3861</v>
      </c>
      <c r="H1934" s="2">
        <v>1338.26</v>
      </c>
      <c r="I1934" s="2">
        <v>1338.26</v>
      </c>
    </row>
    <row r="1935">
      <c r="A1935" s="1" t="s">
        <v>3862</v>
      </c>
      <c r="B1935" s="2">
        <v>841.5</v>
      </c>
      <c r="C1935" s="2">
        <v>841.5</v>
      </c>
      <c r="D1935" s="2">
        <v>1625.72</v>
      </c>
      <c r="E1935" s="2">
        <v>1625.72</v>
      </c>
      <c r="G1935" s="1" t="s">
        <v>3863</v>
      </c>
      <c r="H1935" s="2">
        <v>1342.63</v>
      </c>
      <c r="I1935" s="2">
        <v>1342.63</v>
      </c>
    </row>
    <row r="1936">
      <c r="A1936" s="1" t="s">
        <v>3864</v>
      </c>
      <c r="B1936" s="2">
        <v>852.06</v>
      </c>
      <c r="C1936" s="2">
        <v>852.06</v>
      </c>
      <c r="D1936" s="2">
        <v>1626.8</v>
      </c>
      <c r="E1936" s="2">
        <v>1626.8</v>
      </c>
      <c r="G1936" s="1" t="s">
        <v>3865</v>
      </c>
      <c r="H1936" s="2">
        <v>1333.09</v>
      </c>
      <c r="I1936" s="2">
        <v>1333.09</v>
      </c>
    </row>
    <row r="1937">
      <c r="A1937" s="1" t="s">
        <v>3866</v>
      </c>
      <c r="B1937" s="2">
        <v>865.3</v>
      </c>
      <c r="C1937" s="2">
        <v>865.3</v>
      </c>
      <c r="D1937" s="2">
        <v>1670.44</v>
      </c>
      <c r="E1937" s="2">
        <v>1670.44</v>
      </c>
      <c r="G1937" s="1" t="s">
        <v>3867</v>
      </c>
      <c r="H1937" s="2">
        <v>1336.72</v>
      </c>
      <c r="I1937" s="2">
        <v>1336.72</v>
      </c>
    </row>
    <row r="1938">
      <c r="A1938" s="1" t="s">
        <v>3868</v>
      </c>
      <c r="B1938" s="2">
        <v>869.6</v>
      </c>
      <c r="C1938" s="2">
        <v>869.6</v>
      </c>
      <c r="D1938" s="2">
        <v>1673.07</v>
      </c>
      <c r="E1938" s="2">
        <v>1673.07</v>
      </c>
      <c r="G1938" s="1" t="s">
        <v>3869</v>
      </c>
      <c r="H1938" s="2">
        <v>1329.0</v>
      </c>
      <c r="I1938" s="2">
        <v>1329.0</v>
      </c>
    </row>
    <row r="1939">
      <c r="A1939" s="1" t="s">
        <v>3870</v>
      </c>
      <c r="B1939" s="2" t="s">
        <v>0</v>
      </c>
      <c r="C1939" s="2">
        <v>869.6</v>
      </c>
      <c r="D1939" s="2" t="s">
        <v>0</v>
      </c>
      <c r="E1939" s="2">
        <v>1673.07</v>
      </c>
      <c r="G1939" s="1" t="s">
        <v>3871</v>
      </c>
      <c r="H1939" s="2" t="s">
        <v>0</v>
      </c>
      <c r="I1939" s="2">
        <v>1329.0</v>
      </c>
    </row>
    <row r="1940">
      <c r="A1940" s="1" t="s">
        <v>3872</v>
      </c>
      <c r="B1940" s="2" t="s">
        <v>0</v>
      </c>
      <c r="C1940" s="2">
        <v>869.6</v>
      </c>
      <c r="D1940" s="2" t="s">
        <v>0</v>
      </c>
      <c r="E1940" s="2">
        <v>1673.07</v>
      </c>
      <c r="G1940" s="1" t="s">
        <v>3873</v>
      </c>
      <c r="H1940" s="2" t="s">
        <v>0</v>
      </c>
      <c r="I1940" s="2">
        <v>1329.0</v>
      </c>
    </row>
    <row r="1941">
      <c r="A1941" s="1" t="s">
        <v>3874</v>
      </c>
      <c r="B1941" s="2">
        <v>832.39</v>
      </c>
      <c r="C1941" s="2">
        <v>832.39</v>
      </c>
      <c r="D1941" s="2">
        <v>1608.21</v>
      </c>
      <c r="E1941" s="2">
        <v>1608.21</v>
      </c>
      <c r="G1941" s="1" t="s">
        <v>3875</v>
      </c>
      <c r="H1941" s="2">
        <v>1336.39</v>
      </c>
      <c r="I1941" s="2">
        <v>1336.39</v>
      </c>
    </row>
    <row r="1942">
      <c r="A1942" s="1" t="s">
        <v>3876</v>
      </c>
      <c r="B1942" s="2">
        <v>850.08</v>
      </c>
      <c r="C1942" s="2">
        <v>850.08</v>
      </c>
      <c r="D1942" s="2">
        <v>1643.85</v>
      </c>
      <c r="E1942" s="2">
        <v>1643.85</v>
      </c>
      <c r="G1942" s="1" t="s">
        <v>3877</v>
      </c>
      <c r="H1942" s="2">
        <v>1336.81</v>
      </c>
      <c r="I1942" s="2">
        <v>1336.81</v>
      </c>
    </row>
    <row r="1943">
      <c r="A1943" s="1" t="s">
        <v>3878</v>
      </c>
      <c r="B1943" s="2">
        <v>843.55</v>
      </c>
      <c r="C1943" s="2">
        <v>843.55</v>
      </c>
      <c r="D1943" s="2">
        <v>1646.12</v>
      </c>
      <c r="E1943" s="2">
        <v>1646.12</v>
      </c>
      <c r="G1943" s="1" t="s">
        <v>3879</v>
      </c>
      <c r="H1943" s="2">
        <v>1356.02</v>
      </c>
      <c r="I1943" s="2">
        <v>1356.02</v>
      </c>
    </row>
    <row r="1944">
      <c r="A1944" s="1" t="s">
        <v>3880</v>
      </c>
      <c r="B1944" s="2">
        <v>851.92</v>
      </c>
      <c r="C1944" s="2">
        <v>851.92</v>
      </c>
      <c r="D1944" s="2">
        <v>1652.21</v>
      </c>
      <c r="E1944" s="2">
        <v>1652.21</v>
      </c>
      <c r="G1944" s="1" t="s">
        <v>3881</v>
      </c>
      <c r="H1944" s="2">
        <v>1368.8</v>
      </c>
      <c r="I1944" s="2">
        <v>1368.8</v>
      </c>
    </row>
    <row r="1945">
      <c r="A1945" s="1" t="s">
        <v>3882</v>
      </c>
      <c r="B1945" s="2">
        <v>866.23</v>
      </c>
      <c r="C1945" s="2">
        <v>866.23</v>
      </c>
      <c r="D1945" s="2">
        <v>1694.29</v>
      </c>
      <c r="E1945" s="2">
        <v>1694.29</v>
      </c>
      <c r="G1945" s="1" t="s">
        <v>3883</v>
      </c>
      <c r="H1945" s="2">
        <v>1354.1</v>
      </c>
      <c r="I1945" s="2">
        <v>1354.1</v>
      </c>
    </row>
    <row r="1946">
      <c r="A1946" s="1" t="s">
        <v>3884</v>
      </c>
      <c r="B1946" s="2" t="s">
        <v>0</v>
      </c>
      <c r="C1946" s="2">
        <v>866.23</v>
      </c>
      <c r="D1946" s="2" t="s">
        <v>0</v>
      </c>
      <c r="E1946" s="2">
        <v>1694.29</v>
      </c>
      <c r="G1946" s="1" t="s">
        <v>3885</v>
      </c>
      <c r="H1946" s="2" t="s">
        <v>0</v>
      </c>
      <c r="I1946" s="2">
        <v>1354.1</v>
      </c>
    </row>
    <row r="1947">
      <c r="A1947" s="1" t="s">
        <v>3886</v>
      </c>
      <c r="B1947" s="2" t="s">
        <v>0</v>
      </c>
      <c r="C1947" s="2">
        <v>866.23</v>
      </c>
      <c r="D1947" s="2" t="s">
        <v>0</v>
      </c>
      <c r="E1947" s="2">
        <v>1694.29</v>
      </c>
      <c r="G1947" s="1" t="s">
        <v>3887</v>
      </c>
      <c r="H1947" s="2" t="s">
        <v>0</v>
      </c>
      <c r="I1947" s="2">
        <v>1354.1</v>
      </c>
    </row>
    <row r="1948">
      <c r="A1948" s="1" t="s">
        <v>3888</v>
      </c>
      <c r="B1948" s="2">
        <v>857.51</v>
      </c>
      <c r="C1948" s="2">
        <v>857.51</v>
      </c>
      <c r="D1948" s="2">
        <v>1679.41</v>
      </c>
      <c r="E1948" s="2">
        <v>1679.41</v>
      </c>
      <c r="G1948" s="1" t="s">
        <v>3889</v>
      </c>
      <c r="H1948" s="2">
        <v>1339.83</v>
      </c>
      <c r="I1948" s="2">
        <v>1339.83</v>
      </c>
    </row>
    <row r="1949">
      <c r="A1949" s="1" t="s">
        <v>3890</v>
      </c>
      <c r="B1949" s="2">
        <v>855.16</v>
      </c>
      <c r="C1949" s="2">
        <v>855.16</v>
      </c>
      <c r="D1949" s="2">
        <v>1673.81</v>
      </c>
      <c r="E1949" s="2">
        <v>1673.81</v>
      </c>
      <c r="G1949" s="1" t="s">
        <v>3891</v>
      </c>
      <c r="H1949" s="2">
        <v>1300.24</v>
      </c>
      <c r="I1949" s="2">
        <v>1300.24</v>
      </c>
    </row>
    <row r="1950">
      <c r="A1950" s="1" t="s">
        <v>3892</v>
      </c>
      <c r="B1950" s="2">
        <v>873.64</v>
      </c>
      <c r="C1950" s="2">
        <v>873.64</v>
      </c>
      <c r="D1950" s="2">
        <v>1711.94</v>
      </c>
      <c r="E1950" s="2">
        <v>1711.94</v>
      </c>
      <c r="G1950" s="1" t="s">
        <v>3893</v>
      </c>
      <c r="H1950" s="2">
        <v>1338.42</v>
      </c>
      <c r="I1950" s="2">
        <v>1338.42</v>
      </c>
    </row>
    <row r="1951">
      <c r="A1951" s="1" t="s">
        <v>3894</v>
      </c>
      <c r="B1951" s="2">
        <v>872.81</v>
      </c>
      <c r="C1951" s="2">
        <v>872.81</v>
      </c>
      <c r="D1951" s="2">
        <v>1717.3</v>
      </c>
      <c r="E1951" s="2">
        <v>1717.3</v>
      </c>
      <c r="G1951" s="1" t="s">
        <v>3895</v>
      </c>
      <c r="H1951" s="2">
        <v>1369.36</v>
      </c>
      <c r="I1951" s="2">
        <v>1369.36</v>
      </c>
    </row>
    <row r="1952">
      <c r="A1952" s="1" t="s">
        <v>3896</v>
      </c>
      <c r="B1952" s="2">
        <v>877.52</v>
      </c>
      <c r="C1952" s="2">
        <v>877.52</v>
      </c>
      <c r="D1952" s="2">
        <v>1719.2</v>
      </c>
      <c r="E1952" s="2">
        <v>1719.2</v>
      </c>
      <c r="G1952" s="1" t="s">
        <v>3897</v>
      </c>
      <c r="H1952" s="2" t="s">
        <v>0</v>
      </c>
      <c r="I1952" s="2">
        <v>1369.36</v>
      </c>
    </row>
    <row r="1953">
      <c r="A1953" s="1" t="s">
        <v>3898</v>
      </c>
      <c r="B1953" s="2" t="s">
        <v>0</v>
      </c>
      <c r="C1953" s="2">
        <v>877.52</v>
      </c>
      <c r="D1953" s="2" t="s">
        <v>0</v>
      </c>
      <c r="E1953" s="2">
        <v>1719.2</v>
      </c>
      <c r="G1953" s="1" t="s">
        <v>3899</v>
      </c>
      <c r="H1953" s="2" t="s">
        <v>0</v>
      </c>
      <c r="I1953" s="2">
        <v>1369.36</v>
      </c>
    </row>
    <row r="1954">
      <c r="A1954" s="1" t="s">
        <v>3900</v>
      </c>
      <c r="B1954" s="2" t="s">
        <v>0</v>
      </c>
      <c r="C1954" s="2">
        <v>877.52</v>
      </c>
      <c r="D1954" s="2" t="s">
        <v>0</v>
      </c>
      <c r="E1954" s="2">
        <v>1719.2</v>
      </c>
      <c r="G1954" s="1" t="s">
        <v>3901</v>
      </c>
      <c r="H1954" s="2" t="s">
        <v>0</v>
      </c>
      <c r="I1954" s="2">
        <v>1369.36</v>
      </c>
    </row>
    <row r="1955">
      <c r="A1955" s="1" t="s">
        <v>3902</v>
      </c>
      <c r="B1955" s="2">
        <v>907.24</v>
      </c>
      <c r="C1955" s="2">
        <v>907.24</v>
      </c>
      <c r="D1955" s="2">
        <v>1763.56</v>
      </c>
      <c r="E1955" s="2">
        <v>1763.56</v>
      </c>
      <c r="G1955" s="1" t="s">
        <v>3903</v>
      </c>
      <c r="H1955" s="2">
        <v>1397.92</v>
      </c>
      <c r="I1955" s="2">
        <v>1397.92</v>
      </c>
    </row>
    <row r="1956">
      <c r="A1956" s="1" t="s">
        <v>3904</v>
      </c>
      <c r="B1956" s="2">
        <v>903.8</v>
      </c>
      <c r="C1956" s="2">
        <v>903.8</v>
      </c>
      <c r="D1956" s="2">
        <v>1754.12</v>
      </c>
      <c r="E1956" s="2">
        <v>1754.12</v>
      </c>
      <c r="G1956" s="1" t="s">
        <v>3905</v>
      </c>
      <c r="H1956" s="2" t="s">
        <v>0</v>
      </c>
      <c r="I1956" s="2">
        <v>1397.92</v>
      </c>
    </row>
    <row r="1957">
      <c r="A1957" s="1" t="s">
        <v>3906</v>
      </c>
      <c r="B1957" s="2">
        <v>919.53</v>
      </c>
      <c r="C1957" s="2">
        <v>919.53</v>
      </c>
      <c r="D1957" s="2">
        <v>1759.1</v>
      </c>
      <c r="E1957" s="2">
        <v>1759.1</v>
      </c>
      <c r="G1957" s="1" t="s">
        <v>3907</v>
      </c>
      <c r="H1957" s="2">
        <v>1393.45</v>
      </c>
      <c r="I1957" s="2">
        <v>1393.45</v>
      </c>
    </row>
    <row r="1958">
      <c r="A1958" s="1" t="s">
        <v>3908</v>
      </c>
      <c r="B1958" s="2">
        <v>907.39</v>
      </c>
      <c r="C1958" s="2">
        <v>907.39</v>
      </c>
      <c r="D1958" s="2">
        <v>1716.24</v>
      </c>
      <c r="E1958" s="2">
        <v>1716.24</v>
      </c>
      <c r="G1958" s="1" t="s">
        <v>3909</v>
      </c>
      <c r="H1958" s="2">
        <v>1401.08</v>
      </c>
      <c r="I1958" s="2">
        <v>1401.08</v>
      </c>
    </row>
    <row r="1959">
      <c r="A1959" s="1" t="s">
        <v>3910</v>
      </c>
      <c r="B1959" s="2">
        <v>929.23</v>
      </c>
      <c r="C1959" s="2">
        <v>929.23</v>
      </c>
      <c r="D1959" s="2">
        <v>1739.0</v>
      </c>
      <c r="E1959" s="2">
        <v>1739.0</v>
      </c>
      <c r="G1959" s="1" t="s">
        <v>3911</v>
      </c>
      <c r="H1959" s="2">
        <v>1412.13</v>
      </c>
      <c r="I1959" s="2">
        <v>1412.13</v>
      </c>
    </row>
    <row r="1960">
      <c r="A1960" s="1" t="s">
        <v>3912</v>
      </c>
      <c r="B1960" s="2" t="s">
        <v>0</v>
      </c>
      <c r="C1960" s="2">
        <v>929.23</v>
      </c>
      <c r="D1960" s="2" t="s">
        <v>0</v>
      </c>
      <c r="E1960" s="2">
        <v>1739.0</v>
      </c>
      <c r="G1960" s="1" t="s">
        <v>3913</v>
      </c>
      <c r="H1960" s="2" t="s">
        <v>0</v>
      </c>
      <c r="I1960" s="2">
        <v>1412.13</v>
      </c>
    </row>
    <row r="1961">
      <c r="A1961" s="1" t="s">
        <v>3914</v>
      </c>
      <c r="B1961" s="2" t="s">
        <v>0</v>
      </c>
      <c r="C1961" s="2">
        <v>929.23</v>
      </c>
      <c r="D1961" s="2" t="s">
        <v>0</v>
      </c>
      <c r="E1961" s="2">
        <v>1739.0</v>
      </c>
      <c r="G1961" s="1" t="s">
        <v>3915</v>
      </c>
      <c r="H1961" s="2" t="s">
        <v>0</v>
      </c>
      <c r="I1961" s="2">
        <v>1412.13</v>
      </c>
    </row>
    <row r="1962">
      <c r="A1962" s="1" t="s">
        <v>3916</v>
      </c>
      <c r="B1962" s="2">
        <v>909.24</v>
      </c>
      <c r="C1962" s="2">
        <v>909.24</v>
      </c>
      <c r="D1962" s="2">
        <v>1731.24</v>
      </c>
      <c r="E1962" s="2">
        <v>1731.24</v>
      </c>
      <c r="G1962" s="1" t="s">
        <v>3917</v>
      </c>
      <c r="H1962" s="2">
        <v>1415.16</v>
      </c>
      <c r="I1962" s="2">
        <v>1415.16</v>
      </c>
    </row>
    <row r="1963">
      <c r="A1963" s="1" t="s">
        <v>3918</v>
      </c>
      <c r="B1963" s="2">
        <v>908.35</v>
      </c>
      <c r="C1963" s="2">
        <v>908.35</v>
      </c>
      <c r="D1963" s="2">
        <v>1715.92</v>
      </c>
      <c r="E1963" s="2">
        <v>1715.92</v>
      </c>
      <c r="G1963" s="1" t="s">
        <v>3919</v>
      </c>
      <c r="H1963" s="2">
        <v>1403.51</v>
      </c>
      <c r="I1963" s="2">
        <v>1403.51</v>
      </c>
    </row>
    <row r="1964">
      <c r="A1964" s="1" t="s">
        <v>3920</v>
      </c>
      <c r="B1964" s="2">
        <v>883.92</v>
      </c>
      <c r="C1964" s="2">
        <v>883.92</v>
      </c>
      <c r="D1964" s="2">
        <v>1664.19</v>
      </c>
      <c r="E1964" s="2">
        <v>1664.19</v>
      </c>
      <c r="G1964" s="1" t="s">
        <v>3921</v>
      </c>
      <c r="H1964" s="2">
        <v>1414.52</v>
      </c>
      <c r="I1964" s="2">
        <v>1414.52</v>
      </c>
    </row>
    <row r="1965">
      <c r="A1965" s="1" t="s">
        <v>3922</v>
      </c>
      <c r="B1965" s="2">
        <v>893.07</v>
      </c>
      <c r="C1965" s="2">
        <v>893.07</v>
      </c>
      <c r="D1965" s="2">
        <v>1689.21</v>
      </c>
      <c r="E1965" s="2">
        <v>1689.21</v>
      </c>
      <c r="G1965" s="1" t="s">
        <v>3923</v>
      </c>
      <c r="H1965" s="2">
        <v>1380.95</v>
      </c>
      <c r="I1965" s="2">
        <v>1380.95</v>
      </c>
    </row>
    <row r="1966">
      <c r="A1966" s="1" t="s">
        <v>3924</v>
      </c>
      <c r="B1966" s="2">
        <v>882.88</v>
      </c>
      <c r="C1966" s="2">
        <v>882.88</v>
      </c>
      <c r="D1966" s="2">
        <v>1680.14</v>
      </c>
      <c r="E1966" s="2">
        <v>1680.14</v>
      </c>
      <c r="G1966" s="1" t="s">
        <v>3925</v>
      </c>
      <c r="H1966" s="2">
        <v>1391.73</v>
      </c>
      <c r="I1966" s="2">
        <v>1391.73</v>
      </c>
    </row>
    <row r="1967">
      <c r="A1967" s="1" t="s">
        <v>3926</v>
      </c>
      <c r="B1967" s="2" t="s">
        <v>0</v>
      </c>
      <c r="C1967" s="2">
        <v>882.88</v>
      </c>
      <c r="D1967" s="2" t="s">
        <v>0</v>
      </c>
      <c r="E1967" s="2">
        <v>1680.14</v>
      </c>
      <c r="G1967" s="1" t="s">
        <v>3927</v>
      </c>
      <c r="H1967" s="2" t="s">
        <v>0</v>
      </c>
      <c r="I1967" s="2">
        <v>1391.73</v>
      </c>
    </row>
    <row r="1968">
      <c r="A1968" s="1" t="s">
        <v>3928</v>
      </c>
      <c r="B1968" s="2" t="s">
        <v>0</v>
      </c>
      <c r="C1968" s="2">
        <v>882.88</v>
      </c>
      <c r="D1968" s="2" t="s">
        <v>0</v>
      </c>
      <c r="E1968" s="2">
        <v>1680.14</v>
      </c>
      <c r="G1968" s="1" t="s">
        <v>3929</v>
      </c>
      <c r="H1968" s="2" t="s">
        <v>0</v>
      </c>
      <c r="I1968" s="2">
        <v>1391.73</v>
      </c>
    </row>
    <row r="1969">
      <c r="A1969" s="1" t="s">
        <v>3930</v>
      </c>
      <c r="B1969" s="2">
        <v>909.71</v>
      </c>
      <c r="C1969" s="2">
        <v>909.71</v>
      </c>
      <c r="D1969" s="2">
        <v>1732.36</v>
      </c>
      <c r="E1969" s="2">
        <v>1732.36</v>
      </c>
      <c r="G1969" s="1" t="s">
        <v>3931</v>
      </c>
      <c r="H1969" s="2">
        <v>1386.68</v>
      </c>
      <c r="I1969" s="2">
        <v>1386.68</v>
      </c>
    </row>
    <row r="1970">
      <c r="A1970" s="1" t="s">
        <v>3932</v>
      </c>
      <c r="B1970" s="2">
        <v>908.13</v>
      </c>
      <c r="C1970" s="2">
        <v>908.13</v>
      </c>
      <c r="D1970" s="2">
        <v>1734.54</v>
      </c>
      <c r="E1970" s="2">
        <v>1734.54</v>
      </c>
      <c r="G1970" s="1" t="s">
        <v>3933</v>
      </c>
      <c r="H1970" s="2">
        <v>1428.21</v>
      </c>
      <c r="I1970" s="2">
        <v>1428.21</v>
      </c>
    </row>
    <row r="1971">
      <c r="A1971" s="1" t="s">
        <v>3934</v>
      </c>
      <c r="B1971" s="2">
        <v>903.47</v>
      </c>
      <c r="C1971" s="2">
        <v>903.47</v>
      </c>
      <c r="D1971" s="2">
        <v>1727.84</v>
      </c>
      <c r="E1971" s="2">
        <v>1727.84</v>
      </c>
      <c r="G1971" s="1" t="s">
        <v>3935</v>
      </c>
      <c r="H1971" s="2">
        <v>1435.7</v>
      </c>
      <c r="I1971" s="2">
        <v>1435.7</v>
      </c>
    </row>
    <row r="1972">
      <c r="A1972" s="1" t="s">
        <v>3936</v>
      </c>
      <c r="B1972" s="2">
        <v>888.33</v>
      </c>
      <c r="C1972" s="2">
        <v>888.33</v>
      </c>
      <c r="D1972" s="2">
        <v>1695.25</v>
      </c>
      <c r="E1972" s="2">
        <v>1695.25</v>
      </c>
      <c r="G1972" s="1" t="s">
        <v>3937</v>
      </c>
      <c r="H1972" s="2">
        <v>1421.65</v>
      </c>
      <c r="I1972" s="2">
        <v>1421.65</v>
      </c>
    </row>
    <row r="1973">
      <c r="A1973" s="1" t="s">
        <v>3938</v>
      </c>
      <c r="B1973" s="2">
        <v>887.0</v>
      </c>
      <c r="C1973" s="2">
        <v>887.0</v>
      </c>
      <c r="D1973" s="2">
        <v>1692.01</v>
      </c>
      <c r="E1973" s="2">
        <v>1692.01</v>
      </c>
      <c r="G1973" s="1" t="s">
        <v>3939</v>
      </c>
      <c r="H1973" s="2">
        <v>1403.75</v>
      </c>
      <c r="I1973" s="2">
        <v>1403.75</v>
      </c>
    </row>
    <row r="1974">
      <c r="A1974" s="1" t="s">
        <v>3940</v>
      </c>
      <c r="B1974" s="2" t="s">
        <v>0</v>
      </c>
      <c r="C1974" s="2">
        <v>887.0</v>
      </c>
      <c r="D1974" s="2" t="s">
        <v>0</v>
      </c>
      <c r="E1974" s="2">
        <v>1692.01</v>
      </c>
      <c r="G1974" s="1" t="s">
        <v>3941</v>
      </c>
      <c r="H1974" s="2" t="s">
        <v>0</v>
      </c>
      <c r="I1974" s="2">
        <v>1403.75</v>
      </c>
    </row>
    <row r="1975">
      <c r="A1975" s="1" t="s">
        <v>3942</v>
      </c>
      <c r="B1975" s="2" t="s">
        <v>0</v>
      </c>
      <c r="C1975" s="2">
        <v>887.0</v>
      </c>
      <c r="D1975" s="2" t="s">
        <v>0</v>
      </c>
      <c r="E1975" s="2">
        <v>1692.01</v>
      </c>
      <c r="G1975" s="1" t="s">
        <v>3943</v>
      </c>
      <c r="H1975" s="2" t="s">
        <v>0</v>
      </c>
      <c r="I1975" s="2">
        <v>1403.75</v>
      </c>
    </row>
    <row r="1976">
      <c r="A1976" s="1" t="s">
        <v>3944</v>
      </c>
      <c r="B1976" s="2" t="s">
        <v>0</v>
      </c>
      <c r="C1976" s="2">
        <v>887.0</v>
      </c>
      <c r="D1976" s="2" t="s">
        <v>0</v>
      </c>
      <c r="E1976" s="2">
        <v>1692.01</v>
      </c>
      <c r="G1976" s="1" t="s">
        <v>3945</v>
      </c>
      <c r="H1976" s="2">
        <v>1400.9</v>
      </c>
      <c r="I1976" s="2">
        <v>1400.9</v>
      </c>
    </row>
    <row r="1977">
      <c r="A1977" s="1" t="s">
        <v>3946</v>
      </c>
      <c r="B1977" s="2">
        <v>910.33</v>
      </c>
      <c r="C1977" s="2">
        <v>910.33</v>
      </c>
      <c r="D1977" s="2">
        <v>1750.43</v>
      </c>
      <c r="E1977" s="2">
        <v>1750.43</v>
      </c>
      <c r="G1977" s="1" t="s">
        <v>3947</v>
      </c>
      <c r="H1977" s="2">
        <v>1372.04</v>
      </c>
      <c r="I1977" s="2">
        <v>1372.04</v>
      </c>
    </row>
    <row r="1978">
      <c r="A1978" s="1" t="s">
        <v>3948</v>
      </c>
      <c r="B1978" s="2">
        <v>893.06</v>
      </c>
      <c r="C1978" s="2">
        <v>893.06</v>
      </c>
      <c r="D1978" s="2">
        <v>1731.08</v>
      </c>
      <c r="E1978" s="2">
        <v>1731.08</v>
      </c>
      <c r="G1978" s="1" t="s">
        <v>3949</v>
      </c>
      <c r="H1978" s="2">
        <v>1362.02</v>
      </c>
      <c r="I1978" s="2">
        <v>1362.02</v>
      </c>
    </row>
    <row r="1979">
      <c r="A1979" s="1" t="s">
        <v>3950</v>
      </c>
      <c r="B1979" s="2">
        <v>906.83</v>
      </c>
      <c r="C1979" s="2">
        <v>906.83</v>
      </c>
      <c r="D1979" s="2">
        <v>1751.79</v>
      </c>
      <c r="E1979" s="2">
        <v>1751.79</v>
      </c>
      <c r="G1979" s="1" t="s">
        <v>3951</v>
      </c>
      <c r="H1979" s="2">
        <v>1392.17</v>
      </c>
      <c r="I1979" s="2">
        <v>1392.17</v>
      </c>
    </row>
    <row r="1980">
      <c r="A1980" s="1" t="s">
        <v>3952</v>
      </c>
      <c r="B1980" s="2">
        <v>919.14</v>
      </c>
      <c r="C1980" s="2">
        <v>919.14</v>
      </c>
      <c r="D1980" s="2">
        <v>1774.33</v>
      </c>
      <c r="E1980" s="2">
        <v>1774.33</v>
      </c>
      <c r="G1980" s="1" t="s">
        <v>3953</v>
      </c>
      <c r="H1980" s="2">
        <v>1395.89</v>
      </c>
      <c r="I1980" s="2">
        <v>1395.89</v>
      </c>
    </row>
    <row r="1981">
      <c r="A1981" s="1" t="s">
        <v>3954</v>
      </c>
      <c r="B1981" s="2" t="s">
        <v>0</v>
      </c>
      <c r="C1981" s="2">
        <v>919.14</v>
      </c>
      <c r="D1981" s="2" t="s">
        <v>0</v>
      </c>
      <c r="E1981" s="2">
        <v>1774.33</v>
      </c>
      <c r="G1981" s="1" t="s">
        <v>3955</v>
      </c>
      <c r="H1981" s="2" t="s">
        <v>0</v>
      </c>
      <c r="I1981" s="2">
        <v>1395.89</v>
      </c>
    </row>
    <row r="1982">
      <c r="A1982" s="1" t="s">
        <v>3956</v>
      </c>
      <c r="B1982" s="2" t="s">
        <v>0</v>
      </c>
      <c r="C1982" s="2">
        <v>919.14</v>
      </c>
      <c r="D1982" s="2" t="s">
        <v>0</v>
      </c>
      <c r="E1982" s="2">
        <v>1774.33</v>
      </c>
      <c r="G1982" s="1" t="s">
        <v>3957</v>
      </c>
      <c r="H1982" s="2" t="s">
        <v>0</v>
      </c>
      <c r="I1982" s="2">
        <v>1395.89</v>
      </c>
    </row>
    <row r="1983">
      <c r="A1983" s="1" t="s">
        <v>3958</v>
      </c>
      <c r="B1983" s="2">
        <v>942.87</v>
      </c>
      <c r="C1983" s="2">
        <v>942.87</v>
      </c>
      <c r="D1983" s="2">
        <v>1828.68</v>
      </c>
      <c r="E1983" s="2">
        <v>1828.68</v>
      </c>
      <c r="G1983" s="1" t="s">
        <v>3959</v>
      </c>
      <c r="H1983" s="2">
        <v>1415.1</v>
      </c>
      <c r="I1983" s="2">
        <v>1415.1</v>
      </c>
    </row>
    <row r="1984">
      <c r="A1984" s="1" t="s">
        <v>3960</v>
      </c>
      <c r="B1984" s="2">
        <v>944.74</v>
      </c>
      <c r="C1984" s="2">
        <v>944.74</v>
      </c>
      <c r="D1984" s="2">
        <v>1836.8</v>
      </c>
      <c r="E1984" s="2">
        <v>1836.8</v>
      </c>
      <c r="G1984" s="1" t="s">
        <v>3961</v>
      </c>
      <c r="H1984" s="2">
        <v>1412.85</v>
      </c>
      <c r="I1984" s="2">
        <v>1412.85</v>
      </c>
    </row>
    <row r="1985">
      <c r="A1985" s="1" t="s">
        <v>3962</v>
      </c>
      <c r="B1985" s="2">
        <v>931.76</v>
      </c>
      <c r="C1985" s="2">
        <v>931.76</v>
      </c>
      <c r="D1985" s="2">
        <v>1825.92</v>
      </c>
      <c r="E1985" s="2">
        <v>1825.92</v>
      </c>
      <c r="G1985" s="1" t="s">
        <v>3963</v>
      </c>
      <c r="H1985" s="2">
        <v>1414.89</v>
      </c>
      <c r="I1985" s="2">
        <v>1414.89</v>
      </c>
    </row>
    <row r="1986">
      <c r="A1986" s="1" t="s">
        <v>3964</v>
      </c>
      <c r="B1986" s="2">
        <v>942.46</v>
      </c>
      <c r="C1986" s="2">
        <v>942.46</v>
      </c>
      <c r="D1986" s="2">
        <v>1850.02</v>
      </c>
      <c r="E1986" s="2">
        <v>1850.02</v>
      </c>
      <c r="G1986" s="1" t="s">
        <v>3965</v>
      </c>
      <c r="H1986" s="2">
        <v>1378.14</v>
      </c>
      <c r="I1986" s="2">
        <v>1378.14</v>
      </c>
    </row>
    <row r="1987">
      <c r="A1987" s="1" t="s">
        <v>3966</v>
      </c>
      <c r="B1987" s="2">
        <v>940.09</v>
      </c>
      <c r="C1987" s="2">
        <v>940.09</v>
      </c>
      <c r="D1987" s="2">
        <v>1849.42</v>
      </c>
      <c r="E1987" s="2">
        <v>1849.42</v>
      </c>
      <c r="G1987" s="1" t="s">
        <v>3967</v>
      </c>
      <c r="H1987" s="2">
        <v>1394.71</v>
      </c>
      <c r="I1987" s="2">
        <v>1394.71</v>
      </c>
    </row>
    <row r="1988">
      <c r="A1988" s="1" t="s">
        <v>3968</v>
      </c>
      <c r="B1988" s="2" t="s">
        <v>0</v>
      </c>
      <c r="C1988" s="2">
        <v>940.09</v>
      </c>
      <c r="D1988" s="2" t="s">
        <v>0</v>
      </c>
      <c r="E1988" s="2">
        <v>1849.42</v>
      </c>
      <c r="G1988" s="1" t="s">
        <v>3969</v>
      </c>
      <c r="H1988" s="2" t="s">
        <v>0</v>
      </c>
      <c r="I1988" s="2">
        <v>1394.71</v>
      </c>
    </row>
    <row r="1989">
      <c r="A1989" s="1" t="s">
        <v>3970</v>
      </c>
      <c r="B1989" s="2" t="s">
        <v>0</v>
      </c>
      <c r="C1989" s="2">
        <v>940.09</v>
      </c>
      <c r="D1989" s="2" t="s">
        <v>0</v>
      </c>
      <c r="E1989" s="2">
        <v>1849.42</v>
      </c>
      <c r="G1989" s="1" t="s">
        <v>3971</v>
      </c>
      <c r="H1989" s="2" t="s">
        <v>0</v>
      </c>
      <c r="I1989" s="2">
        <v>1394.71</v>
      </c>
    </row>
    <row r="1990">
      <c r="A1990" s="1" t="s">
        <v>3972</v>
      </c>
      <c r="B1990" s="2">
        <v>939.14</v>
      </c>
      <c r="C1990" s="2">
        <v>939.14</v>
      </c>
      <c r="D1990" s="2">
        <v>1842.4</v>
      </c>
      <c r="E1990" s="2">
        <v>1842.4</v>
      </c>
      <c r="G1990" s="1" t="s">
        <v>3973</v>
      </c>
      <c r="H1990" s="2">
        <v>1393.3</v>
      </c>
      <c r="I1990" s="2">
        <v>1393.3</v>
      </c>
    </row>
    <row r="1991">
      <c r="A1991" s="1" t="s">
        <v>3974</v>
      </c>
      <c r="B1991" s="2">
        <v>942.43</v>
      </c>
      <c r="C1991" s="2">
        <v>942.43</v>
      </c>
      <c r="D1991" s="2">
        <v>1860.13</v>
      </c>
      <c r="E1991" s="2">
        <v>1860.13</v>
      </c>
      <c r="G1991" s="1" t="s">
        <v>3975</v>
      </c>
      <c r="H1991" s="2">
        <v>1371.84</v>
      </c>
      <c r="I1991" s="2">
        <v>1371.84</v>
      </c>
    </row>
    <row r="1992">
      <c r="A1992" s="1" t="s">
        <v>3976</v>
      </c>
      <c r="B1992" s="2">
        <v>939.15</v>
      </c>
      <c r="C1992" s="2">
        <v>939.15</v>
      </c>
      <c r="D1992" s="2">
        <v>1853.08</v>
      </c>
      <c r="E1992" s="2">
        <v>1853.08</v>
      </c>
      <c r="G1992" s="1" t="s">
        <v>3977</v>
      </c>
      <c r="H1992" s="2">
        <v>1414.88</v>
      </c>
      <c r="I1992" s="2">
        <v>1414.88</v>
      </c>
    </row>
    <row r="1993">
      <c r="A1993" s="1" t="s">
        <v>3978</v>
      </c>
      <c r="B1993" s="2">
        <v>944.89</v>
      </c>
      <c r="C1993" s="2">
        <v>944.89</v>
      </c>
      <c r="D1993" s="2">
        <v>1862.37</v>
      </c>
      <c r="E1993" s="2">
        <v>1862.37</v>
      </c>
      <c r="G1993" s="1" t="s">
        <v>3979</v>
      </c>
      <c r="H1993" s="2">
        <v>1419.39</v>
      </c>
      <c r="I1993" s="2">
        <v>1419.39</v>
      </c>
    </row>
    <row r="1994">
      <c r="A1994" s="1" t="s">
        <v>3980</v>
      </c>
      <c r="B1994" s="2">
        <v>946.21</v>
      </c>
      <c r="C1994" s="2">
        <v>946.21</v>
      </c>
      <c r="D1994" s="2">
        <v>1858.8</v>
      </c>
      <c r="E1994" s="2">
        <v>1858.8</v>
      </c>
      <c r="G1994" s="1" t="s">
        <v>3981</v>
      </c>
      <c r="H1994" s="2">
        <v>1428.59</v>
      </c>
      <c r="I1994" s="2">
        <v>1428.59</v>
      </c>
    </row>
    <row r="1995">
      <c r="A1995" s="1" t="s">
        <v>3982</v>
      </c>
      <c r="B1995" s="2" t="s">
        <v>0</v>
      </c>
      <c r="C1995" s="2">
        <v>946.21</v>
      </c>
      <c r="D1995" s="2" t="s">
        <v>0</v>
      </c>
      <c r="E1995" s="2">
        <v>1858.8</v>
      </c>
      <c r="G1995" s="1" t="s">
        <v>3983</v>
      </c>
      <c r="H1995" s="2" t="s">
        <v>0</v>
      </c>
      <c r="I1995" s="2">
        <v>1428.59</v>
      </c>
    </row>
    <row r="1996">
      <c r="A1996" s="1" t="s">
        <v>3984</v>
      </c>
      <c r="B1996" s="2" t="s">
        <v>0</v>
      </c>
      <c r="C1996" s="2">
        <v>946.21</v>
      </c>
      <c r="D1996" s="2" t="s">
        <v>0</v>
      </c>
      <c r="E1996" s="2">
        <v>1858.8</v>
      </c>
      <c r="G1996" s="1" t="s">
        <v>3985</v>
      </c>
      <c r="H1996" s="2" t="s">
        <v>0</v>
      </c>
      <c r="I1996" s="2">
        <v>1428.59</v>
      </c>
    </row>
    <row r="1997">
      <c r="A1997" s="1" t="s">
        <v>3986</v>
      </c>
      <c r="B1997" s="2">
        <v>923.72</v>
      </c>
      <c r="C1997" s="2">
        <v>923.72</v>
      </c>
      <c r="D1997" s="2">
        <v>1816.38</v>
      </c>
      <c r="E1997" s="2">
        <v>1816.38</v>
      </c>
      <c r="G1997" s="1" t="s">
        <v>3987</v>
      </c>
      <c r="H1997" s="2">
        <v>1412.42</v>
      </c>
      <c r="I1997" s="2">
        <v>1412.42</v>
      </c>
    </row>
    <row r="1998">
      <c r="A1998" s="1" t="s">
        <v>3988</v>
      </c>
      <c r="B1998" s="2">
        <v>911.97</v>
      </c>
      <c r="C1998" s="2">
        <v>911.97</v>
      </c>
      <c r="D1998" s="2">
        <v>1796.18</v>
      </c>
      <c r="E1998" s="2">
        <v>1796.18</v>
      </c>
      <c r="G1998" s="1" t="s">
        <v>3989</v>
      </c>
      <c r="H1998" s="2">
        <v>1399.15</v>
      </c>
      <c r="I1998" s="2">
        <v>1399.15</v>
      </c>
    </row>
    <row r="1999">
      <c r="A1999" s="1" t="s">
        <v>3990</v>
      </c>
      <c r="B1999" s="2">
        <v>910.71</v>
      </c>
      <c r="C1999" s="2">
        <v>910.71</v>
      </c>
      <c r="D1999" s="2">
        <v>1808.06</v>
      </c>
      <c r="E1999" s="2">
        <v>1808.06</v>
      </c>
      <c r="G1999" s="1" t="s">
        <v>3991</v>
      </c>
      <c r="H1999" s="2">
        <v>1391.17</v>
      </c>
      <c r="I1999" s="2">
        <v>1391.17</v>
      </c>
    </row>
    <row r="2000">
      <c r="A2000" s="1" t="s">
        <v>3992</v>
      </c>
      <c r="B2000" s="2">
        <v>918.37</v>
      </c>
      <c r="C2000" s="2">
        <v>918.37</v>
      </c>
      <c r="D2000" s="2">
        <v>1807.72</v>
      </c>
      <c r="E2000" s="2">
        <v>1807.72</v>
      </c>
      <c r="G2000" s="1" t="s">
        <v>3993</v>
      </c>
      <c r="H2000" s="2">
        <v>1375.76</v>
      </c>
      <c r="I2000" s="2">
        <v>1375.76</v>
      </c>
    </row>
    <row r="2001">
      <c r="A2001" s="1" t="s">
        <v>3994</v>
      </c>
      <c r="B2001" s="2">
        <v>921.23</v>
      </c>
      <c r="C2001" s="2">
        <v>921.23</v>
      </c>
      <c r="D2001" s="2">
        <v>1827.47</v>
      </c>
      <c r="E2001" s="2">
        <v>1827.47</v>
      </c>
      <c r="G2001" s="1" t="s">
        <v>3995</v>
      </c>
      <c r="H2001" s="2">
        <v>1383.34</v>
      </c>
      <c r="I2001" s="2">
        <v>1383.34</v>
      </c>
    </row>
    <row r="2002">
      <c r="A2002" s="1" t="s">
        <v>3996</v>
      </c>
      <c r="B2002" s="2" t="s">
        <v>0</v>
      </c>
      <c r="C2002" s="2">
        <v>921.23</v>
      </c>
      <c r="D2002" s="2" t="s">
        <v>0</v>
      </c>
      <c r="E2002" s="2">
        <v>1827.47</v>
      </c>
      <c r="G2002" s="1" t="s">
        <v>3997</v>
      </c>
      <c r="H2002" s="2" t="s">
        <v>0</v>
      </c>
      <c r="I2002" s="2">
        <v>1383.34</v>
      </c>
    </row>
    <row r="2003">
      <c r="A2003" s="1" t="s">
        <v>3998</v>
      </c>
      <c r="B2003" s="2" t="s">
        <v>0</v>
      </c>
      <c r="C2003" s="2">
        <v>921.23</v>
      </c>
      <c r="D2003" s="2" t="s">
        <v>0</v>
      </c>
      <c r="E2003" s="2">
        <v>1827.47</v>
      </c>
      <c r="G2003" s="1" t="s">
        <v>3999</v>
      </c>
      <c r="H2003" s="2" t="s">
        <v>0</v>
      </c>
      <c r="I2003" s="2">
        <v>1383.34</v>
      </c>
    </row>
    <row r="2004">
      <c r="A2004" s="1" t="s">
        <v>4000</v>
      </c>
      <c r="B2004" s="2">
        <v>893.04</v>
      </c>
      <c r="C2004" s="2">
        <v>893.04</v>
      </c>
      <c r="D2004" s="2">
        <v>1766.19</v>
      </c>
      <c r="E2004" s="2">
        <v>1766.19</v>
      </c>
      <c r="G2004" s="1" t="s">
        <v>4001</v>
      </c>
      <c r="H2004" s="2">
        <v>1399.71</v>
      </c>
      <c r="I2004" s="2">
        <v>1399.71</v>
      </c>
    </row>
    <row r="2005">
      <c r="A2005" s="1" t="s">
        <v>4002</v>
      </c>
      <c r="B2005" s="2">
        <v>895.1</v>
      </c>
      <c r="C2005" s="2">
        <v>895.1</v>
      </c>
      <c r="D2005" s="2">
        <v>1764.92</v>
      </c>
      <c r="E2005" s="2">
        <v>1764.92</v>
      </c>
      <c r="G2005" s="1" t="s">
        <v>4003</v>
      </c>
      <c r="H2005" s="2">
        <v>1360.54</v>
      </c>
      <c r="I2005" s="2">
        <v>1360.54</v>
      </c>
    </row>
    <row r="2006">
      <c r="A2006" s="1" t="s">
        <v>4004</v>
      </c>
      <c r="B2006" s="2">
        <v>900.94</v>
      </c>
      <c r="C2006" s="2">
        <v>900.94</v>
      </c>
      <c r="D2006" s="2">
        <v>1792.34</v>
      </c>
      <c r="E2006" s="2">
        <v>1792.34</v>
      </c>
      <c r="G2006" s="1" t="s">
        <v>4005</v>
      </c>
      <c r="H2006" s="2">
        <v>1363.79</v>
      </c>
      <c r="I2006" s="2">
        <v>1363.79</v>
      </c>
    </row>
    <row r="2007">
      <c r="A2007" s="1" t="s">
        <v>4006</v>
      </c>
      <c r="B2007" s="2">
        <v>920.26</v>
      </c>
      <c r="C2007" s="2">
        <v>920.26</v>
      </c>
      <c r="D2007" s="2">
        <v>1829.54</v>
      </c>
      <c r="E2007" s="2">
        <v>1829.54</v>
      </c>
      <c r="G2007" s="1" t="s">
        <v>4007</v>
      </c>
      <c r="H2007" s="2">
        <v>1392.73</v>
      </c>
      <c r="I2007" s="2">
        <v>1392.73</v>
      </c>
    </row>
    <row r="2008">
      <c r="A2008" s="1" t="s">
        <v>4008</v>
      </c>
      <c r="B2008" s="2">
        <v>918.9</v>
      </c>
      <c r="C2008" s="2">
        <v>918.9</v>
      </c>
      <c r="D2008" s="2">
        <v>1838.22</v>
      </c>
      <c r="E2008" s="2">
        <v>1838.22</v>
      </c>
      <c r="G2008" s="1" t="s">
        <v>4009</v>
      </c>
      <c r="H2008" s="2">
        <v>1394.53</v>
      </c>
      <c r="I2008" s="2">
        <v>1394.53</v>
      </c>
    </row>
    <row r="2009">
      <c r="A2009" s="1" t="s">
        <v>4010</v>
      </c>
      <c r="B2009" s="2" t="s">
        <v>0</v>
      </c>
      <c r="C2009" s="2">
        <v>918.9</v>
      </c>
      <c r="D2009" s="2" t="s">
        <v>0</v>
      </c>
      <c r="E2009" s="2">
        <v>1838.22</v>
      </c>
      <c r="G2009" s="1" t="s">
        <v>4011</v>
      </c>
      <c r="H2009" s="2" t="s">
        <v>0</v>
      </c>
      <c r="I2009" s="2">
        <v>1394.53</v>
      </c>
    </row>
    <row r="2010">
      <c r="A2010" s="1" t="s">
        <v>4012</v>
      </c>
      <c r="B2010" s="2" t="s">
        <v>0</v>
      </c>
      <c r="C2010" s="2">
        <v>918.9</v>
      </c>
      <c r="D2010" s="2" t="s">
        <v>0</v>
      </c>
      <c r="E2010" s="2">
        <v>1838.22</v>
      </c>
      <c r="G2010" s="1" t="s">
        <v>4013</v>
      </c>
      <c r="H2010" s="2" t="s">
        <v>0</v>
      </c>
      <c r="I2010" s="2">
        <v>1394.53</v>
      </c>
    </row>
    <row r="2011">
      <c r="A2011" s="1" t="s">
        <v>4014</v>
      </c>
      <c r="B2011" s="2">
        <v>927.23</v>
      </c>
      <c r="C2011" s="2">
        <v>927.23</v>
      </c>
      <c r="D2011" s="2">
        <v>1844.06</v>
      </c>
      <c r="E2011" s="2">
        <v>1844.06</v>
      </c>
      <c r="G2011" s="1" t="s">
        <v>4015</v>
      </c>
      <c r="H2011" s="2">
        <v>1388.45</v>
      </c>
      <c r="I2011" s="2">
        <v>1388.45</v>
      </c>
    </row>
    <row r="2012">
      <c r="A2012" s="1" t="s">
        <v>4016</v>
      </c>
      <c r="B2012" s="2">
        <v>919.32</v>
      </c>
      <c r="C2012" s="2">
        <v>919.32</v>
      </c>
      <c r="D2012" s="2">
        <v>1835.04</v>
      </c>
      <c r="E2012" s="2">
        <v>1835.04</v>
      </c>
      <c r="G2012" s="1" t="s">
        <v>4017</v>
      </c>
      <c r="H2012" s="2">
        <v>1390.07</v>
      </c>
      <c r="I2012" s="2">
        <v>1390.07</v>
      </c>
    </row>
    <row r="2013">
      <c r="A2013" s="1" t="s">
        <v>4018</v>
      </c>
      <c r="B2013" s="2">
        <v>923.33</v>
      </c>
      <c r="C2013" s="2">
        <v>923.33</v>
      </c>
      <c r="D2013" s="2">
        <v>1845.72</v>
      </c>
      <c r="E2013" s="2">
        <v>1845.72</v>
      </c>
      <c r="G2013" s="1" t="s">
        <v>4019</v>
      </c>
      <c r="H2013" s="2">
        <v>1411.66</v>
      </c>
      <c r="I2013" s="2">
        <v>1411.66</v>
      </c>
    </row>
    <row r="2014">
      <c r="A2014" s="1" t="s">
        <v>4020</v>
      </c>
      <c r="B2014" s="2">
        <v>896.42</v>
      </c>
      <c r="C2014" s="2">
        <v>896.42</v>
      </c>
      <c r="D2014" s="2">
        <v>1796.52</v>
      </c>
      <c r="E2014" s="2">
        <v>1796.52</v>
      </c>
      <c r="G2014" s="1" t="s">
        <v>4021</v>
      </c>
      <c r="H2014" s="2">
        <v>1411.48</v>
      </c>
      <c r="I2014" s="2">
        <v>1411.48</v>
      </c>
    </row>
    <row r="2015">
      <c r="A2015" s="1" t="s">
        <v>4022</v>
      </c>
      <c r="B2015" s="2" t="s">
        <v>0</v>
      </c>
      <c r="C2015" s="2">
        <v>896.42</v>
      </c>
      <c r="D2015" s="2" t="s">
        <v>0</v>
      </c>
      <c r="E2015" s="2">
        <v>1796.52</v>
      </c>
      <c r="G2015" s="1" t="s">
        <v>4023</v>
      </c>
      <c r="H2015" s="2">
        <v>1420.04</v>
      </c>
      <c r="I2015" s="2">
        <v>1420.04</v>
      </c>
    </row>
    <row r="2016">
      <c r="A2016" s="1" t="s">
        <v>4024</v>
      </c>
      <c r="B2016" s="2" t="s">
        <v>0</v>
      </c>
      <c r="C2016" s="2">
        <v>896.42</v>
      </c>
      <c r="D2016" s="2" t="s">
        <v>0</v>
      </c>
      <c r="E2016" s="2">
        <v>1796.52</v>
      </c>
      <c r="G2016" s="1" t="s">
        <v>4025</v>
      </c>
      <c r="H2016" s="2" t="s">
        <v>0</v>
      </c>
      <c r="I2016" s="2">
        <v>1420.04</v>
      </c>
    </row>
    <row r="2017">
      <c r="A2017" s="1" t="s">
        <v>4026</v>
      </c>
      <c r="B2017" s="2" t="s">
        <v>0</v>
      </c>
      <c r="C2017" s="2">
        <v>896.42</v>
      </c>
      <c r="D2017" s="2" t="s">
        <v>0</v>
      </c>
      <c r="E2017" s="2">
        <v>1796.52</v>
      </c>
      <c r="G2017" s="1" t="s">
        <v>4027</v>
      </c>
      <c r="H2017" s="2" t="s">
        <v>0</v>
      </c>
      <c r="I2017" s="2">
        <v>1420.04</v>
      </c>
    </row>
    <row r="2018">
      <c r="A2018" s="1" t="s">
        <v>4028</v>
      </c>
      <c r="B2018" s="2">
        <v>898.72</v>
      </c>
      <c r="C2018" s="2">
        <v>898.72</v>
      </c>
      <c r="D2018" s="2">
        <v>1787.4</v>
      </c>
      <c r="E2018" s="2">
        <v>1787.4</v>
      </c>
      <c r="G2018" s="1" t="s">
        <v>4029</v>
      </c>
      <c r="H2018" s="2">
        <v>1428.94</v>
      </c>
      <c r="I2018" s="2">
        <v>1428.94</v>
      </c>
    </row>
    <row r="2019">
      <c r="A2019" s="1" t="s">
        <v>4030</v>
      </c>
      <c r="B2019" s="2">
        <v>881.03</v>
      </c>
      <c r="C2019" s="2">
        <v>881.03</v>
      </c>
      <c r="D2019" s="2">
        <v>1746.17</v>
      </c>
      <c r="E2019" s="2">
        <v>1746.17</v>
      </c>
      <c r="G2019" s="1" t="s">
        <v>4031</v>
      </c>
      <c r="H2019" s="2">
        <v>1434.2</v>
      </c>
      <c r="I2019" s="2">
        <v>1434.2</v>
      </c>
    </row>
    <row r="2020">
      <c r="A2020" s="1" t="s">
        <v>4032</v>
      </c>
      <c r="B2020" s="2">
        <v>879.56</v>
      </c>
      <c r="C2020" s="2">
        <v>879.56</v>
      </c>
      <c r="D2020" s="2">
        <v>1747.17</v>
      </c>
      <c r="E2020" s="2">
        <v>1747.17</v>
      </c>
      <c r="G2020" s="1" t="s">
        <v>4033</v>
      </c>
      <c r="H2020" s="2">
        <v>1431.02</v>
      </c>
      <c r="I2020" s="2">
        <v>1431.02</v>
      </c>
    </row>
    <row r="2021">
      <c r="A2021" s="1" t="s">
        <v>4034</v>
      </c>
      <c r="B2021" s="2">
        <v>882.68</v>
      </c>
      <c r="C2021" s="2">
        <v>882.68</v>
      </c>
      <c r="D2021" s="2">
        <v>1752.55</v>
      </c>
      <c r="E2021" s="2">
        <v>1752.55</v>
      </c>
      <c r="G2021" s="1" t="s">
        <v>4035</v>
      </c>
      <c r="H2021" s="2">
        <v>1430.89</v>
      </c>
      <c r="I2021" s="2">
        <v>1430.89</v>
      </c>
    </row>
    <row r="2022">
      <c r="A2022" s="1" t="s">
        <v>4036</v>
      </c>
      <c r="B2022" s="2">
        <v>879.13</v>
      </c>
      <c r="C2022" s="2">
        <v>879.13</v>
      </c>
      <c r="D2022" s="2">
        <v>1756.03</v>
      </c>
      <c r="E2022" s="2">
        <v>1756.03</v>
      </c>
      <c r="G2022" s="1" t="s">
        <v>4037</v>
      </c>
      <c r="H2022" s="2">
        <v>1428.62</v>
      </c>
      <c r="I2022" s="2">
        <v>1428.62</v>
      </c>
    </row>
    <row r="2023">
      <c r="A2023" s="1" t="s">
        <v>4038</v>
      </c>
      <c r="B2023" s="2" t="s">
        <v>0</v>
      </c>
      <c r="C2023" s="2">
        <v>879.13</v>
      </c>
      <c r="D2023" s="2" t="s">
        <v>0</v>
      </c>
      <c r="E2023" s="2">
        <v>1756.03</v>
      </c>
      <c r="G2023" s="1" t="s">
        <v>4039</v>
      </c>
      <c r="H2023" s="2" t="s">
        <v>0</v>
      </c>
      <c r="I2023" s="2">
        <v>1428.62</v>
      </c>
    </row>
    <row r="2024">
      <c r="A2024" s="1" t="s">
        <v>4040</v>
      </c>
      <c r="B2024" s="2" t="s">
        <v>0</v>
      </c>
      <c r="C2024" s="2">
        <v>879.13</v>
      </c>
      <c r="D2024" s="2" t="s">
        <v>0</v>
      </c>
      <c r="E2024" s="2">
        <v>1756.03</v>
      </c>
      <c r="G2024" s="1" t="s">
        <v>4041</v>
      </c>
      <c r="H2024" s="2" t="s">
        <v>0</v>
      </c>
      <c r="I2024" s="2">
        <v>1428.62</v>
      </c>
    </row>
    <row r="2025">
      <c r="A2025" s="1" t="s">
        <v>4042</v>
      </c>
      <c r="B2025" s="2">
        <v>901.05</v>
      </c>
      <c r="C2025" s="2">
        <v>901.05</v>
      </c>
      <c r="D2025" s="2">
        <v>1793.21</v>
      </c>
      <c r="E2025" s="2">
        <v>1793.21</v>
      </c>
      <c r="G2025" s="1" t="s">
        <v>4043</v>
      </c>
      <c r="H2025" s="2">
        <v>1378.12</v>
      </c>
      <c r="I2025" s="2">
        <v>1378.12</v>
      </c>
    </row>
    <row r="2026">
      <c r="A2026" s="1" t="s">
        <v>4044</v>
      </c>
      <c r="B2026" s="2">
        <v>905.84</v>
      </c>
      <c r="C2026" s="2">
        <v>905.84</v>
      </c>
      <c r="D2026" s="2">
        <v>1799.73</v>
      </c>
      <c r="E2026" s="2">
        <v>1799.73</v>
      </c>
      <c r="G2026" s="1" t="s">
        <v>4045</v>
      </c>
      <c r="H2026" s="2">
        <v>1385.56</v>
      </c>
      <c r="I2026" s="2">
        <v>1385.56</v>
      </c>
    </row>
    <row r="2027">
      <c r="A2027" s="1" t="s">
        <v>4046</v>
      </c>
      <c r="B2027" s="2">
        <v>932.68</v>
      </c>
      <c r="C2027" s="2">
        <v>932.68</v>
      </c>
      <c r="D2027" s="2">
        <v>1862.9</v>
      </c>
      <c r="E2027" s="2">
        <v>1862.9</v>
      </c>
      <c r="G2027" s="1" t="s">
        <v>4047</v>
      </c>
      <c r="H2027" s="2">
        <v>1420.86</v>
      </c>
      <c r="I2027" s="2">
        <v>1420.86</v>
      </c>
    </row>
    <row r="2028">
      <c r="A2028" s="1" t="s">
        <v>4048</v>
      </c>
      <c r="B2028" s="2">
        <v>940.74</v>
      </c>
      <c r="C2028" s="2">
        <v>940.74</v>
      </c>
      <c r="D2028" s="2">
        <v>1885.03</v>
      </c>
      <c r="E2028" s="2">
        <v>1885.03</v>
      </c>
      <c r="G2028" s="1" t="s">
        <v>4049</v>
      </c>
      <c r="H2028" s="2">
        <v>1432.22</v>
      </c>
      <c r="I2028" s="2">
        <v>1432.22</v>
      </c>
    </row>
    <row r="2029">
      <c r="A2029" s="1" t="s">
        <v>4050</v>
      </c>
      <c r="B2029" s="2">
        <v>940.38</v>
      </c>
      <c r="C2029" s="2">
        <v>940.38</v>
      </c>
      <c r="D2029" s="2">
        <v>1886.61</v>
      </c>
      <c r="E2029" s="2">
        <v>1886.61</v>
      </c>
      <c r="G2029" s="1" t="s">
        <v>4051</v>
      </c>
      <c r="H2029" s="2">
        <v>1440.1</v>
      </c>
      <c r="I2029" s="2">
        <v>1440.1</v>
      </c>
    </row>
    <row r="2030">
      <c r="A2030" s="1" t="s">
        <v>4052</v>
      </c>
      <c r="B2030" s="2" t="s">
        <v>0</v>
      </c>
      <c r="C2030" s="2">
        <v>940.38</v>
      </c>
      <c r="D2030" s="2" t="s">
        <v>0</v>
      </c>
      <c r="E2030" s="2">
        <v>1886.61</v>
      </c>
      <c r="G2030" s="1" t="s">
        <v>4053</v>
      </c>
      <c r="H2030" s="2" t="s">
        <v>0</v>
      </c>
      <c r="I2030" s="2">
        <v>1440.1</v>
      </c>
    </row>
    <row r="2031">
      <c r="A2031" s="1" t="s">
        <v>4054</v>
      </c>
      <c r="B2031" s="2" t="s">
        <v>0</v>
      </c>
      <c r="C2031" s="2">
        <v>940.38</v>
      </c>
      <c r="D2031" s="2" t="s">
        <v>0</v>
      </c>
      <c r="E2031" s="2">
        <v>1886.61</v>
      </c>
      <c r="G2031" s="1" t="s">
        <v>4055</v>
      </c>
      <c r="H2031" s="2" t="s">
        <v>0</v>
      </c>
      <c r="I2031" s="2">
        <v>1440.1</v>
      </c>
    </row>
    <row r="2032">
      <c r="A2032" s="1" t="s">
        <v>4056</v>
      </c>
      <c r="B2032" s="2">
        <v>951.13</v>
      </c>
      <c r="C2032" s="2">
        <v>951.13</v>
      </c>
      <c r="D2032" s="2">
        <v>1909.29</v>
      </c>
      <c r="E2032" s="2">
        <v>1909.29</v>
      </c>
      <c r="G2032" s="1" t="s">
        <v>4057</v>
      </c>
      <c r="H2032" s="2">
        <v>1478.51</v>
      </c>
      <c r="I2032" s="2">
        <v>1478.51</v>
      </c>
    </row>
    <row r="2033">
      <c r="A2033" s="1" t="s">
        <v>4058</v>
      </c>
      <c r="B2033" s="2">
        <v>954.58</v>
      </c>
      <c r="C2033" s="2">
        <v>954.58</v>
      </c>
      <c r="D2033" s="2">
        <v>1916.2</v>
      </c>
      <c r="E2033" s="2">
        <v>1916.2</v>
      </c>
      <c r="G2033" s="1" t="s">
        <v>4059</v>
      </c>
      <c r="H2033" s="2">
        <v>1488.99</v>
      </c>
      <c r="I2033" s="2">
        <v>1488.99</v>
      </c>
    </row>
    <row r="2034">
      <c r="A2034" s="1" t="s">
        <v>4060</v>
      </c>
      <c r="B2034" s="2">
        <v>954.07</v>
      </c>
      <c r="C2034" s="2">
        <v>954.07</v>
      </c>
      <c r="D2034" s="2">
        <v>1926.38</v>
      </c>
      <c r="E2034" s="2">
        <v>1926.38</v>
      </c>
      <c r="G2034" s="1" t="s">
        <v>4061</v>
      </c>
      <c r="H2034" s="2">
        <v>1494.04</v>
      </c>
      <c r="I2034" s="2">
        <v>1494.04</v>
      </c>
    </row>
    <row r="2035">
      <c r="A2035" s="1" t="s">
        <v>4062</v>
      </c>
      <c r="B2035" s="2">
        <v>976.29</v>
      </c>
      <c r="C2035" s="2">
        <v>976.29</v>
      </c>
      <c r="D2035" s="2">
        <v>1973.6</v>
      </c>
      <c r="E2035" s="2">
        <v>1973.6</v>
      </c>
      <c r="G2035" s="1" t="s">
        <v>4063</v>
      </c>
      <c r="H2035" s="2">
        <v>1496.49</v>
      </c>
      <c r="I2035" s="2">
        <v>1496.49</v>
      </c>
    </row>
    <row r="2036">
      <c r="A2036" s="1" t="s">
        <v>4064</v>
      </c>
      <c r="B2036" s="2">
        <v>979.26</v>
      </c>
      <c r="C2036" s="2">
        <v>979.26</v>
      </c>
      <c r="D2036" s="2">
        <v>1965.96</v>
      </c>
      <c r="E2036" s="2">
        <v>1965.96</v>
      </c>
      <c r="G2036" s="1" t="s">
        <v>4065</v>
      </c>
      <c r="H2036" s="2">
        <v>1502.59</v>
      </c>
      <c r="I2036" s="2">
        <v>1502.59</v>
      </c>
    </row>
    <row r="2037">
      <c r="A2037" s="1" t="s">
        <v>4066</v>
      </c>
      <c r="B2037" s="2" t="s">
        <v>0</v>
      </c>
      <c r="C2037" s="2">
        <v>979.26</v>
      </c>
      <c r="D2037" s="2" t="s">
        <v>0</v>
      </c>
      <c r="E2037" s="2">
        <v>1965.96</v>
      </c>
      <c r="G2037" s="1" t="s">
        <v>4067</v>
      </c>
      <c r="H2037" s="2" t="s">
        <v>0</v>
      </c>
      <c r="I2037" s="2">
        <v>1502.59</v>
      </c>
    </row>
    <row r="2038">
      <c r="A2038" s="1" t="s">
        <v>4068</v>
      </c>
      <c r="B2038" s="2" t="s">
        <v>0</v>
      </c>
      <c r="C2038" s="2">
        <v>979.26</v>
      </c>
      <c r="D2038" s="2" t="s">
        <v>0</v>
      </c>
      <c r="E2038" s="2">
        <v>1965.96</v>
      </c>
      <c r="G2038" s="1" t="s">
        <v>4069</v>
      </c>
      <c r="H2038" s="2" t="s">
        <v>0</v>
      </c>
      <c r="I2038" s="2">
        <v>1502.59</v>
      </c>
    </row>
    <row r="2039">
      <c r="A2039" s="1" t="s">
        <v>4070</v>
      </c>
      <c r="B2039" s="2">
        <v>982.18</v>
      </c>
      <c r="C2039" s="2">
        <v>982.18</v>
      </c>
      <c r="D2039" s="2">
        <v>1967.89</v>
      </c>
      <c r="E2039" s="2">
        <v>1967.89</v>
      </c>
      <c r="G2039" s="1" t="s">
        <v>4071</v>
      </c>
      <c r="H2039" s="2">
        <v>1524.05</v>
      </c>
      <c r="I2039" s="2">
        <v>1524.05</v>
      </c>
    </row>
    <row r="2040">
      <c r="A2040" s="1" t="s">
        <v>4072</v>
      </c>
      <c r="B2040" s="2">
        <v>979.62</v>
      </c>
      <c r="C2040" s="2">
        <v>979.62</v>
      </c>
      <c r="D2040" s="2">
        <v>1975.51</v>
      </c>
      <c r="E2040" s="2">
        <v>1975.51</v>
      </c>
      <c r="G2040" s="1" t="s">
        <v>4073</v>
      </c>
      <c r="H2040" s="2">
        <v>1526.03</v>
      </c>
      <c r="I2040" s="2">
        <v>1526.03</v>
      </c>
    </row>
    <row r="2041">
      <c r="A2041" s="1" t="s">
        <v>4074</v>
      </c>
      <c r="B2041" s="2">
        <v>975.15</v>
      </c>
      <c r="C2041" s="2">
        <v>975.15</v>
      </c>
      <c r="D2041" s="2">
        <v>1967.76</v>
      </c>
      <c r="E2041" s="2">
        <v>1967.76</v>
      </c>
      <c r="G2041" s="1" t="s">
        <v>4075</v>
      </c>
      <c r="H2041" s="2">
        <v>1524.32</v>
      </c>
      <c r="I2041" s="2">
        <v>1524.32</v>
      </c>
    </row>
    <row r="2042">
      <c r="A2042" s="1" t="s">
        <v>4076</v>
      </c>
      <c r="B2042" s="2">
        <v>986.75</v>
      </c>
      <c r="C2042" s="2">
        <v>986.75</v>
      </c>
      <c r="D2042" s="2">
        <v>1984.3</v>
      </c>
      <c r="E2042" s="2">
        <v>1984.3</v>
      </c>
      <c r="G2042" s="1" t="s">
        <v>4077</v>
      </c>
      <c r="H2042" s="2">
        <v>1534.74</v>
      </c>
      <c r="I2042" s="2">
        <v>1534.74</v>
      </c>
    </row>
    <row r="2043">
      <c r="A2043" s="1" t="s">
        <v>4078</v>
      </c>
      <c r="B2043" s="2">
        <v>987.48</v>
      </c>
      <c r="C2043" s="2">
        <v>987.48</v>
      </c>
      <c r="D2043" s="2">
        <v>1978.5</v>
      </c>
      <c r="E2043" s="2">
        <v>1978.5</v>
      </c>
      <c r="G2043" s="1" t="s">
        <v>4079</v>
      </c>
      <c r="H2043" s="2">
        <v>1557.29</v>
      </c>
      <c r="I2043" s="2">
        <v>1557.29</v>
      </c>
    </row>
    <row r="2044">
      <c r="A2044" s="1" t="s">
        <v>4080</v>
      </c>
      <c r="B2044" s="2" t="s">
        <v>0</v>
      </c>
      <c r="C2044" s="2">
        <v>987.48</v>
      </c>
      <c r="D2044" s="2" t="s">
        <v>0</v>
      </c>
      <c r="E2044" s="2">
        <v>1978.5</v>
      </c>
      <c r="G2044" s="1" t="s">
        <v>4081</v>
      </c>
      <c r="H2044" s="2" t="s">
        <v>0</v>
      </c>
      <c r="I2044" s="2">
        <v>1557.29</v>
      </c>
    </row>
    <row r="2045">
      <c r="A2045" s="1" t="s">
        <v>4082</v>
      </c>
      <c r="B2045" s="2" t="s">
        <v>0</v>
      </c>
      <c r="C2045" s="2">
        <v>987.48</v>
      </c>
      <c r="D2045" s="2" t="s">
        <v>0</v>
      </c>
      <c r="E2045" s="2">
        <v>1978.5</v>
      </c>
      <c r="G2045" s="1" t="s">
        <v>4083</v>
      </c>
      <c r="H2045" s="2" t="s">
        <v>0</v>
      </c>
      <c r="I2045" s="2">
        <v>1557.29</v>
      </c>
    </row>
    <row r="2046">
      <c r="A2046" s="1" t="s">
        <v>4084</v>
      </c>
      <c r="B2046" s="2">
        <v>1002.63</v>
      </c>
      <c r="C2046" s="2">
        <v>1002.63</v>
      </c>
      <c r="D2046" s="2">
        <v>2008.61</v>
      </c>
      <c r="E2046" s="2">
        <v>2008.61</v>
      </c>
      <c r="G2046" s="1" t="s">
        <v>4085</v>
      </c>
      <c r="H2046" s="2">
        <v>1564.98</v>
      </c>
      <c r="I2046" s="2">
        <v>1564.98</v>
      </c>
    </row>
    <row r="2047">
      <c r="A2047" s="1" t="s">
        <v>4086</v>
      </c>
      <c r="B2047" s="2">
        <v>1005.65</v>
      </c>
      <c r="C2047" s="2">
        <v>1005.65</v>
      </c>
      <c r="D2047" s="2">
        <v>2011.31</v>
      </c>
      <c r="E2047" s="2">
        <v>2011.31</v>
      </c>
      <c r="G2047" s="1" t="s">
        <v>4087</v>
      </c>
      <c r="H2047" s="2">
        <v>1566.37</v>
      </c>
      <c r="I2047" s="2">
        <v>1566.37</v>
      </c>
    </row>
    <row r="2048">
      <c r="A2048" s="1" t="s">
        <v>4088</v>
      </c>
      <c r="B2048" s="2">
        <v>1002.72</v>
      </c>
      <c r="C2048" s="2">
        <v>1002.72</v>
      </c>
      <c r="D2048" s="2">
        <v>1993.05</v>
      </c>
      <c r="E2048" s="2">
        <v>1993.05</v>
      </c>
      <c r="G2048" s="1" t="s">
        <v>4089</v>
      </c>
      <c r="H2048" s="2">
        <v>1559.47</v>
      </c>
      <c r="I2048" s="2">
        <v>1559.47</v>
      </c>
    </row>
    <row r="2049">
      <c r="A2049" s="1" t="s">
        <v>4090</v>
      </c>
      <c r="B2049" s="2">
        <v>997.08</v>
      </c>
      <c r="C2049" s="2">
        <v>997.08</v>
      </c>
      <c r="D2049" s="2">
        <v>1973.16</v>
      </c>
      <c r="E2049" s="2">
        <v>1973.16</v>
      </c>
      <c r="G2049" s="1" t="s">
        <v>4091</v>
      </c>
      <c r="H2049" s="2">
        <v>1565.04</v>
      </c>
      <c r="I2049" s="2">
        <v>1565.04</v>
      </c>
    </row>
    <row r="2050">
      <c r="A2050" s="1" t="s">
        <v>4092</v>
      </c>
      <c r="B2050" s="2">
        <v>1010.48</v>
      </c>
      <c r="C2050" s="2">
        <v>1010.48</v>
      </c>
      <c r="D2050" s="2">
        <v>2000.25</v>
      </c>
      <c r="E2050" s="2">
        <v>2000.25</v>
      </c>
      <c r="G2050" s="1" t="s">
        <v>4093</v>
      </c>
      <c r="H2050" s="2">
        <v>1576.0</v>
      </c>
      <c r="I2050" s="2">
        <v>1576.0</v>
      </c>
    </row>
    <row r="2051">
      <c r="A2051" s="1" t="s">
        <v>4094</v>
      </c>
      <c r="B2051" s="2" t="s">
        <v>0</v>
      </c>
      <c r="C2051" s="2">
        <v>1010.48</v>
      </c>
      <c r="D2051" s="2" t="s">
        <v>0</v>
      </c>
      <c r="E2051" s="2">
        <v>2000.25</v>
      </c>
      <c r="G2051" s="1" t="s">
        <v>4095</v>
      </c>
      <c r="H2051" s="2" t="s">
        <v>0</v>
      </c>
      <c r="I2051" s="2">
        <v>1576.0</v>
      </c>
    </row>
    <row r="2052">
      <c r="A2052" s="1" t="s">
        <v>4096</v>
      </c>
      <c r="B2052" s="2" t="s">
        <v>0</v>
      </c>
      <c r="C2052" s="2">
        <v>1010.48</v>
      </c>
      <c r="D2052" s="2" t="s">
        <v>0</v>
      </c>
      <c r="E2052" s="2">
        <v>2000.25</v>
      </c>
      <c r="G2052" s="1" t="s">
        <v>4097</v>
      </c>
      <c r="H2052" s="2" t="s">
        <v>0</v>
      </c>
      <c r="I2052" s="2">
        <v>1576.0</v>
      </c>
    </row>
    <row r="2053">
      <c r="A2053" s="1" t="s">
        <v>4098</v>
      </c>
      <c r="B2053" s="2">
        <v>1007.1</v>
      </c>
      <c r="C2053" s="2">
        <v>1007.1</v>
      </c>
      <c r="D2053" s="2">
        <v>1992.24</v>
      </c>
      <c r="E2053" s="2">
        <v>1992.24</v>
      </c>
      <c r="G2053" s="1" t="s">
        <v>4099</v>
      </c>
      <c r="H2053" s="2">
        <v>1576.11</v>
      </c>
      <c r="I2053" s="2">
        <v>1576.11</v>
      </c>
    </row>
    <row r="2054">
      <c r="A2054" s="1" t="s">
        <v>4100</v>
      </c>
      <c r="B2054" s="2">
        <v>994.35</v>
      </c>
      <c r="C2054" s="2">
        <v>994.35</v>
      </c>
      <c r="D2054" s="2">
        <v>1969.73</v>
      </c>
      <c r="E2054" s="2">
        <v>1969.73</v>
      </c>
      <c r="G2054" s="1" t="s">
        <v>4101</v>
      </c>
      <c r="H2054" s="2">
        <v>1579.21</v>
      </c>
      <c r="I2054" s="2">
        <v>1579.21</v>
      </c>
    </row>
    <row r="2055">
      <c r="A2055" s="1" t="s">
        <v>4102</v>
      </c>
      <c r="B2055" s="2">
        <v>1005.81</v>
      </c>
      <c r="C2055" s="2">
        <v>1005.81</v>
      </c>
      <c r="D2055" s="2">
        <v>1998.72</v>
      </c>
      <c r="E2055" s="2">
        <v>1998.72</v>
      </c>
      <c r="G2055" s="1" t="s">
        <v>4103</v>
      </c>
      <c r="H2055" s="2">
        <v>1565.35</v>
      </c>
      <c r="I2055" s="2">
        <v>1565.35</v>
      </c>
    </row>
    <row r="2056">
      <c r="A2056" s="1" t="s">
        <v>4104</v>
      </c>
      <c r="B2056" s="2">
        <v>1012.73</v>
      </c>
      <c r="C2056" s="2">
        <v>1012.73</v>
      </c>
      <c r="D2056" s="2">
        <v>2009.35</v>
      </c>
      <c r="E2056" s="2">
        <v>2009.35</v>
      </c>
      <c r="G2056" s="1" t="s">
        <v>4105</v>
      </c>
      <c r="H2056" s="2">
        <v>1564.64</v>
      </c>
      <c r="I2056" s="2">
        <v>1564.64</v>
      </c>
    </row>
    <row r="2057">
      <c r="A2057" s="1" t="s">
        <v>4106</v>
      </c>
      <c r="B2057" s="2">
        <v>1004.09</v>
      </c>
      <c r="C2057" s="2">
        <v>1004.09</v>
      </c>
      <c r="D2057" s="2">
        <v>1985.52</v>
      </c>
      <c r="E2057" s="2">
        <v>1985.52</v>
      </c>
      <c r="G2057" s="1" t="s">
        <v>4107</v>
      </c>
      <c r="H2057" s="2">
        <v>1591.41</v>
      </c>
      <c r="I2057" s="2">
        <v>1591.41</v>
      </c>
    </row>
    <row r="2058">
      <c r="A2058" s="1" t="s">
        <v>4108</v>
      </c>
      <c r="B2058" s="2" t="s">
        <v>0</v>
      </c>
      <c r="C2058" s="2">
        <v>1004.09</v>
      </c>
      <c r="D2058" s="2" t="s">
        <v>0</v>
      </c>
      <c r="E2058" s="2">
        <v>1985.52</v>
      </c>
      <c r="G2058" s="1" t="s">
        <v>4109</v>
      </c>
      <c r="H2058" s="2" t="s">
        <v>0</v>
      </c>
      <c r="I2058" s="2">
        <v>1591.41</v>
      </c>
    </row>
    <row r="2059">
      <c r="A2059" s="1" t="s">
        <v>4110</v>
      </c>
      <c r="B2059" s="2" t="s">
        <v>0</v>
      </c>
      <c r="C2059" s="2">
        <v>1004.09</v>
      </c>
      <c r="D2059" s="2" t="s">
        <v>0</v>
      </c>
      <c r="E2059" s="2">
        <v>1985.52</v>
      </c>
      <c r="G2059" s="1" t="s">
        <v>4111</v>
      </c>
      <c r="H2059" s="2" t="s">
        <v>0</v>
      </c>
      <c r="I2059" s="2">
        <v>1591.41</v>
      </c>
    </row>
    <row r="2060">
      <c r="A2060" s="1" t="s">
        <v>4112</v>
      </c>
      <c r="B2060" s="2">
        <v>979.73</v>
      </c>
      <c r="C2060" s="2">
        <v>979.73</v>
      </c>
      <c r="D2060" s="2">
        <v>1930.84</v>
      </c>
      <c r="E2060" s="2">
        <v>1930.84</v>
      </c>
      <c r="G2060" s="1" t="s">
        <v>4113</v>
      </c>
      <c r="H2060" s="2">
        <v>1547.06</v>
      </c>
      <c r="I2060" s="2">
        <v>1547.06</v>
      </c>
    </row>
    <row r="2061">
      <c r="A2061" s="1" t="s">
        <v>4114</v>
      </c>
      <c r="B2061" s="2">
        <v>989.67</v>
      </c>
      <c r="C2061" s="2">
        <v>989.67</v>
      </c>
      <c r="D2061" s="2">
        <v>1955.92</v>
      </c>
      <c r="E2061" s="2">
        <v>1955.92</v>
      </c>
      <c r="G2061" s="1" t="s">
        <v>4115</v>
      </c>
      <c r="H2061" s="2">
        <v>1550.24</v>
      </c>
      <c r="I2061" s="2">
        <v>1550.24</v>
      </c>
    </row>
    <row r="2062">
      <c r="A2062" s="1" t="s">
        <v>4116</v>
      </c>
      <c r="B2062" s="2">
        <v>996.46</v>
      </c>
      <c r="C2062" s="2">
        <v>996.46</v>
      </c>
      <c r="D2062" s="2">
        <v>1969.24</v>
      </c>
      <c r="E2062" s="2">
        <v>1969.24</v>
      </c>
      <c r="G2062" s="1" t="s">
        <v>4117</v>
      </c>
      <c r="H2062" s="2">
        <v>1545.96</v>
      </c>
      <c r="I2062" s="2">
        <v>1545.96</v>
      </c>
    </row>
    <row r="2063">
      <c r="A2063" s="1" t="s">
        <v>4118</v>
      </c>
      <c r="B2063" s="2">
        <v>1007.37</v>
      </c>
      <c r="C2063" s="2">
        <v>1007.37</v>
      </c>
      <c r="D2063" s="2">
        <v>1989.22</v>
      </c>
      <c r="E2063" s="2">
        <v>1989.22</v>
      </c>
      <c r="G2063" s="1" t="s">
        <v>4119</v>
      </c>
      <c r="H2063" s="2">
        <v>1576.39</v>
      </c>
      <c r="I2063" s="2">
        <v>1576.39</v>
      </c>
    </row>
    <row r="2064">
      <c r="A2064" s="1" t="s">
        <v>4120</v>
      </c>
      <c r="B2064" s="2">
        <v>1026.13</v>
      </c>
      <c r="C2064" s="2">
        <v>1026.13</v>
      </c>
      <c r="D2064" s="2">
        <v>2020.9</v>
      </c>
      <c r="E2064" s="2">
        <v>2020.9</v>
      </c>
      <c r="G2064" s="1" t="s">
        <v>4121</v>
      </c>
      <c r="H2064" s="2">
        <v>1580.98</v>
      </c>
      <c r="I2064" s="2">
        <v>1580.98</v>
      </c>
    </row>
    <row r="2065">
      <c r="A2065" s="1" t="s">
        <v>4122</v>
      </c>
      <c r="B2065" s="2" t="s">
        <v>0</v>
      </c>
      <c r="C2065" s="2">
        <v>1026.13</v>
      </c>
      <c r="D2065" s="2" t="s">
        <v>0</v>
      </c>
      <c r="E2065" s="2">
        <v>2020.9</v>
      </c>
      <c r="G2065" s="1" t="s">
        <v>4123</v>
      </c>
      <c r="H2065" s="2" t="s">
        <v>0</v>
      </c>
      <c r="I2065" s="2">
        <v>1580.98</v>
      </c>
    </row>
    <row r="2066">
      <c r="A2066" s="1" t="s">
        <v>4124</v>
      </c>
      <c r="B2066" s="2" t="s">
        <v>0</v>
      </c>
      <c r="C2066" s="2">
        <v>1026.13</v>
      </c>
      <c r="D2066" s="2" t="s">
        <v>0</v>
      </c>
      <c r="E2066" s="2">
        <v>2020.9</v>
      </c>
      <c r="G2066" s="1" t="s">
        <v>4125</v>
      </c>
      <c r="H2066" s="2" t="s">
        <v>0</v>
      </c>
      <c r="I2066" s="2">
        <v>1580.98</v>
      </c>
    </row>
    <row r="2067">
      <c r="A2067" s="1" t="s">
        <v>4126</v>
      </c>
      <c r="B2067" s="2">
        <v>1025.57</v>
      </c>
      <c r="C2067" s="2">
        <v>1025.57</v>
      </c>
      <c r="D2067" s="2">
        <v>2017.98</v>
      </c>
      <c r="E2067" s="2">
        <v>2017.98</v>
      </c>
      <c r="G2067" s="1" t="s">
        <v>4127</v>
      </c>
      <c r="H2067" s="2">
        <v>1612.22</v>
      </c>
      <c r="I2067" s="2">
        <v>1612.22</v>
      </c>
    </row>
    <row r="2068">
      <c r="A2068" s="1" t="s">
        <v>4128</v>
      </c>
      <c r="B2068" s="2">
        <v>1028.0</v>
      </c>
      <c r="C2068" s="2">
        <v>1028.0</v>
      </c>
      <c r="D2068" s="2">
        <v>2024.23</v>
      </c>
      <c r="E2068" s="2">
        <v>2024.23</v>
      </c>
      <c r="G2068" s="1" t="s">
        <v>4129</v>
      </c>
      <c r="H2068" s="2">
        <v>1601.38</v>
      </c>
      <c r="I2068" s="2">
        <v>1601.38</v>
      </c>
    </row>
    <row r="2069">
      <c r="A2069" s="1" t="s">
        <v>4130</v>
      </c>
      <c r="B2069" s="2">
        <v>1028.12</v>
      </c>
      <c r="C2069" s="2">
        <v>1028.12</v>
      </c>
      <c r="D2069" s="2">
        <v>2024.43</v>
      </c>
      <c r="E2069" s="2">
        <v>2024.43</v>
      </c>
      <c r="G2069" s="1" t="s">
        <v>4131</v>
      </c>
      <c r="H2069" s="2">
        <v>1614.12</v>
      </c>
      <c r="I2069" s="2">
        <v>1614.12</v>
      </c>
    </row>
    <row r="2070">
      <c r="A2070" s="1" t="s">
        <v>4132</v>
      </c>
      <c r="B2070" s="2">
        <v>1030.98</v>
      </c>
      <c r="C2070" s="2">
        <v>1030.98</v>
      </c>
      <c r="D2070" s="2">
        <v>2027.73</v>
      </c>
      <c r="E2070" s="2">
        <v>2027.73</v>
      </c>
      <c r="G2070" s="1" t="s">
        <v>4133</v>
      </c>
      <c r="H2070" s="2">
        <v>1599.33</v>
      </c>
      <c r="I2070" s="2">
        <v>1599.33</v>
      </c>
    </row>
    <row r="2071">
      <c r="A2071" s="1" t="s">
        <v>4134</v>
      </c>
      <c r="B2071" s="2">
        <v>1028.93</v>
      </c>
      <c r="C2071" s="2">
        <v>1028.93</v>
      </c>
      <c r="D2071" s="2">
        <v>2028.77</v>
      </c>
      <c r="E2071" s="2">
        <v>2028.77</v>
      </c>
      <c r="G2071" s="1" t="s">
        <v>4135</v>
      </c>
      <c r="H2071" s="2">
        <v>1607.94</v>
      </c>
      <c r="I2071" s="2">
        <v>1607.94</v>
      </c>
    </row>
    <row r="2072">
      <c r="A2072" s="1" t="s">
        <v>4136</v>
      </c>
      <c r="B2072" s="2" t="s">
        <v>0</v>
      </c>
      <c r="C2072" s="2">
        <v>1028.93</v>
      </c>
      <c r="D2072" s="2" t="s">
        <v>0</v>
      </c>
      <c r="E2072" s="2">
        <v>2028.77</v>
      </c>
      <c r="G2072" s="1" t="s">
        <v>4137</v>
      </c>
      <c r="H2072" s="2" t="s">
        <v>0</v>
      </c>
      <c r="I2072" s="2">
        <v>1607.94</v>
      </c>
    </row>
    <row r="2073">
      <c r="A2073" s="1" t="s">
        <v>4138</v>
      </c>
      <c r="B2073" s="2" t="s">
        <v>0</v>
      </c>
      <c r="C2073" s="2">
        <v>1028.93</v>
      </c>
      <c r="D2073" s="2" t="s">
        <v>0</v>
      </c>
      <c r="E2073" s="2">
        <v>2028.77</v>
      </c>
      <c r="G2073" s="1" t="s">
        <v>4139</v>
      </c>
      <c r="H2073" s="2" t="s">
        <v>0</v>
      </c>
      <c r="I2073" s="2">
        <v>1607.94</v>
      </c>
    </row>
    <row r="2074">
      <c r="A2074" s="1" t="s">
        <v>4140</v>
      </c>
      <c r="B2074" s="2">
        <v>1020.62</v>
      </c>
      <c r="C2074" s="2">
        <v>1020.62</v>
      </c>
      <c r="D2074" s="2">
        <v>2009.06</v>
      </c>
      <c r="E2074" s="2">
        <v>2009.06</v>
      </c>
      <c r="G2074" s="1" t="s">
        <v>4141</v>
      </c>
      <c r="H2074" s="2">
        <v>1591.85</v>
      </c>
      <c r="I2074" s="2">
        <v>1591.85</v>
      </c>
    </row>
    <row r="2075">
      <c r="A2075" s="1" t="s">
        <v>4142</v>
      </c>
      <c r="B2075" s="2">
        <v>998.04</v>
      </c>
      <c r="C2075" s="2">
        <v>998.04</v>
      </c>
      <c r="D2075" s="2">
        <v>1968.89</v>
      </c>
      <c r="E2075" s="2">
        <v>1968.89</v>
      </c>
      <c r="G2075" s="1" t="s">
        <v>4143</v>
      </c>
      <c r="H2075" s="2">
        <v>1623.06</v>
      </c>
      <c r="I2075" s="2">
        <v>1623.06</v>
      </c>
    </row>
    <row r="2076">
      <c r="A2076" s="1" t="s">
        <v>4144</v>
      </c>
      <c r="B2076" s="2">
        <v>994.75</v>
      </c>
      <c r="C2076" s="2">
        <v>994.75</v>
      </c>
      <c r="D2076" s="2">
        <v>1967.07</v>
      </c>
      <c r="E2076" s="2">
        <v>1967.07</v>
      </c>
      <c r="G2076" s="1" t="s">
        <v>4145</v>
      </c>
      <c r="H2076" s="2">
        <v>1613.16</v>
      </c>
      <c r="I2076" s="2">
        <v>1613.16</v>
      </c>
    </row>
    <row r="2077">
      <c r="A2077" s="1" t="s">
        <v>4146</v>
      </c>
      <c r="B2077" s="2">
        <v>1003.24</v>
      </c>
      <c r="C2077" s="2">
        <v>1003.24</v>
      </c>
      <c r="D2077" s="2">
        <v>1983.2</v>
      </c>
      <c r="E2077" s="2">
        <v>1983.2</v>
      </c>
      <c r="G2077" s="1" t="s">
        <v>4147</v>
      </c>
      <c r="H2077" s="2">
        <v>1613.53</v>
      </c>
      <c r="I2077" s="2">
        <v>1613.53</v>
      </c>
    </row>
    <row r="2078">
      <c r="A2078" s="1" t="s">
        <v>4148</v>
      </c>
      <c r="B2078" s="2">
        <v>1016.4</v>
      </c>
      <c r="C2078" s="2">
        <v>1016.4</v>
      </c>
      <c r="D2078" s="2">
        <v>2018.78</v>
      </c>
      <c r="E2078" s="2">
        <v>2018.78</v>
      </c>
      <c r="G2078" s="1" t="s">
        <v>4149</v>
      </c>
      <c r="H2078" s="2">
        <v>1608.9</v>
      </c>
      <c r="I2078" s="2">
        <v>1608.9</v>
      </c>
    </row>
    <row r="2079">
      <c r="A2079" s="1" t="s">
        <v>4150</v>
      </c>
      <c r="B2079" s="2" t="s">
        <v>0</v>
      </c>
      <c r="C2079" s="2">
        <v>1016.4</v>
      </c>
      <c r="D2079" s="2" t="s">
        <v>0</v>
      </c>
      <c r="E2079" s="2">
        <v>2018.78</v>
      </c>
      <c r="G2079" s="1" t="s">
        <v>4151</v>
      </c>
      <c r="H2079" s="2" t="s">
        <v>0</v>
      </c>
      <c r="I2079" s="2">
        <v>1608.9</v>
      </c>
    </row>
    <row r="2080">
      <c r="A2080" s="1" t="s">
        <v>4152</v>
      </c>
      <c r="B2080" s="2" t="s">
        <v>0</v>
      </c>
      <c r="C2080" s="2">
        <v>1016.4</v>
      </c>
      <c r="D2080" s="2" t="s">
        <v>0</v>
      </c>
      <c r="E2080" s="2">
        <v>2018.78</v>
      </c>
      <c r="G2080" s="1" t="s">
        <v>4153</v>
      </c>
      <c r="H2080" s="2" t="s">
        <v>0</v>
      </c>
      <c r="I2080" s="2">
        <v>1608.9</v>
      </c>
    </row>
    <row r="2081">
      <c r="A2081" s="1" t="s">
        <v>4154</v>
      </c>
      <c r="B2081" s="2" t="s">
        <v>0</v>
      </c>
      <c r="C2081" s="2">
        <v>1016.4</v>
      </c>
      <c r="D2081" s="2" t="s">
        <v>0</v>
      </c>
      <c r="E2081" s="2">
        <v>2018.78</v>
      </c>
      <c r="G2081" s="1" t="s">
        <v>4155</v>
      </c>
      <c r="H2081" s="2">
        <v>1608.57</v>
      </c>
      <c r="I2081" s="2">
        <v>1608.57</v>
      </c>
    </row>
    <row r="2082">
      <c r="A2082" s="1" t="s">
        <v>4156</v>
      </c>
      <c r="B2082" s="2">
        <v>1025.39</v>
      </c>
      <c r="C2082" s="2">
        <v>1025.39</v>
      </c>
      <c r="D2082" s="2">
        <v>2037.77</v>
      </c>
      <c r="E2082" s="2">
        <v>2037.77</v>
      </c>
      <c r="G2082" s="1" t="s">
        <v>4157</v>
      </c>
      <c r="H2082" s="2">
        <v>1619.69</v>
      </c>
      <c r="I2082" s="2">
        <v>1619.69</v>
      </c>
    </row>
    <row r="2083">
      <c r="A2083" s="1" t="s">
        <v>4158</v>
      </c>
      <c r="B2083" s="2">
        <v>1033.37</v>
      </c>
      <c r="C2083" s="2">
        <v>1033.37</v>
      </c>
      <c r="D2083" s="2">
        <v>2060.39</v>
      </c>
      <c r="E2083" s="2">
        <v>2060.39</v>
      </c>
      <c r="G2083" s="1" t="s">
        <v>4159</v>
      </c>
      <c r="H2083" s="2">
        <v>1607.77</v>
      </c>
      <c r="I2083" s="2">
        <v>1607.77</v>
      </c>
    </row>
    <row r="2084">
      <c r="A2084" s="1" t="s">
        <v>4160</v>
      </c>
      <c r="B2084" s="2">
        <v>1044.14</v>
      </c>
      <c r="C2084" s="2">
        <v>1044.14</v>
      </c>
      <c r="D2084" s="2">
        <v>2084.02</v>
      </c>
      <c r="E2084" s="2">
        <v>2084.02</v>
      </c>
      <c r="G2084" s="1" t="s">
        <v>4161</v>
      </c>
      <c r="H2084" s="2">
        <v>1644.68</v>
      </c>
      <c r="I2084" s="2">
        <v>1644.68</v>
      </c>
    </row>
    <row r="2085">
      <c r="A2085" s="1" t="s">
        <v>4162</v>
      </c>
      <c r="B2085" s="2">
        <v>1042.73</v>
      </c>
      <c r="C2085" s="2">
        <v>1042.73</v>
      </c>
      <c r="D2085" s="2">
        <v>2080.9</v>
      </c>
      <c r="E2085" s="2">
        <v>2080.9</v>
      </c>
      <c r="G2085" s="1" t="s">
        <v>4163</v>
      </c>
      <c r="H2085" s="2">
        <v>1651.7</v>
      </c>
      <c r="I2085" s="2">
        <v>1651.7</v>
      </c>
    </row>
    <row r="2086">
      <c r="A2086" s="1" t="s">
        <v>4164</v>
      </c>
      <c r="B2086" s="2" t="s">
        <v>0</v>
      </c>
      <c r="C2086" s="2">
        <v>1042.73</v>
      </c>
      <c r="D2086" s="2" t="s">
        <v>0</v>
      </c>
      <c r="E2086" s="2">
        <v>2080.9</v>
      </c>
      <c r="G2086" s="1" t="s">
        <v>4165</v>
      </c>
      <c r="H2086" s="2" t="s">
        <v>0</v>
      </c>
      <c r="I2086" s="2">
        <v>1651.7</v>
      </c>
    </row>
    <row r="2087">
      <c r="A2087" s="1" t="s">
        <v>4166</v>
      </c>
      <c r="B2087" s="2" t="s">
        <v>0</v>
      </c>
      <c r="C2087" s="2">
        <v>1042.73</v>
      </c>
      <c r="D2087" s="2" t="s">
        <v>0</v>
      </c>
      <c r="E2087" s="2">
        <v>2080.9</v>
      </c>
      <c r="G2087" s="1" t="s">
        <v>4167</v>
      </c>
      <c r="H2087" s="2" t="s">
        <v>0</v>
      </c>
      <c r="I2087" s="2">
        <v>1651.7</v>
      </c>
    </row>
    <row r="2088">
      <c r="A2088" s="1" t="s">
        <v>4168</v>
      </c>
      <c r="B2088" s="2">
        <v>1049.34</v>
      </c>
      <c r="C2088" s="2">
        <v>1049.34</v>
      </c>
      <c r="D2088" s="2">
        <v>2091.78</v>
      </c>
      <c r="E2088" s="2">
        <v>2091.78</v>
      </c>
      <c r="G2088" s="1" t="s">
        <v>4169</v>
      </c>
      <c r="H2088" s="2">
        <v>1634.91</v>
      </c>
      <c r="I2088" s="2">
        <v>1634.91</v>
      </c>
    </row>
    <row r="2089">
      <c r="A2089" s="1" t="s">
        <v>4170</v>
      </c>
      <c r="B2089" s="2">
        <v>1052.63</v>
      </c>
      <c r="C2089" s="2">
        <v>1052.63</v>
      </c>
      <c r="D2089" s="2">
        <v>2102.64</v>
      </c>
      <c r="E2089" s="2">
        <v>2102.64</v>
      </c>
      <c r="G2089" s="1" t="s">
        <v>4171</v>
      </c>
      <c r="H2089" s="2">
        <v>1653.4</v>
      </c>
      <c r="I2089" s="2">
        <v>1653.4</v>
      </c>
    </row>
    <row r="2090">
      <c r="A2090" s="1" t="s">
        <v>4172</v>
      </c>
      <c r="B2090" s="2">
        <v>1068.76</v>
      </c>
      <c r="C2090" s="2">
        <v>1068.76</v>
      </c>
      <c r="D2090" s="2">
        <v>2133.15</v>
      </c>
      <c r="E2090" s="2">
        <v>2133.15</v>
      </c>
      <c r="G2090" s="1" t="s">
        <v>4173</v>
      </c>
      <c r="H2090" s="2">
        <v>1683.33</v>
      </c>
      <c r="I2090" s="2">
        <v>1683.33</v>
      </c>
    </row>
    <row r="2091">
      <c r="A2091" s="1" t="s">
        <v>4174</v>
      </c>
      <c r="B2091" s="2">
        <v>1065.49</v>
      </c>
      <c r="C2091" s="2">
        <v>1065.49</v>
      </c>
      <c r="D2091" s="2">
        <v>2126.75</v>
      </c>
      <c r="E2091" s="2">
        <v>2126.75</v>
      </c>
      <c r="G2091" s="1" t="s">
        <v>4175</v>
      </c>
      <c r="H2091" s="2">
        <v>1695.47</v>
      </c>
      <c r="I2091" s="2">
        <v>1695.47</v>
      </c>
    </row>
    <row r="2092">
      <c r="A2092" s="1" t="s">
        <v>4176</v>
      </c>
      <c r="B2092" s="2">
        <v>1068.3</v>
      </c>
      <c r="C2092" s="2">
        <v>1068.3</v>
      </c>
      <c r="D2092" s="2">
        <v>2132.86</v>
      </c>
      <c r="E2092" s="2">
        <v>2132.86</v>
      </c>
      <c r="G2092" s="1" t="s">
        <v>4177</v>
      </c>
      <c r="H2092" s="2">
        <v>1699.71</v>
      </c>
      <c r="I2092" s="2">
        <v>1699.71</v>
      </c>
    </row>
    <row r="2093">
      <c r="A2093" s="1" t="s">
        <v>4178</v>
      </c>
      <c r="B2093" s="2" t="s">
        <v>0</v>
      </c>
      <c r="C2093" s="2">
        <v>1068.3</v>
      </c>
      <c r="D2093" s="2" t="s">
        <v>0</v>
      </c>
      <c r="E2093" s="2">
        <v>2132.86</v>
      </c>
      <c r="G2093" s="1" t="s">
        <v>4179</v>
      </c>
      <c r="H2093" s="2" t="s">
        <v>0</v>
      </c>
      <c r="I2093" s="2">
        <v>1699.71</v>
      </c>
    </row>
    <row r="2094">
      <c r="A2094" s="1" t="s">
        <v>4180</v>
      </c>
      <c r="B2094" s="2" t="s">
        <v>0</v>
      </c>
      <c r="C2094" s="2">
        <v>1068.3</v>
      </c>
      <c r="D2094" s="2" t="s">
        <v>0</v>
      </c>
      <c r="E2094" s="2">
        <v>2132.86</v>
      </c>
      <c r="G2094" s="1" t="s">
        <v>4181</v>
      </c>
      <c r="H2094" s="2" t="s">
        <v>0</v>
      </c>
      <c r="I2094" s="2">
        <v>1699.71</v>
      </c>
    </row>
    <row r="2095">
      <c r="A2095" s="1" t="s">
        <v>4182</v>
      </c>
      <c r="B2095" s="2">
        <v>1064.66</v>
      </c>
      <c r="C2095" s="2">
        <v>1064.66</v>
      </c>
      <c r="D2095" s="2">
        <v>2138.04</v>
      </c>
      <c r="E2095" s="2">
        <v>2138.04</v>
      </c>
      <c r="G2095" s="1" t="s">
        <v>4183</v>
      </c>
      <c r="H2095" s="2">
        <v>1695.5</v>
      </c>
      <c r="I2095" s="2">
        <v>1695.5</v>
      </c>
    </row>
    <row r="2096">
      <c r="A2096" s="1" t="s">
        <v>4184</v>
      </c>
      <c r="B2096" s="2">
        <v>1071.66</v>
      </c>
      <c r="C2096" s="2">
        <v>1071.66</v>
      </c>
      <c r="D2096" s="2">
        <v>2146.3</v>
      </c>
      <c r="E2096" s="2">
        <v>2146.3</v>
      </c>
      <c r="G2096" s="1" t="s">
        <v>4185</v>
      </c>
      <c r="H2096" s="2">
        <v>1718.88</v>
      </c>
      <c r="I2096" s="2">
        <v>1718.88</v>
      </c>
    </row>
    <row r="2097">
      <c r="A2097" s="1" t="s">
        <v>4186</v>
      </c>
      <c r="B2097" s="2">
        <v>1060.87</v>
      </c>
      <c r="C2097" s="2">
        <v>1060.87</v>
      </c>
      <c r="D2097" s="2">
        <v>2131.42</v>
      </c>
      <c r="E2097" s="2">
        <v>2131.42</v>
      </c>
      <c r="G2097" s="1" t="s">
        <v>4187</v>
      </c>
      <c r="H2097" s="2">
        <v>1711.47</v>
      </c>
      <c r="I2097" s="2">
        <v>1711.47</v>
      </c>
    </row>
    <row r="2098">
      <c r="A2098" s="1" t="s">
        <v>4188</v>
      </c>
      <c r="B2098" s="2">
        <v>1050.78</v>
      </c>
      <c r="C2098" s="2">
        <v>1050.78</v>
      </c>
      <c r="D2098" s="2">
        <v>2107.61</v>
      </c>
      <c r="E2098" s="2">
        <v>2107.61</v>
      </c>
      <c r="G2098" s="1" t="s">
        <v>4189</v>
      </c>
      <c r="H2098" s="2">
        <v>1693.88</v>
      </c>
      <c r="I2098" s="2">
        <v>1693.88</v>
      </c>
    </row>
    <row r="2099">
      <c r="A2099" s="1" t="s">
        <v>4190</v>
      </c>
      <c r="B2099" s="2">
        <v>1044.38</v>
      </c>
      <c r="C2099" s="2">
        <v>1044.38</v>
      </c>
      <c r="D2099" s="2">
        <v>2090.92</v>
      </c>
      <c r="E2099" s="2">
        <v>2090.92</v>
      </c>
      <c r="G2099" s="1" t="s">
        <v>4191</v>
      </c>
      <c r="H2099" s="2">
        <v>1691.48</v>
      </c>
      <c r="I2099" s="2">
        <v>1691.48</v>
      </c>
    </row>
    <row r="2100">
      <c r="A2100" s="1" t="s">
        <v>4192</v>
      </c>
      <c r="B2100" s="2" t="s">
        <v>0</v>
      </c>
      <c r="C2100" s="2">
        <v>1044.38</v>
      </c>
      <c r="D2100" s="2" t="s">
        <v>0</v>
      </c>
      <c r="E2100" s="2">
        <v>2090.92</v>
      </c>
      <c r="G2100" s="1" t="s">
        <v>4193</v>
      </c>
      <c r="H2100" s="2" t="s">
        <v>0</v>
      </c>
      <c r="I2100" s="2">
        <v>1691.48</v>
      </c>
    </row>
    <row r="2101">
      <c r="A2101" s="1" t="s">
        <v>4194</v>
      </c>
      <c r="B2101" s="2" t="s">
        <v>0</v>
      </c>
      <c r="C2101" s="2">
        <v>1044.38</v>
      </c>
      <c r="D2101" s="2" t="s">
        <v>0</v>
      </c>
      <c r="E2101" s="2">
        <v>2090.92</v>
      </c>
      <c r="G2101" s="1" t="s">
        <v>4195</v>
      </c>
      <c r="H2101" s="2" t="s">
        <v>0</v>
      </c>
      <c r="I2101" s="2">
        <v>1691.48</v>
      </c>
    </row>
    <row r="2102">
      <c r="A2102" s="1" t="s">
        <v>4196</v>
      </c>
      <c r="B2102" s="2">
        <v>1062.98</v>
      </c>
      <c r="C2102" s="2">
        <v>1062.98</v>
      </c>
      <c r="D2102" s="2">
        <v>2130.74</v>
      </c>
      <c r="E2102" s="2">
        <v>2130.74</v>
      </c>
      <c r="G2102" s="1" t="s">
        <v>4197</v>
      </c>
      <c r="H2102" s="2">
        <v>1675.55</v>
      </c>
      <c r="I2102" s="2">
        <v>1675.55</v>
      </c>
    </row>
    <row r="2103">
      <c r="A2103" s="1" t="s">
        <v>4198</v>
      </c>
      <c r="B2103" s="2">
        <v>1060.61</v>
      </c>
      <c r="C2103" s="2">
        <v>1060.61</v>
      </c>
      <c r="D2103" s="2">
        <v>2124.04</v>
      </c>
      <c r="E2103" s="2">
        <v>2124.04</v>
      </c>
      <c r="G2103" s="1" t="s">
        <v>4199</v>
      </c>
      <c r="H2103" s="2">
        <v>1690.05</v>
      </c>
      <c r="I2103" s="2">
        <v>1690.05</v>
      </c>
    </row>
    <row r="2104">
      <c r="A2104" s="1" t="s">
        <v>4200</v>
      </c>
      <c r="B2104" s="2">
        <v>1057.08</v>
      </c>
      <c r="C2104" s="2">
        <v>1057.08</v>
      </c>
      <c r="D2104" s="2">
        <v>2122.42</v>
      </c>
      <c r="E2104" s="2">
        <v>2122.42</v>
      </c>
      <c r="G2104" s="1" t="s">
        <v>4201</v>
      </c>
      <c r="H2104" s="2">
        <v>1673.14</v>
      </c>
      <c r="I2104" s="2">
        <v>1673.14</v>
      </c>
    </row>
    <row r="2105">
      <c r="A2105" s="1" t="s">
        <v>4202</v>
      </c>
      <c r="B2105" s="2">
        <v>1029.85</v>
      </c>
      <c r="C2105" s="2">
        <v>1029.85</v>
      </c>
      <c r="D2105" s="2">
        <v>2057.48</v>
      </c>
      <c r="E2105" s="2">
        <v>2057.48</v>
      </c>
      <c r="G2105" s="1" t="s">
        <v>4203</v>
      </c>
      <c r="H2105" s="2">
        <v>1644.63</v>
      </c>
      <c r="I2105" s="2">
        <v>1644.63</v>
      </c>
    </row>
    <row r="2106">
      <c r="A2106" s="1" t="s">
        <v>4204</v>
      </c>
      <c r="B2106" s="2">
        <v>1025.21</v>
      </c>
      <c r="C2106" s="2">
        <v>1025.21</v>
      </c>
      <c r="D2106" s="2">
        <v>2048.11</v>
      </c>
      <c r="E2106" s="2">
        <v>2048.11</v>
      </c>
      <c r="G2106" s="1" t="s">
        <v>4205</v>
      </c>
      <c r="H2106" s="2" t="s">
        <v>0</v>
      </c>
      <c r="I2106" s="2">
        <v>1644.63</v>
      </c>
    </row>
    <row r="2107">
      <c r="A2107" s="1" t="s">
        <v>4206</v>
      </c>
      <c r="B2107" s="2" t="s">
        <v>0</v>
      </c>
      <c r="C2107" s="2">
        <v>1025.21</v>
      </c>
      <c r="D2107" s="2" t="s">
        <v>0</v>
      </c>
      <c r="E2107" s="2">
        <v>2048.11</v>
      </c>
      <c r="G2107" s="1" t="s">
        <v>4207</v>
      </c>
      <c r="H2107" s="2" t="s">
        <v>0</v>
      </c>
      <c r="I2107" s="2">
        <v>1644.63</v>
      </c>
    </row>
    <row r="2108">
      <c r="A2108" s="1" t="s">
        <v>4208</v>
      </c>
      <c r="B2108" s="2" t="s">
        <v>0</v>
      </c>
      <c r="C2108" s="2">
        <v>1025.21</v>
      </c>
      <c r="D2108" s="2" t="s">
        <v>0</v>
      </c>
      <c r="E2108" s="2">
        <v>2048.11</v>
      </c>
      <c r="G2108" s="1" t="s">
        <v>4209</v>
      </c>
      <c r="H2108" s="2" t="s">
        <v>0</v>
      </c>
      <c r="I2108" s="2">
        <v>1644.63</v>
      </c>
    </row>
    <row r="2109">
      <c r="A2109" s="1" t="s">
        <v>4210</v>
      </c>
      <c r="B2109" s="2">
        <v>1040.46</v>
      </c>
      <c r="C2109" s="2">
        <v>1040.46</v>
      </c>
      <c r="D2109" s="2">
        <v>2068.15</v>
      </c>
      <c r="E2109" s="2">
        <v>2068.15</v>
      </c>
      <c r="G2109" s="1" t="s">
        <v>4211</v>
      </c>
      <c r="H2109" s="2">
        <v>1606.9</v>
      </c>
      <c r="I2109" s="2">
        <v>1606.9</v>
      </c>
    </row>
    <row r="2110">
      <c r="A2110" s="1" t="s">
        <v>4212</v>
      </c>
      <c r="B2110" s="2">
        <v>1054.72</v>
      </c>
      <c r="C2110" s="2">
        <v>1054.72</v>
      </c>
      <c r="D2110" s="2">
        <v>2103.57</v>
      </c>
      <c r="E2110" s="2">
        <v>2103.57</v>
      </c>
      <c r="G2110" s="1" t="s">
        <v>4213</v>
      </c>
      <c r="H2110" s="2">
        <v>1598.44</v>
      </c>
      <c r="I2110" s="2">
        <v>1598.44</v>
      </c>
    </row>
    <row r="2111">
      <c r="A2111" s="1" t="s">
        <v>4214</v>
      </c>
      <c r="B2111" s="2">
        <v>1057.58</v>
      </c>
      <c r="C2111" s="2">
        <v>1057.58</v>
      </c>
      <c r="D2111" s="2">
        <v>2110.33</v>
      </c>
      <c r="E2111" s="2">
        <v>2110.33</v>
      </c>
      <c r="G2111" s="1" t="s">
        <v>4215</v>
      </c>
      <c r="H2111" s="2">
        <v>1598.0</v>
      </c>
      <c r="I2111" s="2">
        <v>1598.0</v>
      </c>
    </row>
    <row r="2112">
      <c r="A2112" s="1" t="s">
        <v>4216</v>
      </c>
      <c r="B2112" s="2">
        <v>1065.48</v>
      </c>
      <c r="C2112" s="2">
        <v>1065.48</v>
      </c>
      <c r="D2112" s="2">
        <v>2123.93</v>
      </c>
      <c r="E2112" s="2">
        <v>2123.93</v>
      </c>
      <c r="G2112" s="1" t="s">
        <v>4217</v>
      </c>
      <c r="H2112" s="2">
        <v>1615.46</v>
      </c>
      <c r="I2112" s="2">
        <v>1615.46</v>
      </c>
    </row>
    <row r="2113">
      <c r="A2113" s="1" t="s">
        <v>4218</v>
      </c>
      <c r="B2113" s="2">
        <v>1071.49</v>
      </c>
      <c r="C2113" s="2">
        <v>1071.49</v>
      </c>
      <c r="D2113" s="2">
        <v>2139.28</v>
      </c>
      <c r="E2113" s="2">
        <v>2139.28</v>
      </c>
      <c r="G2113" s="1" t="s">
        <v>4219</v>
      </c>
      <c r="H2113" s="2">
        <v>1646.79</v>
      </c>
      <c r="I2113" s="2">
        <v>1646.79</v>
      </c>
    </row>
    <row r="2114">
      <c r="A2114" s="1" t="s">
        <v>4220</v>
      </c>
      <c r="B2114" s="2" t="s">
        <v>0</v>
      </c>
      <c r="C2114" s="2">
        <v>1071.49</v>
      </c>
      <c r="D2114" s="2" t="s">
        <v>0</v>
      </c>
      <c r="E2114" s="2">
        <v>2139.28</v>
      </c>
      <c r="G2114" s="1" t="s">
        <v>4221</v>
      </c>
      <c r="H2114" s="2" t="s">
        <v>0</v>
      </c>
      <c r="I2114" s="2">
        <v>1646.79</v>
      </c>
    </row>
    <row r="2115">
      <c r="A2115" s="1" t="s">
        <v>4222</v>
      </c>
      <c r="B2115" s="2" t="s">
        <v>0</v>
      </c>
      <c r="C2115" s="2">
        <v>1071.49</v>
      </c>
      <c r="D2115" s="2" t="s">
        <v>0</v>
      </c>
      <c r="E2115" s="2">
        <v>2139.28</v>
      </c>
      <c r="G2115" s="1" t="s">
        <v>4223</v>
      </c>
      <c r="H2115" s="2" t="s">
        <v>0</v>
      </c>
      <c r="I2115" s="2">
        <v>1646.79</v>
      </c>
    </row>
    <row r="2116">
      <c r="A2116" s="1" t="s">
        <v>4224</v>
      </c>
      <c r="B2116" s="2">
        <v>1076.19</v>
      </c>
      <c r="C2116" s="2">
        <v>1076.19</v>
      </c>
      <c r="D2116" s="2">
        <v>2139.14</v>
      </c>
      <c r="E2116" s="2">
        <v>2139.14</v>
      </c>
      <c r="G2116" s="1" t="s">
        <v>4225</v>
      </c>
      <c r="H2116" s="2">
        <v>1639.81</v>
      </c>
      <c r="I2116" s="2">
        <v>1639.81</v>
      </c>
    </row>
    <row r="2117">
      <c r="A2117" s="1" t="s">
        <v>4226</v>
      </c>
      <c r="B2117" s="2">
        <v>1073.19</v>
      </c>
      <c r="C2117" s="2">
        <v>1073.19</v>
      </c>
      <c r="D2117" s="2">
        <v>2139.89</v>
      </c>
      <c r="E2117" s="2">
        <v>2139.89</v>
      </c>
      <c r="G2117" s="1" t="s">
        <v>4227</v>
      </c>
      <c r="H2117" s="2">
        <v>1628.93</v>
      </c>
      <c r="I2117" s="2">
        <v>1628.93</v>
      </c>
    </row>
    <row r="2118">
      <c r="A2118" s="1" t="s">
        <v>4228</v>
      </c>
      <c r="B2118" s="2">
        <v>1092.02</v>
      </c>
      <c r="C2118" s="2">
        <v>1092.02</v>
      </c>
      <c r="D2118" s="2">
        <v>2172.23</v>
      </c>
      <c r="E2118" s="2">
        <v>2172.23</v>
      </c>
      <c r="G2118" s="1" t="s">
        <v>4229</v>
      </c>
      <c r="H2118" s="2">
        <v>1649.09</v>
      </c>
      <c r="I2118" s="2">
        <v>1649.09</v>
      </c>
    </row>
    <row r="2119">
      <c r="A2119" s="1" t="s">
        <v>4230</v>
      </c>
      <c r="B2119" s="2">
        <v>1096.56</v>
      </c>
      <c r="C2119" s="2">
        <v>1096.56</v>
      </c>
      <c r="D2119" s="2">
        <v>2173.29</v>
      </c>
      <c r="E2119" s="2">
        <v>2173.29</v>
      </c>
      <c r="G2119" s="1" t="s">
        <v>4231</v>
      </c>
      <c r="H2119" s="2">
        <v>1658.99</v>
      </c>
      <c r="I2119" s="2">
        <v>1658.99</v>
      </c>
    </row>
    <row r="2120">
      <c r="A2120" s="1" t="s">
        <v>4232</v>
      </c>
      <c r="B2120" s="2">
        <v>1087.68</v>
      </c>
      <c r="C2120" s="2">
        <v>1087.68</v>
      </c>
      <c r="D2120" s="2">
        <v>2156.8</v>
      </c>
      <c r="E2120" s="2">
        <v>2156.8</v>
      </c>
      <c r="G2120" s="1" t="s">
        <v>4233</v>
      </c>
      <c r="H2120" s="2">
        <v>1640.36</v>
      </c>
      <c r="I2120" s="2">
        <v>1640.36</v>
      </c>
    </row>
    <row r="2121">
      <c r="A2121" s="1" t="s">
        <v>4234</v>
      </c>
      <c r="B2121" s="2" t="s">
        <v>0</v>
      </c>
      <c r="C2121" s="2">
        <v>1087.68</v>
      </c>
      <c r="D2121" s="2" t="s">
        <v>0</v>
      </c>
      <c r="E2121" s="2">
        <v>2156.8</v>
      </c>
      <c r="G2121" s="1" t="s">
        <v>4235</v>
      </c>
      <c r="H2121" s="2" t="s">
        <v>0</v>
      </c>
      <c r="I2121" s="2">
        <v>1640.36</v>
      </c>
    </row>
    <row r="2122">
      <c r="A2122" s="1" t="s">
        <v>4236</v>
      </c>
      <c r="B2122" s="2" t="s">
        <v>0</v>
      </c>
      <c r="C2122" s="2">
        <v>1087.68</v>
      </c>
      <c r="D2122" s="2" t="s">
        <v>0</v>
      </c>
      <c r="E2122" s="2">
        <v>2156.8</v>
      </c>
      <c r="G2122" s="1" t="s">
        <v>4237</v>
      </c>
      <c r="H2122" s="2" t="s">
        <v>0</v>
      </c>
      <c r="I2122" s="2">
        <v>1640.36</v>
      </c>
    </row>
    <row r="2123">
      <c r="A2123" s="1" t="s">
        <v>4238</v>
      </c>
      <c r="B2123" s="2">
        <v>1097.91</v>
      </c>
      <c r="C2123" s="2">
        <v>1097.91</v>
      </c>
      <c r="D2123" s="2">
        <v>2176.32</v>
      </c>
      <c r="E2123" s="2">
        <v>2176.32</v>
      </c>
      <c r="G2123" s="1" t="s">
        <v>4239</v>
      </c>
      <c r="H2123" s="2">
        <v>1649.07</v>
      </c>
      <c r="I2123" s="2">
        <v>1649.07</v>
      </c>
    </row>
    <row r="2124">
      <c r="A2124" s="1" t="s">
        <v>4240</v>
      </c>
      <c r="B2124" s="2">
        <v>1091.06</v>
      </c>
      <c r="C2124" s="2">
        <v>1091.06</v>
      </c>
      <c r="D2124" s="2">
        <v>2163.47</v>
      </c>
      <c r="E2124" s="2">
        <v>2163.47</v>
      </c>
      <c r="G2124" s="1" t="s">
        <v>4241</v>
      </c>
      <c r="H2124" s="2">
        <v>1659.15</v>
      </c>
      <c r="I2124" s="2">
        <v>1659.15</v>
      </c>
    </row>
    <row r="2125">
      <c r="A2125" s="1" t="s">
        <v>4242</v>
      </c>
      <c r="B2125" s="2">
        <v>1081.4</v>
      </c>
      <c r="C2125" s="2">
        <v>1081.4</v>
      </c>
      <c r="D2125" s="2">
        <v>2150.73</v>
      </c>
      <c r="E2125" s="2">
        <v>2150.73</v>
      </c>
      <c r="G2125" s="1" t="s">
        <v>4243</v>
      </c>
      <c r="H2125" s="2">
        <v>1653.86</v>
      </c>
      <c r="I2125" s="2">
        <v>1653.86</v>
      </c>
    </row>
    <row r="2126">
      <c r="A2126" s="1" t="s">
        <v>4244</v>
      </c>
      <c r="B2126" s="2">
        <v>1092.91</v>
      </c>
      <c r="C2126" s="2">
        <v>1092.91</v>
      </c>
      <c r="D2126" s="2">
        <v>2165.29</v>
      </c>
      <c r="E2126" s="2">
        <v>2165.29</v>
      </c>
      <c r="G2126" s="1" t="s">
        <v>4245</v>
      </c>
      <c r="H2126" s="2">
        <v>1630.33</v>
      </c>
      <c r="I2126" s="2">
        <v>1630.33</v>
      </c>
    </row>
    <row r="2127">
      <c r="A2127" s="1" t="s">
        <v>4246</v>
      </c>
      <c r="B2127" s="2">
        <v>1079.6</v>
      </c>
      <c r="C2127" s="2">
        <v>1079.6</v>
      </c>
      <c r="D2127" s="2">
        <v>2154.47</v>
      </c>
      <c r="E2127" s="2">
        <v>2154.47</v>
      </c>
      <c r="G2127" s="1" t="s">
        <v>4247</v>
      </c>
      <c r="H2127" s="2">
        <v>1640.17</v>
      </c>
      <c r="I2127" s="2">
        <v>1640.17</v>
      </c>
    </row>
    <row r="2128">
      <c r="A2128" s="1" t="s">
        <v>4248</v>
      </c>
      <c r="B2128" s="2" t="s">
        <v>0</v>
      </c>
      <c r="C2128" s="2">
        <v>1079.6</v>
      </c>
      <c r="D2128" s="2" t="s">
        <v>0</v>
      </c>
      <c r="E2128" s="2">
        <v>2154.47</v>
      </c>
      <c r="G2128" s="1" t="s">
        <v>4249</v>
      </c>
      <c r="H2128" s="2" t="s">
        <v>0</v>
      </c>
      <c r="I2128" s="2">
        <v>1640.17</v>
      </c>
    </row>
    <row r="2129">
      <c r="A2129" s="1" t="s">
        <v>4250</v>
      </c>
      <c r="B2129" s="2" t="s">
        <v>0</v>
      </c>
      <c r="C2129" s="2">
        <v>1079.6</v>
      </c>
      <c r="D2129" s="2" t="s">
        <v>0</v>
      </c>
      <c r="E2129" s="2">
        <v>2154.47</v>
      </c>
      <c r="G2129" s="1" t="s">
        <v>4251</v>
      </c>
      <c r="H2129" s="2" t="s">
        <v>0</v>
      </c>
      <c r="I2129" s="2">
        <v>1640.17</v>
      </c>
    </row>
    <row r="2130">
      <c r="A2130" s="1" t="s">
        <v>4252</v>
      </c>
      <c r="B2130" s="2">
        <v>1066.95</v>
      </c>
      <c r="C2130" s="2">
        <v>1066.95</v>
      </c>
      <c r="D2130" s="2">
        <v>2141.85</v>
      </c>
      <c r="E2130" s="2">
        <v>2141.85</v>
      </c>
      <c r="G2130" s="1" t="s">
        <v>4253</v>
      </c>
      <c r="H2130" s="2">
        <v>1657.11</v>
      </c>
      <c r="I2130" s="2">
        <v>1657.11</v>
      </c>
    </row>
    <row r="2131">
      <c r="A2131" s="1" t="s">
        <v>4254</v>
      </c>
      <c r="B2131" s="2">
        <v>1063.41</v>
      </c>
      <c r="C2131" s="2">
        <v>1063.41</v>
      </c>
      <c r="D2131" s="2">
        <v>2116.09</v>
      </c>
      <c r="E2131" s="2">
        <v>2116.09</v>
      </c>
      <c r="G2131" s="1" t="s">
        <v>4255</v>
      </c>
      <c r="H2131" s="2">
        <v>1649.53</v>
      </c>
      <c r="I2131" s="2">
        <v>1649.53</v>
      </c>
    </row>
    <row r="2132">
      <c r="A2132" s="1" t="s">
        <v>4256</v>
      </c>
      <c r="B2132" s="2">
        <v>1042.63</v>
      </c>
      <c r="C2132" s="2">
        <v>1042.63</v>
      </c>
      <c r="D2132" s="2">
        <v>2059.61</v>
      </c>
      <c r="E2132" s="2">
        <v>2059.61</v>
      </c>
      <c r="G2132" s="1" t="s">
        <v>4257</v>
      </c>
      <c r="H2132" s="2">
        <v>1609.71</v>
      </c>
      <c r="I2132" s="2">
        <v>1609.71</v>
      </c>
    </row>
    <row r="2133">
      <c r="A2133" s="1" t="s">
        <v>4258</v>
      </c>
      <c r="B2133" s="2">
        <v>1066.11</v>
      </c>
      <c r="C2133" s="2">
        <v>1066.11</v>
      </c>
      <c r="D2133" s="2">
        <v>2097.55</v>
      </c>
      <c r="E2133" s="2">
        <v>2097.55</v>
      </c>
      <c r="G2133" s="1" t="s">
        <v>4259</v>
      </c>
      <c r="H2133" s="2">
        <v>1585.85</v>
      </c>
      <c r="I2133" s="2">
        <v>1585.85</v>
      </c>
    </row>
    <row r="2134">
      <c r="A2134" s="1" t="s">
        <v>4260</v>
      </c>
      <c r="B2134" s="2">
        <v>1036.19</v>
      </c>
      <c r="C2134" s="2">
        <v>1036.19</v>
      </c>
      <c r="D2134" s="2">
        <v>2045.11</v>
      </c>
      <c r="E2134" s="2">
        <v>2045.11</v>
      </c>
      <c r="G2134" s="1" t="s">
        <v>4261</v>
      </c>
      <c r="H2134" s="2">
        <v>1580.69</v>
      </c>
      <c r="I2134" s="2">
        <v>1580.69</v>
      </c>
    </row>
    <row r="2135">
      <c r="A2135" s="1" t="s">
        <v>4262</v>
      </c>
      <c r="B2135" s="2" t="s">
        <v>0</v>
      </c>
      <c r="C2135" s="2">
        <v>1036.19</v>
      </c>
      <c r="D2135" s="2" t="s">
        <v>0</v>
      </c>
      <c r="E2135" s="2">
        <v>2045.11</v>
      </c>
      <c r="G2135" s="1" t="s">
        <v>4263</v>
      </c>
      <c r="H2135" s="2" t="s">
        <v>0</v>
      </c>
      <c r="I2135" s="2">
        <v>1580.69</v>
      </c>
    </row>
    <row r="2136">
      <c r="A2136" s="1" t="s">
        <v>4264</v>
      </c>
      <c r="B2136" s="2" t="s">
        <v>0</v>
      </c>
      <c r="C2136" s="2">
        <v>1036.19</v>
      </c>
      <c r="D2136" s="2" t="s">
        <v>0</v>
      </c>
      <c r="E2136" s="2">
        <v>2045.11</v>
      </c>
      <c r="G2136" s="1" t="s">
        <v>4265</v>
      </c>
      <c r="H2136" s="2" t="s">
        <v>0</v>
      </c>
      <c r="I2136" s="2">
        <v>1580.69</v>
      </c>
    </row>
    <row r="2137">
      <c r="A2137" s="1" t="s">
        <v>4266</v>
      </c>
      <c r="B2137" s="2">
        <v>1042.88</v>
      </c>
      <c r="C2137" s="2">
        <v>1042.88</v>
      </c>
      <c r="D2137" s="2">
        <v>2049.2</v>
      </c>
      <c r="E2137" s="2">
        <v>2049.2</v>
      </c>
      <c r="G2137" s="1" t="s">
        <v>4267</v>
      </c>
      <c r="H2137" s="2">
        <v>1559.09</v>
      </c>
      <c r="I2137" s="2">
        <v>1559.09</v>
      </c>
    </row>
    <row r="2138">
      <c r="A2138" s="1" t="s">
        <v>4268</v>
      </c>
      <c r="B2138" s="2">
        <v>1045.41</v>
      </c>
      <c r="C2138" s="2">
        <v>1045.41</v>
      </c>
      <c r="D2138" s="2">
        <v>2057.32</v>
      </c>
      <c r="E2138" s="2">
        <v>2057.32</v>
      </c>
      <c r="G2138" s="1" t="s">
        <v>4269</v>
      </c>
      <c r="H2138" s="2">
        <v>1549.92</v>
      </c>
      <c r="I2138" s="2">
        <v>1549.92</v>
      </c>
    </row>
    <row r="2139">
      <c r="A2139" s="1" t="s">
        <v>4270</v>
      </c>
      <c r="B2139" s="2">
        <v>1046.5</v>
      </c>
      <c r="C2139" s="2">
        <v>1046.5</v>
      </c>
      <c r="D2139" s="2">
        <v>2055.52</v>
      </c>
      <c r="E2139" s="2">
        <v>2055.52</v>
      </c>
      <c r="G2139" s="1" t="s">
        <v>4271</v>
      </c>
      <c r="H2139" s="2">
        <v>1579.93</v>
      </c>
      <c r="I2139" s="2">
        <v>1579.93</v>
      </c>
    </row>
    <row r="2140">
      <c r="A2140" s="1" t="s">
        <v>4272</v>
      </c>
      <c r="B2140" s="2">
        <v>1066.63</v>
      </c>
      <c r="C2140" s="2">
        <v>1066.63</v>
      </c>
      <c r="D2140" s="2">
        <v>2105.32</v>
      </c>
      <c r="E2140" s="2">
        <v>2105.32</v>
      </c>
      <c r="G2140" s="1" t="s">
        <v>4273</v>
      </c>
      <c r="H2140" s="2">
        <v>1552.24</v>
      </c>
      <c r="I2140" s="2">
        <v>1552.24</v>
      </c>
    </row>
    <row r="2141">
      <c r="A2141" s="1" t="s">
        <v>4274</v>
      </c>
      <c r="B2141" s="2">
        <v>1069.3</v>
      </c>
      <c r="C2141" s="2">
        <v>1069.3</v>
      </c>
      <c r="D2141" s="2">
        <v>2112.44</v>
      </c>
      <c r="E2141" s="2">
        <v>2112.44</v>
      </c>
      <c r="G2141" s="1" t="s">
        <v>4275</v>
      </c>
      <c r="H2141" s="2">
        <v>1572.46</v>
      </c>
      <c r="I2141" s="2">
        <v>1572.46</v>
      </c>
    </row>
    <row r="2142">
      <c r="A2142" s="1" t="s">
        <v>4276</v>
      </c>
      <c r="B2142" s="2" t="s">
        <v>0</v>
      </c>
      <c r="C2142" s="2">
        <v>1069.3</v>
      </c>
      <c r="D2142" s="2" t="s">
        <v>0</v>
      </c>
      <c r="E2142" s="2">
        <v>2112.44</v>
      </c>
      <c r="G2142" s="1" t="s">
        <v>4277</v>
      </c>
      <c r="H2142" s="2" t="s">
        <v>0</v>
      </c>
      <c r="I2142" s="2">
        <v>1572.46</v>
      </c>
    </row>
    <row r="2143">
      <c r="A2143" s="1" t="s">
        <v>4278</v>
      </c>
      <c r="B2143" s="2" t="s">
        <v>0</v>
      </c>
      <c r="C2143" s="2">
        <v>1069.3</v>
      </c>
      <c r="D2143" s="2" t="s">
        <v>0</v>
      </c>
      <c r="E2143" s="2">
        <v>2112.44</v>
      </c>
      <c r="G2143" s="1" t="s">
        <v>4279</v>
      </c>
      <c r="H2143" s="2" t="s">
        <v>0</v>
      </c>
      <c r="I2143" s="2">
        <v>1572.46</v>
      </c>
    </row>
    <row r="2144">
      <c r="A2144" s="1" t="s">
        <v>4280</v>
      </c>
      <c r="B2144" s="2">
        <v>1093.08</v>
      </c>
      <c r="C2144" s="2">
        <v>1093.08</v>
      </c>
      <c r="D2144" s="2">
        <v>2154.06</v>
      </c>
      <c r="E2144" s="2">
        <v>2154.06</v>
      </c>
      <c r="G2144" s="1" t="s">
        <v>4281</v>
      </c>
      <c r="H2144" s="2">
        <v>1576.79</v>
      </c>
      <c r="I2144" s="2">
        <v>1576.79</v>
      </c>
    </row>
    <row r="2145">
      <c r="A2145" s="1" t="s">
        <v>4282</v>
      </c>
      <c r="B2145" s="2">
        <v>1093.01</v>
      </c>
      <c r="C2145" s="2">
        <v>1093.01</v>
      </c>
      <c r="D2145" s="2">
        <v>2151.08</v>
      </c>
      <c r="E2145" s="2">
        <v>2151.08</v>
      </c>
      <c r="G2145" s="1" t="s">
        <v>4283</v>
      </c>
      <c r="H2145" s="2">
        <v>1582.3</v>
      </c>
      <c r="I2145" s="2">
        <v>1582.3</v>
      </c>
    </row>
    <row r="2146">
      <c r="A2146" s="1" t="s">
        <v>4284</v>
      </c>
      <c r="B2146" s="2">
        <v>1098.51</v>
      </c>
      <c r="C2146" s="2">
        <v>1098.51</v>
      </c>
      <c r="D2146" s="2">
        <v>2166.9</v>
      </c>
      <c r="E2146" s="2">
        <v>2166.9</v>
      </c>
      <c r="G2146" s="1" t="s">
        <v>4285</v>
      </c>
      <c r="H2146" s="2">
        <v>1594.82</v>
      </c>
      <c r="I2146" s="2">
        <v>1594.82</v>
      </c>
    </row>
    <row r="2147">
      <c r="A2147" s="1" t="s">
        <v>4286</v>
      </c>
      <c r="B2147" s="2">
        <v>1087.24</v>
      </c>
      <c r="C2147" s="2">
        <v>1087.24</v>
      </c>
      <c r="D2147" s="2">
        <v>2149.02</v>
      </c>
      <c r="E2147" s="2">
        <v>2149.02</v>
      </c>
      <c r="G2147" s="1" t="s">
        <v>4287</v>
      </c>
      <c r="H2147" s="2">
        <v>1572.73</v>
      </c>
      <c r="I2147" s="2">
        <v>1572.73</v>
      </c>
    </row>
    <row r="2148">
      <c r="A2148" s="1" t="s">
        <v>4288</v>
      </c>
      <c r="B2148" s="2">
        <v>1093.48</v>
      </c>
      <c r="C2148" s="2">
        <v>1093.48</v>
      </c>
      <c r="D2148" s="2">
        <v>2167.88</v>
      </c>
      <c r="E2148" s="2">
        <v>2167.88</v>
      </c>
      <c r="G2148" s="1" t="s">
        <v>4289</v>
      </c>
      <c r="H2148" s="2">
        <v>1571.99</v>
      </c>
      <c r="I2148" s="2">
        <v>1571.99</v>
      </c>
    </row>
    <row r="2149">
      <c r="A2149" s="1" t="s">
        <v>4290</v>
      </c>
      <c r="B2149" s="2" t="s">
        <v>0</v>
      </c>
      <c r="C2149" s="2">
        <v>1093.48</v>
      </c>
      <c r="D2149" s="2" t="s">
        <v>0</v>
      </c>
      <c r="E2149" s="2">
        <v>2167.88</v>
      </c>
      <c r="G2149" s="1" t="s">
        <v>4291</v>
      </c>
      <c r="H2149" s="2" t="s">
        <v>0</v>
      </c>
      <c r="I2149" s="2">
        <v>1571.99</v>
      </c>
    </row>
    <row r="2150">
      <c r="A2150" s="1" t="s">
        <v>4292</v>
      </c>
      <c r="B2150" s="2" t="s">
        <v>0</v>
      </c>
      <c r="C2150" s="2">
        <v>1093.48</v>
      </c>
      <c r="D2150" s="2" t="s">
        <v>0</v>
      </c>
      <c r="E2150" s="2">
        <v>2167.88</v>
      </c>
      <c r="G2150" s="1" t="s">
        <v>4293</v>
      </c>
      <c r="H2150" s="2" t="s">
        <v>0</v>
      </c>
      <c r="I2150" s="2">
        <v>1571.99</v>
      </c>
    </row>
    <row r="2151">
      <c r="A2151" s="1" t="s">
        <v>4294</v>
      </c>
      <c r="B2151" s="2">
        <v>1109.3</v>
      </c>
      <c r="C2151" s="2">
        <v>1109.3</v>
      </c>
      <c r="D2151" s="2">
        <v>2197.85</v>
      </c>
      <c r="E2151" s="2">
        <v>2197.85</v>
      </c>
      <c r="G2151" s="1" t="s">
        <v>4295</v>
      </c>
      <c r="H2151" s="2">
        <v>1592.47</v>
      </c>
      <c r="I2151" s="2">
        <v>1592.47</v>
      </c>
    </row>
    <row r="2152">
      <c r="A2152" s="1" t="s">
        <v>4296</v>
      </c>
      <c r="B2152" s="2">
        <v>1110.32</v>
      </c>
      <c r="C2152" s="2">
        <v>1110.32</v>
      </c>
      <c r="D2152" s="2">
        <v>2203.78</v>
      </c>
      <c r="E2152" s="2">
        <v>2203.78</v>
      </c>
      <c r="G2152" s="1" t="s">
        <v>4297</v>
      </c>
      <c r="H2152" s="2">
        <v>1585.98</v>
      </c>
      <c r="I2152" s="2">
        <v>1585.98</v>
      </c>
    </row>
    <row r="2153">
      <c r="A2153" s="1" t="s">
        <v>4298</v>
      </c>
      <c r="B2153" s="2">
        <v>1109.8</v>
      </c>
      <c r="C2153" s="2">
        <v>1109.8</v>
      </c>
      <c r="D2153" s="2">
        <v>2193.14</v>
      </c>
      <c r="E2153" s="2">
        <v>2193.14</v>
      </c>
      <c r="G2153" s="1" t="s">
        <v>4299</v>
      </c>
      <c r="H2153" s="2">
        <v>1603.97</v>
      </c>
      <c r="I2153" s="2">
        <v>1603.97</v>
      </c>
    </row>
    <row r="2154">
      <c r="A2154" s="1" t="s">
        <v>4300</v>
      </c>
      <c r="B2154" s="2">
        <v>1094.9</v>
      </c>
      <c r="C2154" s="2">
        <v>1094.9</v>
      </c>
      <c r="D2154" s="2">
        <v>2156.82</v>
      </c>
      <c r="E2154" s="2">
        <v>2156.82</v>
      </c>
      <c r="G2154" s="1" t="s">
        <v>4301</v>
      </c>
      <c r="H2154" s="2">
        <v>1620.54</v>
      </c>
      <c r="I2154" s="2">
        <v>1620.54</v>
      </c>
    </row>
    <row r="2155">
      <c r="A2155" s="1" t="s">
        <v>4302</v>
      </c>
      <c r="B2155" s="2">
        <v>1091.38</v>
      </c>
      <c r="C2155" s="2">
        <v>1091.38</v>
      </c>
      <c r="D2155" s="2">
        <v>2146.04</v>
      </c>
      <c r="E2155" s="2">
        <v>2146.04</v>
      </c>
      <c r="G2155" s="1" t="s">
        <v>4303</v>
      </c>
      <c r="H2155" s="2">
        <v>1620.6</v>
      </c>
      <c r="I2155" s="2">
        <v>1620.6</v>
      </c>
    </row>
    <row r="2156">
      <c r="A2156" s="1" t="s">
        <v>4304</v>
      </c>
      <c r="B2156" s="2" t="s">
        <v>0</v>
      </c>
      <c r="C2156" s="2">
        <v>1091.38</v>
      </c>
      <c r="D2156" s="2" t="s">
        <v>0</v>
      </c>
      <c r="E2156" s="2">
        <v>2146.04</v>
      </c>
      <c r="G2156" s="1" t="s">
        <v>4305</v>
      </c>
      <c r="H2156" s="2" t="s">
        <v>0</v>
      </c>
      <c r="I2156" s="2">
        <v>1620.6</v>
      </c>
    </row>
    <row r="2157">
      <c r="A2157" s="1" t="s">
        <v>4306</v>
      </c>
      <c r="B2157" s="2" t="s">
        <v>0</v>
      </c>
      <c r="C2157" s="2">
        <v>1091.38</v>
      </c>
      <c r="D2157" s="2" t="s">
        <v>0</v>
      </c>
      <c r="E2157" s="2">
        <v>2146.04</v>
      </c>
      <c r="G2157" s="1" t="s">
        <v>4307</v>
      </c>
      <c r="H2157" s="2" t="s">
        <v>0</v>
      </c>
      <c r="I2157" s="2">
        <v>1620.6</v>
      </c>
    </row>
    <row r="2158">
      <c r="A2158" s="1" t="s">
        <v>4308</v>
      </c>
      <c r="B2158" s="2">
        <v>1106.24</v>
      </c>
      <c r="C2158" s="2">
        <v>1106.24</v>
      </c>
      <c r="D2158" s="2">
        <v>2176.01</v>
      </c>
      <c r="E2158" s="2">
        <v>2176.01</v>
      </c>
      <c r="G2158" s="1" t="s">
        <v>4309</v>
      </c>
      <c r="H2158" s="2">
        <v>1619.05</v>
      </c>
      <c r="I2158" s="2">
        <v>1619.05</v>
      </c>
    </row>
    <row r="2159">
      <c r="A2159" s="1" t="s">
        <v>4310</v>
      </c>
      <c r="B2159" s="2">
        <v>1105.65</v>
      </c>
      <c r="C2159" s="2">
        <v>1105.65</v>
      </c>
      <c r="D2159" s="2">
        <v>2169.18</v>
      </c>
      <c r="E2159" s="2">
        <v>2169.18</v>
      </c>
      <c r="G2159" s="1" t="s">
        <v>4311</v>
      </c>
      <c r="H2159" s="2">
        <v>1606.42</v>
      </c>
      <c r="I2159" s="2">
        <v>1606.42</v>
      </c>
    </row>
    <row r="2160">
      <c r="A2160" s="1" t="s">
        <v>4312</v>
      </c>
      <c r="B2160" s="2">
        <v>1110.63</v>
      </c>
      <c r="C2160" s="2">
        <v>1110.63</v>
      </c>
      <c r="D2160" s="2">
        <v>2176.05</v>
      </c>
      <c r="E2160" s="2">
        <v>2176.05</v>
      </c>
      <c r="G2160" s="1" t="s">
        <v>4313</v>
      </c>
      <c r="H2160" s="2">
        <v>1611.88</v>
      </c>
      <c r="I2160" s="2">
        <v>1611.88</v>
      </c>
    </row>
    <row r="2161">
      <c r="A2161" s="1" t="s">
        <v>4314</v>
      </c>
      <c r="B2161" s="2" t="s">
        <v>0</v>
      </c>
      <c r="C2161" s="2">
        <v>1110.63</v>
      </c>
      <c r="D2161" s="2" t="s">
        <v>0</v>
      </c>
      <c r="E2161" s="2">
        <v>2176.05</v>
      </c>
      <c r="G2161" s="1" t="s">
        <v>4315</v>
      </c>
      <c r="H2161" s="2">
        <v>1599.52</v>
      </c>
      <c r="I2161" s="2">
        <v>1599.52</v>
      </c>
    </row>
    <row r="2162">
      <c r="A2162" s="1" t="s">
        <v>4316</v>
      </c>
      <c r="B2162" s="2">
        <v>1091.49</v>
      </c>
      <c r="C2162" s="2">
        <v>1091.49</v>
      </c>
      <c r="D2162" s="2">
        <v>2138.44</v>
      </c>
      <c r="E2162" s="2">
        <v>2138.44</v>
      </c>
      <c r="G2162" s="1" t="s">
        <v>4317</v>
      </c>
      <c r="H2162" s="2">
        <v>1524.5</v>
      </c>
      <c r="I2162" s="2">
        <v>1524.5</v>
      </c>
    </row>
    <row r="2163">
      <c r="A2163" s="1" t="s">
        <v>4318</v>
      </c>
      <c r="B2163" s="2" t="s">
        <v>0</v>
      </c>
      <c r="C2163" s="2">
        <v>1091.49</v>
      </c>
      <c r="D2163" s="2" t="s">
        <v>0</v>
      </c>
      <c r="E2163" s="2">
        <v>2138.44</v>
      </c>
      <c r="G2163" s="1" t="s">
        <v>4319</v>
      </c>
      <c r="H2163" s="2" t="s">
        <v>0</v>
      </c>
      <c r="I2163" s="2">
        <v>1524.5</v>
      </c>
    </row>
    <row r="2164">
      <c r="A2164" s="1" t="s">
        <v>4320</v>
      </c>
      <c r="B2164" s="2" t="s">
        <v>0</v>
      </c>
      <c r="C2164" s="2">
        <v>1091.49</v>
      </c>
      <c r="D2164" s="2" t="s">
        <v>0</v>
      </c>
      <c r="E2164" s="2">
        <v>2138.44</v>
      </c>
      <c r="G2164" s="1" t="s">
        <v>4321</v>
      </c>
      <c r="H2164" s="2" t="s">
        <v>0</v>
      </c>
      <c r="I2164" s="2">
        <v>1524.5</v>
      </c>
    </row>
    <row r="2165">
      <c r="A2165" s="1" t="s">
        <v>4322</v>
      </c>
      <c r="B2165" s="2">
        <v>1095.63</v>
      </c>
      <c r="C2165" s="2">
        <v>1095.63</v>
      </c>
      <c r="D2165" s="2">
        <v>2144.6</v>
      </c>
      <c r="E2165" s="2">
        <v>2144.6</v>
      </c>
      <c r="G2165" s="1" t="s">
        <v>4323</v>
      </c>
      <c r="H2165" s="2">
        <v>1555.6</v>
      </c>
      <c r="I2165" s="2">
        <v>1555.6</v>
      </c>
    </row>
    <row r="2166">
      <c r="A2166" s="1" t="s">
        <v>4324</v>
      </c>
      <c r="B2166" s="2">
        <v>1108.86</v>
      </c>
      <c r="C2166" s="2">
        <v>1108.86</v>
      </c>
      <c r="D2166" s="2">
        <v>2175.81</v>
      </c>
      <c r="E2166" s="2">
        <v>2175.81</v>
      </c>
      <c r="G2166" s="1" t="s">
        <v>4325</v>
      </c>
      <c r="H2166" s="2">
        <v>1569.72</v>
      </c>
      <c r="I2166" s="2">
        <v>1569.72</v>
      </c>
    </row>
    <row r="2167">
      <c r="A2167" s="1" t="s">
        <v>4326</v>
      </c>
      <c r="B2167" s="2">
        <v>1109.24</v>
      </c>
      <c r="C2167" s="2">
        <v>1109.24</v>
      </c>
      <c r="D2167" s="2">
        <v>2185.03</v>
      </c>
      <c r="E2167" s="2">
        <v>2185.03</v>
      </c>
      <c r="G2167" s="1" t="s">
        <v>4327</v>
      </c>
      <c r="H2167" s="2">
        <v>1591.63</v>
      </c>
      <c r="I2167" s="2">
        <v>1591.63</v>
      </c>
    </row>
    <row r="2168">
      <c r="A2168" s="1" t="s">
        <v>4328</v>
      </c>
      <c r="B2168" s="2">
        <v>1099.92</v>
      </c>
      <c r="C2168" s="2">
        <v>1099.92</v>
      </c>
      <c r="D2168" s="2">
        <v>2173.14</v>
      </c>
      <c r="E2168" s="2">
        <v>2173.14</v>
      </c>
      <c r="G2168" s="1" t="s">
        <v>4329</v>
      </c>
      <c r="H2168" s="2">
        <v>1615.0</v>
      </c>
      <c r="I2168" s="2">
        <v>1615.0</v>
      </c>
    </row>
    <row r="2169">
      <c r="A2169" s="1" t="s">
        <v>4330</v>
      </c>
      <c r="B2169" s="2">
        <v>1105.98</v>
      </c>
      <c r="C2169" s="2">
        <v>1105.98</v>
      </c>
      <c r="D2169" s="2">
        <v>2194.35</v>
      </c>
      <c r="E2169" s="2">
        <v>2194.35</v>
      </c>
      <c r="G2169" s="1" t="s">
        <v>4331</v>
      </c>
      <c r="H2169" s="2">
        <v>1624.76</v>
      </c>
      <c r="I2169" s="2">
        <v>1624.76</v>
      </c>
    </row>
    <row r="2170">
      <c r="A2170" s="1" t="s">
        <v>4332</v>
      </c>
      <c r="B2170" s="2" t="s">
        <v>0</v>
      </c>
      <c r="C2170" s="2">
        <v>1105.98</v>
      </c>
      <c r="D2170" s="2" t="s">
        <v>0</v>
      </c>
      <c r="E2170" s="2">
        <v>2194.35</v>
      </c>
      <c r="G2170" s="1" t="s">
        <v>4333</v>
      </c>
      <c r="H2170" s="2" t="s">
        <v>0</v>
      </c>
      <c r="I2170" s="2">
        <v>1624.76</v>
      </c>
    </row>
    <row r="2171">
      <c r="A2171" s="1" t="s">
        <v>4334</v>
      </c>
      <c r="B2171" s="2" t="s">
        <v>0</v>
      </c>
      <c r="C2171" s="2">
        <v>1105.98</v>
      </c>
      <c r="D2171" s="2" t="s">
        <v>0</v>
      </c>
      <c r="E2171" s="2">
        <v>2194.35</v>
      </c>
      <c r="G2171" s="1" t="s">
        <v>4335</v>
      </c>
      <c r="H2171" s="2" t="s">
        <v>0</v>
      </c>
      <c r="I2171" s="2">
        <v>1624.76</v>
      </c>
    </row>
    <row r="2172">
      <c r="A2172" s="1" t="s">
        <v>4336</v>
      </c>
      <c r="B2172" s="2">
        <v>1103.25</v>
      </c>
      <c r="C2172" s="2">
        <v>1103.25</v>
      </c>
      <c r="D2172" s="2">
        <v>2189.61</v>
      </c>
      <c r="E2172" s="2">
        <v>2189.61</v>
      </c>
      <c r="G2172" s="1" t="s">
        <v>4337</v>
      </c>
      <c r="H2172" s="2">
        <v>1632.65</v>
      </c>
      <c r="I2172" s="2">
        <v>1632.65</v>
      </c>
    </row>
    <row r="2173">
      <c r="A2173" s="1" t="s">
        <v>4338</v>
      </c>
      <c r="B2173" s="2">
        <v>1091.94</v>
      </c>
      <c r="C2173" s="2">
        <v>1091.94</v>
      </c>
      <c r="D2173" s="2">
        <v>2172.99</v>
      </c>
      <c r="E2173" s="2">
        <v>2172.99</v>
      </c>
      <c r="G2173" s="1" t="s">
        <v>4339</v>
      </c>
      <c r="H2173" s="2">
        <v>1627.78</v>
      </c>
      <c r="I2173" s="2">
        <v>1627.78</v>
      </c>
    </row>
    <row r="2174">
      <c r="A2174" s="1" t="s">
        <v>4340</v>
      </c>
      <c r="B2174" s="2">
        <v>1095.95</v>
      </c>
      <c r="C2174" s="2">
        <v>1095.95</v>
      </c>
      <c r="D2174" s="2">
        <v>2183.73</v>
      </c>
      <c r="E2174" s="2">
        <v>2183.73</v>
      </c>
      <c r="G2174" s="1" t="s">
        <v>4341</v>
      </c>
      <c r="H2174" s="2">
        <v>1634.17</v>
      </c>
      <c r="I2174" s="2">
        <v>1634.17</v>
      </c>
    </row>
    <row r="2175">
      <c r="A2175" s="1" t="s">
        <v>4342</v>
      </c>
      <c r="B2175" s="2">
        <v>1102.35</v>
      </c>
      <c r="C2175" s="2">
        <v>1102.35</v>
      </c>
      <c r="D2175" s="2">
        <v>2190.86</v>
      </c>
      <c r="E2175" s="2">
        <v>2190.86</v>
      </c>
      <c r="G2175" s="1" t="s">
        <v>4343</v>
      </c>
      <c r="H2175" s="2">
        <v>1652.73</v>
      </c>
      <c r="I2175" s="2">
        <v>1652.73</v>
      </c>
    </row>
    <row r="2176">
      <c r="A2176" s="1" t="s">
        <v>4344</v>
      </c>
      <c r="B2176" s="2">
        <v>1106.41</v>
      </c>
      <c r="C2176" s="2">
        <v>1106.41</v>
      </c>
      <c r="D2176" s="2">
        <v>2190.31</v>
      </c>
      <c r="E2176" s="2">
        <v>2190.31</v>
      </c>
      <c r="G2176" s="1" t="s">
        <v>4345</v>
      </c>
      <c r="H2176" s="2">
        <v>1656.9</v>
      </c>
      <c r="I2176" s="2">
        <v>1656.9</v>
      </c>
    </row>
    <row r="2177">
      <c r="A2177" s="1" t="s">
        <v>4346</v>
      </c>
      <c r="B2177" s="2" t="s">
        <v>0</v>
      </c>
      <c r="C2177" s="2">
        <v>1106.41</v>
      </c>
      <c r="D2177" s="2" t="s">
        <v>0</v>
      </c>
      <c r="E2177" s="2">
        <v>2190.31</v>
      </c>
      <c r="G2177" s="1" t="s">
        <v>4347</v>
      </c>
      <c r="H2177" s="2" t="s">
        <v>0</v>
      </c>
      <c r="I2177" s="2">
        <v>1656.9</v>
      </c>
    </row>
    <row r="2178">
      <c r="A2178" s="1" t="s">
        <v>4348</v>
      </c>
      <c r="B2178" s="2" t="s">
        <v>0</v>
      </c>
      <c r="C2178" s="2">
        <v>1106.41</v>
      </c>
      <c r="D2178" s="2" t="s">
        <v>0</v>
      </c>
      <c r="E2178" s="2">
        <v>2190.31</v>
      </c>
      <c r="G2178" s="1" t="s">
        <v>4349</v>
      </c>
      <c r="H2178" s="2" t="s">
        <v>0</v>
      </c>
      <c r="I2178" s="2">
        <v>1656.9</v>
      </c>
    </row>
    <row r="2179">
      <c r="A2179" s="1" t="s">
        <v>4350</v>
      </c>
      <c r="B2179" s="2">
        <v>1114.11</v>
      </c>
      <c r="C2179" s="2">
        <v>1114.11</v>
      </c>
      <c r="D2179" s="2">
        <v>2212.1</v>
      </c>
      <c r="E2179" s="2">
        <v>2212.1</v>
      </c>
      <c r="G2179" s="1" t="s">
        <v>4351</v>
      </c>
      <c r="H2179" s="2">
        <v>1664.77</v>
      </c>
      <c r="I2179" s="2">
        <v>1664.77</v>
      </c>
    </row>
    <row r="2180">
      <c r="A2180" s="1" t="s">
        <v>4352</v>
      </c>
      <c r="B2180" s="2">
        <v>1107.93</v>
      </c>
      <c r="C2180" s="2">
        <v>1107.93</v>
      </c>
      <c r="D2180" s="2">
        <v>2201.05</v>
      </c>
      <c r="E2180" s="2">
        <v>2201.05</v>
      </c>
      <c r="G2180" s="1" t="s">
        <v>4353</v>
      </c>
      <c r="H2180" s="2">
        <v>1665.85</v>
      </c>
      <c r="I2180" s="2">
        <v>1665.85</v>
      </c>
    </row>
    <row r="2181">
      <c r="A2181" s="1" t="s">
        <v>4354</v>
      </c>
      <c r="B2181" s="2">
        <v>1109.18</v>
      </c>
      <c r="C2181" s="2">
        <v>1109.18</v>
      </c>
      <c r="D2181" s="2">
        <v>2206.91</v>
      </c>
      <c r="E2181" s="2">
        <v>2206.91</v>
      </c>
      <c r="G2181" s="1" t="s">
        <v>4355</v>
      </c>
      <c r="H2181" s="2">
        <v>1664.24</v>
      </c>
      <c r="I2181" s="2">
        <v>1664.24</v>
      </c>
    </row>
    <row r="2182">
      <c r="A2182" s="1" t="s">
        <v>4356</v>
      </c>
      <c r="B2182" s="2">
        <v>1096.08</v>
      </c>
      <c r="C2182" s="2">
        <v>1096.08</v>
      </c>
      <c r="D2182" s="2">
        <v>2180.05</v>
      </c>
      <c r="E2182" s="2">
        <v>2180.05</v>
      </c>
      <c r="G2182" s="1" t="s">
        <v>4357</v>
      </c>
      <c r="H2182" s="2">
        <v>1647.84</v>
      </c>
      <c r="I2182" s="2">
        <v>1647.84</v>
      </c>
    </row>
    <row r="2183">
      <c r="A2183" s="1" t="s">
        <v>4358</v>
      </c>
      <c r="B2183" s="2">
        <v>1102.47</v>
      </c>
      <c r="C2183" s="2">
        <v>1102.47</v>
      </c>
      <c r="D2183" s="2">
        <v>2211.69</v>
      </c>
      <c r="E2183" s="2">
        <v>2211.69</v>
      </c>
      <c r="G2183" s="1" t="s">
        <v>4359</v>
      </c>
      <c r="H2183" s="2">
        <v>1647.04</v>
      </c>
      <c r="I2183" s="2">
        <v>1647.04</v>
      </c>
    </row>
    <row r="2184">
      <c r="A2184" s="1" t="s">
        <v>4360</v>
      </c>
      <c r="B2184" s="2" t="s">
        <v>0</v>
      </c>
      <c r="C2184" s="2">
        <v>1102.47</v>
      </c>
      <c r="D2184" s="2" t="s">
        <v>0</v>
      </c>
      <c r="E2184" s="2">
        <v>2211.69</v>
      </c>
      <c r="G2184" s="1" t="s">
        <v>4361</v>
      </c>
      <c r="H2184" s="2" t="s">
        <v>0</v>
      </c>
      <c r="I2184" s="2">
        <v>1647.04</v>
      </c>
    </row>
    <row r="2185">
      <c r="A2185" s="1" t="s">
        <v>4362</v>
      </c>
      <c r="B2185" s="2" t="s">
        <v>0</v>
      </c>
      <c r="C2185" s="2">
        <v>1102.47</v>
      </c>
      <c r="D2185" s="2" t="s">
        <v>0</v>
      </c>
      <c r="E2185" s="2">
        <v>2211.69</v>
      </c>
      <c r="G2185" s="1" t="s">
        <v>4363</v>
      </c>
      <c r="H2185" s="2" t="s">
        <v>0</v>
      </c>
      <c r="I2185" s="2">
        <v>1647.04</v>
      </c>
    </row>
    <row r="2186">
      <c r="A2186" s="1" t="s">
        <v>4364</v>
      </c>
      <c r="B2186" s="2">
        <v>1114.05</v>
      </c>
      <c r="C2186" s="2">
        <v>1114.05</v>
      </c>
      <c r="D2186" s="2">
        <v>2237.66</v>
      </c>
      <c r="E2186" s="2">
        <v>2237.66</v>
      </c>
      <c r="G2186" s="1" t="s">
        <v>4365</v>
      </c>
      <c r="H2186" s="2">
        <v>1644.23</v>
      </c>
      <c r="I2186" s="2">
        <v>1644.23</v>
      </c>
    </row>
    <row r="2187">
      <c r="A2187" s="1" t="s">
        <v>4366</v>
      </c>
      <c r="B2187" s="2">
        <v>1118.02</v>
      </c>
      <c r="C2187" s="2">
        <v>1118.02</v>
      </c>
      <c r="D2187" s="2">
        <v>2252.67</v>
      </c>
      <c r="E2187" s="2">
        <v>2252.67</v>
      </c>
      <c r="G2187" s="1" t="s">
        <v>4367</v>
      </c>
      <c r="H2187" s="2">
        <v>1655.54</v>
      </c>
      <c r="I2187" s="2">
        <v>1655.54</v>
      </c>
    </row>
    <row r="2188">
      <c r="A2188" s="1" t="s">
        <v>4368</v>
      </c>
      <c r="B2188" s="2">
        <v>1120.59</v>
      </c>
      <c r="C2188" s="2">
        <v>1120.59</v>
      </c>
      <c r="D2188" s="2">
        <v>2269.64</v>
      </c>
      <c r="E2188" s="2">
        <v>2269.64</v>
      </c>
      <c r="G2188" s="1" t="s">
        <v>4369</v>
      </c>
      <c r="H2188" s="2">
        <v>1661.35</v>
      </c>
      <c r="I2188" s="2">
        <v>1661.35</v>
      </c>
    </row>
    <row r="2189">
      <c r="A2189" s="1" t="s">
        <v>4370</v>
      </c>
      <c r="B2189" s="2">
        <v>1126.48</v>
      </c>
      <c r="C2189" s="2">
        <v>1126.48</v>
      </c>
      <c r="D2189" s="2">
        <v>2285.69</v>
      </c>
      <c r="E2189" s="2">
        <v>2285.69</v>
      </c>
      <c r="G2189" s="1" t="s">
        <v>4371</v>
      </c>
      <c r="H2189" s="2">
        <v>1682.34</v>
      </c>
      <c r="I2189" s="2">
        <v>1682.34</v>
      </c>
    </row>
    <row r="2190">
      <c r="A2190" s="1" t="s">
        <v>4372</v>
      </c>
      <c r="B2190" s="2" t="s">
        <v>0</v>
      </c>
      <c r="C2190" s="2">
        <v>1126.48</v>
      </c>
      <c r="D2190" s="2" t="s">
        <v>0</v>
      </c>
      <c r="E2190" s="2">
        <v>2285.69</v>
      </c>
      <c r="G2190" s="1" t="s">
        <v>4373</v>
      </c>
      <c r="H2190" s="2" t="s">
        <v>0</v>
      </c>
      <c r="I2190" s="2">
        <v>1682.34</v>
      </c>
    </row>
    <row r="2191">
      <c r="A2191" s="1" t="s">
        <v>4374</v>
      </c>
      <c r="B2191" s="2" t="s">
        <v>0</v>
      </c>
      <c r="C2191" s="2">
        <v>1126.48</v>
      </c>
      <c r="D2191" s="2" t="s">
        <v>0</v>
      </c>
      <c r="E2191" s="2">
        <v>2285.69</v>
      </c>
      <c r="G2191" s="1" t="s">
        <v>4375</v>
      </c>
      <c r="H2191" s="2" t="s">
        <v>0</v>
      </c>
      <c r="I2191" s="2">
        <v>1682.34</v>
      </c>
    </row>
    <row r="2192">
      <c r="A2192" s="1" t="s">
        <v>4376</v>
      </c>
      <c r="B2192" s="2" t="s">
        <v>0</v>
      </c>
      <c r="C2192" s="2">
        <v>1126.48</v>
      </c>
      <c r="D2192" s="2" t="s">
        <v>0</v>
      </c>
      <c r="E2192" s="2">
        <v>2285.69</v>
      </c>
      <c r="G2192" s="1" t="s">
        <v>4377</v>
      </c>
      <c r="H2192" s="2" t="s">
        <v>0</v>
      </c>
      <c r="I2192" s="2">
        <v>1682.34</v>
      </c>
    </row>
    <row r="2193">
      <c r="A2193" s="1" t="s">
        <v>4378</v>
      </c>
      <c r="B2193" s="2">
        <v>1127.78</v>
      </c>
      <c r="C2193" s="2">
        <v>1127.78</v>
      </c>
      <c r="D2193" s="2">
        <v>2291.08</v>
      </c>
      <c r="E2193" s="2">
        <v>2291.08</v>
      </c>
      <c r="G2193" s="1" t="s">
        <v>4379</v>
      </c>
      <c r="H2193" s="2">
        <v>1685.59</v>
      </c>
      <c r="I2193" s="2">
        <v>1685.59</v>
      </c>
    </row>
    <row r="2194">
      <c r="A2194" s="1" t="s">
        <v>4380</v>
      </c>
      <c r="B2194" s="2">
        <v>1126.2</v>
      </c>
      <c r="C2194" s="2">
        <v>1126.2</v>
      </c>
      <c r="D2194" s="2">
        <v>2288.4</v>
      </c>
      <c r="E2194" s="2">
        <v>2288.4</v>
      </c>
      <c r="G2194" s="1" t="s">
        <v>4381</v>
      </c>
      <c r="H2194" s="2">
        <v>1672.48</v>
      </c>
      <c r="I2194" s="2">
        <v>1672.48</v>
      </c>
    </row>
    <row r="2195">
      <c r="A2195" s="1" t="s">
        <v>4382</v>
      </c>
      <c r="B2195" s="2">
        <v>1126.42</v>
      </c>
      <c r="C2195" s="2">
        <v>1126.42</v>
      </c>
      <c r="D2195" s="2">
        <v>2291.28</v>
      </c>
      <c r="E2195" s="2">
        <v>2291.28</v>
      </c>
      <c r="G2195" s="1" t="s">
        <v>4383</v>
      </c>
      <c r="H2195" s="2">
        <v>1682.77</v>
      </c>
      <c r="I2195" s="2">
        <v>1682.77</v>
      </c>
    </row>
    <row r="2196">
      <c r="A2196" s="1" t="s">
        <v>4384</v>
      </c>
      <c r="B2196" s="2">
        <v>1115.1</v>
      </c>
      <c r="C2196" s="2">
        <v>1115.1</v>
      </c>
      <c r="D2196" s="2">
        <v>2269.15</v>
      </c>
      <c r="E2196" s="2">
        <v>2269.15</v>
      </c>
      <c r="G2196" s="1" t="s">
        <v>4385</v>
      </c>
      <c r="H2196" s="2" t="s">
        <v>0</v>
      </c>
      <c r="I2196" s="2">
        <v>1682.77</v>
      </c>
    </row>
    <row r="2197">
      <c r="A2197" s="1" t="s">
        <v>4386</v>
      </c>
      <c r="B2197" s="2" t="s">
        <v>0</v>
      </c>
      <c r="C2197" s="2">
        <v>1115.1</v>
      </c>
      <c r="D2197" s="2" t="s">
        <v>0</v>
      </c>
      <c r="E2197" s="2">
        <v>2269.15</v>
      </c>
      <c r="G2197" s="1" t="s">
        <v>4387</v>
      </c>
      <c r="H2197" s="2" t="s">
        <v>0</v>
      </c>
      <c r="I2197" s="2">
        <v>1682.77</v>
      </c>
    </row>
    <row r="2198">
      <c r="A2198" s="1" t="s">
        <v>4388</v>
      </c>
      <c r="B2198" s="2" t="s">
        <v>0</v>
      </c>
      <c r="C2198" s="2">
        <v>1115.1</v>
      </c>
      <c r="D2198" s="2" t="s">
        <v>0</v>
      </c>
      <c r="E2198" s="2">
        <v>2269.15</v>
      </c>
      <c r="G2198" s="1" t="s">
        <v>4389</v>
      </c>
      <c r="H2198" s="2" t="s">
        <v>0</v>
      </c>
      <c r="I2198" s="2">
        <v>1682.77</v>
      </c>
    </row>
    <row r="2199">
      <c r="A2199" s="1" t="s">
        <v>4390</v>
      </c>
      <c r="B2199" s="2" t="s">
        <v>0</v>
      </c>
      <c r="C2199" s="2">
        <v>1115.1</v>
      </c>
      <c r="D2199" s="2" t="s">
        <v>0</v>
      </c>
      <c r="E2199" s="2">
        <v>2269.15</v>
      </c>
      <c r="G2199" s="1" t="s">
        <v>4391</v>
      </c>
      <c r="H2199" s="2" t="s">
        <v>0</v>
      </c>
      <c r="I2199" s="2">
        <v>1682.77</v>
      </c>
    </row>
    <row r="2200">
      <c r="A2200" s="1" t="s">
        <v>4392</v>
      </c>
      <c r="B2200" s="2">
        <v>1132.99</v>
      </c>
      <c r="C2200" s="2">
        <v>1132.99</v>
      </c>
      <c r="D2200" s="2">
        <v>2308.42</v>
      </c>
      <c r="E2200" s="2">
        <v>2308.42</v>
      </c>
      <c r="G2200" s="1" t="s">
        <v>4393</v>
      </c>
      <c r="H2200" s="2">
        <v>1696.14</v>
      </c>
      <c r="I2200" s="2">
        <v>1696.14</v>
      </c>
    </row>
    <row r="2201">
      <c r="A2201" s="1" t="s">
        <v>4394</v>
      </c>
      <c r="B2201" s="2">
        <v>1136.52</v>
      </c>
      <c r="C2201" s="2">
        <v>1136.52</v>
      </c>
      <c r="D2201" s="2">
        <v>2308.71</v>
      </c>
      <c r="E2201" s="2">
        <v>2308.71</v>
      </c>
      <c r="G2201" s="1" t="s">
        <v>4395</v>
      </c>
      <c r="H2201" s="2">
        <v>1690.62</v>
      </c>
      <c r="I2201" s="2">
        <v>1690.62</v>
      </c>
    </row>
    <row r="2202">
      <c r="A2202" s="1" t="s">
        <v>4396</v>
      </c>
      <c r="B2202" s="2">
        <v>1135.71</v>
      </c>
      <c r="C2202" s="2">
        <v>1135.71</v>
      </c>
      <c r="D2202" s="2">
        <v>2301.09</v>
      </c>
      <c r="E2202" s="2">
        <v>2301.09</v>
      </c>
      <c r="G2202" s="1" t="s">
        <v>4397</v>
      </c>
      <c r="H2202" s="2">
        <v>1705.32</v>
      </c>
      <c r="I2202" s="2">
        <v>1705.32</v>
      </c>
    </row>
    <row r="2203">
      <c r="A2203" s="1" t="s">
        <v>4398</v>
      </c>
      <c r="B2203" s="2">
        <v>1141.69</v>
      </c>
      <c r="C2203" s="2">
        <v>1141.69</v>
      </c>
      <c r="D2203" s="2">
        <v>2300.05</v>
      </c>
      <c r="E2203" s="2">
        <v>2300.05</v>
      </c>
      <c r="G2203" s="1" t="s">
        <v>4399</v>
      </c>
      <c r="H2203" s="2">
        <v>1683.45</v>
      </c>
      <c r="I2203" s="2">
        <v>1683.45</v>
      </c>
    </row>
    <row r="2204">
      <c r="A2204" s="1" t="s">
        <v>4400</v>
      </c>
      <c r="B2204" s="2">
        <v>1144.98</v>
      </c>
      <c r="C2204" s="2">
        <v>1144.98</v>
      </c>
      <c r="D2204" s="2">
        <v>2317.17</v>
      </c>
      <c r="E2204" s="2">
        <v>2317.17</v>
      </c>
      <c r="G2204" s="1" t="s">
        <v>4401</v>
      </c>
      <c r="H2204" s="2">
        <v>1695.26</v>
      </c>
      <c r="I2204" s="2">
        <v>1695.26</v>
      </c>
    </row>
    <row r="2205">
      <c r="A2205" s="1" t="s">
        <v>4402</v>
      </c>
      <c r="B2205" s="2" t="s">
        <v>0</v>
      </c>
      <c r="C2205" s="2">
        <v>1144.98</v>
      </c>
      <c r="D2205" s="2" t="s">
        <v>0</v>
      </c>
      <c r="E2205" s="2">
        <v>2317.17</v>
      </c>
      <c r="G2205" s="1" t="s">
        <v>4403</v>
      </c>
      <c r="H2205" s="2" t="s">
        <v>0</v>
      </c>
      <c r="I2205" s="2">
        <v>1695.26</v>
      </c>
    </row>
    <row r="2206">
      <c r="A2206" s="1" t="s">
        <v>4404</v>
      </c>
      <c r="B2206" s="2" t="s">
        <v>0</v>
      </c>
      <c r="C2206" s="2">
        <v>1144.98</v>
      </c>
      <c r="D2206" s="2" t="s">
        <v>0</v>
      </c>
      <c r="E2206" s="2">
        <v>2317.17</v>
      </c>
      <c r="G2206" s="1" t="s">
        <v>4405</v>
      </c>
      <c r="H2206" s="2" t="s">
        <v>0</v>
      </c>
      <c r="I2206" s="2">
        <v>1695.26</v>
      </c>
    </row>
    <row r="2207">
      <c r="A2207" s="1" t="s">
        <v>4406</v>
      </c>
      <c r="B2207" s="2">
        <v>1146.98</v>
      </c>
      <c r="C2207" s="2">
        <v>1146.98</v>
      </c>
      <c r="D2207" s="2">
        <v>2312.41</v>
      </c>
      <c r="E2207" s="2">
        <v>2312.41</v>
      </c>
      <c r="G2207" s="1" t="s">
        <v>4407</v>
      </c>
      <c r="H2207" s="2">
        <v>1694.12</v>
      </c>
      <c r="I2207" s="2">
        <v>1694.12</v>
      </c>
    </row>
    <row r="2208">
      <c r="A2208" s="1" t="s">
        <v>4408</v>
      </c>
      <c r="B2208" s="2">
        <v>1136.22</v>
      </c>
      <c r="C2208" s="2">
        <v>1136.22</v>
      </c>
      <c r="D2208" s="2">
        <v>2282.31</v>
      </c>
      <c r="E2208" s="2">
        <v>2282.31</v>
      </c>
      <c r="G2208" s="1" t="s">
        <v>4409</v>
      </c>
      <c r="H2208" s="2">
        <v>1698.64</v>
      </c>
      <c r="I2208" s="2">
        <v>1698.64</v>
      </c>
    </row>
    <row r="2209">
      <c r="A2209" s="1" t="s">
        <v>4410</v>
      </c>
      <c r="B2209" s="2">
        <v>1145.68</v>
      </c>
      <c r="C2209" s="2">
        <v>1145.68</v>
      </c>
      <c r="D2209" s="2">
        <v>2307.9</v>
      </c>
      <c r="E2209" s="2">
        <v>2307.9</v>
      </c>
      <c r="G2209" s="1" t="s">
        <v>4411</v>
      </c>
      <c r="H2209" s="2">
        <v>1671.41</v>
      </c>
      <c r="I2209" s="2">
        <v>1671.41</v>
      </c>
    </row>
    <row r="2210">
      <c r="A2210" s="1" t="s">
        <v>4412</v>
      </c>
      <c r="B2210" s="2">
        <v>1144.89</v>
      </c>
      <c r="C2210" s="2">
        <v>1144.89</v>
      </c>
      <c r="D2210" s="2">
        <v>2316.74</v>
      </c>
      <c r="E2210" s="2">
        <v>2316.74</v>
      </c>
      <c r="G2210" s="1" t="s">
        <v>4413</v>
      </c>
      <c r="H2210" s="2">
        <v>1685.77</v>
      </c>
      <c r="I2210" s="2">
        <v>1685.77</v>
      </c>
    </row>
    <row r="2211">
      <c r="A2211" s="1" t="s">
        <v>4414</v>
      </c>
      <c r="B2211" s="2">
        <v>1136.03</v>
      </c>
      <c r="C2211" s="2">
        <v>1136.03</v>
      </c>
      <c r="D2211" s="2">
        <v>2287.99</v>
      </c>
      <c r="E2211" s="2">
        <v>2287.99</v>
      </c>
      <c r="G2211" s="1" t="s">
        <v>4415</v>
      </c>
      <c r="H2211" s="2">
        <v>1701.8</v>
      </c>
      <c r="I2211" s="2">
        <v>1701.8</v>
      </c>
    </row>
    <row r="2212">
      <c r="A2212" s="1" t="s">
        <v>4416</v>
      </c>
      <c r="B2212" s="2" t="s">
        <v>0</v>
      </c>
      <c r="C2212" s="2">
        <v>1136.03</v>
      </c>
      <c r="D2212" s="2" t="s">
        <v>0</v>
      </c>
      <c r="E2212" s="2">
        <v>2287.99</v>
      </c>
      <c r="G2212" s="1" t="s">
        <v>4417</v>
      </c>
      <c r="H2212" s="2" t="s">
        <v>0</v>
      </c>
      <c r="I2212" s="2">
        <v>1701.8</v>
      </c>
    </row>
    <row r="2213">
      <c r="A2213" s="1" t="s">
        <v>4418</v>
      </c>
      <c r="B2213" s="2" t="s">
        <v>0</v>
      </c>
      <c r="C2213" s="2">
        <v>1136.03</v>
      </c>
      <c r="D2213" s="2" t="s">
        <v>0</v>
      </c>
      <c r="E2213" s="2">
        <v>2287.99</v>
      </c>
      <c r="G2213" s="1" t="s">
        <v>4419</v>
      </c>
      <c r="H2213" s="2" t="s">
        <v>0</v>
      </c>
      <c r="I2213" s="2">
        <v>1701.8</v>
      </c>
    </row>
    <row r="2214">
      <c r="A2214" s="1" t="s">
        <v>4420</v>
      </c>
      <c r="B2214" s="2" t="s">
        <v>0</v>
      </c>
      <c r="C2214" s="2">
        <v>1136.03</v>
      </c>
      <c r="D2214" s="2" t="s">
        <v>0</v>
      </c>
      <c r="E2214" s="2">
        <v>2287.99</v>
      </c>
      <c r="G2214" s="1" t="s">
        <v>4421</v>
      </c>
      <c r="H2214" s="2">
        <v>1711.78</v>
      </c>
      <c r="I2214" s="2">
        <v>1711.78</v>
      </c>
    </row>
    <row r="2215">
      <c r="A2215" s="1" t="s">
        <v>4422</v>
      </c>
      <c r="B2215" s="2">
        <v>1150.23</v>
      </c>
      <c r="C2215" s="2">
        <v>1150.23</v>
      </c>
      <c r="D2215" s="2">
        <v>2320.4</v>
      </c>
      <c r="E2215" s="2">
        <v>2320.4</v>
      </c>
      <c r="G2215" s="1" t="s">
        <v>4423</v>
      </c>
      <c r="H2215" s="2">
        <v>1710.22</v>
      </c>
      <c r="I2215" s="2">
        <v>1710.22</v>
      </c>
    </row>
    <row r="2216">
      <c r="A2216" s="1" t="s">
        <v>4424</v>
      </c>
      <c r="B2216" s="2">
        <v>1138.04</v>
      </c>
      <c r="C2216" s="2">
        <v>1138.04</v>
      </c>
      <c r="D2216" s="2">
        <v>2291.25</v>
      </c>
      <c r="E2216" s="2">
        <v>2291.25</v>
      </c>
      <c r="G2216" s="1" t="s">
        <v>4425</v>
      </c>
      <c r="H2216" s="2">
        <v>1714.38</v>
      </c>
      <c r="I2216" s="2">
        <v>1714.38</v>
      </c>
    </row>
    <row r="2217">
      <c r="A2217" s="1" t="s">
        <v>4426</v>
      </c>
      <c r="B2217" s="2">
        <v>1116.48</v>
      </c>
      <c r="C2217" s="2">
        <v>1116.48</v>
      </c>
      <c r="D2217" s="2">
        <v>2265.7</v>
      </c>
      <c r="E2217" s="2">
        <v>2265.7</v>
      </c>
      <c r="G2217" s="1" t="s">
        <v>4427</v>
      </c>
      <c r="H2217" s="2">
        <v>1722.01</v>
      </c>
      <c r="I2217" s="2">
        <v>1722.01</v>
      </c>
    </row>
    <row r="2218">
      <c r="A2218" s="1" t="s">
        <v>4428</v>
      </c>
      <c r="B2218" s="2">
        <v>1115.49</v>
      </c>
      <c r="C2218" s="2">
        <v>1115.49</v>
      </c>
      <c r="D2218" s="2">
        <v>2205.29</v>
      </c>
      <c r="E2218" s="2">
        <v>2205.29</v>
      </c>
      <c r="G2218" s="1" t="s">
        <v>4429</v>
      </c>
      <c r="H2218" s="2">
        <v>1684.35</v>
      </c>
      <c r="I2218" s="2">
        <v>1684.35</v>
      </c>
    </row>
    <row r="2219">
      <c r="A2219" s="1" t="s">
        <v>4430</v>
      </c>
      <c r="B2219" s="2" t="s">
        <v>0</v>
      </c>
      <c r="C2219" s="2">
        <v>1115.49</v>
      </c>
      <c r="D2219" s="2" t="s">
        <v>0</v>
      </c>
      <c r="E2219" s="2">
        <v>2205.29</v>
      </c>
      <c r="G2219" s="1" t="s">
        <v>4431</v>
      </c>
      <c r="H2219" s="2" t="s">
        <v>0</v>
      </c>
      <c r="I2219" s="2">
        <v>1684.35</v>
      </c>
    </row>
    <row r="2220">
      <c r="A2220" s="1" t="s">
        <v>4432</v>
      </c>
      <c r="B2220" s="2" t="s">
        <v>0</v>
      </c>
      <c r="C2220" s="2">
        <v>1115.49</v>
      </c>
      <c r="D2220" s="2" t="s">
        <v>0</v>
      </c>
      <c r="E2220" s="2">
        <v>2205.29</v>
      </c>
      <c r="G2220" s="1" t="s">
        <v>4433</v>
      </c>
      <c r="H2220" s="2" t="s">
        <v>0</v>
      </c>
      <c r="I2220" s="2">
        <v>1684.35</v>
      </c>
    </row>
    <row r="2221">
      <c r="A2221" s="1" t="s">
        <v>4434</v>
      </c>
      <c r="B2221" s="2">
        <v>1096.78</v>
      </c>
      <c r="C2221" s="2">
        <v>1096.78</v>
      </c>
      <c r="D2221" s="2">
        <v>2210.8</v>
      </c>
      <c r="E2221" s="2">
        <v>2210.8</v>
      </c>
      <c r="G2221" s="1" t="s">
        <v>4435</v>
      </c>
      <c r="H2221" s="2">
        <v>1670.2</v>
      </c>
      <c r="I2221" s="2">
        <v>1670.2</v>
      </c>
    </row>
    <row r="2222">
      <c r="A2222" s="1" t="s">
        <v>4436</v>
      </c>
      <c r="B2222" s="2">
        <v>1092.17</v>
      </c>
      <c r="C2222" s="2">
        <v>1092.17</v>
      </c>
      <c r="D2222" s="2">
        <v>2203.73</v>
      </c>
      <c r="E2222" s="2">
        <v>2203.73</v>
      </c>
      <c r="G2222" s="1" t="s">
        <v>4437</v>
      </c>
      <c r="H2222" s="2">
        <v>1637.34</v>
      </c>
      <c r="I2222" s="2">
        <v>1637.34</v>
      </c>
    </row>
    <row r="2223">
      <c r="A2223" s="1" t="s">
        <v>4438</v>
      </c>
      <c r="B2223" s="2">
        <v>1097.5</v>
      </c>
      <c r="C2223" s="2">
        <v>1097.5</v>
      </c>
      <c r="D2223" s="2">
        <v>2221.41</v>
      </c>
      <c r="E2223" s="2">
        <v>2221.41</v>
      </c>
      <c r="G2223" s="1" t="s">
        <v>4439</v>
      </c>
      <c r="H2223" s="2">
        <v>1625.48</v>
      </c>
      <c r="I2223" s="2">
        <v>1625.48</v>
      </c>
    </row>
    <row r="2224">
      <c r="A2224" s="1" t="s">
        <v>4440</v>
      </c>
      <c r="B2224" s="2">
        <v>1084.53</v>
      </c>
      <c r="C2224" s="2">
        <v>1084.53</v>
      </c>
      <c r="D2224" s="2">
        <v>2179.0</v>
      </c>
      <c r="E2224" s="2">
        <v>2179.0</v>
      </c>
      <c r="G2224" s="1" t="s">
        <v>4441</v>
      </c>
      <c r="H2224" s="2">
        <v>1642.43</v>
      </c>
      <c r="I2224" s="2">
        <v>1642.43</v>
      </c>
    </row>
    <row r="2225">
      <c r="A2225" s="1" t="s">
        <v>4442</v>
      </c>
      <c r="B2225" s="2">
        <v>1073.87</v>
      </c>
      <c r="C2225" s="2">
        <v>1073.87</v>
      </c>
      <c r="D2225" s="2">
        <v>2147.35</v>
      </c>
      <c r="E2225" s="2">
        <v>2147.35</v>
      </c>
      <c r="G2225" s="1" t="s">
        <v>4443</v>
      </c>
      <c r="H2225" s="2">
        <v>1602.43</v>
      </c>
      <c r="I2225" s="2">
        <v>1602.43</v>
      </c>
    </row>
    <row r="2226">
      <c r="A2226" s="1" t="s">
        <v>4444</v>
      </c>
      <c r="B2226" s="2" t="s">
        <v>0</v>
      </c>
      <c r="C2226" s="2">
        <v>1073.87</v>
      </c>
      <c r="D2226" s="2" t="s">
        <v>0</v>
      </c>
      <c r="E2226" s="2">
        <v>2147.35</v>
      </c>
      <c r="G2226" s="1" t="s">
        <v>4445</v>
      </c>
      <c r="H2226" s="2" t="s">
        <v>0</v>
      </c>
      <c r="I2226" s="2">
        <v>1602.43</v>
      </c>
    </row>
    <row r="2227">
      <c r="A2227" s="1" t="s">
        <v>4446</v>
      </c>
      <c r="B2227" s="2" t="s">
        <v>0</v>
      </c>
      <c r="C2227" s="2">
        <v>1073.87</v>
      </c>
      <c r="D2227" s="2" t="s">
        <v>0</v>
      </c>
      <c r="E2227" s="2">
        <v>2147.35</v>
      </c>
      <c r="G2227" s="1" t="s">
        <v>4447</v>
      </c>
      <c r="H2227" s="2" t="s">
        <v>0</v>
      </c>
      <c r="I2227" s="2">
        <v>1602.43</v>
      </c>
    </row>
    <row r="2228">
      <c r="A2228" s="1" t="s">
        <v>4448</v>
      </c>
      <c r="B2228" s="2">
        <v>1089.19</v>
      </c>
      <c r="C2228" s="2">
        <v>1089.19</v>
      </c>
      <c r="D2228" s="2">
        <v>2171.2</v>
      </c>
      <c r="E2228" s="2">
        <v>2171.2</v>
      </c>
      <c r="G2228" s="1" t="s">
        <v>4449</v>
      </c>
      <c r="H2228" s="2">
        <v>1606.44</v>
      </c>
      <c r="I2228" s="2">
        <v>1606.44</v>
      </c>
    </row>
    <row r="2229">
      <c r="A2229" s="1" t="s">
        <v>4450</v>
      </c>
      <c r="B2229" s="2">
        <v>1103.32</v>
      </c>
      <c r="C2229" s="2">
        <v>1103.32</v>
      </c>
      <c r="D2229" s="2">
        <v>2190.06</v>
      </c>
      <c r="E2229" s="2">
        <v>2190.06</v>
      </c>
      <c r="G2229" s="1" t="s">
        <v>4451</v>
      </c>
      <c r="H2229" s="2">
        <v>1595.81</v>
      </c>
      <c r="I2229" s="2">
        <v>1595.81</v>
      </c>
    </row>
    <row r="2230">
      <c r="A2230" s="1" t="s">
        <v>4452</v>
      </c>
      <c r="B2230" s="2">
        <v>1097.28</v>
      </c>
      <c r="C2230" s="2">
        <v>1097.28</v>
      </c>
      <c r="D2230" s="2">
        <v>2190.91</v>
      </c>
      <c r="E2230" s="2">
        <v>2190.91</v>
      </c>
      <c r="G2230" s="1" t="s">
        <v>4453</v>
      </c>
      <c r="H2230" s="2">
        <v>1615.02</v>
      </c>
      <c r="I2230" s="2">
        <v>1615.02</v>
      </c>
    </row>
    <row r="2231">
      <c r="A2231" s="1" t="s">
        <v>4454</v>
      </c>
      <c r="B2231" s="2">
        <v>1063.11</v>
      </c>
      <c r="C2231" s="2">
        <v>1063.11</v>
      </c>
      <c r="D2231" s="2">
        <v>2125.43</v>
      </c>
      <c r="E2231" s="2">
        <v>2125.43</v>
      </c>
      <c r="G2231" s="1" t="s">
        <v>4455</v>
      </c>
      <c r="H2231" s="2">
        <v>1616.42</v>
      </c>
      <c r="I2231" s="2">
        <v>1616.42</v>
      </c>
    </row>
    <row r="2232">
      <c r="A2232" s="1" t="s">
        <v>4456</v>
      </c>
      <c r="B2232" s="2">
        <v>1066.19</v>
      </c>
      <c r="C2232" s="2">
        <v>1066.19</v>
      </c>
      <c r="D2232" s="2">
        <v>2141.12</v>
      </c>
      <c r="E2232" s="2">
        <v>2141.12</v>
      </c>
      <c r="G2232" s="1" t="s">
        <v>4457</v>
      </c>
      <c r="H2232" s="2">
        <v>1567.12</v>
      </c>
      <c r="I2232" s="2">
        <v>1567.12</v>
      </c>
    </row>
    <row r="2233">
      <c r="A2233" s="1" t="s">
        <v>4458</v>
      </c>
      <c r="B2233" s="2" t="s">
        <v>0</v>
      </c>
      <c r="C2233" s="2">
        <v>1066.19</v>
      </c>
      <c r="D2233" s="2" t="s">
        <v>0</v>
      </c>
      <c r="E2233" s="2">
        <v>2141.12</v>
      </c>
      <c r="G2233" s="1" t="s">
        <v>4459</v>
      </c>
      <c r="H2233" s="2" t="s">
        <v>0</v>
      </c>
      <c r="I2233" s="2">
        <v>1567.12</v>
      </c>
    </row>
    <row r="2234">
      <c r="A2234" s="1" t="s">
        <v>4460</v>
      </c>
      <c r="B2234" s="2" t="s">
        <v>0</v>
      </c>
      <c r="C2234" s="2">
        <v>1066.19</v>
      </c>
      <c r="D2234" s="2" t="s">
        <v>0</v>
      </c>
      <c r="E2234" s="2">
        <v>2141.12</v>
      </c>
      <c r="G2234" s="1" t="s">
        <v>4461</v>
      </c>
      <c r="H2234" s="2" t="s">
        <v>0</v>
      </c>
      <c r="I2234" s="2">
        <v>1567.12</v>
      </c>
    </row>
    <row r="2235">
      <c r="A2235" s="1" t="s">
        <v>4462</v>
      </c>
      <c r="B2235" s="2">
        <v>1056.74</v>
      </c>
      <c r="C2235" s="2">
        <v>1056.74</v>
      </c>
      <c r="D2235" s="2">
        <v>2126.05</v>
      </c>
      <c r="E2235" s="2">
        <v>2126.05</v>
      </c>
      <c r="G2235" s="1" t="s">
        <v>4463</v>
      </c>
      <c r="H2235" s="2">
        <v>1552.79</v>
      </c>
      <c r="I2235" s="2">
        <v>1552.79</v>
      </c>
    </row>
    <row r="2236">
      <c r="A2236" s="1" t="s">
        <v>4464</v>
      </c>
      <c r="B2236" s="2">
        <v>1070.52</v>
      </c>
      <c r="C2236" s="2">
        <v>1070.52</v>
      </c>
      <c r="D2236" s="2">
        <v>2150.87</v>
      </c>
      <c r="E2236" s="2">
        <v>2150.87</v>
      </c>
      <c r="G2236" s="1" t="s">
        <v>4465</v>
      </c>
      <c r="H2236" s="2">
        <v>1570.49</v>
      </c>
      <c r="I2236" s="2">
        <v>1570.49</v>
      </c>
    </row>
    <row r="2237">
      <c r="A2237" s="1" t="s">
        <v>4466</v>
      </c>
      <c r="B2237" s="2">
        <v>1068.13</v>
      </c>
      <c r="C2237" s="2">
        <v>1068.13</v>
      </c>
      <c r="D2237" s="2">
        <v>2147.87</v>
      </c>
      <c r="E2237" s="2">
        <v>2147.87</v>
      </c>
      <c r="G2237" s="1" t="s">
        <v>4467</v>
      </c>
      <c r="H2237" s="2">
        <v>1570.12</v>
      </c>
      <c r="I2237" s="2">
        <v>1570.12</v>
      </c>
    </row>
    <row r="2238">
      <c r="A2238" s="1" t="s">
        <v>4468</v>
      </c>
      <c r="B2238" s="2">
        <v>1078.47</v>
      </c>
      <c r="C2238" s="2">
        <v>1078.47</v>
      </c>
      <c r="D2238" s="2">
        <v>2177.41</v>
      </c>
      <c r="E2238" s="2">
        <v>2177.41</v>
      </c>
      <c r="G2238" s="1" t="s">
        <v>4469</v>
      </c>
      <c r="H2238" s="2">
        <v>1597.81</v>
      </c>
      <c r="I2238" s="2">
        <v>1597.81</v>
      </c>
    </row>
    <row r="2239">
      <c r="A2239" s="1" t="s">
        <v>4470</v>
      </c>
      <c r="B2239" s="2">
        <v>1075.51</v>
      </c>
      <c r="C2239" s="2">
        <v>1075.51</v>
      </c>
      <c r="D2239" s="2">
        <v>2183.53</v>
      </c>
      <c r="E2239" s="2">
        <v>2183.53</v>
      </c>
      <c r="G2239" s="1" t="s">
        <v>4471</v>
      </c>
      <c r="H2239" s="2">
        <v>1593.66</v>
      </c>
      <c r="I2239" s="2">
        <v>1593.66</v>
      </c>
    </row>
    <row r="2240">
      <c r="A2240" s="1" t="s">
        <v>4472</v>
      </c>
      <c r="B2240" s="2" t="s">
        <v>0</v>
      </c>
      <c r="C2240" s="2">
        <v>1075.51</v>
      </c>
      <c r="D2240" s="2" t="s">
        <v>0</v>
      </c>
      <c r="E2240" s="2">
        <v>2183.53</v>
      </c>
      <c r="G2240" s="1" t="s">
        <v>4473</v>
      </c>
      <c r="H2240" s="2" t="s">
        <v>0</v>
      </c>
      <c r="I2240" s="2">
        <v>1593.66</v>
      </c>
    </row>
    <row r="2241">
      <c r="A2241" s="1" t="s">
        <v>4474</v>
      </c>
      <c r="B2241" s="2" t="s">
        <v>0</v>
      </c>
      <c r="C2241" s="2">
        <v>1075.51</v>
      </c>
      <c r="D2241" s="2" t="s">
        <v>0</v>
      </c>
      <c r="E2241" s="2">
        <v>2183.53</v>
      </c>
      <c r="G2241" s="1" t="s">
        <v>4475</v>
      </c>
      <c r="H2241" s="2" t="s">
        <v>0</v>
      </c>
      <c r="I2241" s="2">
        <v>1593.66</v>
      </c>
    </row>
    <row r="2242">
      <c r="A2242" s="1" t="s">
        <v>4476</v>
      </c>
      <c r="B2242" s="2" t="s">
        <v>0</v>
      </c>
      <c r="C2242" s="2">
        <v>1075.51</v>
      </c>
      <c r="D2242" s="2" t="s">
        <v>0</v>
      </c>
      <c r="E2242" s="2">
        <v>2183.53</v>
      </c>
      <c r="G2242" s="1" t="s">
        <v>4477</v>
      </c>
      <c r="H2242" s="2" t="s">
        <v>0</v>
      </c>
      <c r="I2242" s="2">
        <v>1593.66</v>
      </c>
    </row>
    <row r="2243">
      <c r="A2243" s="1" t="s">
        <v>4478</v>
      </c>
      <c r="B2243" s="2">
        <v>1094.87</v>
      </c>
      <c r="C2243" s="2">
        <v>1094.87</v>
      </c>
      <c r="D2243" s="2">
        <v>2214.19</v>
      </c>
      <c r="E2243" s="2">
        <v>2214.19</v>
      </c>
      <c r="G2243" s="1" t="s">
        <v>4479</v>
      </c>
      <c r="H2243" s="2">
        <v>1601.05</v>
      </c>
      <c r="I2243" s="2">
        <v>1601.05</v>
      </c>
    </row>
    <row r="2244">
      <c r="A2244" s="1" t="s">
        <v>4480</v>
      </c>
      <c r="B2244" s="2">
        <v>1099.51</v>
      </c>
      <c r="C2244" s="2">
        <v>1099.51</v>
      </c>
      <c r="D2244" s="2">
        <v>2226.29</v>
      </c>
      <c r="E2244" s="2">
        <v>2226.29</v>
      </c>
      <c r="G2244" s="1" t="s">
        <v>4481</v>
      </c>
      <c r="H2244" s="2">
        <v>1627.43</v>
      </c>
      <c r="I2244" s="2">
        <v>1627.43</v>
      </c>
    </row>
    <row r="2245">
      <c r="A2245" s="1" t="s">
        <v>4482</v>
      </c>
      <c r="B2245" s="2">
        <v>1106.75</v>
      </c>
      <c r="C2245" s="2">
        <v>1106.75</v>
      </c>
      <c r="D2245" s="2">
        <v>2241.71</v>
      </c>
      <c r="E2245" s="2">
        <v>2241.71</v>
      </c>
      <c r="G2245" s="1" t="s">
        <v>4483</v>
      </c>
      <c r="H2245" s="2">
        <v>1621.19</v>
      </c>
      <c r="I2245" s="2">
        <v>1621.19</v>
      </c>
    </row>
    <row r="2246">
      <c r="A2246" s="1" t="s">
        <v>4484</v>
      </c>
      <c r="B2246" s="2">
        <v>1109.17</v>
      </c>
      <c r="C2246" s="2">
        <v>1109.17</v>
      </c>
      <c r="D2246" s="2">
        <v>2243.87</v>
      </c>
      <c r="E2246" s="2">
        <v>2243.87</v>
      </c>
      <c r="G2246" s="1" t="s">
        <v>4485</v>
      </c>
      <c r="H2246" s="2">
        <v>1593.9</v>
      </c>
      <c r="I2246" s="2">
        <v>1593.9</v>
      </c>
    </row>
    <row r="2247">
      <c r="A2247" s="1" t="s">
        <v>4486</v>
      </c>
      <c r="B2247" s="2" t="s">
        <v>0</v>
      </c>
      <c r="C2247" s="2">
        <v>1109.17</v>
      </c>
      <c r="D2247" s="2" t="s">
        <v>0</v>
      </c>
      <c r="E2247" s="2">
        <v>2243.87</v>
      </c>
      <c r="G2247" s="1" t="s">
        <v>4487</v>
      </c>
      <c r="H2247" s="2" t="s">
        <v>0</v>
      </c>
      <c r="I2247" s="2">
        <v>1593.9</v>
      </c>
    </row>
    <row r="2248">
      <c r="A2248" s="1" t="s">
        <v>4488</v>
      </c>
      <c r="B2248" s="2" t="s">
        <v>0</v>
      </c>
      <c r="C2248" s="2">
        <v>1109.17</v>
      </c>
      <c r="D2248" s="2" t="s">
        <v>0</v>
      </c>
      <c r="E2248" s="2">
        <v>2243.87</v>
      </c>
      <c r="G2248" s="1" t="s">
        <v>4489</v>
      </c>
      <c r="H2248" s="2" t="s">
        <v>0</v>
      </c>
      <c r="I2248" s="2">
        <v>1593.9</v>
      </c>
    </row>
    <row r="2249">
      <c r="A2249" s="1" t="s">
        <v>4490</v>
      </c>
      <c r="B2249" s="2">
        <v>1108.01</v>
      </c>
      <c r="C2249" s="2">
        <v>1108.01</v>
      </c>
      <c r="D2249" s="2">
        <v>2242.03</v>
      </c>
      <c r="E2249" s="2">
        <v>2242.03</v>
      </c>
      <c r="G2249" s="1" t="s">
        <v>4491</v>
      </c>
      <c r="H2249" s="2">
        <v>1627.1</v>
      </c>
      <c r="I2249" s="2">
        <v>1627.1</v>
      </c>
    </row>
    <row r="2250">
      <c r="A2250" s="1" t="s">
        <v>4492</v>
      </c>
      <c r="B2250" s="2">
        <v>1094.6</v>
      </c>
      <c r="C2250" s="2">
        <v>1094.6</v>
      </c>
      <c r="D2250" s="2">
        <v>2213.44</v>
      </c>
      <c r="E2250" s="2">
        <v>2213.44</v>
      </c>
      <c r="G2250" s="1" t="s">
        <v>4493</v>
      </c>
      <c r="H2250" s="2">
        <v>1628.9</v>
      </c>
      <c r="I2250" s="2">
        <v>1628.9</v>
      </c>
    </row>
    <row r="2251">
      <c r="A2251" s="1" t="s">
        <v>4494</v>
      </c>
      <c r="B2251" s="2">
        <v>1105.24</v>
      </c>
      <c r="C2251" s="2">
        <v>1105.24</v>
      </c>
      <c r="D2251" s="2">
        <v>2235.9</v>
      </c>
      <c r="E2251" s="2">
        <v>2235.9</v>
      </c>
      <c r="G2251" s="1" t="s">
        <v>4495</v>
      </c>
      <c r="H2251" s="2">
        <v>1612.83</v>
      </c>
      <c r="I2251" s="2">
        <v>1612.83</v>
      </c>
    </row>
    <row r="2252">
      <c r="A2252" s="1" t="s">
        <v>4496</v>
      </c>
      <c r="B2252" s="2">
        <v>1102.94</v>
      </c>
      <c r="C2252" s="2">
        <v>1102.94</v>
      </c>
      <c r="D2252" s="2">
        <v>2234.22</v>
      </c>
      <c r="E2252" s="2">
        <v>2234.22</v>
      </c>
      <c r="G2252" s="1" t="s">
        <v>4497</v>
      </c>
      <c r="H2252" s="2">
        <v>1587.51</v>
      </c>
      <c r="I2252" s="2">
        <v>1587.51</v>
      </c>
    </row>
    <row r="2253">
      <c r="A2253" s="1" t="s">
        <v>4498</v>
      </c>
      <c r="B2253" s="2">
        <v>1104.49</v>
      </c>
      <c r="C2253" s="2">
        <v>1104.49</v>
      </c>
      <c r="D2253" s="2">
        <v>2238.26</v>
      </c>
      <c r="E2253" s="2">
        <v>2238.26</v>
      </c>
      <c r="G2253" s="1" t="s">
        <v>4499</v>
      </c>
      <c r="H2253" s="2">
        <v>1594.58</v>
      </c>
      <c r="I2253" s="2">
        <v>1594.58</v>
      </c>
    </row>
    <row r="2254">
      <c r="A2254" s="1" t="s">
        <v>4500</v>
      </c>
      <c r="B2254" s="2" t="s">
        <v>0</v>
      </c>
      <c r="C2254" s="2">
        <v>1104.49</v>
      </c>
      <c r="D2254" s="2" t="s">
        <v>0</v>
      </c>
      <c r="E2254" s="2">
        <v>2238.26</v>
      </c>
      <c r="G2254" s="1" t="s">
        <v>4501</v>
      </c>
      <c r="H2254" s="2" t="s">
        <v>0</v>
      </c>
      <c r="I2254" s="2">
        <v>1594.58</v>
      </c>
    </row>
    <row r="2255">
      <c r="A2255" s="1" t="s">
        <v>4502</v>
      </c>
      <c r="B2255" s="2" t="s">
        <v>0</v>
      </c>
      <c r="C2255" s="2">
        <v>1104.49</v>
      </c>
      <c r="D2255" s="2" t="s">
        <v>0</v>
      </c>
      <c r="E2255" s="2">
        <v>2238.26</v>
      </c>
      <c r="G2255" s="1" t="s">
        <v>4503</v>
      </c>
      <c r="H2255" s="2" t="s">
        <v>0</v>
      </c>
      <c r="I2255" s="2">
        <v>1594.58</v>
      </c>
    </row>
    <row r="2256">
      <c r="A2256" s="1" t="s">
        <v>4504</v>
      </c>
      <c r="B2256" s="2">
        <v>1115.71</v>
      </c>
      <c r="C2256" s="2">
        <v>1115.71</v>
      </c>
      <c r="D2256" s="2">
        <v>2273.57</v>
      </c>
      <c r="E2256" s="2">
        <v>2273.57</v>
      </c>
      <c r="G2256" s="1" t="s">
        <v>4505</v>
      </c>
      <c r="H2256" s="2" t="s">
        <v>0</v>
      </c>
      <c r="I2256" s="2">
        <v>1594.58</v>
      </c>
    </row>
    <row r="2257">
      <c r="A2257" s="1" t="s">
        <v>4506</v>
      </c>
      <c r="B2257" s="2">
        <v>1118.31</v>
      </c>
      <c r="C2257" s="2">
        <v>1118.31</v>
      </c>
      <c r="D2257" s="2">
        <v>2280.79</v>
      </c>
      <c r="E2257" s="2">
        <v>2280.79</v>
      </c>
      <c r="G2257" s="1" t="s">
        <v>4507</v>
      </c>
      <c r="H2257" s="2">
        <v>1615.12</v>
      </c>
      <c r="I2257" s="2">
        <v>1615.12</v>
      </c>
    </row>
    <row r="2258">
      <c r="A2258" s="1" t="s">
        <v>4508</v>
      </c>
      <c r="B2258" s="2">
        <v>1118.79</v>
      </c>
      <c r="C2258" s="2">
        <v>1118.79</v>
      </c>
      <c r="D2258" s="2">
        <v>2280.68</v>
      </c>
      <c r="E2258" s="2">
        <v>2280.68</v>
      </c>
      <c r="G2258" s="1" t="s">
        <v>4509</v>
      </c>
      <c r="H2258" s="2">
        <v>1622.44</v>
      </c>
      <c r="I2258" s="2">
        <v>1622.44</v>
      </c>
    </row>
    <row r="2259">
      <c r="A2259" s="1" t="s">
        <v>4510</v>
      </c>
      <c r="B2259" s="2">
        <v>1122.97</v>
      </c>
      <c r="C2259" s="2">
        <v>1122.97</v>
      </c>
      <c r="D2259" s="2">
        <v>2292.31</v>
      </c>
      <c r="E2259" s="2">
        <v>2292.31</v>
      </c>
      <c r="G2259" s="1" t="s">
        <v>4511</v>
      </c>
      <c r="H2259" s="2">
        <v>1618.2</v>
      </c>
      <c r="I2259" s="2">
        <v>1618.2</v>
      </c>
    </row>
    <row r="2260">
      <c r="A2260" s="1" t="s">
        <v>4512</v>
      </c>
      <c r="B2260" s="2">
        <v>1138.7</v>
      </c>
      <c r="C2260" s="2">
        <v>1138.7</v>
      </c>
      <c r="D2260" s="2">
        <v>2326.35</v>
      </c>
      <c r="E2260" s="2">
        <v>2326.35</v>
      </c>
      <c r="G2260" s="1" t="s">
        <v>4513</v>
      </c>
      <c r="H2260" s="2">
        <v>1634.57</v>
      </c>
      <c r="I2260" s="2">
        <v>1634.57</v>
      </c>
    </row>
    <row r="2261">
      <c r="A2261" s="1" t="s">
        <v>4514</v>
      </c>
      <c r="B2261" s="2" t="s">
        <v>0</v>
      </c>
      <c r="C2261" s="2">
        <v>1138.7</v>
      </c>
      <c r="D2261" s="2" t="s">
        <v>0</v>
      </c>
      <c r="E2261" s="2">
        <v>2326.35</v>
      </c>
      <c r="G2261" s="1" t="s">
        <v>4515</v>
      </c>
      <c r="H2261" s="2" t="s">
        <v>0</v>
      </c>
      <c r="I2261" s="2">
        <v>1634.57</v>
      </c>
    </row>
    <row r="2262">
      <c r="A2262" s="1" t="s">
        <v>4516</v>
      </c>
      <c r="B2262" s="2" t="s">
        <v>0</v>
      </c>
      <c r="C2262" s="2">
        <v>1138.7</v>
      </c>
      <c r="D2262" s="2" t="s">
        <v>0</v>
      </c>
      <c r="E2262" s="2">
        <v>2326.35</v>
      </c>
      <c r="G2262" s="1" t="s">
        <v>4517</v>
      </c>
      <c r="H2262" s="2" t="s">
        <v>0</v>
      </c>
      <c r="I2262" s="2">
        <v>1634.57</v>
      </c>
    </row>
    <row r="2263">
      <c r="A2263" s="1" t="s">
        <v>4518</v>
      </c>
      <c r="B2263" s="2">
        <v>1138.5</v>
      </c>
      <c r="C2263" s="2">
        <v>1138.5</v>
      </c>
      <c r="D2263" s="2">
        <v>2332.21</v>
      </c>
      <c r="E2263" s="2">
        <v>2332.21</v>
      </c>
      <c r="G2263" s="1" t="s">
        <v>4519</v>
      </c>
      <c r="H2263" s="2">
        <v>1660.04</v>
      </c>
      <c r="I2263" s="2">
        <v>1660.04</v>
      </c>
    </row>
    <row r="2264">
      <c r="A2264" s="1" t="s">
        <v>4520</v>
      </c>
      <c r="B2264" s="2">
        <v>1140.45</v>
      </c>
      <c r="C2264" s="2">
        <v>1140.45</v>
      </c>
      <c r="D2264" s="2">
        <v>2340.68</v>
      </c>
      <c r="E2264" s="2">
        <v>2340.68</v>
      </c>
      <c r="G2264" s="1" t="s">
        <v>4521</v>
      </c>
      <c r="H2264" s="2">
        <v>1660.83</v>
      </c>
      <c r="I2264" s="2">
        <v>1660.83</v>
      </c>
    </row>
    <row r="2265">
      <c r="A2265" s="1" t="s">
        <v>4522</v>
      </c>
      <c r="B2265" s="2">
        <v>1145.61</v>
      </c>
      <c r="C2265" s="2">
        <v>1145.61</v>
      </c>
      <c r="D2265" s="2">
        <v>2358.95</v>
      </c>
      <c r="E2265" s="2">
        <v>2358.95</v>
      </c>
      <c r="G2265" s="1" t="s">
        <v>4523</v>
      </c>
      <c r="H2265" s="2">
        <v>1662.24</v>
      </c>
      <c r="I2265" s="2">
        <v>1662.24</v>
      </c>
    </row>
    <row r="2266">
      <c r="A2266" s="1" t="s">
        <v>4524</v>
      </c>
      <c r="B2266" s="2">
        <v>1150.24</v>
      </c>
      <c r="C2266" s="2">
        <v>1150.24</v>
      </c>
      <c r="D2266" s="2">
        <v>2368.46</v>
      </c>
      <c r="E2266" s="2">
        <v>2368.46</v>
      </c>
      <c r="G2266" s="1" t="s">
        <v>4525</v>
      </c>
      <c r="H2266" s="2">
        <v>1656.62</v>
      </c>
      <c r="I2266" s="2">
        <v>1656.62</v>
      </c>
    </row>
    <row r="2267">
      <c r="A2267" s="1" t="s">
        <v>4526</v>
      </c>
      <c r="B2267" s="2">
        <v>1149.99</v>
      </c>
      <c r="C2267" s="2">
        <v>1149.99</v>
      </c>
      <c r="D2267" s="2">
        <v>2367.66</v>
      </c>
      <c r="E2267" s="2">
        <v>2367.66</v>
      </c>
      <c r="G2267" s="1" t="s">
        <v>4527</v>
      </c>
      <c r="H2267" s="2">
        <v>1662.74</v>
      </c>
      <c r="I2267" s="2">
        <v>1662.74</v>
      </c>
    </row>
    <row r="2268">
      <c r="A2268" s="1" t="s">
        <v>4528</v>
      </c>
      <c r="B2268" s="2" t="s">
        <v>0</v>
      </c>
      <c r="C2268" s="2">
        <v>1149.99</v>
      </c>
      <c r="D2268" s="2" t="s">
        <v>0</v>
      </c>
      <c r="E2268" s="2">
        <v>2367.66</v>
      </c>
      <c r="G2268" s="1" t="s">
        <v>4529</v>
      </c>
      <c r="H2268" s="2" t="s">
        <v>0</v>
      </c>
      <c r="I2268" s="2">
        <v>1662.74</v>
      </c>
    </row>
    <row r="2269">
      <c r="A2269" s="1" t="s">
        <v>4530</v>
      </c>
      <c r="B2269" s="2" t="s">
        <v>0</v>
      </c>
      <c r="C2269" s="2">
        <v>1149.99</v>
      </c>
      <c r="D2269" s="2" t="s">
        <v>0</v>
      </c>
      <c r="E2269" s="2">
        <v>2367.66</v>
      </c>
      <c r="G2269" s="1" t="s">
        <v>4531</v>
      </c>
      <c r="H2269" s="2" t="s">
        <v>0</v>
      </c>
      <c r="I2269" s="2">
        <v>1662.74</v>
      </c>
    </row>
    <row r="2270">
      <c r="A2270" s="1" t="s">
        <v>4532</v>
      </c>
      <c r="B2270" s="2">
        <v>1150.51</v>
      </c>
      <c r="C2270" s="2">
        <v>1150.51</v>
      </c>
      <c r="D2270" s="2">
        <v>2362.21</v>
      </c>
      <c r="E2270" s="2">
        <v>2362.21</v>
      </c>
      <c r="G2270" s="1" t="s">
        <v>4533</v>
      </c>
      <c r="H2270" s="2" t="s">
        <v>0</v>
      </c>
      <c r="I2270" s="2">
        <v>1662.74</v>
      </c>
    </row>
    <row r="2271">
      <c r="A2271" s="1" t="s">
        <v>4534</v>
      </c>
      <c r="B2271" s="2">
        <v>1159.46</v>
      </c>
      <c r="C2271" s="2">
        <v>1159.46</v>
      </c>
      <c r="D2271" s="2">
        <v>2378.01</v>
      </c>
      <c r="E2271" s="2">
        <v>2378.01</v>
      </c>
      <c r="G2271" s="1" t="s">
        <v>4535</v>
      </c>
      <c r="H2271" s="2">
        <v>1648.01</v>
      </c>
      <c r="I2271" s="2">
        <v>1648.01</v>
      </c>
    </row>
    <row r="2272">
      <c r="A2272" s="1" t="s">
        <v>4536</v>
      </c>
      <c r="B2272" s="2">
        <v>1160.74</v>
      </c>
      <c r="C2272" s="2">
        <v>1160.74</v>
      </c>
      <c r="D2272" s="2">
        <v>2389.09</v>
      </c>
      <c r="E2272" s="2">
        <v>2389.09</v>
      </c>
      <c r="G2272" s="1" t="s">
        <v>4537</v>
      </c>
      <c r="H2272" s="2">
        <v>1682.86</v>
      </c>
      <c r="I2272" s="2">
        <v>1682.86</v>
      </c>
    </row>
    <row r="2273">
      <c r="A2273" s="1" t="s">
        <v>4538</v>
      </c>
      <c r="B2273" s="2">
        <v>1165.83</v>
      </c>
      <c r="C2273" s="2">
        <v>1165.83</v>
      </c>
      <c r="D2273" s="2">
        <v>2391.28</v>
      </c>
      <c r="E2273" s="2">
        <v>2391.28</v>
      </c>
      <c r="G2273" s="1" t="s">
        <v>4539</v>
      </c>
      <c r="H2273" s="2">
        <v>1675.17</v>
      </c>
      <c r="I2273" s="2">
        <v>1675.17</v>
      </c>
    </row>
    <row r="2274">
      <c r="A2274" s="1" t="s">
        <v>4540</v>
      </c>
      <c r="B2274" s="2">
        <v>1159.9</v>
      </c>
      <c r="C2274" s="2">
        <v>1159.9</v>
      </c>
      <c r="D2274" s="2">
        <v>2374.41</v>
      </c>
      <c r="E2274" s="2">
        <v>2374.41</v>
      </c>
      <c r="G2274" s="1" t="s">
        <v>4541</v>
      </c>
      <c r="H2274" s="2">
        <v>1686.11</v>
      </c>
      <c r="I2274" s="2">
        <v>1686.11</v>
      </c>
    </row>
    <row r="2275">
      <c r="A2275" s="1" t="s">
        <v>4542</v>
      </c>
      <c r="B2275" s="2" t="s">
        <v>0</v>
      </c>
      <c r="C2275" s="2">
        <v>1159.9</v>
      </c>
      <c r="D2275" s="2" t="s">
        <v>0</v>
      </c>
      <c r="E2275" s="2">
        <v>2374.41</v>
      </c>
      <c r="G2275" s="1" t="s">
        <v>4543</v>
      </c>
      <c r="H2275" s="2" t="s">
        <v>0</v>
      </c>
      <c r="I2275" s="2">
        <v>1686.11</v>
      </c>
    </row>
    <row r="2276">
      <c r="A2276" s="1" t="s">
        <v>4544</v>
      </c>
      <c r="B2276" s="2" t="s">
        <v>0</v>
      </c>
      <c r="C2276" s="2">
        <v>1159.9</v>
      </c>
      <c r="D2276" s="2" t="s">
        <v>0</v>
      </c>
      <c r="E2276" s="2">
        <v>2374.41</v>
      </c>
      <c r="G2276" s="1" t="s">
        <v>4545</v>
      </c>
      <c r="H2276" s="2" t="s">
        <v>0</v>
      </c>
      <c r="I2276" s="2">
        <v>1686.11</v>
      </c>
    </row>
    <row r="2277">
      <c r="A2277" s="1" t="s">
        <v>4546</v>
      </c>
      <c r="B2277" s="2">
        <v>1165.81</v>
      </c>
      <c r="C2277" s="2">
        <v>1165.81</v>
      </c>
      <c r="D2277" s="2">
        <v>2395.4</v>
      </c>
      <c r="E2277" s="2">
        <v>2395.4</v>
      </c>
      <c r="G2277" s="1" t="s">
        <v>4547</v>
      </c>
      <c r="H2277" s="2">
        <v>1672.67</v>
      </c>
      <c r="I2277" s="2">
        <v>1672.67</v>
      </c>
    </row>
    <row r="2278">
      <c r="A2278" s="1" t="s">
        <v>4548</v>
      </c>
      <c r="B2278" s="2">
        <v>1166.47</v>
      </c>
      <c r="C2278" s="2">
        <v>1166.47</v>
      </c>
      <c r="D2278" s="2">
        <v>2415.24</v>
      </c>
      <c r="E2278" s="2">
        <v>2415.24</v>
      </c>
      <c r="G2278" s="1" t="s">
        <v>4549</v>
      </c>
      <c r="H2278" s="2">
        <v>1681.82</v>
      </c>
      <c r="I2278" s="2">
        <v>1681.82</v>
      </c>
    </row>
    <row r="2279">
      <c r="A2279" s="1" t="s">
        <v>4550</v>
      </c>
      <c r="B2279" s="2">
        <v>1167.72</v>
      </c>
      <c r="C2279" s="2">
        <v>1167.72</v>
      </c>
      <c r="D2279" s="2">
        <v>2398.76</v>
      </c>
      <c r="E2279" s="2">
        <v>2398.76</v>
      </c>
      <c r="G2279" s="1" t="s">
        <v>4551</v>
      </c>
      <c r="H2279" s="2">
        <v>1681.01</v>
      </c>
      <c r="I2279" s="2">
        <v>1681.01</v>
      </c>
    </row>
    <row r="2280">
      <c r="A2280" s="1" t="s">
        <v>4552</v>
      </c>
      <c r="B2280" s="2">
        <v>1165.73</v>
      </c>
      <c r="C2280" s="2">
        <v>1165.73</v>
      </c>
      <c r="D2280" s="2">
        <v>2397.41</v>
      </c>
      <c r="E2280" s="2">
        <v>2397.41</v>
      </c>
      <c r="G2280" s="1" t="s">
        <v>4553</v>
      </c>
      <c r="H2280" s="2">
        <v>1688.39</v>
      </c>
      <c r="I2280" s="2">
        <v>1688.39</v>
      </c>
    </row>
    <row r="2281">
      <c r="A2281" s="1" t="s">
        <v>4554</v>
      </c>
      <c r="B2281" s="2">
        <v>1166.59</v>
      </c>
      <c r="C2281" s="2">
        <v>1166.59</v>
      </c>
      <c r="D2281" s="2">
        <v>2395.13</v>
      </c>
      <c r="E2281" s="2">
        <v>2395.13</v>
      </c>
      <c r="G2281" s="1" t="s">
        <v>4555</v>
      </c>
      <c r="H2281" s="2">
        <v>1697.72</v>
      </c>
      <c r="I2281" s="2">
        <v>1697.72</v>
      </c>
    </row>
    <row r="2282">
      <c r="A2282" s="1" t="s">
        <v>4556</v>
      </c>
      <c r="B2282" s="2" t="s">
        <v>0</v>
      </c>
      <c r="C2282" s="2">
        <v>1166.59</v>
      </c>
      <c r="D2282" s="2" t="s">
        <v>0</v>
      </c>
      <c r="E2282" s="2">
        <v>2395.13</v>
      </c>
      <c r="G2282" s="1" t="s">
        <v>4557</v>
      </c>
      <c r="H2282" s="2" t="s">
        <v>0</v>
      </c>
      <c r="I2282" s="2">
        <v>1697.72</v>
      </c>
    </row>
    <row r="2283">
      <c r="A2283" s="1" t="s">
        <v>4558</v>
      </c>
      <c r="B2283" s="2" t="s">
        <v>0</v>
      </c>
      <c r="C2283" s="2">
        <v>1166.59</v>
      </c>
      <c r="D2283" s="2" t="s">
        <v>0</v>
      </c>
      <c r="E2283" s="2">
        <v>2395.13</v>
      </c>
      <c r="G2283" s="1" t="s">
        <v>4559</v>
      </c>
      <c r="H2283" s="2" t="s">
        <v>0</v>
      </c>
      <c r="I2283" s="2">
        <v>1697.72</v>
      </c>
    </row>
    <row r="2284">
      <c r="A2284" s="1" t="s">
        <v>4560</v>
      </c>
      <c r="B2284" s="2">
        <v>1173.22</v>
      </c>
      <c r="C2284" s="2">
        <v>1173.22</v>
      </c>
      <c r="D2284" s="2">
        <v>2404.36</v>
      </c>
      <c r="E2284" s="2">
        <v>2404.36</v>
      </c>
      <c r="G2284" s="1" t="s">
        <v>4561</v>
      </c>
      <c r="H2284" s="2">
        <v>1691.99</v>
      </c>
      <c r="I2284" s="2">
        <v>1691.99</v>
      </c>
    </row>
    <row r="2285">
      <c r="A2285" s="1" t="s">
        <v>4562</v>
      </c>
      <c r="B2285" s="2">
        <v>1173.27</v>
      </c>
      <c r="C2285" s="2">
        <v>1173.27</v>
      </c>
      <c r="D2285" s="2">
        <v>2410.69</v>
      </c>
      <c r="E2285" s="2">
        <v>2410.69</v>
      </c>
      <c r="G2285" s="1" t="s">
        <v>4563</v>
      </c>
      <c r="H2285" s="2">
        <v>1700.19</v>
      </c>
      <c r="I2285" s="2">
        <v>1700.19</v>
      </c>
    </row>
    <row r="2286">
      <c r="A2286" s="1" t="s">
        <v>4564</v>
      </c>
      <c r="B2286" s="2">
        <v>1169.43</v>
      </c>
      <c r="C2286" s="2">
        <v>1169.43</v>
      </c>
      <c r="D2286" s="2">
        <v>2397.96</v>
      </c>
      <c r="E2286" s="2">
        <v>2397.96</v>
      </c>
      <c r="G2286" s="1" t="s">
        <v>4565</v>
      </c>
      <c r="H2286" s="2">
        <v>1692.85</v>
      </c>
      <c r="I2286" s="2">
        <v>1692.85</v>
      </c>
    </row>
    <row r="2287">
      <c r="A2287" s="1" t="s">
        <v>4566</v>
      </c>
      <c r="B2287" s="2">
        <v>1178.1</v>
      </c>
      <c r="C2287" s="2">
        <v>1178.1</v>
      </c>
      <c r="D2287" s="2">
        <v>2402.58</v>
      </c>
      <c r="E2287" s="2">
        <v>2402.58</v>
      </c>
      <c r="G2287" s="1" t="s">
        <v>4567</v>
      </c>
      <c r="H2287" s="2">
        <v>1719.17</v>
      </c>
      <c r="I2287" s="2">
        <v>1719.17</v>
      </c>
    </row>
    <row r="2288">
      <c r="A2288" s="1" t="s">
        <v>4568</v>
      </c>
      <c r="B2288" s="2" t="s">
        <v>0</v>
      </c>
      <c r="C2288" s="2">
        <v>1178.1</v>
      </c>
      <c r="D2288" s="2" t="s">
        <v>0</v>
      </c>
      <c r="E2288" s="2">
        <v>2402.58</v>
      </c>
      <c r="G2288" s="1" t="s">
        <v>4569</v>
      </c>
      <c r="H2288" s="2">
        <v>1723.49</v>
      </c>
      <c r="I2288" s="2">
        <v>1723.49</v>
      </c>
    </row>
    <row r="2289">
      <c r="A2289" s="1" t="s">
        <v>4570</v>
      </c>
      <c r="B2289" s="2" t="s">
        <v>0</v>
      </c>
      <c r="C2289" s="2">
        <v>1178.1</v>
      </c>
      <c r="D2289" s="2" t="s">
        <v>0</v>
      </c>
      <c r="E2289" s="2">
        <v>2402.58</v>
      </c>
      <c r="G2289" s="1" t="s">
        <v>4571</v>
      </c>
      <c r="H2289" s="2" t="s">
        <v>0</v>
      </c>
      <c r="I2289" s="2">
        <v>1723.49</v>
      </c>
    </row>
    <row r="2290">
      <c r="A2290" s="1" t="s">
        <v>4572</v>
      </c>
      <c r="B2290" s="2" t="s">
        <v>0</v>
      </c>
      <c r="C2290" s="2">
        <v>1178.1</v>
      </c>
      <c r="D2290" s="2" t="s">
        <v>0</v>
      </c>
      <c r="E2290" s="2">
        <v>2402.58</v>
      </c>
      <c r="G2290" s="1" t="s">
        <v>4573</v>
      </c>
      <c r="H2290" s="2" t="s">
        <v>0</v>
      </c>
      <c r="I2290" s="2">
        <v>1723.49</v>
      </c>
    </row>
    <row r="2291">
      <c r="A2291" s="1" t="s">
        <v>4574</v>
      </c>
      <c r="B2291" s="2">
        <v>1187.44</v>
      </c>
      <c r="C2291" s="2">
        <v>1187.44</v>
      </c>
      <c r="D2291" s="2">
        <v>2429.53</v>
      </c>
      <c r="E2291" s="2">
        <v>2429.53</v>
      </c>
      <c r="G2291" s="1" t="s">
        <v>4575</v>
      </c>
      <c r="H2291" s="2">
        <v>1724.99</v>
      </c>
      <c r="I2291" s="2">
        <v>1724.99</v>
      </c>
    </row>
    <row r="2292">
      <c r="A2292" s="1" t="s">
        <v>4576</v>
      </c>
      <c r="B2292" s="2">
        <v>1189.44</v>
      </c>
      <c r="C2292" s="2">
        <v>1189.44</v>
      </c>
      <c r="D2292" s="2">
        <v>2436.81</v>
      </c>
      <c r="E2292" s="2">
        <v>2436.81</v>
      </c>
      <c r="G2292" s="1" t="s">
        <v>4577</v>
      </c>
      <c r="H2292" s="2">
        <v>1726.09</v>
      </c>
      <c r="I2292" s="2">
        <v>1726.09</v>
      </c>
    </row>
    <row r="2293">
      <c r="A2293" s="1" t="s">
        <v>4578</v>
      </c>
      <c r="B2293" s="2">
        <v>1182.45</v>
      </c>
      <c r="C2293" s="2">
        <v>1182.45</v>
      </c>
      <c r="D2293" s="2">
        <v>2431.16</v>
      </c>
      <c r="E2293" s="2">
        <v>2431.16</v>
      </c>
      <c r="G2293" s="1" t="s">
        <v>4579</v>
      </c>
      <c r="H2293" s="2">
        <v>1726.6</v>
      </c>
      <c r="I2293" s="2">
        <v>1726.6</v>
      </c>
    </row>
    <row r="2294">
      <c r="A2294" s="1" t="s">
        <v>4580</v>
      </c>
      <c r="B2294" s="2">
        <v>1186.44</v>
      </c>
      <c r="C2294" s="2">
        <v>1186.44</v>
      </c>
      <c r="D2294" s="2">
        <v>2436.81</v>
      </c>
      <c r="E2294" s="2">
        <v>2436.81</v>
      </c>
      <c r="G2294" s="1" t="s">
        <v>4581</v>
      </c>
      <c r="H2294" s="2">
        <v>1733.78</v>
      </c>
      <c r="I2294" s="2">
        <v>1733.78</v>
      </c>
    </row>
    <row r="2295">
      <c r="A2295" s="1" t="s">
        <v>4582</v>
      </c>
      <c r="B2295" s="2">
        <v>1194.37</v>
      </c>
      <c r="C2295" s="2">
        <v>1194.37</v>
      </c>
      <c r="D2295" s="2">
        <v>2454.05</v>
      </c>
      <c r="E2295" s="2">
        <v>2454.05</v>
      </c>
      <c r="G2295" s="1" t="s">
        <v>4583</v>
      </c>
      <c r="H2295" s="2">
        <v>1724.47</v>
      </c>
      <c r="I2295" s="2">
        <v>1724.47</v>
      </c>
    </row>
    <row r="2296">
      <c r="A2296" s="1" t="s">
        <v>4584</v>
      </c>
      <c r="B2296" s="2" t="s">
        <v>0</v>
      </c>
      <c r="C2296" s="2">
        <v>1194.37</v>
      </c>
      <c r="D2296" s="2" t="s">
        <v>0</v>
      </c>
      <c r="E2296" s="2">
        <v>2454.05</v>
      </c>
      <c r="G2296" s="1" t="s">
        <v>4585</v>
      </c>
      <c r="H2296" s="2" t="s">
        <v>0</v>
      </c>
      <c r="I2296" s="2">
        <v>1724.47</v>
      </c>
    </row>
    <row r="2297">
      <c r="A2297" s="1" t="s">
        <v>4586</v>
      </c>
      <c r="B2297" s="2" t="s">
        <v>0</v>
      </c>
      <c r="C2297" s="2">
        <v>1194.37</v>
      </c>
      <c r="D2297" s="2" t="s">
        <v>0</v>
      </c>
      <c r="E2297" s="2">
        <v>2454.05</v>
      </c>
      <c r="G2297" s="1" t="s">
        <v>4587</v>
      </c>
      <c r="H2297" s="2" t="s">
        <v>0</v>
      </c>
      <c r="I2297" s="2">
        <v>1724.47</v>
      </c>
    </row>
    <row r="2298">
      <c r="A2298" s="1" t="s">
        <v>4588</v>
      </c>
      <c r="B2298" s="2">
        <v>1196.48</v>
      </c>
      <c r="C2298" s="2">
        <v>1196.48</v>
      </c>
      <c r="D2298" s="2">
        <v>2457.87</v>
      </c>
      <c r="E2298" s="2">
        <v>2457.87</v>
      </c>
      <c r="G2298" s="1" t="s">
        <v>4589</v>
      </c>
      <c r="H2298" s="2">
        <v>1710.3</v>
      </c>
      <c r="I2298" s="2">
        <v>1710.3</v>
      </c>
    </row>
    <row r="2299">
      <c r="A2299" s="1" t="s">
        <v>4590</v>
      </c>
      <c r="B2299" s="2">
        <v>1197.3</v>
      </c>
      <c r="C2299" s="2">
        <v>1197.3</v>
      </c>
      <c r="D2299" s="2">
        <v>2465.99</v>
      </c>
      <c r="E2299" s="2">
        <v>2465.99</v>
      </c>
      <c r="G2299" s="1" t="s">
        <v>4591</v>
      </c>
      <c r="H2299" s="2">
        <v>1710.59</v>
      </c>
      <c r="I2299" s="2">
        <v>1710.59</v>
      </c>
    </row>
    <row r="2300">
      <c r="A2300" s="1" t="s">
        <v>4592</v>
      </c>
      <c r="B2300" s="2">
        <v>1210.65</v>
      </c>
      <c r="C2300" s="2">
        <v>1210.65</v>
      </c>
      <c r="D2300" s="2">
        <v>2504.86</v>
      </c>
      <c r="E2300" s="2">
        <v>2504.86</v>
      </c>
      <c r="G2300" s="1" t="s">
        <v>4593</v>
      </c>
      <c r="H2300" s="2">
        <v>1735.33</v>
      </c>
      <c r="I2300" s="2">
        <v>1735.33</v>
      </c>
    </row>
    <row r="2301">
      <c r="A2301" s="1" t="s">
        <v>4594</v>
      </c>
      <c r="B2301" s="2">
        <v>1211.67</v>
      </c>
      <c r="C2301" s="2">
        <v>1211.67</v>
      </c>
      <c r="D2301" s="2">
        <v>2515.69</v>
      </c>
      <c r="E2301" s="2">
        <v>2515.69</v>
      </c>
      <c r="G2301" s="1" t="s">
        <v>4595</v>
      </c>
      <c r="H2301" s="2">
        <v>1743.91</v>
      </c>
      <c r="I2301" s="2">
        <v>1743.91</v>
      </c>
    </row>
    <row r="2302">
      <c r="A2302" s="1" t="s">
        <v>4596</v>
      </c>
      <c r="B2302" s="2">
        <v>1192.13</v>
      </c>
      <c r="C2302" s="2">
        <v>1192.13</v>
      </c>
      <c r="D2302" s="2">
        <v>2481.26</v>
      </c>
      <c r="E2302" s="2">
        <v>2481.26</v>
      </c>
      <c r="G2302" s="1" t="s">
        <v>4597</v>
      </c>
      <c r="H2302" s="2">
        <v>1734.49</v>
      </c>
      <c r="I2302" s="2">
        <v>1734.49</v>
      </c>
    </row>
    <row r="2303">
      <c r="A2303" s="1" t="s">
        <v>4598</v>
      </c>
      <c r="B2303" s="2" t="s">
        <v>0</v>
      </c>
      <c r="C2303" s="2">
        <v>1192.13</v>
      </c>
      <c r="D2303" s="2" t="s">
        <v>0</v>
      </c>
      <c r="E2303" s="2">
        <v>2481.26</v>
      </c>
      <c r="G2303" s="1" t="s">
        <v>4599</v>
      </c>
      <c r="H2303" s="2" t="s">
        <v>0</v>
      </c>
      <c r="I2303" s="2">
        <v>1734.49</v>
      </c>
    </row>
    <row r="2304">
      <c r="A2304" s="1" t="s">
        <v>4600</v>
      </c>
      <c r="B2304" s="2" t="s">
        <v>0</v>
      </c>
      <c r="C2304" s="2">
        <v>1192.13</v>
      </c>
      <c r="D2304" s="2" t="s">
        <v>0</v>
      </c>
      <c r="E2304" s="2">
        <v>2481.26</v>
      </c>
      <c r="G2304" s="1" t="s">
        <v>4601</v>
      </c>
      <c r="H2304" s="2" t="s">
        <v>0</v>
      </c>
      <c r="I2304" s="2">
        <v>1734.49</v>
      </c>
    </row>
    <row r="2305">
      <c r="A2305" s="1" t="s">
        <v>4602</v>
      </c>
      <c r="B2305" s="2">
        <v>1197.52</v>
      </c>
      <c r="C2305" s="2">
        <v>1197.52</v>
      </c>
      <c r="D2305" s="2">
        <v>2480.11</v>
      </c>
      <c r="E2305" s="2">
        <v>2480.11</v>
      </c>
      <c r="G2305" s="1" t="s">
        <v>4603</v>
      </c>
      <c r="H2305" s="2">
        <v>1705.3</v>
      </c>
      <c r="I2305" s="2">
        <v>1705.3</v>
      </c>
    </row>
    <row r="2306">
      <c r="A2306" s="1" t="s">
        <v>4604</v>
      </c>
      <c r="B2306" s="2">
        <v>1207.17</v>
      </c>
      <c r="C2306" s="2">
        <v>1207.17</v>
      </c>
      <c r="D2306" s="2">
        <v>2500.31</v>
      </c>
      <c r="E2306" s="2">
        <v>2500.31</v>
      </c>
      <c r="G2306" s="1" t="s">
        <v>4605</v>
      </c>
      <c r="H2306" s="2">
        <v>1718.03</v>
      </c>
      <c r="I2306" s="2">
        <v>1718.03</v>
      </c>
    </row>
    <row r="2307">
      <c r="A2307" s="1" t="s">
        <v>4606</v>
      </c>
      <c r="B2307" s="2">
        <v>1205.94</v>
      </c>
      <c r="C2307" s="2">
        <v>1205.94</v>
      </c>
      <c r="D2307" s="2">
        <v>2504.61</v>
      </c>
      <c r="E2307" s="2">
        <v>2504.61</v>
      </c>
      <c r="G2307" s="1" t="s">
        <v>4607</v>
      </c>
      <c r="H2307" s="2">
        <v>1747.58</v>
      </c>
      <c r="I2307" s="2">
        <v>1747.58</v>
      </c>
    </row>
    <row r="2308">
      <c r="A2308" s="1" t="s">
        <v>4608</v>
      </c>
      <c r="B2308" s="2">
        <v>1208.67</v>
      </c>
      <c r="C2308" s="2">
        <v>1208.67</v>
      </c>
      <c r="D2308" s="2">
        <v>2519.07</v>
      </c>
      <c r="E2308" s="2">
        <v>2519.07</v>
      </c>
      <c r="G2308" s="1" t="s">
        <v>4609</v>
      </c>
      <c r="H2308" s="2">
        <v>1739.52</v>
      </c>
      <c r="I2308" s="2">
        <v>1739.52</v>
      </c>
    </row>
    <row r="2309">
      <c r="A2309" s="1" t="s">
        <v>4610</v>
      </c>
      <c r="B2309" s="2">
        <v>1217.28</v>
      </c>
      <c r="C2309" s="2">
        <v>1217.28</v>
      </c>
      <c r="D2309" s="2">
        <v>2530.15</v>
      </c>
      <c r="E2309" s="2">
        <v>2530.15</v>
      </c>
      <c r="G2309" s="1" t="s">
        <v>4611</v>
      </c>
      <c r="H2309" s="2">
        <v>1737.03</v>
      </c>
      <c r="I2309" s="2">
        <v>1737.03</v>
      </c>
    </row>
    <row r="2310">
      <c r="A2310" s="1" t="s">
        <v>4612</v>
      </c>
      <c r="B2310" s="2" t="s">
        <v>0</v>
      </c>
      <c r="C2310" s="2">
        <v>1217.28</v>
      </c>
      <c r="D2310" s="2" t="s">
        <v>0</v>
      </c>
      <c r="E2310" s="2">
        <v>2530.15</v>
      </c>
      <c r="G2310" s="1" t="s">
        <v>4613</v>
      </c>
      <c r="H2310" s="2" t="s">
        <v>0</v>
      </c>
      <c r="I2310" s="2">
        <v>1737.03</v>
      </c>
    </row>
    <row r="2311">
      <c r="A2311" s="1" t="s">
        <v>4614</v>
      </c>
      <c r="B2311" s="2" t="s">
        <v>0</v>
      </c>
      <c r="C2311" s="2">
        <v>1217.28</v>
      </c>
      <c r="D2311" s="2" t="s">
        <v>0</v>
      </c>
      <c r="E2311" s="2">
        <v>2530.15</v>
      </c>
      <c r="G2311" s="1" t="s">
        <v>4615</v>
      </c>
      <c r="H2311" s="2" t="s">
        <v>0</v>
      </c>
      <c r="I2311" s="2">
        <v>1737.03</v>
      </c>
    </row>
    <row r="2312">
      <c r="A2312" s="1" t="s">
        <v>4616</v>
      </c>
      <c r="B2312" s="2">
        <v>1212.05</v>
      </c>
      <c r="C2312" s="2">
        <v>1212.05</v>
      </c>
      <c r="D2312" s="2">
        <v>2522.95</v>
      </c>
      <c r="E2312" s="2">
        <v>2522.95</v>
      </c>
      <c r="G2312" s="1" t="s">
        <v>4617</v>
      </c>
      <c r="H2312" s="2">
        <v>1752.2</v>
      </c>
      <c r="I2312" s="2">
        <v>1752.2</v>
      </c>
    </row>
    <row r="2313">
      <c r="A2313" s="1" t="s">
        <v>4618</v>
      </c>
      <c r="B2313" s="2">
        <v>1183.71</v>
      </c>
      <c r="C2313" s="2">
        <v>1183.71</v>
      </c>
      <c r="D2313" s="2">
        <v>2471.47</v>
      </c>
      <c r="E2313" s="2">
        <v>2471.47</v>
      </c>
      <c r="G2313" s="1" t="s">
        <v>4619</v>
      </c>
      <c r="H2313" s="2">
        <v>1749.55</v>
      </c>
      <c r="I2313" s="2">
        <v>1749.55</v>
      </c>
    </row>
    <row r="2314">
      <c r="A2314" s="1" t="s">
        <v>4620</v>
      </c>
      <c r="B2314" s="2">
        <v>1191.36</v>
      </c>
      <c r="C2314" s="2">
        <v>1191.36</v>
      </c>
      <c r="D2314" s="2">
        <v>2471.73</v>
      </c>
      <c r="E2314" s="2">
        <v>2471.73</v>
      </c>
      <c r="G2314" s="1" t="s">
        <v>4621</v>
      </c>
      <c r="H2314" s="2">
        <v>1733.91</v>
      </c>
      <c r="I2314" s="2">
        <v>1733.91</v>
      </c>
    </row>
    <row r="2315">
      <c r="A2315" s="1" t="s">
        <v>4622</v>
      </c>
      <c r="B2315" s="2">
        <v>1206.78</v>
      </c>
      <c r="C2315" s="2">
        <v>1206.78</v>
      </c>
      <c r="D2315" s="2">
        <v>2511.92</v>
      </c>
      <c r="E2315" s="2">
        <v>2511.92</v>
      </c>
      <c r="G2315" s="1" t="s">
        <v>4623</v>
      </c>
      <c r="H2315" s="2">
        <v>1728.42</v>
      </c>
      <c r="I2315" s="2">
        <v>1728.42</v>
      </c>
    </row>
    <row r="2316">
      <c r="A2316" s="1" t="s">
        <v>4624</v>
      </c>
      <c r="B2316" s="2">
        <v>1186.69</v>
      </c>
      <c r="C2316" s="2">
        <v>1186.69</v>
      </c>
      <c r="D2316" s="2">
        <v>2461.19</v>
      </c>
      <c r="E2316" s="2">
        <v>2461.19</v>
      </c>
      <c r="G2316" s="1" t="s">
        <v>4625</v>
      </c>
      <c r="H2316" s="2">
        <v>1741.56</v>
      </c>
      <c r="I2316" s="2">
        <v>1741.56</v>
      </c>
    </row>
    <row r="2317">
      <c r="A2317" s="1" t="s">
        <v>4626</v>
      </c>
      <c r="B2317" s="2" t="s">
        <v>0</v>
      </c>
      <c r="C2317" s="2">
        <v>1186.69</v>
      </c>
      <c r="D2317" s="2" t="s">
        <v>0</v>
      </c>
      <c r="E2317" s="2">
        <v>2461.19</v>
      </c>
      <c r="G2317" s="1" t="s">
        <v>4627</v>
      </c>
      <c r="H2317" s="2" t="s">
        <v>0</v>
      </c>
      <c r="I2317" s="2">
        <v>1741.56</v>
      </c>
    </row>
    <row r="2318">
      <c r="A2318" s="1" t="s">
        <v>4628</v>
      </c>
      <c r="B2318" s="2" t="s">
        <v>0</v>
      </c>
      <c r="C2318" s="2">
        <v>1186.69</v>
      </c>
      <c r="D2318" s="2" t="s">
        <v>0</v>
      </c>
      <c r="E2318" s="2">
        <v>2461.19</v>
      </c>
      <c r="G2318" s="1" t="s">
        <v>4629</v>
      </c>
      <c r="H2318" s="2" t="s">
        <v>0</v>
      </c>
      <c r="I2318" s="2">
        <v>1741.56</v>
      </c>
    </row>
    <row r="2319">
      <c r="A2319" s="1" t="s">
        <v>4630</v>
      </c>
      <c r="B2319" s="2">
        <v>1202.26</v>
      </c>
      <c r="C2319" s="2">
        <v>1202.26</v>
      </c>
      <c r="D2319" s="2">
        <v>2498.74</v>
      </c>
      <c r="E2319" s="2">
        <v>2498.74</v>
      </c>
      <c r="G2319" s="1" t="s">
        <v>4631</v>
      </c>
      <c r="H2319" s="2">
        <v>1721.21</v>
      </c>
      <c r="I2319" s="2">
        <v>1721.21</v>
      </c>
    </row>
    <row r="2320">
      <c r="A2320" s="1" t="s">
        <v>4632</v>
      </c>
      <c r="B2320" s="2">
        <v>1173.6</v>
      </c>
      <c r="C2320" s="2">
        <v>1173.6</v>
      </c>
      <c r="D2320" s="2">
        <v>2424.25</v>
      </c>
      <c r="E2320" s="2">
        <v>2424.25</v>
      </c>
      <c r="G2320" s="1" t="s">
        <v>4633</v>
      </c>
      <c r="H2320" s="2">
        <v>1718.75</v>
      </c>
      <c r="I2320" s="2">
        <v>1718.75</v>
      </c>
    </row>
    <row r="2321">
      <c r="A2321" s="1" t="s">
        <v>4634</v>
      </c>
      <c r="B2321" s="2">
        <v>1165.87</v>
      </c>
      <c r="C2321" s="2">
        <v>1165.87</v>
      </c>
      <c r="D2321" s="2">
        <v>2402.29</v>
      </c>
      <c r="E2321" s="2">
        <v>2402.29</v>
      </c>
      <c r="G2321" s="1" t="s">
        <v>4635</v>
      </c>
      <c r="H2321" s="2" t="s">
        <v>0</v>
      </c>
      <c r="I2321" s="2">
        <v>1718.75</v>
      </c>
    </row>
    <row r="2322">
      <c r="A2322" s="1" t="s">
        <v>4636</v>
      </c>
      <c r="B2322" s="2">
        <v>1128.15</v>
      </c>
      <c r="C2322" s="2">
        <v>1128.15</v>
      </c>
      <c r="D2322" s="2">
        <v>2319.64</v>
      </c>
      <c r="E2322" s="2">
        <v>2319.64</v>
      </c>
      <c r="G2322" s="1" t="s">
        <v>4637</v>
      </c>
      <c r="H2322" s="2">
        <v>1684.71</v>
      </c>
      <c r="I2322" s="2">
        <v>1684.71</v>
      </c>
    </row>
    <row r="2323">
      <c r="A2323" s="1" t="s">
        <v>4638</v>
      </c>
      <c r="B2323" s="2">
        <v>1110.88</v>
      </c>
      <c r="C2323" s="2">
        <v>1110.88</v>
      </c>
      <c r="D2323" s="2">
        <v>2265.64</v>
      </c>
      <c r="E2323" s="2">
        <v>2265.64</v>
      </c>
      <c r="G2323" s="1" t="s">
        <v>4639</v>
      </c>
      <c r="H2323" s="2">
        <v>1647.5</v>
      </c>
      <c r="I2323" s="2">
        <v>1647.5</v>
      </c>
    </row>
    <row r="2324">
      <c r="A2324" s="1" t="s">
        <v>4640</v>
      </c>
      <c r="B2324" s="2" t="s">
        <v>0</v>
      </c>
      <c r="C2324" s="2">
        <v>1110.88</v>
      </c>
      <c r="D2324" s="2" t="s">
        <v>0</v>
      </c>
      <c r="E2324" s="2">
        <v>2265.64</v>
      </c>
      <c r="G2324" s="1" t="s">
        <v>4641</v>
      </c>
      <c r="H2324" s="2" t="s">
        <v>0</v>
      </c>
      <c r="I2324" s="2">
        <v>1647.5</v>
      </c>
    </row>
    <row r="2325">
      <c r="A2325" s="1" t="s">
        <v>4642</v>
      </c>
      <c r="B2325" s="2" t="s">
        <v>0</v>
      </c>
      <c r="C2325" s="2">
        <v>1110.88</v>
      </c>
      <c r="D2325" s="2" t="s">
        <v>0</v>
      </c>
      <c r="E2325" s="2">
        <v>2265.64</v>
      </c>
      <c r="G2325" s="1" t="s">
        <v>4643</v>
      </c>
      <c r="H2325" s="2" t="s">
        <v>0</v>
      </c>
      <c r="I2325" s="2">
        <v>1647.5</v>
      </c>
    </row>
    <row r="2326">
      <c r="A2326" s="1" t="s">
        <v>4644</v>
      </c>
      <c r="B2326" s="2">
        <v>1159.73</v>
      </c>
      <c r="C2326" s="2">
        <v>1159.73</v>
      </c>
      <c r="D2326" s="2">
        <v>2374.67</v>
      </c>
      <c r="E2326" s="2">
        <v>2374.67</v>
      </c>
      <c r="G2326" s="1" t="s">
        <v>4645</v>
      </c>
      <c r="H2326" s="2">
        <v>1677.63</v>
      </c>
      <c r="I2326" s="2">
        <v>1677.63</v>
      </c>
    </row>
    <row r="2327">
      <c r="A2327" s="1" t="s">
        <v>4646</v>
      </c>
      <c r="B2327" s="2">
        <v>1155.79</v>
      </c>
      <c r="C2327" s="2">
        <v>1155.79</v>
      </c>
      <c r="D2327" s="2">
        <v>2375.31</v>
      </c>
      <c r="E2327" s="2">
        <v>2375.31</v>
      </c>
      <c r="G2327" s="1" t="s">
        <v>4647</v>
      </c>
      <c r="H2327" s="2">
        <v>1670.24</v>
      </c>
      <c r="I2327" s="2">
        <v>1670.24</v>
      </c>
    </row>
    <row r="2328">
      <c r="A2328" s="1" t="s">
        <v>4648</v>
      </c>
      <c r="B2328" s="2">
        <v>1171.67</v>
      </c>
      <c r="C2328" s="2">
        <v>1171.67</v>
      </c>
      <c r="D2328" s="2">
        <v>2425.02</v>
      </c>
      <c r="E2328" s="2">
        <v>2425.02</v>
      </c>
      <c r="G2328" s="1" t="s">
        <v>4649</v>
      </c>
      <c r="H2328" s="2">
        <v>1663.03</v>
      </c>
      <c r="I2328" s="2">
        <v>1663.03</v>
      </c>
    </row>
    <row r="2329">
      <c r="A2329" s="1" t="s">
        <v>4650</v>
      </c>
      <c r="B2329" s="2">
        <v>1157.44</v>
      </c>
      <c r="C2329" s="2">
        <v>1157.44</v>
      </c>
      <c r="D2329" s="2">
        <v>2394.36</v>
      </c>
      <c r="E2329" s="2">
        <v>2394.36</v>
      </c>
      <c r="G2329" s="1" t="s">
        <v>4651</v>
      </c>
      <c r="H2329" s="2">
        <v>1694.58</v>
      </c>
      <c r="I2329" s="2">
        <v>1694.58</v>
      </c>
    </row>
    <row r="2330">
      <c r="A2330" s="1" t="s">
        <v>4652</v>
      </c>
      <c r="B2330" s="2">
        <v>1135.68</v>
      </c>
      <c r="C2330" s="2">
        <v>1135.68</v>
      </c>
      <c r="D2330" s="2">
        <v>2346.85</v>
      </c>
      <c r="E2330" s="2">
        <v>2346.85</v>
      </c>
      <c r="G2330" s="1" t="s">
        <v>4653</v>
      </c>
      <c r="H2330" s="2">
        <v>1695.63</v>
      </c>
      <c r="I2330" s="2">
        <v>1695.63</v>
      </c>
    </row>
    <row r="2331">
      <c r="A2331" s="1" t="s">
        <v>4654</v>
      </c>
      <c r="B2331" s="2" t="s">
        <v>0</v>
      </c>
      <c r="C2331" s="2">
        <v>1135.68</v>
      </c>
      <c r="D2331" s="2" t="s">
        <v>0</v>
      </c>
      <c r="E2331" s="2">
        <v>2346.85</v>
      </c>
      <c r="G2331" s="1" t="s">
        <v>4655</v>
      </c>
      <c r="H2331" s="2" t="s">
        <v>0</v>
      </c>
      <c r="I2331" s="2">
        <v>1695.63</v>
      </c>
    </row>
    <row r="2332">
      <c r="A2332" s="1" t="s">
        <v>4656</v>
      </c>
      <c r="B2332" s="2" t="s">
        <v>0</v>
      </c>
      <c r="C2332" s="2">
        <v>1135.68</v>
      </c>
      <c r="D2332" s="2" t="s">
        <v>0</v>
      </c>
      <c r="E2332" s="2">
        <v>2346.85</v>
      </c>
      <c r="G2332" s="1" t="s">
        <v>4657</v>
      </c>
      <c r="H2332" s="2" t="s">
        <v>0</v>
      </c>
      <c r="I2332" s="2">
        <v>1695.63</v>
      </c>
    </row>
    <row r="2333">
      <c r="A2333" s="1" t="s">
        <v>4658</v>
      </c>
      <c r="B2333" s="2">
        <v>1136.94</v>
      </c>
      <c r="C2333" s="2">
        <v>1136.94</v>
      </c>
      <c r="D2333" s="2">
        <v>2354.23</v>
      </c>
      <c r="E2333" s="2">
        <v>2354.23</v>
      </c>
      <c r="G2333" s="1" t="s">
        <v>4659</v>
      </c>
      <c r="H2333" s="2">
        <v>1651.51</v>
      </c>
      <c r="I2333" s="2">
        <v>1651.51</v>
      </c>
    </row>
    <row r="2334">
      <c r="A2334" s="1" t="s">
        <v>4660</v>
      </c>
      <c r="B2334" s="2">
        <v>1120.8</v>
      </c>
      <c r="C2334" s="2">
        <v>1120.8</v>
      </c>
      <c r="D2334" s="2">
        <v>2317.26</v>
      </c>
      <c r="E2334" s="2">
        <v>2317.26</v>
      </c>
      <c r="G2334" s="1" t="s">
        <v>4661</v>
      </c>
      <c r="H2334" s="2">
        <v>1643.24</v>
      </c>
      <c r="I2334" s="2">
        <v>1643.24</v>
      </c>
    </row>
    <row r="2335">
      <c r="A2335" s="1" t="s">
        <v>4662</v>
      </c>
      <c r="B2335" s="2">
        <v>1115.05</v>
      </c>
      <c r="C2335" s="2">
        <v>1115.05</v>
      </c>
      <c r="D2335" s="2">
        <v>2298.37</v>
      </c>
      <c r="E2335" s="2">
        <v>2298.37</v>
      </c>
      <c r="G2335" s="1" t="s">
        <v>4663</v>
      </c>
      <c r="H2335" s="2">
        <v>1630.08</v>
      </c>
      <c r="I2335" s="2">
        <v>1630.08</v>
      </c>
    </row>
    <row r="2336">
      <c r="A2336" s="1" t="s">
        <v>4664</v>
      </c>
      <c r="B2336" s="2">
        <v>1071.59</v>
      </c>
      <c r="C2336" s="2">
        <v>1071.59</v>
      </c>
      <c r="D2336" s="2">
        <v>2204.01</v>
      </c>
      <c r="E2336" s="2">
        <v>2204.01</v>
      </c>
      <c r="G2336" s="1" t="s">
        <v>4665</v>
      </c>
      <c r="H2336" s="2">
        <v>1600.18</v>
      </c>
      <c r="I2336" s="2">
        <v>1600.18</v>
      </c>
    </row>
    <row r="2337">
      <c r="A2337" s="1" t="s">
        <v>4666</v>
      </c>
      <c r="B2337" s="2">
        <v>1087.69</v>
      </c>
      <c r="C2337" s="2">
        <v>1087.69</v>
      </c>
      <c r="D2337" s="2">
        <v>2229.04</v>
      </c>
      <c r="E2337" s="2">
        <v>2229.04</v>
      </c>
      <c r="G2337" s="1" t="s">
        <v>4667</v>
      </c>
      <c r="H2337" s="2" t="s">
        <v>0</v>
      </c>
      <c r="I2337" s="2">
        <v>1600.18</v>
      </c>
    </row>
    <row r="2338">
      <c r="A2338" s="1" t="s">
        <v>4668</v>
      </c>
      <c r="B2338" s="2" t="s">
        <v>0</v>
      </c>
      <c r="C2338" s="2">
        <v>1087.69</v>
      </c>
      <c r="D2338" s="2" t="s">
        <v>0</v>
      </c>
      <c r="E2338" s="2">
        <v>2229.04</v>
      </c>
      <c r="G2338" s="1" t="s">
        <v>4669</v>
      </c>
      <c r="H2338" s="2" t="s">
        <v>0</v>
      </c>
      <c r="I2338" s="2">
        <v>1600.18</v>
      </c>
    </row>
    <row r="2339">
      <c r="A2339" s="1" t="s">
        <v>4670</v>
      </c>
      <c r="B2339" s="2" t="s">
        <v>0</v>
      </c>
      <c r="C2339" s="2">
        <v>1087.69</v>
      </c>
      <c r="D2339" s="2" t="s">
        <v>0</v>
      </c>
      <c r="E2339" s="2">
        <v>2229.04</v>
      </c>
      <c r="G2339" s="1" t="s">
        <v>4671</v>
      </c>
      <c r="H2339" s="2" t="s">
        <v>0</v>
      </c>
      <c r="I2339" s="2">
        <v>1600.18</v>
      </c>
    </row>
    <row r="2340">
      <c r="A2340" s="1" t="s">
        <v>4672</v>
      </c>
      <c r="B2340" s="2">
        <v>1073.65</v>
      </c>
      <c r="C2340" s="2">
        <v>1073.65</v>
      </c>
      <c r="D2340" s="2">
        <v>2213.55</v>
      </c>
      <c r="E2340" s="2">
        <v>2213.55</v>
      </c>
      <c r="G2340" s="1" t="s">
        <v>4673</v>
      </c>
      <c r="H2340" s="2">
        <v>1604.93</v>
      </c>
      <c r="I2340" s="2">
        <v>1604.93</v>
      </c>
    </row>
    <row r="2341">
      <c r="A2341" s="1" t="s">
        <v>4674</v>
      </c>
      <c r="B2341" s="2">
        <v>1074.03</v>
      </c>
      <c r="C2341" s="2">
        <v>1074.03</v>
      </c>
      <c r="D2341" s="2">
        <v>2210.95</v>
      </c>
      <c r="E2341" s="2">
        <v>2210.95</v>
      </c>
      <c r="G2341" s="1" t="s">
        <v>4675</v>
      </c>
      <c r="H2341" s="2">
        <v>1560.83</v>
      </c>
      <c r="I2341" s="2">
        <v>1560.83</v>
      </c>
    </row>
    <row r="2342">
      <c r="A2342" s="1" t="s">
        <v>4676</v>
      </c>
      <c r="B2342" s="2">
        <v>1067.95</v>
      </c>
      <c r="C2342" s="2">
        <v>1067.95</v>
      </c>
      <c r="D2342" s="2">
        <v>2195.88</v>
      </c>
      <c r="E2342" s="2">
        <v>2195.88</v>
      </c>
      <c r="G2342" s="1" t="s">
        <v>4677</v>
      </c>
      <c r="H2342" s="2">
        <v>1582.12</v>
      </c>
      <c r="I2342" s="2">
        <v>1582.12</v>
      </c>
    </row>
    <row r="2343">
      <c r="A2343" s="1" t="s">
        <v>4678</v>
      </c>
      <c r="B2343" s="2">
        <v>1103.06</v>
      </c>
      <c r="C2343" s="2">
        <v>1103.06</v>
      </c>
      <c r="D2343" s="2">
        <v>2277.68</v>
      </c>
      <c r="E2343" s="2">
        <v>2277.68</v>
      </c>
      <c r="G2343" s="1" t="s">
        <v>4679</v>
      </c>
      <c r="H2343" s="2">
        <v>1607.5</v>
      </c>
      <c r="I2343" s="2">
        <v>1607.5</v>
      </c>
    </row>
    <row r="2344">
      <c r="A2344" s="1" t="s">
        <v>4680</v>
      </c>
      <c r="B2344" s="2">
        <v>1089.41</v>
      </c>
      <c r="C2344" s="2">
        <v>1089.41</v>
      </c>
      <c r="D2344" s="2">
        <v>2257.04</v>
      </c>
      <c r="E2344" s="2">
        <v>2257.04</v>
      </c>
      <c r="G2344" s="1" t="s">
        <v>4681</v>
      </c>
      <c r="H2344" s="2">
        <v>1622.78</v>
      </c>
      <c r="I2344" s="2">
        <v>1622.78</v>
      </c>
    </row>
    <row r="2345">
      <c r="A2345" s="1" t="s">
        <v>4682</v>
      </c>
      <c r="B2345" s="2" t="s">
        <v>0</v>
      </c>
      <c r="C2345" s="2">
        <v>1089.41</v>
      </c>
      <c r="D2345" s="2" t="s">
        <v>0</v>
      </c>
      <c r="E2345" s="2">
        <v>2257.04</v>
      </c>
      <c r="G2345" s="1" t="s">
        <v>4683</v>
      </c>
      <c r="H2345" s="2" t="s">
        <v>0</v>
      </c>
      <c r="I2345" s="2">
        <v>1622.78</v>
      </c>
    </row>
    <row r="2346">
      <c r="A2346" s="1" t="s">
        <v>4684</v>
      </c>
      <c r="B2346" s="2" t="s">
        <v>0</v>
      </c>
      <c r="C2346" s="2">
        <v>1089.41</v>
      </c>
      <c r="D2346" s="2" t="s">
        <v>0</v>
      </c>
      <c r="E2346" s="2">
        <v>2257.04</v>
      </c>
      <c r="G2346" s="1" t="s">
        <v>4685</v>
      </c>
      <c r="H2346" s="2" t="s">
        <v>0</v>
      </c>
      <c r="I2346" s="2">
        <v>1622.78</v>
      </c>
    </row>
    <row r="2347">
      <c r="A2347" s="1" t="s">
        <v>4686</v>
      </c>
      <c r="B2347" s="2" t="s">
        <v>0</v>
      </c>
      <c r="C2347" s="2">
        <v>1089.41</v>
      </c>
      <c r="D2347" s="2" t="s">
        <v>0</v>
      </c>
      <c r="E2347" s="2">
        <v>2257.04</v>
      </c>
      <c r="G2347" s="1" t="s">
        <v>4687</v>
      </c>
      <c r="H2347" s="2">
        <v>1641.25</v>
      </c>
      <c r="I2347" s="2">
        <v>1641.25</v>
      </c>
    </row>
    <row r="2348">
      <c r="A2348" s="1" t="s">
        <v>4688</v>
      </c>
      <c r="B2348" s="2">
        <v>1070.71</v>
      </c>
      <c r="C2348" s="2">
        <v>1070.71</v>
      </c>
      <c r="D2348" s="2">
        <v>2222.33</v>
      </c>
      <c r="E2348" s="2">
        <v>2222.33</v>
      </c>
      <c r="G2348" s="1" t="s">
        <v>4689</v>
      </c>
      <c r="H2348" s="2">
        <v>1630.4</v>
      </c>
      <c r="I2348" s="2">
        <v>1630.4</v>
      </c>
    </row>
    <row r="2349">
      <c r="A2349" s="1" t="s">
        <v>4690</v>
      </c>
      <c r="B2349" s="2">
        <v>1098.38</v>
      </c>
      <c r="C2349" s="2">
        <v>1098.38</v>
      </c>
      <c r="D2349" s="2">
        <v>2281.07</v>
      </c>
      <c r="E2349" s="2">
        <v>2281.07</v>
      </c>
      <c r="G2349" s="1" t="s">
        <v>4691</v>
      </c>
      <c r="H2349" s="2" t="s">
        <v>0</v>
      </c>
      <c r="I2349" s="2">
        <v>1630.4</v>
      </c>
    </row>
    <row r="2350">
      <c r="A2350" s="1" t="s">
        <v>4692</v>
      </c>
      <c r="B2350" s="2">
        <v>1102.83</v>
      </c>
      <c r="C2350" s="2">
        <v>1102.83</v>
      </c>
      <c r="D2350" s="2">
        <v>2303.03</v>
      </c>
      <c r="E2350" s="2">
        <v>2303.03</v>
      </c>
      <c r="G2350" s="1" t="s">
        <v>4693</v>
      </c>
      <c r="H2350" s="2">
        <v>1661.84</v>
      </c>
      <c r="I2350" s="2">
        <v>1661.84</v>
      </c>
    </row>
    <row r="2351">
      <c r="A2351" s="1" t="s">
        <v>4694</v>
      </c>
      <c r="B2351" s="2">
        <v>1064.88</v>
      </c>
      <c r="C2351" s="2">
        <v>1064.88</v>
      </c>
      <c r="D2351" s="2">
        <v>2219.17</v>
      </c>
      <c r="E2351" s="2">
        <v>2219.17</v>
      </c>
      <c r="G2351" s="1" t="s">
        <v>4695</v>
      </c>
      <c r="H2351" s="2">
        <v>1664.13</v>
      </c>
      <c r="I2351" s="2">
        <v>1664.13</v>
      </c>
    </row>
    <row r="2352">
      <c r="A2352" s="1" t="s">
        <v>4696</v>
      </c>
      <c r="B2352" s="2" t="s">
        <v>0</v>
      </c>
      <c r="C2352" s="2">
        <v>1064.88</v>
      </c>
      <c r="D2352" s="2" t="s">
        <v>0</v>
      </c>
      <c r="E2352" s="2">
        <v>2219.17</v>
      </c>
      <c r="G2352" s="1" t="s">
        <v>4697</v>
      </c>
      <c r="H2352" s="2" t="s">
        <v>0</v>
      </c>
      <c r="I2352" s="2">
        <v>1664.13</v>
      </c>
    </row>
    <row r="2353">
      <c r="A2353" s="1" t="s">
        <v>4698</v>
      </c>
      <c r="B2353" s="2" t="s">
        <v>0</v>
      </c>
      <c r="C2353" s="2">
        <v>1064.88</v>
      </c>
      <c r="D2353" s="2" t="s">
        <v>0</v>
      </c>
      <c r="E2353" s="2">
        <v>2219.17</v>
      </c>
      <c r="G2353" s="1" t="s">
        <v>4699</v>
      </c>
      <c r="H2353" s="2" t="s">
        <v>0</v>
      </c>
      <c r="I2353" s="2">
        <v>1664.13</v>
      </c>
    </row>
    <row r="2354">
      <c r="A2354" s="1" t="s">
        <v>4700</v>
      </c>
      <c r="B2354" s="2">
        <v>1050.47</v>
      </c>
      <c r="C2354" s="2">
        <v>1050.47</v>
      </c>
      <c r="D2354" s="2">
        <v>2173.9</v>
      </c>
      <c r="E2354" s="2">
        <v>2173.9</v>
      </c>
      <c r="G2354" s="1" t="s">
        <v>4701</v>
      </c>
      <c r="H2354" s="2">
        <v>1637.97</v>
      </c>
      <c r="I2354" s="2">
        <v>1637.97</v>
      </c>
    </row>
    <row r="2355">
      <c r="A2355" s="1" t="s">
        <v>4702</v>
      </c>
      <c r="B2355" s="2">
        <v>1062.0</v>
      </c>
      <c r="C2355" s="2">
        <v>1062.0</v>
      </c>
      <c r="D2355" s="2">
        <v>2170.57</v>
      </c>
      <c r="E2355" s="2">
        <v>2170.57</v>
      </c>
      <c r="G2355" s="1" t="s">
        <v>4703</v>
      </c>
      <c r="H2355" s="2">
        <v>1651.48</v>
      </c>
      <c r="I2355" s="2">
        <v>1651.48</v>
      </c>
    </row>
    <row r="2356">
      <c r="A2356" s="1" t="s">
        <v>4704</v>
      </c>
      <c r="B2356" s="2">
        <v>1055.69</v>
      </c>
      <c r="C2356" s="2">
        <v>1055.69</v>
      </c>
      <c r="D2356" s="2">
        <v>2158.85</v>
      </c>
      <c r="E2356" s="2">
        <v>2158.85</v>
      </c>
      <c r="G2356" s="1" t="s">
        <v>4705</v>
      </c>
      <c r="H2356" s="2">
        <v>1647.22</v>
      </c>
      <c r="I2356" s="2">
        <v>1647.22</v>
      </c>
    </row>
    <row r="2357">
      <c r="A2357" s="1" t="s">
        <v>4706</v>
      </c>
      <c r="B2357" s="2">
        <v>1086.84</v>
      </c>
      <c r="C2357" s="2">
        <v>1086.84</v>
      </c>
      <c r="D2357" s="2">
        <v>2218.71</v>
      </c>
      <c r="E2357" s="2">
        <v>2218.71</v>
      </c>
      <c r="G2357" s="1" t="s">
        <v>4707</v>
      </c>
      <c r="H2357" s="2">
        <v>1651.7</v>
      </c>
      <c r="I2357" s="2">
        <v>1651.7</v>
      </c>
    </row>
    <row r="2358">
      <c r="A2358" s="1" t="s">
        <v>4708</v>
      </c>
      <c r="B2358" s="2">
        <v>1091.6</v>
      </c>
      <c r="C2358" s="2">
        <v>1091.6</v>
      </c>
      <c r="D2358" s="2">
        <v>2243.6</v>
      </c>
      <c r="E2358" s="2">
        <v>2243.6</v>
      </c>
      <c r="G2358" s="1" t="s">
        <v>4709</v>
      </c>
      <c r="H2358" s="2">
        <v>1675.34</v>
      </c>
      <c r="I2358" s="2">
        <v>1675.34</v>
      </c>
    </row>
    <row r="2359">
      <c r="A2359" s="1" t="s">
        <v>4710</v>
      </c>
      <c r="B2359" s="2" t="s">
        <v>0</v>
      </c>
      <c r="C2359" s="2">
        <v>1091.6</v>
      </c>
      <c r="D2359" s="2" t="s">
        <v>0</v>
      </c>
      <c r="E2359" s="2">
        <v>2243.6</v>
      </c>
      <c r="G2359" s="1" t="s">
        <v>4711</v>
      </c>
      <c r="H2359" s="2" t="s">
        <v>0</v>
      </c>
      <c r="I2359" s="2">
        <v>1675.34</v>
      </c>
    </row>
    <row r="2360">
      <c r="A2360" s="1" t="s">
        <v>4712</v>
      </c>
      <c r="B2360" s="2" t="s">
        <v>0</v>
      </c>
      <c r="C2360" s="2">
        <v>1091.6</v>
      </c>
      <c r="D2360" s="2" t="s">
        <v>0</v>
      </c>
      <c r="E2360" s="2">
        <v>2243.6</v>
      </c>
      <c r="G2360" s="1" t="s">
        <v>4713</v>
      </c>
      <c r="H2360" s="2" t="s">
        <v>0</v>
      </c>
      <c r="I2360" s="2">
        <v>1675.34</v>
      </c>
    </row>
    <row r="2361">
      <c r="A2361" s="1" t="s">
        <v>4714</v>
      </c>
      <c r="B2361" s="2">
        <v>1089.63</v>
      </c>
      <c r="C2361" s="2">
        <v>1089.63</v>
      </c>
      <c r="D2361" s="2">
        <v>2243.96</v>
      </c>
      <c r="E2361" s="2">
        <v>2243.96</v>
      </c>
      <c r="G2361" s="1" t="s">
        <v>4715</v>
      </c>
      <c r="H2361" s="2">
        <v>1690.6</v>
      </c>
      <c r="I2361" s="2">
        <v>1690.6</v>
      </c>
    </row>
    <row r="2362">
      <c r="A2362" s="1" t="s">
        <v>4716</v>
      </c>
      <c r="B2362" s="2">
        <v>1115.23</v>
      </c>
      <c r="C2362" s="2">
        <v>1115.23</v>
      </c>
      <c r="D2362" s="2">
        <v>2305.88</v>
      </c>
      <c r="E2362" s="2">
        <v>2305.88</v>
      </c>
      <c r="G2362" s="1" t="s">
        <v>4717</v>
      </c>
      <c r="H2362" s="2">
        <v>1690.03</v>
      </c>
      <c r="I2362" s="2">
        <v>1690.03</v>
      </c>
    </row>
    <row r="2363">
      <c r="A2363" s="1" t="s">
        <v>4718</v>
      </c>
      <c r="B2363" s="2">
        <v>1114.61</v>
      </c>
      <c r="C2363" s="2">
        <v>1114.61</v>
      </c>
      <c r="D2363" s="2">
        <v>2305.93</v>
      </c>
      <c r="E2363" s="2">
        <v>2305.93</v>
      </c>
      <c r="G2363" s="1" t="s">
        <v>4719</v>
      </c>
      <c r="H2363" s="2">
        <v>1705.33</v>
      </c>
      <c r="I2363" s="2">
        <v>1705.33</v>
      </c>
    </row>
    <row r="2364">
      <c r="A2364" s="1" t="s">
        <v>4720</v>
      </c>
      <c r="B2364" s="2">
        <v>1116.04</v>
      </c>
      <c r="C2364" s="2">
        <v>1116.04</v>
      </c>
      <c r="D2364" s="2">
        <v>2307.16</v>
      </c>
      <c r="E2364" s="2">
        <v>2307.16</v>
      </c>
      <c r="G2364" s="1" t="s">
        <v>4721</v>
      </c>
      <c r="H2364" s="2">
        <v>1707.92</v>
      </c>
      <c r="I2364" s="2">
        <v>1707.92</v>
      </c>
    </row>
    <row r="2365">
      <c r="A2365" s="1" t="s">
        <v>4722</v>
      </c>
      <c r="B2365" s="2">
        <v>1117.51</v>
      </c>
      <c r="C2365" s="2">
        <v>1117.51</v>
      </c>
      <c r="D2365" s="2">
        <v>2309.8</v>
      </c>
      <c r="E2365" s="2">
        <v>2309.8</v>
      </c>
      <c r="G2365" s="1" t="s">
        <v>4723</v>
      </c>
      <c r="H2365" s="2">
        <v>1711.95</v>
      </c>
      <c r="I2365" s="2">
        <v>1711.95</v>
      </c>
    </row>
    <row r="2366">
      <c r="A2366" s="1" t="s">
        <v>4724</v>
      </c>
      <c r="B2366" s="2" t="s">
        <v>0</v>
      </c>
      <c r="C2366" s="2">
        <v>1117.51</v>
      </c>
      <c r="D2366" s="2" t="s">
        <v>0</v>
      </c>
      <c r="E2366" s="2">
        <v>2309.8</v>
      </c>
      <c r="G2366" s="1" t="s">
        <v>4725</v>
      </c>
      <c r="H2366" s="2" t="s">
        <v>0</v>
      </c>
      <c r="I2366" s="2">
        <v>1711.95</v>
      </c>
    </row>
    <row r="2367">
      <c r="A2367" s="1" t="s">
        <v>4726</v>
      </c>
      <c r="B2367" s="2" t="s">
        <v>0</v>
      </c>
      <c r="C2367" s="2">
        <v>1117.51</v>
      </c>
      <c r="D2367" s="2" t="s">
        <v>0</v>
      </c>
      <c r="E2367" s="2">
        <v>2309.8</v>
      </c>
      <c r="G2367" s="1" t="s">
        <v>4727</v>
      </c>
      <c r="H2367" s="2" t="s">
        <v>0</v>
      </c>
      <c r="I2367" s="2">
        <v>1711.95</v>
      </c>
    </row>
    <row r="2368">
      <c r="A2368" s="1" t="s">
        <v>4728</v>
      </c>
      <c r="B2368" s="2">
        <v>1113.2</v>
      </c>
      <c r="C2368" s="2">
        <v>1113.2</v>
      </c>
      <c r="D2368" s="2">
        <v>2289.09</v>
      </c>
      <c r="E2368" s="2">
        <v>2289.09</v>
      </c>
      <c r="G2368" s="1" t="s">
        <v>4729</v>
      </c>
      <c r="H2368" s="2">
        <v>1739.68</v>
      </c>
      <c r="I2368" s="2">
        <v>1739.68</v>
      </c>
    </row>
    <row r="2369">
      <c r="A2369" s="1" t="s">
        <v>4730</v>
      </c>
      <c r="B2369" s="2">
        <v>1095.31</v>
      </c>
      <c r="C2369" s="2">
        <v>1095.31</v>
      </c>
      <c r="D2369" s="2">
        <v>2261.8</v>
      </c>
      <c r="E2369" s="2">
        <v>2261.8</v>
      </c>
      <c r="G2369" s="1" t="s">
        <v>4731</v>
      </c>
      <c r="H2369" s="2">
        <v>1731.48</v>
      </c>
      <c r="I2369" s="2">
        <v>1731.48</v>
      </c>
    </row>
    <row r="2370">
      <c r="A2370" s="1" t="s">
        <v>4732</v>
      </c>
      <c r="B2370" s="2">
        <v>1092.04</v>
      </c>
      <c r="C2370" s="2">
        <v>1092.04</v>
      </c>
      <c r="D2370" s="2">
        <v>2254.23</v>
      </c>
      <c r="E2370" s="2">
        <v>2254.23</v>
      </c>
      <c r="G2370" s="1" t="s">
        <v>4733</v>
      </c>
      <c r="H2370" s="2">
        <v>1725.82</v>
      </c>
      <c r="I2370" s="2">
        <v>1725.82</v>
      </c>
    </row>
    <row r="2371">
      <c r="A2371" s="1" t="s">
        <v>4734</v>
      </c>
      <c r="B2371" s="2">
        <v>1073.69</v>
      </c>
      <c r="C2371" s="2">
        <v>1073.69</v>
      </c>
      <c r="D2371" s="2">
        <v>2217.42</v>
      </c>
      <c r="E2371" s="2">
        <v>2217.42</v>
      </c>
      <c r="G2371" s="1" t="s">
        <v>4735</v>
      </c>
      <c r="H2371" s="2">
        <v>1739.87</v>
      </c>
      <c r="I2371" s="2">
        <v>1739.87</v>
      </c>
    </row>
    <row r="2372">
      <c r="A2372" s="1" t="s">
        <v>4736</v>
      </c>
      <c r="B2372" s="2">
        <v>1076.76</v>
      </c>
      <c r="C2372" s="2">
        <v>1076.76</v>
      </c>
      <c r="D2372" s="2">
        <v>2223.48</v>
      </c>
      <c r="E2372" s="2">
        <v>2223.48</v>
      </c>
      <c r="G2372" s="1" t="s">
        <v>4737</v>
      </c>
      <c r="H2372" s="2">
        <v>1729.84</v>
      </c>
      <c r="I2372" s="2">
        <v>1729.84</v>
      </c>
    </row>
    <row r="2373">
      <c r="A2373" s="1" t="s">
        <v>4738</v>
      </c>
      <c r="B2373" s="2" t="s">
        <v>0</v>
      </c>
      <c r="C2373" s="2">
        <v>1076.76</v>
      </c>
      <c r="D2373" s="2" t="s">
        <v>0</v>
      </c>
      <c r="E2373" s="2">
        <v>2223.48</v>
      </c>
      <c r="G2373" s="1" t="s">
        <v>4739</v>
      </c>
      <c r="H2373" s="2" t="s">
        <v>0</v>
      </c>
      <c r="I2373" s="2">
        <v>1729.84</v>
      </c>
    </row>
    <row r="2374">
      <c r="A2374" s="1" t="s">
        <v>4740</v>
      </c>
      <c r="B2374" s="2" t="s">
        <v>0</v>
      </c>
      <c r="C2374" s="2">
        <v>1076.76</v>
      </c>
      <c r="D2374" s="2" t="s">
        <v>0</v>
      </c>
      <c r="E2374" s="2">
        <v>2223.48</v>
      </c>
      <c r="G2374" s="1" t="s">
        <v>4741</v>
      </c>
      <c r="H2374" s="2" t="s">
        <v>0</v>
      </c>
      <c r="I2374" s="2">
        <v>1729.84</v>
      </c>
    </row>
    <row r="2375">
      <c r="A2375" s="1" t="s">
        <v>4742</v>
      </c>
      <c r="B2375" s="2">
        <v>1074.57</v>
      </c>
      <c r="C2375" s="2">
        <v>1074.57</v>
      </c>
      <c r="D2375" s="2">
        <v>2220.65</v>
      </c>
      <c r="E2375" s="2">
        <v>2220.65</v>
      </c>
      <c r="G2375" s="1" t="s">
        <v>4743</v>
      </c>
      <c r="H2375" s="2">
        <v>1732.03</v>
      </c>
      <c r="I2375" s="2">
        <v>1732.03</v>
      </c>
    </row>
    <row r="2376">
      <c r="A2376" s="1" t="s">
        <v>4744</v>
      </c>
      <c r="B2376" s="2">
        <v>1041.24</v>
      </c>
      <c r="C2376" s="2">
        <v>1041.24</v>
      </c>
      <c r="D2376" s="2">
        <v>2135.18</v>
      </c>
      <c r="E2376" s="2">
        <v>2135.18</v>
      </c>
      <c r="G2376" s="1" t="s">
        <v>4745</v>
      </c>
      <c r="H2376" s="2">
        <v>1707.76</v>
      </c>
      <c r="I2376" s="2">
        <v>1707.76</v>
      </c>
    </row>
    <row r="2377">
      <c r="A2377" s="1" t="s">
        <v>4746</v>
      </c>
      <c r="B2377" s="2">
        <v>1030.71</v>
      </c>
      <c r="C2377" s="2">
        <v>1030.71</v>
      </c>
      <c r="D2377" s="2">
        <v>2109.24</v>
      </c>
      <c r="E2377" s="2">
        <v>2109.24</v>
      </c>
      <c r="G2377" s="1" t="s">
        <v>4747</v>
      </c>
      <c r="H2377" s="2">
        <v>1698.29</v>
      </c>
      <c r="I2377" s="2">
        <v>1698.29</v>
      </c>
    </row>
    <row r="2378">
      <c r="A2378" s="1" t="s">
        <v>4748</v>
      </c>
      <c r="B2378" s="2">
        <v>1027.37</v>
      </c>
      <c r="C2378" s="2">
        <v>1027.37</v>
      </c>
      <c r="D2378" s="2">
        <v>2101.36</v>
      </c>
      <c r="E2378" s="2">
        <v>2101.36</v>
      </c>
      <c r="G2378" s="1" t="s">
        <v>4749</v>
      </c>
      <c r="H2378" s="2">
        <v>1686.24</v>
      </c>
      <c r="I2378" s="2">
        <v>1686.24</v>
      </c>
    </row>
    <row r="2379">
      <c r="A2379" s="1" t="s">
        <v>4750</v>
      </c>
      <c r="B2379" s="2">
        <v>1022.58</v>
      </c>
      <c r="C2379" s="2">
        <v>1022.58</v>
      </c>
      <c r="D2379" s="2">
        <v>2091.79</v>
      </c>
      <c r="E2379" s="2">
        <v>2091.79</v>
      </c>
      <c r="G2379" s="1" t="s">
        <v>4751</v>
      </c>
      <c r="H2379" s="2">
        <v>1671.82</v>
      </c>
      <c r="I2379" s="2">
        <v>1671.82</v>
      </c>
    </row>
    <row r="2380">
      <c r="A2380" s="1" t="s">
        <v>4752</v>
      </c>
      <c r="B2380" s="2" t="s">
        <v>0</v>
      </c>
      <c r="C2380" s="2">
        <v>1022.58</v>
      </c>
      <c r="D2380" s="2" t="s">
        <v>0</v>
      </c>
      <c r="E2380" s="2">
        <v>2091.79</v>
      </c>
      <c r="G2380" s="1" t="s">
        <v>4753</v>
      </c>
      <c r="H2380" s="2" t="s">
        <v>0</v>
      </c>
      <c r="I2380" s="2">
        <v>1671.82</v>
      </c>
    </row>
    <row r="2381">
      <c r="A2381" s="1" t="s">
        <v>4754</v>
      </c>
      <c r="B2381" s="2" t="s">
        <v>0</v>
      </c>
      <c r="C2381" s="2">
        <v>1022.58</v>
      </c>
      <c r="D2381" s="2" t="s">
        <v>0</v>
      </c>
      <c r="E2381" s="2">
        <v>2091.79</v>
      </c>
      <c r="G2381" s="1" t="s">
        <v>4755</v>
      </c>
      <c r="H2381" s="2" t="s">
        <v>0</v>
      </c>
      <c r="I2381" s="2">
        <v>1671.82</v>
      </c>
    </row>
    <row r="2382">
      <c r="A2382" s="1" t="s">
        <v>4756</v>
      </c>
      <c r="B2382" s="2" t="s">
        <v>0</v>
      </c>
      <c r="C2382" s="2">
        <v>1022.58</v>
      </c>
      <c r="D2382" s="2" t="s">
        <v>0</v>
      </c>
      <c r="E2382" s="2">
        <v>2091.79</v>
      </c>
      <c r="G2382" s="1" t="s">
        <v>4757</v>
      </c>
      <c r="H2382" s="2">
        <v>1675.37</v>
      </c>
      <c r="I2382" s="2">
        <v>1675.37</v>
      </c>
    </row>
    <row r="2383">
      <c r="A2383" s="1" t="s">
        <v>4758</v>
      </c>
      <c r="B2383" s="2">
        <v>1028.06</v>
      </c>
      <c r="C2383" s="2">
        <v>1028.06</v>
      </c>
      <c r="D2383" s="2">
        <v>2093.88</v>
      </c>
      <c r="E2383" s="2">
        <v>2093.88</v>
      </c>
      <c r="G2383" s="1" t="s">
        <v>4759</v>
      </c>
      <c r="H2383" s="2">
        <v>1684.94</v>
      </c>
      <c r="I2383" s="2">
        <v>1684.94</v>
      </c>
    </row>
    <row r="2384">
      <c r="A2384" s="1" t="s">
        <v>4760</v>
      </c>
      <c r="B2384" s="2">
        <v>1060.27</v>
      </c>
      <c r="C2384" s="2">
        <v>1060.27</v>
      </c>
      <c r="D2384" s="2">
        <v>2159.47</v>
      </c>
      <c r="E2384" s="2">
        <v>2159.47</v>
      </c>
      <c r="G2384" s="1" t="s">
        <v>4761</v>
      </c>
      <c r="H2384" s="2">
        <v>1675.65</v>
      </c>
      <c r="I2384" s="2">
        <v>1675.65</v>
      </c>
    </row>
    <row r="2385">
      <c r="A2385" s="1" t="s">
        <v>4762</v>
      </c>
      <c r="B2385" s="2">
        <v>1070.25</v>
      </c>
      <c r="C2385" s="2">
        <v>1070.25</v>
      </c>
      <c r="D2385" s="2">
        <v>2175.4</v>
      </c>
      <c r="E2385" s="2">
        <v>2175.4</v>
      </c>
      <c r="G2385" s="1" t="s">
        <v>4763</v>
      </c>
      <c r="H2385" s="2">
        <v>1698.64</v>
      </c>
      <c r="I2385" s="2">
        <v>1698.64</v>
      </c>
    </row>
    <row r="2386">
      <c r="A2386" s="1" t="s">
        <v>4764</v>
      </c>
      <c r="B2386" s="2">
        <v>1077.96</v>
      </c>
      <c r="C2386" s="2">
        <v>1077.96</v>
      </c>
      <c r="D2386" s="2">
        <v>2196.45</v>
      </c>
      <c r="E2386" s="2">
        <v>2196.45</v>
      </c>
      <c r="G2386" s="1" t="s">
        <v>4765</v>
      </c>
      <c r="H2386" s="2">
        <v>1723.01</v>
      </c>
      <c r="I2386" s="2">
        <v>1723.01</v>
      </c>
    </row>
    <row r="2387">
      <c r="A2387" s="1" t="s">
        <v>4766</v>
      </c>
      <c r="B2387" s="2" t="s">
        <v>0</v>
      </c>
      <c r="C2387" s="2">
        <v>1077.96</v>
      </c>
      <c r="D2387" s="2" t="s">
        <v>0</v>
      </c>
      <c r="E2387" s="2">
        <v>2196.45</v>
      </c>
      <c r="G2387" s="1" t="s">
        <v>4767</v>
      </c>
      <c r="H2387" s="2" t="s">
        <v>0</v>
      </c>
      <c r="I2387" s="2">
        <v>1723.01</v>
      </c>
    </row>
    <row r="2388">
      <c r="A2388" s="1" t="s">
        <v>4768</v>
      </c>
      <c r="B2388" s="2" t="s">
        <v>0</v>
      </c>
      <c r="C2388" s="2">
        <v>1077.96</v>
      </c>
      <c r="D2388" s="2" t="s">
        <v>0</v>
      </c>
      <c r="E2388" s="2">
        <v>2196.45</v>
      </c>
      <c r="G2388" s="1" t="s">
        <v>4769</v>
      </c>
      <c r="H2388" s="2" t="s">
        <v>0</v>
      </c>
      <c r="I2388" s="2">
        <v>1723.01</v>
      </c>
    </row>
    <row r="2389">
      <c r="A2389" s="1" t="s">
        <v>4770</v>
      </c>
      <c r="B2389" s="2">
        <v>1078.75</v>
      </c>
      <c r="C2389" s="2">
        <v>1078.75</v>
      </c>
      <c r="D2389" s="2">
        <v>2198.36</v>
      </c>
      <c r="E2389" s="2">
        <v>2198.36</v>
      </c>
      <c r="G2389" s="1" t="s">
        <v>4771</v>
      </c>
      <c r="H2389" s="2">
        <v>1734.05</v>
      </c>
      <c r="I2389" s="2">
        <v>1734.05</v>
      </c>
    </row>
    <row r="2390">
      <c r="A2390" s="1" t="s">
        <v>4772</v>
      </c>
      <c r="B2390" s="2">
        <v>1095.34</v>
      </c>
      <c r="C2390" s="2">
        <v>1095.34</v>
      </c>
      <c r="D2390" s="2">
        <v>2242.03</v>
      </c>
      <c r="E2390" s="2">
        <v>2242.03</v>
      </c>
      <c r="G2390" s="1" t="s">
        <v>4773</v>
      </c>
      <c r="H2390" s="2">
        <v>1735.08</v>
      </c>
      <c r="I2390" s="2">
        <v>1735.08</v>
      </c>
    </row>
    <row r="2391">
      <c r="A2391" s="1" t="s">
        <v>4774</v>
      </c>
      <c r="B2391" s="2">
        <v>1095.17</v>
      </c>
      <c r="C2391" s="2">
        <v>1095.17</v>
      </c>
      <c r="D2391" s="2">
        <v>2249.84</v>
      </c>
      <c r="E2391" s="2">
        <v>2249.84</v>
      </c>
      <c r="G2391" s="1" t="s">
        <v>4775</v>
      </c>
      <c r="H2391" s="2">
        <v>1758.01</v>
      </c>
      <c r="I2391" s="2">
        <v>1758.01</v>
      </c>
    </row>
    <row r="2392">
      <c r="A2392" s="1" t="s">
        <v>4776</v>
      </c>
      <c r="B2392" s="2">
        <v>1096.48</v>
      </c>
      <c r="C2392" s="2">
        <v>1096.48</v>
      </c>
      <c r="D2392" s="2">
        <v>2249.08</v>
      </c>
      <c r="E2392" s="2">
        <v>2249.08</v>
      </c>
      <c r="G2392" s="1" t="s">
        <v>4777</v>
      </c>
      <c r="H2392" s="2">
        <v>1751.29</v>
      </c>
      <c r="I2392" s="2">
        <v>1751.29</v>
      </c>
    </row>
    <row r="2393">
      <c r="A2393" s="1" t="s">
        <v>4778</v>
      </c>
      <c r="B2393" s="2">
        <v>1064.88</v>
      </c>
      <c r="C2393" s="2">
        <v>1064.88</v>
      </c>
      <c r="D2393" s="2">
        <v>2179.05</v>
      </c>
      <c r="E2393" s="2">
        <v>2179.05</v>
      </c>
      <c r="G2393" s="1" t="s">
        <v>4779</v>
      </c>
      <c r="H2393" s="2">
        <v>1738.45</v>
      </c>
      <c r="I2393" s="2">
        <v>1738.45</v>
      </c>
    </row>
    <row r="2394">
      <c r="A2394" s="1" t="s">
        <v>4780</v>
      </c>
      <c r="B2394" s="2" t="s">
        <v>0</v>
      </c>
      <c r="C2394" s="2">
        <v>1064.88</v>
      </c>
      <c r="D2394" s="2" t="s">
        <v>0</v>
      </c>
      <c r="E2394" s="2">
        <v>2179.05</v>
      </c>
      <c r="G2394" s="1" t="s">
        <v>4781</v>
      </c>
      <c r="H2394" s="2" t="s">
        <v>0</v>
      </c>
      <c r="I2394" s="2">
        <v>1738.45</v>
      </c>
    </row>
    <row r="2395">
      <c r="A2395" s="1" t="s">
        <v>4782</v>
      </c>
      <c r="B2395" s="2" t="s">
        <v>0</v>
      </c>
      <c r="C2395" s="2">
        <v>1064.88</v>
      </c>
      <c r="D2395" s="2" t="s">
        <v>0</v>
      </c>
      <c r="E2395" s="2">
        <v>2179.05</v>
      </c>
      <c r="G2395" s="1" t="s">
        <v>4783</v>
      </c>
      <c r="H2395" s="2" t="s">
        <v>0</v>
      </c>
      <c r="I2395" s="2">
        <v>1738.45</v>
      </c>
    </row>
    <row r="2396">
      <c r="A2396" s="1" t="s">
        <v>4784</v>
      </c>
      <c r="B2396" s="2">
        <v>1071.25</v>
      </c>
      <c r="C2396" s="2">
        <v>1071.25</v>
      </c>
      <c r="D2396" s="2">
        <v>2198.23</v>
      </c>
      <c r="E2396" s="2">
        <v>2198.23</v>
      </c>
      <c r="G2396" s="1" t="s">
        <v>4785</v>
      </c>
      <c r="H2396" s="2">
        <v>1731.95</v>
      </c>
      <c r="I2396" s="2">
        <v>1731.95</v>
      </c>
    </row>
    <row r="2397">
      <c r="A2397" s="1" t="s">
        <v>4786</v>
      </c>
      <c r="B2397" s="2">
        <v>1083.48</v>
      </c>
      <c r="C2397" s="2">
        <v>1083.48</v>
      </c>
      <c r="D2397" s="2">
        <v>2222.49</v>
      </c>
      <c r="E2397" s="2">
        <v>2222.49</v>
      </c>
      <c r="G2397" s="1" t="s">
        <v>4787</v>
      </c>
      <c r="H2397" s="2">
        <v>1736.77</v>
      </c>
      <c r="I2397" s="2">
        <v>1736.77</v>
      </c>
    </row>
    <row r="2398">
      <c r="A2398" s="1" t="s">
        <v>4788</v>
      </c>
      <c r="B2398" s="2">
        <v>1069.59</v>
      </c>
      <c r="C2398" s="2">
        <v>1069.59</v>
      </c>
      <c r="D2398" s="2">
        <v>2187.33</v>
      </c>
      <c r="E2398" s="2">
        <v>2187.33</v>
      </c>
      <c r="G2398" s="1" t="s">
        <v>4789</v>
      </c>
      <c r="H2398" s="2">
        <v>1748.78</v>
      </c>
      <c r="I2398" s="2">
        <v>1748.78</v>
      </c>
    </row>
    <row r="2399">
      <c r="A2399" s="1" t="s">
        <v>4790</v>
      </c>
      <c r="B2399" s="2">
        <v>1093.67</v>
      </c>
      <c r="C2399" s="2">
        <v>1093.67</v>
      </c>
      <c r="D2399" s="2">
        <v>2245.89</v>
      </c>
      <c r="E2399" s="2">
        <v>2245.89</v>
      </c>
      <c r="G2399" s="1" t="s">
        <v>4791</v>
      </c>
      <c r="H2399" s="2">
        <v>1735.53</v>
      </c>
      <c r="I2399" s="2">
        <v>1735.53</v>
      </c>
    </row>
    <row r="2400">
      <c r="A2400" s="1" t="s">
        <v>4792</v>
      </c>
      <c r="B2400" s="2">
        <v>1102.66</v>
      </c>
      <c r="C2400" s="2">
        <v>1102.66</v>
      </c>
      <c r="D2400" s="2">
        <v>2269.47</v>
      </c>
      <c r="E2400" s="2">
        <v>2269.47</v>
      </c>
      <c r="G2400" s="1" t="s">
        <v>4793</v>
      </c>
      <c r="H2400" s="2">
        <v>1758.06</v>
      </c>
      <c r="I2400" s="2">
        <v>1758.06</v>
      </c>
    </row>
    <row r="2401">
      <c r="A2401" s="1" t="s">
        <v>4794</v>
      </c>
      <c r="B2401" s="2" t="s">
        <v>0</v>
      </c>
      <c r="C2401" s="2">
        <v>1102.66</v>
      </c>
      <c r="D2401" s="2" t="s">
        <v>0</v>
      </c>
      <c r="E2401" s="2">
        <v>2269.47</v>
      </c>
      <c r="G2401" s="1" t="s">
        <v>4795</v>
      </c>
      <c r="H2401" s="2" t="s">
        <v>0</v>
      </c>
      <c r="I2401" s="2">
        <v>1758.06</v>
      </c>
    </row>
    <row r="2402">
      <c r="A2402" s="1" t="s">
        <v>4796</v>
      </c>
      <c r="B2402" s="2" t="s">
        <v>0</v>
      </c>
      <c r="C2402" s="2">
        <v>1102.66</v>
      </c>
      <c r="D2402" s="2" t="s">
        <v>0</v>
      </c>
      <c r="E2402" s="2">
        <v>2269.47</v>
      </c>
      <c r="G2402" s="1" t="s">
        <v>4797</v>
      </c>
      <c r="H2402" s="2" t="s">
        <v>0</v>
      </c>
      <c r="I2402" s="2">
        <v>1758.06</v>
      </c>
    </row>
    <row r="2403">
      <c r="A2403" s="1" t="s">
        <v>4798</v>
      </c>
      <c r="B2403" s="2">
        <v>1115.01</v>
      </c>
      <c r="C2403" s="2">
        <v>1115.01</v>
      </c>
      <c r="D2403" s="2">
        <v>2296.43</v>
      </c>
      <c r="E2403" s="2">
        <v>2296.43</v>
      </c>
      <c r="G2403" s="1" t="s">
        <v>4799</v>
      </c>
      <c r="H2403" s="2">
        <v>1769.07</v>
      </c>
      <c r="I2403" s="2">
        <v>1769.07</v>
      </c>
    </row>
    <row r="2404">
      <c r="A2404" s="1" t="s">
        <v>4800</v>
      </c>
      <c r="B2404" s="2">
        <v>1113.84</v>
      </c>
      <c r="C2404" s="2">
        <v>1113.84</v>
      </c>
      <c r="D2404" s="2">
        <v>2288.25</v>
      </c>
      <c r="E2404" s="2">
        <v>2288.25</v>
      </c>
      <c r="G2404" s="1" t="s">
        <v>4801</v>
      </c>
      <c r="H2404" s="2">
        <v>1768.31</v>
      </c>
      <c r="I2404" s="2">
        <v>1768.31</v>
      </c>
    </row>
    <row r="2405">
      <c r="A2405" s="1" t="s">
        <v>4802</v>
      </c>
      <c r="B2405" s="2">
        <v>1106.13</v>
      </c>
      <c r="C2405" s="2">
        <v>1106.13</v>
      </c>
      <c r="D2405" s="2">
        <v>2264.56</v>
      </c>
      <c r="E2405" s="2">
        <v>2264.56</v>
      </c>
      <c r="G2405" s="1" t="s">
        <v>4803</v>
      </c>
      <c r="H2405" s="2">
        <v>1773.47</v>
      </c>
      <c r="I2405" s="2">
        <v>1773.47</v>
      </c>
    </row>
    <row r="2406">
      <c r="A2406" s="1" t="s">
        <v>4804</v>
      </c>
      <c r="B2406" s="2">
        <v>1101.53</v>
      </c>
      <c r="C2406" s="2">
        <v>1101.53</v>
      </c>
      <c r="D2406" s="2">
        <v>2251.69</v>
      </c>
      <c r="E2406" s="2">
        <v>2251.69</v>
      </c>
      <c r="G2406" s="1" t="s">
        <v>4805</v>
      </c>
      <c r="H2406" s="2">
        <v>1770.88</v>
      </c>
      <c r="I2406" s="2">
        <v>1770.88</v>
      </c>
    </row>
    <row r="2407">
      <c r="A2407" s="1" t="s">
        <v>4806</v>
      </c>
      <c r="B2407" s="2">
        <v>1101.6</v>
      </c>
      <c r="C2407" s="2">
        <v>1101.6</v>
      </c>
      <c r="D2407" s="2">
        <v>2254.7</v>
      </c>
      <c r="E2407" s="2">
        <v>2254.7</v>
      </c>
      <c r="G2407" s="1" t="s">
        <v>4807</v>
      </c>
      <c r="H2407" s="2">
        <v>1759.33</v>
      </c>
      <c r="I2407" s="2">
        <v>1759.33</v>
      </c>
    </row>
    <row r="2408">
      <c r="A2408" s="1" t="s">
        <v>4808</v>
      </c>
      <c r="B2408" s="2" t="s">
        <v>0</v>
      </c>
      <c r="C2408" s="2">
        <v>1101.6</v>
      </c>
      <c r="D2408" s="2" t="s">
        <v>0</v>
      </c>
      <c r="E2408" s="2">
        <v>2254.7</v>
      </c>
      <c r="G2408" s="1" t="s">
        <v>4809</v>
      </c>
      <c r="H2408" s="2" t="s">
        <v>0</v>
      </c>
      <c r="I2408" s="2">
        <v>1759.33</v>
      </c>
    </row>
    <row r="2409">
      <c r="A2409" s="1" t="s">
        <v>4810</v>
      </c>
      <c r="B2409" s="2" t="s">
        <v>0</v>
      </c>
      <c r="C2409" s="2">
        <v>1101.6</v>
      </c>
      <c r="D2409" s="2" t="s">
        <v>0</v>
      </c>
      <c r="E2409" s="2">
        <v>2254.7</v>
      </c>
      <c r="G2409" s="1" t="s">
        <v>4811</v>
      </c>
      <c r="H2409" s="2" t="s">
        <v>0</v>
      </c>
      <c r="I2409" s="2">
        <v>1759.33</v>
      </c>
    </row>
    <row r="2410">
      <c r="A2410" s="1" t="s">
        <v>4812</v>
      </c>
      <c r="B2410" s="2">
        <v>1125.86</v>
      </c>
      <c r="C2410" s="2">
        <v>1125.86</v>
      </c>
      <c r="D2410" s="2">
        <v>2295.36</v>
      </c>
      <c r="E2410" s="2">
        <v>2295.36</v>
      </c>
      <c r="G2410" s="1" t="s">
        <v>4813</v>
      </c>
      <c r="H2410" s="2">
        <v>1782.27</v>
      </c>
      <c r="I2410" s="2">
        <v>1782.27</v>
      </c>
    </row>
    <row r="2411">
      <c r="A2411" s="1" t="s">
        <v>4814</v>
      </c>
      <c r="B2411" s="2">
        <v>1120.46</v>
      </c>
      <c r="C2411" s="2">
        <v>1120.46</v>
      </c>
      <c r="D2411" s="2">
        <v>2283.52</v>
      </c>
      <c r="E2411" s="2">
        <v>2283.52</v>
      </c>
      <c r="G2411" s="1" t="s">
        <v>4815</v>
      </c>
      <c r="H2411" s="2">
        <v>1790.6</v>
      </c>
      <c r="I2411" s="2">
        <v>1790.6</v>
      </c>
    </row>
    <row r="2412">
      <c r="A2412" s="1" t="s">
        <v>4816</v>
      </c>
      <c r="B2412" s="2">
        <v>1127.24</v>
      </c>
      <c r="C2412" s="2">
        <v>1127.24</v>
      </c>
      <c r="D2412" s="2">
        <v>2303.57</v>
      </c>
      <c r="E2412" s="2">
        <v>2303.57</v>
      </c>
      <c r="G2412" s="1" t="s">
        <v>4817</v>
      </c>
      <c r="H2412" s="2">
        <v>1789.26</v>
      </c>
      <c r="I2412" s="2">
        <v>1789.26</v>
      </c>
    </row>
    <row r="2413">
      <c r="A2413" s="1" t="s">
        <v>4818</v>
      </c>
      <c r="B2413" s="2">
        <v>1125.81</v>
      </c>
      <c r="C2413" s="2">
        <v>1125.81</v>
      </c>
      <c r="D2413" s="2">
        <v>2293.06</v>
      </c>
      <c r="E2413" s="2">
        <v>2293.06</v>
      </c>
      <c r="G2413" s="1" t="s">
        <v>4819</v>
      </c>
      <c r="H2413" s="2">
        <v>1783.86</v>
      </c>
      <c r="I2413" s="2">
        <v>1783.86</v>
      </c>
    </row>
    <row r="2414">
      <c r="A2414" s="1" t="s">
        <v>4820</v>
      </c>
      <c r="B2414" s="2">
        <v>1121.64</v>
      </c>
      <c r="C2414" s="2">
        <v>1121.64</v>
      </c>
      <c r="D2414" s="2">
        <v>2288.47</v>
      </c>
      <c r="E2414" s="2">
        <v>2288.47</v>
      </c>
      <c r="G2414" s="1" t="s">
        <v>4821</v>
      </c>
      <c r="H2414" s="2">
        <v>1783.83</v>
      </c>
      <c r="I2414" s="2">
        <v>1783.83</v>
      </c>
    </row>
    <row r="2415">
      <c r="A2415" s="1" t="s">
        <v>4822</v>
      </c>
      <c r="B2415" s="2" t="s">
        <v>0</v>
      </c>
      <c r="C2415" s="2">
        <v>1121.64</v>
      </c>
      <c r="D2415" s="2" t="s">
        <v>0</v>
      </c>
      <c r="E2415" s="2">
        <v>2288.47</v>
      </c>
      <c r="G2415" s="1" t="s">
        <v>4823</v>
      </c>
      <c r="H2415" s="2" t="s">
        <v>0</v>
      </c>
      <c r="I2415" s="2">
        <v>1783.83</v>
      </c>
    </row>
    <row r="2416">
      <c r="A2416" s="1" t="s">
        <v>4824</v>
      </c>
      <c r="B2416" s="2" t="s">
        <v>0</v>
      </c>
      <c r="C2416" s="2">
        <v>1121.64</v>
      </c>
      <c r="D2416" s="2" t="s">
        <v>0</v>
      </c>
      <c r="E2416" s="2">
        <v>2288.47</v>
      </c>
      <c r="G2416" s="1" t="s">
        <v>4825</v>
      </c>
      <c r="H2416" s="2" t="s">
        <v>0</v>
      </c>
      <c r="I2416" s="2">
        <v>1783.83</v>
      </c>
    </row>
    <row r="2417">
      <c r="A2417" s="1" t="s">
        <v>4826</v>
      </c>
      <c r="B2417" s="2">
        <v>1127.79</v>
      </c>
      <c r="C2417" s="2">
        <v>1127.79</v>
      </c>
      <c r="D2417" s="2">
        <v>2305.69</v>
      </c>
      <c r="E2417" s="2">
        <v>2305.69</v>
      </c>
      <c r="G2417" s="1" t="s">
        <v>4827</v>
      </c>
      <c r="H2417" s="2">
        <v>1790.17</v>
      </c>
      <c r="I2417" s="2">
        <v>1790.17</v>
      </c>
    </row>
    <row r="2418">
      <c r="A2418" s="1" t="s">
        <v>4828</v>
      </c>
      <c r="B2418" s="2">
        <v>1121.06</v>
      </c>
      <c r="C2418" s="2">
        <v>1121.06</v>
      </c>
      <c r="D2418" s="2">
        <v>2277.17</v>
      </c>
      <c r="E2418" s="2">
        <v>2277.17</v>
      </c>
      <c r="G2418" s="1" t="s">
        <v>4829</v>
      </c>
      <c r="H2418" s="2">
        <v>1781.13</v>
      </c>
      <c r="I2418" s="2">
        <v>1781.13</v>
      </c>
    </row>
    <row r="2419">
      <c r="A2419" s="1" t="s">
        <v>4830</v>
      </c>
      <c r="B2419" s="2">
        <v>1089.47</v>
      </c>
      <c r="C2419" s="2">
        <v>1089.47</v>
      </c>
      <c r="D2419" s="2">
        <v>2208.63</v>
      </c>
      <c r="E2419" s="2">
        <v>2208.63</v>
      </c>
      <c r="G2419" s="1" t="s">
        <v>4831</v>
      </c>
      <c r="H2419" s="2">
        <v>1758.19</v>
      </c>
      <c r="I2419" s="2">
        <v>1758.19</v>
      </c>
    </row>
    <row r="2420">
      <c r="A2420" s="1" t="s">
        <v>4832</v>
      </c>
      <c r="B2420" s="2">
        <v>1083.61</v>
      </c>
      <c r="C2420" s="2">
        <v>1083.61</v>
      </c>
      <c r="D2420" s="2">
        <v>2190.27</v>
      </c>
      <c r="E2420" s="2">
        <v>2190.27</v>
      </c>
      <c r="G2420" s="1" t="s">
        <v>4833</v>
      </c>
      <c r="H2420" s="2">
        <v>1721.75</v>
      </c>
      <c r="I2420" s="2">
        <v>1721.75</v>
      </c>
    </row>
    <row r="2421">
      <c r="A2421" s="1" t="s">
        <v>4834</v>
      </c>
      <c r="B2421" s="2">
        <v>1079.25</v>
      </c>
      <c r="C2421" s="2">
        <v>1079.25</v>
      </c>
      <c r="D2421" s="2">
        <v>2173.48</v>
      </c>
      <c r="E2421" s="2">
        <v>2173.48</v>
      </c>
      <c r="G2421" s="1" t="s">
        <v>4835</v>
      </c>
      <c r="H2421" s="2">
        <v>1746.24</v>
      </c>
      <c r="I2421" s="2">
        <v>1746.24</v>
      </c>
    </row>
    <row r="2422">
      <c r="A2422" s="1" t="s">
        <v>4836</v>
      </c>
      <c r="B2422" s="2" t="s">
        <v>0</v>
      </c>
      <c r="C2422" s="2">
        <v>1079.25</v>
      </c>
      <c r="D2422" s="2" t="s">
        <v>0</v>
      </c>
      <c r="E2422" s="2">
        <v>2173.48</v>
      </c>
      <c r="G2422" s="1" t="s">
        <v>4837</v>
      </c>
      <c r="H2422" s="2" t="s">
        <v>0</v>
      </c>
      <c r="I2422" s="2">
        <v>1746.24</v>
      </c>
    </row>
    <row r="2423">
      <c r="A2423" s="1" t="s">
        <v>4838</v>
      </c>
      <c r="B2423" s="2" t="s">
        <v>0</v>
      </c>
      <c r="C2423" s="2">
        <v>1079.25</v>
      </c>
      <c r="D2423" s="2" t="s">
        <v>0</v>
      </c>
      <c r="E2423" s="2">
        <v>2173.48</v>
      </c>
      <c r="G2423" s="1" t="s">
        <v>4839</v>
      </c>
      <c r="H2423" s="2" t="s">
        <v>0</v>
      </c>
      <c r="I2423" s="2">
        <v>1746.24</v>
      </c>
    </row>
    <row r="2424">
      <c r="A2424" s="1" t="s">
        <v>4840</v>
      </c>
      <c r="B2424" s="2">
        <v>1079.38</v>
      </c>
      <c r="C2424" s="2">
        <v>1079.38</v>
      </c>
      <c r="D2424" s="2">
        <v>2181.87</v>
      </c>
      <c r="E2424" s="2">
        <v>2181.87</v>
      </c>
      <c r="G2424" s="1" t="s">
        <v>4841</v>
      </c>
      <c r="H2424" s="2">
        <v>1743.31</v>
      </c>
      <c r="I2424" s="2">
        <v>1743.31</v>
      </c>
    </row>
    <row r="2425">
      <c r="A2425" s="1" t="s">
        <v>4842</v>
      </c>
      <c r="B2425" s="2">
        <v>1092.54</v>
      </c>
      <c r="C2425" s="2">
        <v>1092.54</v>
      </c>
      <c r="D2425" s="2">
        <v>2209.44</v>
      </c>
      <c r="E2425" s="2">
        <v>2209.44</v>
      </c>
      <c r="G2425" s="1" t="s">
        <v>4843</v>
      </c>
      <c r="H2425" s="2">
        <v>1755.03</v>
      </c>
      <c r="I2425" s="2">
        <v>1755.03</v>
      </c>
    </row>
    <row r="2426">
      <c r="A2426" s="1" t="s">
        <v>4844</v>
      </c>
      <c r="B2426" s="2">
        <v>1094.16</v>
      </c>
      <c r="C2426" s="2">
        <v>1094.16</v>
      </c>
      <c r="D2426" s="2">
        <v>2215.7</v>
      </c>
      <c r="E2426" s="2">
        <v>2215.7</v>
      </c>
      <c r="G2426" s="1" t="s">
        <v>4845</v>
      </c>
      <c r="H2426" s="2">
        <v>1761.99</v>
      </c>
      <c r="I2426" s="2">
        <v>1761.99</v>
      </c>
    </row>
    <row r="2427">
      <c r="A2427" s="1" t="s">
        <v>4846</v>
      </c>
      <c r="B2427" s="2">
        <v>1075.63</v>
      </c>
      <c r="C2427" s="2">
        <v>1075.63</v>
      </c>
      <c r="D2427" s="2">
        <v>2178.95</v>
      </c>
      <c r="E2427" s="2">
        <v>2178.95</v>
      </c>
      <c r="G2427" s="1" t="s">
        <v>4847</v>
      </c>
      <c r="H2427" s="2">
        <v>1779.64</v>
      </c>
      <c r="I2427" s="2">
        <v>1779.64</v>
      </c>
    </row>
    <row r="2428">
      <c r="A2428" s="1" t="s">
        <v>4848</v>
      </c>
      <c r="B2428" s="2">
        <v>1071.69</v>
      </c>
      <c r="C2428" s="2">
        <v>1071.69</v>
      </c>
      <c r="D2428" s="2">
        <v>2179.76</v>
      </c>
      <c r="E2428" s="2">
        <v>2179.76</v>
      </c>
      <c r="G2428" s="1" t="s">
        <v>4849</v>
      </c>
      <c r="H2428" s="2">
        <v>1775.54</v>
      </c>
      <c r="I2428" s="2">
        <v>1775.54</v>
      </c>
    </row>
    <row r="2429">
      <c r="A2429" s="1" t="s">
        <v>4850</v>
      </c>
      <c r="B2429" s="2" t="s">
        <v>0</v>
      </c>
      <c r="C2429" s="2">
        <v>1071.69</v>
      </c>
      <c r="D2429" s="2" t="s">
        <v>0</v>
      </c>
      <c r="E2429" s="2">
        <v>2179.76</v>
      </c>
      <c r="G2429" s="1" t="s">
        <v>4851</v>
      </c>
      <c r="H2429" s="2" t="s">
        <v>0</v>
      </c>
      <c r="I2429" s="2">
        <v>1775.54</v>
      </c>
    </row>
    <row r="2430">
      <c r="A2430" s="1" t="s">
        <v>4852</v>
      </c>
      <c r="B2430" s="2" t="s">
        <v>0</v>
      </c>
      <c r="C2430" s="2">
        <v>1071.69</v>
      </c>
      <c r="D2430" s="2" t="s">
        <v>0</v>
      </c>
      <c r="E2430" s="2">
        <v>2179.76</v>
      </c>
      <c r="G2430" s="1" t="s">
        <v>4853</v>
      </c>
      <c r="H2430" s="2" t="s">
        <v>0</v>
      </c>
      <c r="I2430" s="2">
        <v>1775.54</v>
      </c>
    </row>
    <row r="2431">
      <c r="A2431" s="1" t="s">
        <v>4854</v>
      </c>
      <c r="B2431" s="2">
        <v>1067.36</v>
      </c>
      <c r="C2431" s="2">
        <v>1067.36</v>
      </c>
      <c r="D2431" s="2">
        <v>2159.63</v>
      </c>
      <c r="E2431" s="2">
        <v>2159.63</v>
      </c>
      <c r="G2431" s="1" t="s">
        <v>4855</v>
      </c>
      <c r="H2431" s="2">
        <v>1767.71</v>
      </c>
      <c r="I2431" s="2">
        <v>1767.71</v>
      </c>
    </row>
    <row r="2432">
      <c r="A2432" s="1" t="s">
        <v>4856</v>
      </c>
      <c r="B2432" s="2">
        <v>1051.87</v>
      </c>
      <c r="C2432" s="2">
        <v>1051.87</v>
      </c>
      <c r="D2432" s="2">
        <v>2123.76</v>
      </c>
      <c r="E2432" s="2">
        <v>2123.76</v>
      </c>
      <c r="G2432" s="1" t="s">
        <v>4857</v>
      </c>
      <c r="H2432" s="2">
        <v>1760.53</v>
      </c>
      <c r="I2432" s="2">
        <v>1760.53</v>
      </c>
    </row>
    <row r="2433">
      <c r="A2433" s="1" t="s">
        <v>4858</v>
      </c>
      <c r="B2433" s="2">
        <v>1055.33</v>
      </c>
      <c r="C2433" s="2">
        <v>1055.33</v>
      </c>
      <c r="D2433" s="2">
        <v>2141.54</v>
      </c>
      <c r="E2433" s="2">
        <v>2141.54</v>
      </c>
      <c r="G2433" s="1" t="s">
        <v>4859</v>
      </c>
      <c r="H2433" s="2">
        <v>1734.79</v>
      </c>
      <c r="I2433" s="2">
        <v>1734.79</v>
      </c>
    </row>
    <row r="2434">
      <c r="A2434" s="1" t="s">
        <v>4860</v>
      </c>
      <c r="B2434" s="2">
        <v>1047.22</v>
      </c>
      <c r="C2434" s="2">
        <v>1047.22</v>
      </c>
      <c r="D2434" s="2">
        <v>2118.69</v>
      </c>
      <c r="E2434" s="2">
        <v>2118.69</v>
      </c>
      <c r="G2434" s="1" t="s">
        <v>4861</v>
      </c>
      <c r="H2434" s="2">
        <v>1729.76</v>
      </c>
      <c r="I2434" s="2">
        <v>1729.76</v>
      </c>
    </row>
    <row r="2435">
      <c r="A2435" s="1" t="s">
        <v>4862</v>
      </c>
      <c r="B2435" s="2">
        <v>1064.59</v>
      </c>
      <c r="C2435" s="2">
        <v>1064.59</v>
      </c>
      <c r="D2435" s="2">
        <v>2153.63</v>
      </c>
      <c r="E2435" s="2">
        <v>2153.63</v>
      </c>
      <c r="G2435" s="1" t="s">
        <v>4863</v>
      </c>
      <c r="H2435" s="2">
        <v>1729.56</v>
      </c>
      <c r="I2435" s="2">
        <v>1729.56</v>
      </c>
    </row>
    <row r="2436">
      <c r="A2436" s="1" t="s">
        <v>4864</v>
      </c>
      <c r="B2436" s="2" t="s">
        <v>0</v>
      </c>
      <c r="C2436" s="2">
        <v>1064.59</v>
      </c>
      <c r="D2436" s="2" t="s">
        <v>0</v>
      </c>
      <c r="E2436" s="2">
        <v>2153.63</v>
      </c>
      <c r="G2436" s="1" t="s">
        <v>4865</v>
      </c>
      <c r="H2436" s="2" t="s">
        <v>0</v>
      </c>
      <c r="I2436" s="2">
        <v>1729.56</v>
      </c>
    </row>
    <row r="2437">
      <c r="A2437" s="1" t="s">
        <v>4866</v>
      </c>
      <c r="B2437" s="2" t="s">
        <v>0</v>
      </c>
      <c r="C2437" s="2">
        <v>1064.59</v>
      </c>
      <c r="D2437" s="2" t="s">
        <v>0</v>
      </c>
      <c r="E2437" s="2">
        <v>2153.63</v>
      </c>
      <c r="G2437" s="1" t="s">
        <v>4867</v>
      </c>
      <c r="H2437" s="2" t="s">
        <v>0</v>
      </c>
      <c r="I2437" s="2">
        <v>1729.56</v>
      </c>
    </row>
    <row r="2438">
      <c r="A2438" s="1" t="s">
        <v>4868</v>
      </c>
      <c r="B2438" s="2">
        <v>1048.92</v>
      </c>
      <c r="C2438" s="2">
        <v>1048.92</v>
      </c>
      <c r="D2438" s="2">
        <v>2119.97</v>
      </c>
      <c r="E2438" s="2">
        <v>2119.97</v>
      </c>
      <c r="G2438" s="1" t="s">
        <v>4869</v>
      </c>
      <c r="H2438" s="2">
        <v>1760.13</v>
      </c>
      <c r="I2438" s="2">
        <v>1760.13</v>
      </c>
    </row>
    <row r="2439">
      <c r="A2439" s="1" t="s">
        <v>4870</v>
      </c>
      <c r="B2439" s="2">
        <v>1049.33</v>
      </c>
      <c r="C2439" s="2">
        <v>1049.33</v>
      </c>
      <c r="D2439" s="2">
        <v>2114.03</v>
      </c>
      <c r="E2439" s="2">
        <v>2114.03</v>
      </c>
      <c r="G2439" s="1" t="s">
        <v>4871</v>
      </c>
      <c r="H2439" s="2">
        <v>1742.75</v>
      </c>
      <c r="I2439" s="2">
        <v>1742.75</v>
      </c>
    </row>
    <row r="2440">
      <c r="A2440" s="1" t="s">
        <v>4872</v>
      </c>
      <c r="B2440" s="2">
        <v>1080.29</v>
      </c>
      <c r="C2440" s="2">
        <v>1080.29</v>
      </c>
      <c r="D2440" s="2">
        <v>2176.84</v>
      </c>
      <c r="E2440" s="2">
        <v>2176.84</v>
      </c>
      <c r="G2440" s="1" t="s">
        <v>4873</v>
      </c>
      <c r="H2440" s="2">
        <v>1764.69</v>
      </c>
      <c r="I2440" s="2">
        <v>1764.69</v>
      </c>
    </row>
    <row r="2441">
      <c r="A2441" s="1" t="s">
        <v>4874</v>
      </c>
      <c r="B2441" s="2">
        <v>1090.1</v>
      </c>
      <c r="C2441" s="2">
        <v>1090.1</v>
      </c>
      <c r="D2441" s="2">
        <v>2200.01</v>
      </c>
      <c r="E2441" s="2">
        <v>2200.01</v>
      </c>
      <c r="G2441" s="1" t="s">
        <v>4875</v>
      </c>
      <c r="H2441" s="2">
        <v>1775.73</v>
      </c>
      <c r="I2441" s="2">
        <v>1775.73</v>
      </c>
    </row>
    <row r="2442">
      <c r="A2442" s="1" t="s">
        <v>4876</v>
      </c>
      <c r="B2442" s="2">
        <v>1104.51</v>
      </c>
      <c r="C2442" s="2">
        <v>1104.51</v>
      </c>
      <c r="D2442" s="2">
        <v>2233.75</v>
      </c>
      <c r="E2442" s="2">
        <v>2233.75</v>
      </c>
      <c r="G2442" s="1" t="s">
        <v>4877</v>
      </c>
      <c r="H2442" s="2">
        <v>1780.02</v>
      </c>
      <c r="I2442" s="2">
        <v>1780.02</v>
      </c>
    </row>
    <row r="2443">
      <c r="A2443" s="1" t="s">
        <v>4878</v>
      </c>
      <c r="B2443" s="2" t="s">
        <v>0</v>
      </c>
      <c r="C2443" s="2">
        <v>1104.51</v>
      </c>
      <c r="D2443" s="2" t="s">
        <v>0</v>
      </c>
      <c r="E2443" s="2">
        <v>2233.75</v>
      </c>
      <c r="G2443" s="1" t="s">
        <v>4879</v>
      </c>
      <c r="H2443" s="2" t="s">
        <v>0</v>
      </c>
      <c r="I2443" s="2">
        <v>1780.02</v>
      </c>
    </row>
    <row r="2444">
      <c r="A2444" s="1" t="s">
        <v>4880</v>
      </c>
      <c r="B2444" s="2" t="s">
        <v>0</v>
      </c>
      <c r="C2444" s="2">
        <v>1104.51</v>
      </c>
      <c r="D2444" s="2" t="s">
        <v>0</v>
      </c>
      <c r="E2444" s="2">
        <v>2233.75</v>
      </c>
      <c r="G2444" s="1" t="s">
        <v>4881</v>
      </c>
      <c r="H2444" s="2" t="s">
        <v>0</v>
      </c>
      <c r="I2444" s="2">
        <v>1780.02</v>
      </c>
    </row>
    <row r="2445">
      <c r="A2445" s="1" t="s">
        <v>4882</v>
      </c>
      <c r="B2445" s="2" t="s">
        <v>0</v>
      </c>
      <c r="C2445" s="2">
        <v>1104.51</v>
      </c>
      <c r="D2445" s="2" t="s">
        <v>0</v>
      </c>
      <c r="E2445" s="2">
        <v>2233.75</v>
      </c>
      <c r="G2445" s="1" t="s">
        <v>4883</v>
      </c>
      <c r="H2445" s="2">
        <v>1792.42</v>
      </c>
      <c r="I2445" s="2">
        <v>1792.42</v>
      </c>
    </row>
    <row r="2446">
      <c r="A2446" s="1" t="s">
        <v>4884</v>
      </c>
      <c r="B2446" s="2">
        <v>1091.84</v>
      </c>
      <c r="C2446" s="2">
        <v>1091.84</v>
      </c>
      <c r="D2446" s="2">
        <v>2208.89</v>
      </c>
      <c r="E2446" s="2">
        <v>2208.89</v>
      </c>
      <c r="G2446" s="1" t="s">
        <v>4885</v>
      </c>
      <c r="H2446" s="2">
        <v>1787.74</v>
      </c>
      <c r="I2446" s="2">
        <v>1787.74</v>
      </c>
    </row>
    <row r="2447">
      <c r="A2447" s="1" t="s">
        <v>4886</v>
      </c>
      <c r="B2447" s="2">
        <v>1098.87</v>
      </c>
      <c r="C2447" s="2">
        <v>1098.87</v>
      </c>
      <c r="D2447" s="2">
        <v>2228.87</v>
      </c>
      <c r="E2447" s="2">
        <v>2228.87</v>
      </c>
      <c r="G2447" s="1" t="s">
        <v>4887</v>
      </c>
      <c r="H2447" s="2">
        <v>1779.22</v>
      </c>
      <c r="I2447" s="2">
        <v>1779.22</v>
      </c>
    </row>
    <row r="2448">
      <c r="A2448" s="1" t="s">
        <v>4888</v>
      </c>
      <c r="B2448" s="2">
        <v>1104.18</v>
      </c>
      <c r="C2448" s="2">
        <v>1104.18</v>
      </c>
      <c r="D2448" s="2">
        <v>2236.2</v>
      </c>
      <c r="E2448" s="2">
        <v>2236.2</v>
      </c>
      <c r="G2448" s="1" t="s">
        <v>4889</v>
      </c>
      <c r="H2448" s="2">
        <v>1784.36</v>
      </c>
      <c r="I2448" s="2">
        <v>1784.36</v>
      </c>
    </row>
    <row r="2449">
      <c r="A2449" s="1" t="s">
        <v>4890</v>
      </c>
      <c r="B2449" s="2">
        <v>1109.55</v>
      </c>
      <c r="C2449" s="2">
        <v>1109.55</v>
      </c>
      <c r="D2449" s="2">
        <v>2242.48</v>
      </c>
      <c r="E2449" s="2">
        <v>2242.48</v>
      </c>
      <c r="G2449" s="1" t="s">
        <v>4891</v>
      </c>
      <c r="H2449" s="2">
        <v>1802.58</v>
      </c>
      <c r="I2449" s="2">
        <v>1802.58</v>
      </c>
    </row>
    <row r="2450">
      <c r="A2450" s="1" t="s">
        <v>4892</v>
      </c>
      <c r="B2450" s="2" t="s">
        <v>0</v>
      </c>
      <c r="C2450" s="2">
        <v>1109.55</v>
      </c>
      <c r="D2450" s="2" t="s">
        <v>0</v>
      </c>
      <c r="E2450" s="2">
        <v>2242.48</v>
      </c>
      <c r="G2450" s="1" t="s">
        <v>4893</v>
      </c>
      <c r="H2450" s="2" t="s">
        <v>0</v>
      </c>
      <c r="I2450" s="2">
        <v>1802.58</v>
      </c>
    </row>
    <row r="2451">
      <c r="A2451" s="1" t="s">
        <v>4894</v>
      </c>
      <c r="B2451" s="2" t="s">
        <v>0</v>
      </c>
      <c r="C2451" s="2">
        <v>1109.55</v>
      </c>
      <c r="D2451" s="2" t="s">
        <v>0</v>
      </c>
      <c r="E2451" s="2">
        <v>2242.48</v>
      </c>
      <c r="G2451" s="1" t="s">
        <v>4895</v>
      </c>
      <c r="H2451" s="2" t="s">
        <v>0</v>
      </c>
      <c r="I2451" s="2">
        <v>1802.58</v>
      </c>
    </row>
    <row r="2452">
      <c r="A2452" s="1" t="s">
        <v>4896</v>
      </c>
      <c r="B2452" s="2">
        <v>1121.9</v>
      </c>
      <c r="C2452" s="2">
        <v>1121.9</v>
      </c>
      <c r="D2452" s="2">
        <v>2285.71</v>
      </c>
      <c r="E2452" s="2">
        <v>2285.71</v>
      </c>
      <c r="G2452" s="1" t="s">
        <v>4897</v>
      </c>
      <c r="H2452" s="2">
        <v>1818.86</v>
      </c>
      <c r="I2452" s="2">
        <v>1818.86</v>
      </c>
    </row>
    <row r="2453">
      <c r="A2453" s="1" t="s">
        <v>4898</v>
      </c>
      <c r="B2453" s="2">
        <v>1121.1</v>
      </c>
      <c r="C2453" s="2">
        <v>1121.1</v>
      </c>
      <c r="D2453" s="2">
        <v>2289.77</v>
      </c>
      <c r="E2453" s="2">
        <v>2289.77</v>
      </c>
      <c r="G2453" s="1" t="s">
        <v>4899</v>
      </c>
      <c r="H2453" s="2">
        <v>1815.25</v>
      </c>
      <c r="I2453" s="2">
        <v>1815.25</v>
      </c>
    </row>
    <row r="2454">
      <c r="A2454" s="1" t="s">
        <v>4900</v>
      </c>
      <c r="B2454" s="2">
        <v>1125.07</v>
      </c>
      <c r="C2454" s="2">
        <v>1125.07</v>
      </c>
      <c r="D2454" s="2">
        <v>2301.32</v>
      </c>
      <c r="E2454" s="2">
        <v>2301.32</v>
      </c>
      <c r="G2454" s="1" t="s">
        <v>4901</v>
      </c>
      <c r="H2454" s="2">
        <v>1823.88</v>
      </c>
      <c r="I2454" s="2">
        <v>1823.88</v>
      </c>
    </row>
    <row r="2455">
      <c r="A2455" s="1" t="s">
        <v>4902</v>
      </c>
      <c r="B2455" s="2">
        <v>1124.66</v>
      </c>
      <c r="C2455" s="2">
        <v>1124.66</v>
      </c>
      <c r="D2455" s="2">
        <v>2303.25</v>
      </c>
      <c r="E2455" s="2">
        <v>2303.25</v>
      </c>
      <c r="G2455" s="1" t="s">
        <v>4903</v>
      </c>
      <c r="H2455" s="2">
        <v>1811.85</v>
      </c>
      <c r="I2455" s="2">
        <v>1811.85</v>
      </c>
    </row>
    <row r="2456">
      <c r="A2456" s="1" t="s">
        <v>4904</v>
      </c>
      <c r="B2456" s="2">
        <v>1125.59</v>
      </c>
      <c r="C2456" s="2">
        <v>1125.59</v>
      </c>
      <c r="D2456" s="2">
        <v>2315.61</v>
      </c>
      <c r="E2456" s="2">
        <v>2315.61</v>
      </c>
      <c r="G2456" s="1" t="s">
        <v>4905</v>
      </c>
      <c r="H2456" s="2">
        <v>1827.35</v>
      </c>
      <c r="I2456" s="2">
        <v>1827.35</v>
      </c>
    </row>
    <row r="2457">
      <c r="A2457" s="1" t="s">
        <v>4906</v>
      </c>
      <c r="B2457" s="2" t="s">
        <v>0</v>
      </c>
      <c r="C2457" s="2">
        <v>1125.59</v>
      </c>
      <c r="D2457" s="2" t="s">
        <v>0</v>
      </c>
      <c r="E2457" s="2">
        <v>2315.61</v>
      </c>
      <c r="G2457" s="1" t="s">
        <v>4907</v>
      </c>
      <c r="H2457" s="2" t="s">
        <v>0</v>
      </c>
      <c r="I2457" s="2">
        <v>1827.35</v>
      </c>
    </row>
    <row r="2458">
      <c r="A2458" s="1" t="s">
        <v>4908</v>
      </c>
      <c r="B2458" s="2" t="s">
        <v>0</v>
      </c>
      <c r="C2458" s="2">
        <v>1125.59</v>
      </c>
      <c r="D2458" s="2" t="s">
        <v>0</v>
      </c>
      <c r="E2458" s="2">
        <v>2315.61</v>
      </c>
      <c r="G2458" s="1" t="s">
        <v>4909</v>
      </c>
      <c r="H2458" s="2" t="s">
        <v>0</v>
      </c>
      <c r="I2458" s="2">
        <v>1827.35</v>
      </c>
    </row>
    <row r="2459">
      <c r="A2459" s="1" t="s">
        <v>4910</v>
      </c>
      <c r="B2459" s="2">
        <v>1142.71</v>
      </c>
      <c r="C2459" s="2">
        <v>1142.71</v>
      </c>
      <c r="D2459" s="2">
        <v>2355.83</v>
      </c>
      <c r="E2459" s="2">
        <v>2355.83</v>
      </c>
      <c r="G2459" s="1" t="s">
        <v>4911</v>
      </c>
      <c r="H2459" s="2">
        <v>1832.63</v>
      </c>
      <c r="I2459" s="2">
        <v>1832.63</v>
      </c>
    </row>
    <row r="2460">
      <c r="A2460" s="1" t="s">
        <v>4912</v>
      </c>
      <c r="B2460" s="2">
        <v>1139.78</v>
      </c>
      <c r="C2460" s="2">
        <v>1139.78</v>
      </c>
      <c r="D2460" s="2">
        <v>2349.35</v>
      </c>
      <c r="E2460" s="2">
        <v>2349.35</v>
      </c>
      <c r="G2460" s="1" t="s">
        <v>4913</v>
      </c>
      <c r="H2460" s="2" t="s">
        <v>0</v>
      </c>
      <c r="I2460" s="2">
        <v>1832.63</v>
      </c>
    </row>
    <row r="2461">
      <c r="A2461" s="1" t="s">
        <v>4914</v>
      </c>
      <c r="B2461" s="2">
        <v>1134.28</v>
      </c>
      <c r="C2461" s="2">
        <v>1134.28</v>
      </c>
      <c r="D2461" s="2">
        <v>2334.55</v>
      </c>
      <c r="E2461" s="2">
        <v>2334.55</v>
      </c>
      <c r="G2461" s="1" t="s">
        <v>4915</v>
      </c>
      <c r="H2461" s="2" t="s">
        <v>0</v>
      </c>
      <c r="I2461" s="2">
        <v>1832.63</v>
      </c>
    </row>
    <row r="2462">
      <c r="A2462" s="1" t="s">
        <v>4916</v>
      </c>
      <c r="B2462" s="2">
        <v>1124.83</v>
      </c>
      <c r="C2462" s="2">
        <v>1124.83</v>
      </c>
      <c r="D2462" s="2">
        <v>2327.08</v>
      </c>
      <c r="E2462" s="2">
        <v>2327.08</v>
      </c>
      <c r="G2462" s="1" t="s">
        <v>4917</v>
      </c>
      <c r="H2462" s="2" t="s">
        <v>0</v>
      </c>
      <c r="I2462" s="2">
        <v>1832.63</v>
      </c>
    </row>
    <row r="2463">
      <c r="A2463" s="1" t="s">
        <v>4918</v>
      </c>
      <c r="B2463" s="2">
        <v>1148.67</v>
      </c>
      <c r="C2463" s="2">
        <v>1148.67</v>
      </c>
      <c r="D2463" s="2">
        <v>2381.22</v>
      </c>
      <c r="E2463" s="2">
        <v>2381.22</v>
      </c>
      <c r="G2463" s="1" t="s">
        <v>4919</v>
      </c>
      <c r="H2463" s="2">
        <v>1846.6</v>
      </c>
      <c r="I2463" s="2">
        <v>1846.6</v>
      </c>
    </row>
    <row r="2464">
      <c r="A2464" s="1" t="s">
        <v>4920</v>
      </c>
      <c r="B2464" s="2" t="s">
        <v>0</v>
      </c>
      <c r="C2464" s="2">
        <v>1148.67</v>
      </c>
      <c r="D2464" s="2" t="s">
        <v>0</v>
      </c>
      <c r="E2464" s="2">
        <v>2381.22</v>
      </c>
      <c r="G2464" s="1" t="s">
        <v>4921</v>
      </c>
      <c r="H2464" s="2" t="s">
        <v>0</v>
      </c>
      <c r="I2464" s="2">
        <v>1846.6</v>
      </c>
    </row>
    <row r="2465">
      <c r="A2465" s="1" t="s">
        <v>4922</v>
      </c>
      <c r="B2465" s="2" t="s">
        <v>0</v>
      </c>
      <c r="C2465" s="2">
        <v>1148.67</v>
      </c>
      <c r="D2465" s="2" t="s">
        <v>0</v>
      </c>
      <c r="E2465" s="2">
        <v>2381.22</v>
      </c>
      <c r="G2465" s="1" t="s">
        <v>4923</v>
      </c>
      <c r="H2465" s="2" t="s">
        <v>0</v>
      </c>
      <c r="I2465" s="2">
        <v>1846.6</v>
      </c>
    </row>
    <row r="2466">
      <c r="A2466" s="1" t="s">
        <v>4924</v>
      </c>
      <c r="B2466" s="2">
        <v>1142.16</v>
      </c>
      <c r="C2466" s="2">
        <v>1142.16</v>
      </c>
      <c r="D2466" s="2">
        <v>2369.77</v>
      </c>
      <c r="E2466" s="2">
        <v>2369.77</v>
      </c>
      <c r="G2466" s="1" t="s">
        <v>4925</v>
      </c>
      <c r="H2466" s="2">
        <v>1860.83</v>
      </c>
      <c r="I2466" s="2">
        <v>1860.83</v>
      </c>
    </row>
    <row r="2467">
      <c r="A2467" s="1" t="s">
        <v>4926</v>
      </c>
      <c r="B2467" s="2">
        <v>1147.7</v>
      </c>
      <c r="C2467" s="2">
        <v>1147.7</v>
      </c>
      <c r="D2467" s="2">
        <v>2379.59</v>
      </c>
      <c r="E2467" s="2">
        <v>2379.59</v>
      </c>
      <c r="G2467" s="1" t="s">
        <v>4927</v>
      </c>
      <c r="H2467" s="2">
        <v>1855.97</v>
      </c>
      <c r="I2467" s="2">
        <v>1855.97</v>
      </c>
    </row>
    <row r="2468">
      <c r="A2468" s="1" t="s">
        <v>4928</v>
      </c>
      <c r="B2468" s="2">
        <v>1144.73</v>
      </c>
      <c r="C2468" s="2">
        <v>1144.73</v>
      </c>
      <c r="D2468" s="2">
        <v>2376.56</v>
      </c>
      <c r="E2468" s="2">
        <v>2376.56</v>
      </c>
      <c r="G2468" s="1" t="s">
        <v>4929</v>
      </c>
      <c r="H2468" s="2">
        <v>1866.45</v>
      </c>
      <c r="I2468" s="2">
        <v>1866.45</v>
      </c>
    </row>
    <row r="2469">
      <c r="A2469" s="1" t="s">
        <v>4930</v>
      </c>
      <c r="B2469" s="2">
        <v>1141.2</v>
      </c>
      <c r="C2469" s="2">
        <v>1141.2</v>
      </c>
      <c r="D2469" s="2">
        <v>2368.62</v>
      </c>
      <c r="E2469" s="2">
        <v>2368.62</v>
      </c>
      <c r="G2469" s="1" t="s">
        <v>4931</v>
      </c>
      <c r="H2469" s="2">
        <v>1872.81</v>
      </c>
      <c r="I2469" s="2">
        <v>1872.81</v>
      </c>
    </row>
    <row r="2470">
      <c r="A2470" s="1" t="s">
        <v>4932</v>
      </c>
      <c r="B2470" s="2">
        <v>1146.24</v>
      </c>
      <c r="C2470" s="2">
        <v>1146.24</v>
      </c>
      <c r="D2470" s="2">
        <v>2370.75</v>
      </c>
      <c r="E2470" s="2">
        <v>2370.75</v>
      </c>
      <c r="G2470" s="1" t="s">
        <v>4933</v>
      </c>
      <c r="H2470" s="2">
        <v>1876.73</v>
      </c>
      <c r="I2470" s="2">
        <v>1876.73</v>
      </c>
    </row>
    <row r="2471">
      <c r="A2471" s="1" t="s">
        <v>4934</v>
      </c>
      <c r="B2471" s="2" t="s">
        <v>0</v>
      </c>
      <c r="C2471" s="2">
        <v>1146.24</v>
      </c>
      <c r="D2471" s="2" t="s">
        <v>0</v>
      </c>
      <c r="E2471" s="2">
        <v>2370.75</v>
      </c>
      <c r="G2471" s="1" t="s">
        <v>4935</v>
      </c>
      <c r="H2471" s="2" t="s">
        <v>0</v>
      </c>
      <c r="I2471" s="2">
        <v>1876.73</v>
      </c>
    </row>
    <row r="2472">
      <c r="A2472" s="1" t="s">
        <v>4936</v>
      </c>
      <c r="B2472" s="2" t="s">
        <v>0</v>
      </c>
      <c r="C2472" s="2">
        <v>1146.24</v>
      </c>
      <c r="D2472" s="2" t="s">
        <v>0</v>
      </c>
      <c r="E2472" s="2">
        <v>2370.75</v>
      </c>
      <c r="G2472" s="1" t="s">
        <v>4937</v>
      </c>
      <c r="H2472" s="2" t="s">
        <v>0</v>
      </c>
      <c r="I2472" s="2">
        <v>1876.73</v>
      </c>
    </row>
    <row r="2473">
      <c r="A2473" s="1" t="s">
        <v>4938</v>
      </c>
      <c r="B2473" s="2">
        <v>1137.03</v>
      </c>
      <c r="C2473" s="2">
        <v>1137.03</v>
      </c>
      <c r="D2473" s="2">
        <v>2344.52</v>
      </c>
      <c r="E2473" s="2">
        <v>2344.52</v>
      </c>
      <c r="G2473" s="1" t="s">
        <v>4939</v>
      </c>
      <c r="H2473" s="2">
        <v>1879.29</v>
      </c>
      <c r="I2473" s="2">
        <v>1879.29</v>
      </c>
    </row>
    <row r="2474">
      <c r="A2474" s="1" t="s">
        <v>4940</v>
      </c>
      <c r="B2474" s="2">
        <v>1160.75</v>
      </c>
      <c r="C2474" s="2">
        <v>1160.75</v>
      </c>
      <c r="D2474" s="2">
        <v>2399.83</v>
      </c>
      <c r="E2474" s="2">
        <v>2399.83</v>
      </c>
      <c r="G2474" s="1" t="s">
        <v>4941</v>
      </c>
      <c r="H2474" s="2">
        <v>1878.94</v>
      </c>
      <c r="I2474" s="2">
        <v>1878.94</v>
      </c>
    </row>
    <row r="2475">
      <c r="A2475" s="1" t="s">
        <v>4942</v>
      </c>
      <c r="B2475" s="2">
        <v>1157.18</v>
      </c>
      <c r="C2475" s="2">
        <v>1157.18</v>
      </c>
      <c r="D2475" s="2">
        <v>2373.81</v>
      </c>
      <c r="E2475" s="2">
        <v>2373.81</v>
      </c>
      <c r="G2475" s="1" t="s">
        <v>4943</v>
      </c>
      <c r="H2475" s="2">
        <v>1903.95</v>
      </c>
      <c r="I2475" s="2">
        <v>1903.95</v>
      </c>
    </row>
    <row r="2476">
      <c r="A2476" s="1" t="s">
        <v>4944</v>
      </c>
      <c r="B2476" s="2">
        <v>1158.06</v>
      </c>
      <c r="C2476" s="2">
        <v>1158.06</v>
      </c>
      <c r="D2476" s="2">
        <v>2383.67</v>
      </c>
      <c r="E2476" s="2">
        <v>2383.67</v>
      </c>
      <c r="G2476" s="1" t="s">
        <v>4945</v>
      </c>
      <c r="H2476" s="2">
        <v>1900.85</v>
      </c>
      <c r="I2476" s="2">
        <v>1900.85</v>
      </c>
    </row>
    <row r="2477">
      <c r="A2477" s="1" t="s">
        <v>4946</v>
      </c>
      <c r="B2477" s="2">
        <v>1165.15</v>
      </c>
      <c r="C2477" s="2">
        <v>1165.15</v>
      </c>
      <c r="D2477" s="2">
        <v>2401.91</v>
      </c>
      <c r="E2477" s="2">
        <v>2401.91</v>
      </c>
      <c r="G2477" s="1" t="s">
        <v>4947</v>
      </c>
      <c r="H2477" s="2">
        <v>1897.07</v>
      </c>
      <c r="I2477" s="2">
        <v>1897.07</v>
      </c>
    </row>
    <row r="2478">
      <c r="A2478" s="1" t="s">
        <v>4948</v>
      </c>
      <c r="B2478" s="2" t="s">
        <v>0</v>
      </c>
      <c r="C2478" s="2">
        <v>1165.15</v>
      </c>
      <c r="D2478" s="2" t="s">
        <v>0</v>
      </c>
      <c r="E2478" s="2">
        <v>2401.91</v>
      </c>
      <c r="G2478" s="1" t="s">
        <v>4949</v>
      </c>
      <c r="H2478" s="2" t="s">
        <v>0</v>
      </c>
      <c r="I2478" s="2">
        <v>1897.07</v>
      </c>
    </row>
    <row r="2479">
      <c r="A2479" s="1" t="s">
        <v>4950</v>
      </c>
      <c r="B2479" s="2" t="s">
        <v>0</v>
      </c>
      <c r="C2479" s="2">
        <v>1165.15</v>
      </c>
      <c r="D2479" s="2" t="s">
        <v>0</v>
      </c>
      <c r="E2479" s="2">
        <v>2401.91</v>
      </c>
      <c r="G2479" s="1" t="s">
        <v>4951</v>
      </c>
      <c r="H2479" s="2" t="s">
        <v>0</v>
      </c>
      <c r="I2479" s="2">
        <v>1897.07</v>
      </c>
    </row>
    <row r="2480">
      <c r="A2480" s="1" t="s">
        <v>4952</v>
      </c>
      <c r="B2480" s="2">
        <v>1165.32</v>
      </c>
      <c r="C2480" s="2">
        <v>1165.32</v>
      </c>
      <c r="D2480" s="2">
        <v>2402.33</v>
      </c>
      <c r="E2480" s="2">
        <v>2402.33</v>
      </c>
      <c r="G2480" s="1" t="s">
        <v>4953</v>
      </c>
      <c r="H2480" s="2">
        <v>1889.91</v>
      </c>
      <c r="I2480" s="2">
        <v>1889.91</v>
      </c>
    </row>
    <row r="2481">
      <c r="A2481" s="1" t="s">
        <v>4954</v>
      </c>
      <c r="B2481" s="2">
        <v>1169.77</v>
      </c>
      <c r="C2481" s="2">
        <v>1169.77</v>
      </c>
      <c r="D2481" s="2">
        <v>2417.92</v>
      </c>
      <c r="E2481" s="2">
        <v>2417.92</v>
      </c>
      <c r="G2481" s="1" t="s">
        <v>4955</v>
      </c>
      <c r="H2481" s="2">
        <v>1868.04</v>
      </c>
      <c r="I2481" s="2">
        <v>1868.04</v>
      </c>
    </row>
    <row r="2482">
      <c r="A2482" s="1" t="s">
        <v>4956</v>
      </c>
      <c r="B2482" s="2">
        <v>1178.1</v>
      </c>
      <c r="C2482" s="2">
        <v>1178.1</v>
      </c>
      <c r="D2482" s="2">
        <v>2441.23</v>
      </c>
      <c r="E2482" s="2">
        <v>2441.23</v>
      </c>
      <c r="G2482" s="1" t="s">
        <v>4957</v>
      </c>
      <c r="H2482" s="2">
        <v>1876.15</v>
      </c>
      <c r="I2482" s="2">
        <v>1876.15</v>
      </c>
    </row>
    <row r="2483">
      <c r="A2483" s="1" t="s">
        <v>4958</v>
      </c>
      <c r="B2483" s="2">
        <v>1173.81</v>
      </c>
      <c r="C2483" s="2">
        <v>1173.81</v>
      </c>
      <c r="D2483" s="2">
        <v>2435.38</v>
      </c>
      <c r="E2483" s="2">
        <v>2435.38</v>
      </c>
      <c r="G2483" s="1" t="s">
        <v>4959</v>
      </c>
      <c r="H2483" s="2">
        <v>1899.76</v>
      </c>
      <c r="I2483" s="2">
        <v>1899.76</v>
      </c>
    </row>
    <row r="2484">
      <c r="A2484" s="1" t="s">
        <v>4960</v>
      </c>
      <c r="B2484" s="2">
        <v>1176.19</v>
      </c>
      <c r="C2484" s="2">
        <v>1176.19</v>
      </c>
      <c r="D2484" s="2">
        <v>2468.77</v>
      </c>
      <c r="E2484" s="2">
        <v>2468.77</v>
      </c>
      <c r="G2484" s="1" t="s">
        <v>4961</v>
      </c>
      <c r="H2484" s="2">
        <v>1902.29</v>
      </c>
      <c r="I2484" s="2">
        <v>1902.29</v>
      </c>
    </row>
    <row r="2485">
      <c r="A2485" s="1" t="s">
        <v>4962</v>
      </c>
      <c r="B2485" s="2" t="s">
        <v>0</v>
      </c>
      <c r="C2485" s="2">
        <v>1176.19</v>
      </c>
      <c r="D2485" s="2" t="s">
        <v>0</v>
      </c>
      <c r="E2485" s="2">
        <v>2468.77</v>
      </c>
      <c r="G2485" s="1" t="s">
        <v>4963</v>
      </c>
      <c r="H2485" s="2" t="s">
        <v>0</v>
      </c>
      <c r="I2485" s="2">
        <v>1902.29</v>
      </c>
    </row>
    <row r="2486">
      <c r="A2486" s="1" t="s">
        <v>4964</v>
      </c>
      <c r="B2486" s="2" t="s">
        <v>0</v>
      </c>
      <c r="C2486" s="2">
        <v>1176.19</v>
      </c>
      <c r="D2486" s="2" t="s">
        <v>0</v>
      </c>
      <c r="E2486" s="2">
        <v>2468.77</v>
      </c>
      <c r="G2486" s="1" t="s">
        <v>4965</v>
      </c>
      <c r="H2486" s="2" t="s">
        <v>0</v>
      </c>
      <c r="I2486" s="2">
        <v>1902.29</v>
      </c>
    </row>
    <row r="2487">
      <c r="A2487" s="1" t="s">
        <v>4966</v>
      </c>
      <c r="B2487" s="2">
        <v>1184.71</v>
      </c>
      <c r="C2487" s="2">
        <v>1184.71</v>
      </c>
      <c r="D2487" s="2">
        <v>2480.66</v>
      </c>
      <c r="E2487" s="2">
        <v>2480.66</v>
      </c>
      <c r="G2487" s="1" t="s">
        <v>4967</v>
      </c>
      <c r="H2487" s="2">
        <v>1875.42</v>
      </c>
      <c r="I2487" s="2">
        <v>1875.42</v>
      </c>
    </row>
    <row r="2488">
      <c r="A2488" s="1" t="s">
        <v>4968</v>
      </c>
      <c r="B2488" s="2">
        <v>1165.9</v>
      </c>
      <c r="C2488" s="2">
        <v>1165.9</v>
      </c>
      <c r="D2488" s="2">
        <v>2436.95</v>
      </c>
      <c r="E2488" s="2">
        <v>2436.95</v>
      </c>
      <c r="G2488" s="1" t="s">
        <v>4969</v>
      </c>
      <c r="H2488" s="2">
        <v>1857.32</v>
      </c>
      <c r="I2488" s="2">
        <v>1857.32</v>
      </c>
    </row>
    <row r="2489">
      <c r="A2489" s="1" t="s">
        <v>4970</v>
      </c>
      <c r="B2489" s="2">
        <v>1178.17</v>
      </c>
      <c r="C2489" s="2">
        <v>1178.17</v>
      </c>
      <c r="D2489" s="2">
        <v>2457.39</v>
      </c>
      <c r="E2489" s="2">
        <v>2457.39</v>
      </c>
      <c r="G2489" s="1" t="s">
        <v>4971</v>
      </c>
      <c r="H2489" s="2">
        <v>1870.44</v>
      </c>
      <c r="I2489" s="2">
        <v>1870.44</v>
      </c>
    </row>
    <row r="2490">
      <c r="A2490" s="1" t="s">
        <v>4972</v>
      </c>
      <c r="B2490" s="2">
        <v>1180.26</v>
      </c>
      <c r="C2490" s="2">
        <v>1180.26</v>
      </c>
      <c r="D2490" s="2">
        <v>2459.67</v>
      </c>
      <c r="E2490" s="2">
        <v>2459.67</v>
      </c>
      <c r="G2490" s="1" t="s">
        <v>4973</v>
      </c>
      <c r="H2490" s="2">
        <v>1874.69</v>
      </c>
      <c r="I2490" s="2">
        <v>1874.69</v>
      </c>
    </row>
    <row r="2491">
      <c r="A2491" s="1" t="s">
        <v>4974</v>
      </c>
      <c r="B2491" s="2">
        <v>1183.08</v>
      </c>
      <c r="C2491" s="2">
        <v>1183.08</v>
      </c>
      <c r="D2491" s="2">
        <v>2479.39</v>
      </c>
      <c r="E2491" s="2">
        <v>2479.39</v>
      </c>
      <c r="G2491" s="1" t="s">
        <v>4975</v>
      </c>
      <c r="H2491" s="2">
        <v>1897.31</v>
      </c>
      <c r="I2491" s="2">
        <v>1897.31</v>
      </c>
    </row>
    <row r="2492">
      <c r="A2492" s="1" t="s">
        <v>4976</v>
      </c>
      <c r="B2492" s="2" t="s">
        <v>0</v>
      </c>
      <c r="C2492" s="2">
        <v>1183.08</v>
      </c>
      <c r="D2492" s="2" t="s">
        <v>0</v>
      </c>
      <c r="E2492" s="2">
        <v>2479.39</v>
      </c>
      <c r="G2492" s="1" t="s">
        <v>4977</v>
      </c>
      <c r="H2492" s="2" t="s">
        <v>0</v>
      </c>
      <c r="I2492" s="2">
        <v>1897.31</v>
      </c>
    </row>
    <row r="2493">
      <c r="A2493" s="1" t="s">
        <v>4978</v>
      </c>
      <c r="B2493" s="2" t="s">
        <v>0</v>
      </c>
      <c r="C2493" s="2">
        <v>1183.08</v>
      </c>
      <c r="D2493" s="2" t="s">
        <v>0</v>
      </c>
      <c r="E2493" s="2">
        <v>2479.39</v>
      </c>
      <c r="G2493" s="1" t="s">
        <v>4979</v>
      </c>
      <c r="H2493" s="2" t="s">
        <v>0</v>
      </c>
      <c r="I2493" s="2">
        <v>1897.31</v>
      </c>
    </row>
    <row r="2494">
      <c r="A2494" s="1" t="s">
        <v>4980</v>
      </c>
      <c r="B2494" s="2">
        <v>1185.62</v>
      </c>
      <c r="C2494" s="2">
        <v>1185.62</v>
      </c>
      <c r="D2494" s="2">
        <v>2490.85</v>
      </c>
      <c r="E2494" s="2">
        <v>2490.85</v>
      </c>
      <c r="G2494" s="1" t="s">
        <v>4981</v>
      </c>
      <c r="H2494" s="2">
        <v>1915.71</v>
      </c>
      <c r="I2494" s="2">
        <v>1915.71</v>
      </c>
    </row>
    <row r="2495">
      <c r="A2495" s="1" t="s">
        <v>4982</v>
      </c>
      <c r="B2495" s="2">
        <v>1185.64</v>
      </c>
      <c r="C2495" s="2">
        <v>1185.64</v>
      </c>
      <c r="D2495" s="2">
        <v>2497.29</v>
      </c>
      <c r="E2495" s="2">
        <v>2497.29</v>
      </c>
      <c r="G2495" s="1" t="s">
        <v>4983</v>
      </c>
      <c r="H2495" s="2">
        <v>1919.41</v>
      </c>
      <c r="I2495" s="2">
        <v>1919.41</v>
      </c>
    </row>
    <row r="2496">
      <c r="A2496" s="1" t="s">
        <v>4984</v>
      </c>
      <c r="B2496" s="2">
        <v>1182.45</v>
      </c>
      <c r="C2496" s="2">
        <v>1182.45</v>
      </c>
      <c r="D2496" s="2">
        <v>2503.26</v>
      </c>
      <c r="E2496" s="2">
        <v>2503.26</v>
      </c>
      <c r="G2496" s="1" t="s">
        <v>4985</v>
      </c>
      <c r="H2496" s="2">
        <v>1909.54</v>
      </c>
      <c r="I2496" s="2">
        <v>1909.54</v>
      </c>
    </row>
    <row r="2497">
      <c r="A2497" s="1" t="s">
        <v>4986</v>
      </c>
      <c r="B2497" s="2">
        <v>1183.78</v>
      </c>
      <c r="C2497" s="2">
        <v>1183.78</v>
      </c>
      <c r="D2497" s="2">
        <v>2507.37</v>
      </c>
      <c r="E2497" s="2">
        <v>2507.37</v>
      </c>
      <c r="G2497" s="1" t="s">
        <v>4987</v>
      </c>
      <c r="H2497" s="2">
        <v>1907.87</v>
      </c>
      <c r="I2497" s="2">
        <v>1907.87</v>
      </c>
    </row>
    <row r="2498">
      <c r="A2498" s="1" t="s">
        <v>4988</v>
      </c>
      <c r="B2498" s="2">
        <v>1183.26</v>
      </c>
      <c r="C2498" s="2">
        <v>1183.26</v>
      </c>
      <c r="D2498" s="2">
        <v>2507.41</v>
      </c>
      <c r="E2498" s="2">
        <v>2507.41</v>
      </c>
      <c r="G2498" s="1" t="s">
        <v>4989</v>
      </c>
      <c r="H2498" s="2">
        <v>1882.95</v>
      </c>
      <c r="I2498" s="2">
        <v>1882.95</v>
      </c>
    </row>
    <row r="2499">
      <c r="A2499" s="1" t="s">
        <v>4990</v>
      </c>
      <c r="B2499" s="2" t="s">
        <v>0</v>
      </c>
      <c r="C2499" s="2">
        <v>1183.26</v>
      </c>
      <c r="D2499" s="2" t="s">
        <v>0</v>
      </c>
      <c r="E2499" s="2">
        <v>2507.41</v>
      </c>
      <c r="G2499" s="1" t="s">
        <v>4991</v>
      </c>
      <c r="H2499" s="2" t="s">
        <v>0</v>
      </c>
      <c r="I2499" s="2">
        <v>1882.95</v>
      </c>
    </row>
    <row r="2500">
      <c r="A2500" s="1" t="s">
        <v>4992</v>
      </c>
      <c r="B2500" s="2" t="s">
        <v>0</v>
      </c>
      <c r="C2500" s="2">
        <v>1183.26</v>
      </c>
      <c r="D2500" s="2" t="s">
        <v>0</v>
      </c>
      <c r="E2500" s="2">
        <v>2507.41</v>
      </c>
      <c r="G2500" s="1" t="s">
        <v>4993</v>
      </c>
      <c r="H2500" s="2" t="s">
        <v>0</v>
      </c>
      <c r="I2500" s="2">
        <v>1882.95</v>
      </c>
    </row>
    <row r="2501">
      <c r="A2501" s="1" t="s">
        <v>4994</v>
      </c>
      <c r="B2501" s="2">
        <v>1184.38</v>
      </c>
      <c r="C2501" s="2">
        <v>1184.38</v>
      </c>
      <c r="D2501" s="2">
        <v>2504.84</v>
      </c>
      <c r="E2501" s="2">
        <v>2504.84</v>
      </c>
      <c r="G2501" s="1" t="s">
        <v>4995</v>
      </c>
      <c r="H2501" s="2">
        <v>1914.74</v>
      </c>
      <c r="I2501" s="2">
        <v>1914.74</v>
      </c>
    </row>
    <row r="2502">
      <c r="A2502" s="1" t="s">
        <v>4996</v>
      </c>
      <c r="B2502" s="2">
        <v>1193.57</v>
      </c>
      <c r="C2502" s="2">
        <v>1193.57</v>
      </c>
      <c r="D2502" s="2">
        <v>2533.52</v>
      </c>
      <c r="E2502" s="2">
        <v>2533.52</v>
      </c>
      <c r="G2502" s="1" t="s">
        <v>4997</v>
      </c>
      <c r="H2502" s="2">
        <v>1918.04</v>
      </c>
      <c r="I2502" s="2">
        <v>1918.04</v>
      </c>
    </row>
    <row r="2503">
      <c r="A2503" s="1" t="s">
        <v>4998</v>
      </c>
      <c r="B2503" s="2">
        <v>1197.96</v>
      </c>
      <c r="C2503" s="2">
        <v>1197.96</v>
      </c>
      <c r="D2503" s="2">
        <v>2540.27</v>
      </c>
      <c r="E2503" s="2">
        <v>2540.27</v>
      </c>
      <c r="G2503" s="1" t="s">
        <v>4999</v>
      </c>
      <c r="H2503" s="2">
        <v>1935.97</v>
      </c>
      <c r="I2503" s="2">
        <v>1935.97</v>
      </c>
    </row>
    <row r="2504">
      <c r="A2504" s="1" t="s">
        <v>5000</v>
      </c>
      <c r="B2504" s="2">
        <v>1221.06</v>
      </c>
      <c r="C2504" s="2">
        <v>1221.06</v>
      </c>
      <c r="D2504" s="2">
        <v>2577.34</v>
      </c>
      <c r="E2504" s="2">
        <v>2577.34</v>
      </c>
      <c r="G2504" s="1" t="s">
        <v>5001</v>
      </c>
      <c r="H2504" s="2">
        <v>1942.5</v>
      </c>
      <c r="I2504" s="2">
        <v>1942.5</v>
      </c>
    </row>
    <row r="2505">
      <c r="A2505" s="1" t="s">
        <v>5002</v>
      </c>
      <c r="B2505" s="2">
        <v>1225.85</v>
      </c>
      <c r="C2505" s="2">
        <v>1225.85</v>
      </c>
      <c r="D2505" s="2">
        <v>2578.98</v>
      </c>
      <c r="E2505" s="2">
        <v>2578.98</v>
      </c>
      <c r="G2505" s="1" t="s">
        <v>5003</v>
      </c>
      <c r="H2505" s="2">
        <v>1938.96</v>
      </c>
      <c r="I2505" s="2">
        <v>1938.96</v>
      </c>
    </row>
    <row r="2506">
      <c r="A2506" s="1" t="s">
        <v>5004</v>
      </c>
      <c r="B2506" s="2" t="s">
        <v>0</v>
      </c>
      <c r="C2506" s="2">
        <v>1225.85</v>
      </c>
      <c r="D2506" s="2" t="s">
        <v>0</v>
      </c>
      <c r="E2506" s="2">
        <v>2578.98</v>
      </c>
      <c r="G2506" s="1" t="s">
        <v>5005</v>
      </c>
      <c r="H2506" s="2" t="s">
        <v>0</v>
      </c>
      <c r="I2506" s="2">
        <v>1938.96</v>
      </c>
    </row>
    <row r="2507">
      <c r="A2507" s="1" t="s">
        <v>5006</v>
      </c>
      <c r="B2507" s="2" t="s">
        <v>0</v>
      </c>
      <c r="C2507" s="2">
        <v>1225.85</v>
      </c>
      <c r="D2507" s="2" t="s">
        <v>0</v>
      </c>
      <c r="E2507" s="2">
        <v>2578.98</v>
      </c>
      <c r="G2507" s="1" t="s">
        <v>5007</v>
      </c>
      <c r="H2507" s="2" t="s">
        <v>0</v>
      </c>
      <c r="I2507" s="2">
        <v>1938.96</v>
      </c>
    </row>
    <row r="2508">
      <c r="A2508" s="1" t="s">
        <v>5008</v>
      </c>
      <c r="B2508" s="2">
        <v>1223.25</v>
      </c>
      <c r="C2508" s="2">
        <v>1223.25</v>
      </c>
      <c r="D2508" s="2">
        <v>2580.05</v>
      </c>
      <c r="E2508" s="2">
        <v>2580.05</v>
      </c>
      <c r="G2508" s="1" t="s">
        <v>5009</v>
      </c>
      <c r="H2508" s="2">
        <v>1942.41</v>
      </c>
      <c r="I2508" s="2">
        <v>1942.41</v>
      </c>
    </row>
    <row r="2509">
      <c r="A2509" s="1" t="s">
        <v>5010</v>
      </c>
      <c r="B2509" s="2">
        <v>1213.4</v>
      </c>
      <c r="C2509" s="2">
        <v>1213.4</v>
      </c>
      <c r="D2509" s="2">
        <v>2562.98</v>
      </c>
      <c r="E2509" s="2">
        <v>2562.98</v>
      </c>
      <c r="G2509" s="1" t="s">
        <v>5011</v>
      </c>
      <c r="H2509" s="2">
        <v>1947.46</v>
      </c>
      <c r="I2509" s="2">
        <v>1947.46</v>
      </c>
    </row>
    <row r="2510">
      <c r="A2510" s="1" t="s">
        <v>5012</v>
      </c>
      <c r="B2510" s="2">
        <v>1218.71</v>
      </c>
      <c r="C2510" s="2">
        <v>1218.71</v>
      </c>
      <c r="D2510" s="2">
        <v>2578.78</v>
      </c>
      <c r="E2510" s="2">
        <v>2578.78</v>
      </c>
      <c r="G2510" s="1" t="s">
        <v>5013</v>
      </c>
      <c r="H2510" s="2">
        <v>1967.85</v>
      </c>
      <c r="I2510" s="2">
        <v>1967.85</v>
      </c>
    </row>
    <row r="2511">
      <c r="A2511" s="1" t="s">
        <v>5014</v>
      </c>
      <c r="B2511" s="2">
        <v>1213.54</v>
      </c>
      <c r="C2511" s="2">
        <v>1213.54</v>
      </c>
      <c r="D2511" s="2">
        <v>2555.52</v>
      </c>
      <c r="E2511" s="2">
        <v>2555.52</v>
      </c>
      <c r="G2511" s="1" t="s">
        <v>5015</v>
      </c>
      <c r="H2511" s="2">
        <v>1914.73</v>
      </c>
      <c r="I2511" s="2">
        <v>1914.73</v>
      </c>
    </row>
    <row r="2512">
      <c r="A2512" s="1" t="s">
        <v>5016</v>
      </c>
      <c r="B2512" s="2">
        <v>1199.21</v>
      </c>
      <c r="C2512" s="2">
        <v>1199.21</v>
      </c>
      <c r="D2512" s="2">
        <v>2518.21</v>
      </c>
      <c r="E2512" s="2">
        <v>2518.21</v>
      </c>
      <c r="G2512" s="1" t="s">
        <v>5017</v>
      </c>
      <c r="H2512" s="2">
        <v>1913.12</v>
      </c>
      <c r="I2512" s="2">
        <v>1913.12</v>
      </c>
    </row>
    <row r="2513">
      <c r="A2513" s="1" t="s">
        <v>5018</v>
      </c>
      <c r="B2513" s="2" t="s">
        <v>0</v>
      </c>
      <c r="C2513" s="2">
        <v>1199.21</v>
      </c>
      <c r="D2513" s="2" t="s">
        <v>0</v>
      </c>
      <c r="E2513" s="2">
        <v>2518.21</v>
      </c>
      <c r="G2513" s="1" t="s">
        <v>5019</v>
      </c>
      <c r="H2513" s="2" t="s">
        <v>0</v>
      </c>
      <c r="I2513" s="2">
        <v>1913.12</v>
      </c>
    </row>
    <row r="2514">
      <c r="A2514" s="1" t="s">
        <v>5020</v>
      </c>
      <c r="B2514" s="2" t="s">
        <v>0</v>
      </c>
      <c r="C2514" s="2">
        <v>1199.21</v>
      </c>
      <c r="D2514" s="2" t="s">
        <v>0</v>
      </c>
      <c r="E2514" s="2">
        <v>2518.21</v>
      </c>
      <c r="G2514" s="1" t="s">
        <v>5021</v>
      </c>
      <c r="H2514" s="2" t="s">
        <v>0</v>
      </c>
      <c r="I2514" s="2">
        <v>1913.12</v>
      </c>
    </row>
    <row r="2515">
      <c r="A2515" s="1" t="s">
        <v>5022</v>
      </c>
      <c r="B2515" s="2">
        <v>1197.75</v>
      </c>
      <c r="C2515" s="2">
        <v>1197.75</v>
      </c>
      <c r="D2515" s="2">
        <v>2513.82</v>
      </c>
      <c r="E2515" s="2">
        <v>2513.82</v>
      </c>
      <c r="G2515" s="1" t="s">
        <v>5023</v>
      </c>
      <c r="H2515" s="2">
        <v>1913.81</v>
      </c>
      <c r="I2515" s="2">
        <v>1913.81</v>
      </c>
    </row>
    <row r="2516">
      <c r="A2516" s="1" t="s">
        <v>5024</v>
      </c>
      <c r="B2516" s="2">
        <v>1178.34</v>
      </c>
      <c r="C2516" s="2">
        <v>1178.34</v>
      </c>
      <c r="D2516" s="2">
        <v>2469.84</v>
      </c>
      <c r="E2516" s="2">
        <v>2469.84</v>
      </c>
      <c r="G2516" s="1" t="s">
        <v>5025</v>
      </c>
      <c r="H2516" s="2">
        <v>1899.13</v>
      </c>
      <c r="I2516" s="2">
        <v>1899.13</v>
      </c>
    </row>
    <row r="2517">
      <c r="A2517" s="1" t="s">
        <v>5026</v>
      </c>
      <c r="B2517" s="2">
        <v>1178.59</v>
      </c>
      <c r="C2517" s="2">
        <v>1178.59</v>
      </c>
      <c r="D2517" s="2">
        <v>2476.01</v>
      </c>
      <c r="E2517" s="2">
        <v>2476.01</v>
      </c>
      <c r="G2517" s="1" t="s">
        <v>5027</v>
      </c>
      <c r="H2517" s="2">
        <v>1897.11</v>
      </c>
      <c r="I2517" s="2">
        <v>1897.11</v>
      </c>
    </row>
    <row r="2518">
      <c r="A2518" s="1" t="s">
        <v>5028</v>
      </c>
      <c r="B2518" s="2">
        <v>1196.69</v>
      </c>
      <c r="C2518" s="2">
        <v>1196.69</v>
      </c>
      <c r="D2518" s="2">
        <v>2514.4</v>
      </c>
      <c r="E2518" s="2">
        <v>2514.4</v>
      </c>
      <c r="G2518" s="1" t="s">
        <v>5029</v>
      </c>
      <c r="H2518" s="2">
        <v>1927.86</v>
      </c>
      <c r="I2518" s="2">
        <v>1927.86</v>
      </c>
    </row>
    <row r="2519">
      <c r="A2519" s="1" t="s">
        <v>5030</v>
      </c>
      <c r="B2519" s="2">
        <v>1199.73</v>
      </c>
      <c r="C2519" s="2">
        <v>1199.73</v>
      </c>
      <c r="D2519" s="2">
        <v>2518.12</v>
      </c>
      <c r="E2519" s="2">
        <v>2518.12</v>
      </c>
      <c r="G2519" s="1" t="s">
        <v>5031</v>
      </c>
      <c r="H2519" s="2">
        <v>1940.96</v>
      </c>
      <c r="I2519" s="2">
        <v>1940.96</v>
      </c>
    </row>
    <row r="2520">
      <c r="A2520" s="1" t="s">
        <v>5032</v>
      </c>
      <c r="B2520" s="2" t="s">
        <v>0</v>
      </c>
      <c r="C2520" s="2">
        <v>1199.73</v>
      </c>
      <c r="D2520" s="2" t="s">
        <v>0</v>
      </c>
      <c r="E2520" s="2">
        <v>2518.12</v>
      </c>
      <c r="G2520" s="1" t="s">
        <v>5033</v>
      </c>
      <c r="H2520" s="2" t="s">
        <v>0</v>
      </c>
      <c r="I2520" s="2">
        <v>1940.96</v>
      </c>
    </row>
    <row r="2521">
      <c r="A2521" s="1" t="s">
        <v>5034</v>
      </c>
      <c r="B2521" s="2" t="s">
        <v>0</v>
      </c>
      <c r="C2521" s="2">
        <v>1199.73</v>
      </c>
      <c r="D2521" s="2" t="s">
        <v>0</v>
      </c>
      <c r="E2521" s="2">
        <v>2518.12</v>
      </c>
      <c r="G2521" s="1" t="s">
        <v>5035</v>
      </c>
      <c r="H2521" s="2" t="s">
        <v>0</v>
      </c>
      <c r="I2521" s="2">
        <v>1940.96</v>
      </c>
    </row>
    <row r="2522">
      <c r="A2522" s="1" t="s">
        <v>5036</v>
      </c>
      <c r="B2522" s="2">
        <v>1197.84</v>
      </c>
      <c r="C2522" s="2">
        <v>1197.84</v>
      </c>
      <c r="D2522" s="2">
        <v>2532.02</v>
      </c>
      <c r="E2522" s="2">
        <v>2532.02</v>
      </c>
      <c r="G2522" s="1" t="s">
        <v>5037</v>
      </c>
      <c r="H2522" s="2">
        <v>1944.34</v>
      </c>
      <c r="I2522" s="2">
        <v>1944.34</v>
      </c>
    </row>
    <row r="2523">
      <c r="A2523" s="1" t="s">
        <v>5038</v>
      </c>
      <c r="B2523" s="2">
        <v>1180.73</v>
      </c>
      <c r="C2523" s="2">
        <v>1180.73</v>
      </c>
      <c r="D2523" s="2">
        <v>2494.95</v>
      </c>
      <c r="E2523" s="2">
        <v>2494.95</v>
      </c>
      <c r="G2523" s="1" t="s">
        <v>5039</v>
      </c>
      <c r="H2523" s="2">
        <v>1928.94</v>
      </c>
      <c r="I2523" s="2">
        <v>1928.94</v>
      </c>
    </row>
    <row r="2524">
      <c r="A2524" s="1" t="s">
        <v>5040</v>
      </c>
      <c r="B2524" s="2">
        <v>1198.35</v>
      </c>
      <c r="C2524" s="2">
        <v>1198.35</v>
      </c>
      <c r="D2524" s="2">
        <v>2543.12</v>
      </c>
      <c r="E2524" s="2">
        <v>2543.12</v>
      </c>
      <c r="G2524" s="1" t="s">
        <v>5041</v>
      </c>
      <c r="H2524" s="2">
        <v>1925.98</v>
      </c>
      <c r="I2524" s="2">
        <v>1925.98</v>
      </c>
    </row>
    <row r="2525">
      <c r="A2525" s="1" t="s">
        <v>5042</v>
      </c>
      <c r="B2525" s="2" t="s">
        <v>0</v>
      </c>
      <c r="C2525" s="2">
        <v>1198.35</v>
      </c>
      <c r="D2525" s="2" t="s">
        <v>0</v>
      </c>
      <c r="E2525" s="2">
        <v>2543.12</v>
      </c>
      <c r="G2525" s="1" t="s">
        <v>5043</v>
      </c>
      <c r="H2525" s="2">
        <v>1927.68</v>
      </c>
      <c r="I2525" s="2">
        <v>1927.68</v>
      </c>
    </row>
    <row r="2526">
      <c r="A2526" s="1" t="s">
        <v>5044</v>
      </c>
      <c r="B2526" s="2">
        <v>1189.4</v>
      </c>
      <c r="C2526" s="2">
        <v>1189.4</v>
      </c>
      <c r="D2526" s="2">
        <v>2534.56</v>
      </c>
      <c r="E2526" s="2">
        <v>2534.56</v>
      </c>
      <c r="G2526" s="1" t="s">
        <v>5045</v>
      </c>
      <c r="H2526" s="2">
        <v>1901.8</v>
      </c>
      <c r="I2526" s="2">
        <v>1901.8</v>
      </c>
    </row>
    <row r="2527">
      <c r="A2527" s="1" t="s">
        <v>5046</v>
      </c>
      <c r="B2527" s="2" t="s">
        <v>0</v>
      </c>
      <c r="C2527" s="2">
        <v>1189.4</v>
      </c>
      <c r="D2527" s="2" t="s">
        <v>0</v>
      </c>
      <c r="E2527" s="2">
        <v>2534.56</v>
      </c>
      <c r="G2527" s="1" t="s">
        <v>5047</v>
      </c>
      <c r="H2527" s="2" t="s">
        <v>0</v>
      </c>
      <c r="I2527" s="2">
        <v>1901.8</v>
      </c>
    </row>
    <row r="2528">
      <c r="A2528" s="1" t="s">
        <v>5048</v>
      </c>
      <c r="B2528" s="2" t="s">
        <v>0</v>
      </c>
      <c r="C2528" s="2">
        <v>1189.4</v>
      </c>
      <c r="D2528" s="2" t="s">
        <v>0</v>
      </c>
      <c r="E2528" s="2">
        <v>2534.56</v>
      </c>
      <c r="G2528" s="1" t="s">
        <v>5049</v>
      </c>
      <c r="H2528" s="2" t="s">
        <v>0</v>
      </c>
      <c r="I2528" s="2">
        <v>1901.8</v>
      </c>
    </row>
    <row r="2529">
      <c r="A2529" s="1" t="s">
        <v>5050</v>
      </c>
      <c r="B2529" s="2">
        <v>1187.76</v>
      </c>
      <c r="C2529" s="2">
        <v>1187.76</v>
      </c>
      <c r="D2529" s="2">
        <v>2525.22</v>
      </c>
      <c r="E2529" s="2">
        <v>2525.22</v>
      </c>
      <c r="G2529" s="1" t="s">
        <v>5051</v>
      </c>
      <c r="H2529" s="2">
        <v>1895.54</v>
      </c>
      <c r="I2529" s="2">
        <v>1895.54</v>
      </c>
    </row>
    <row r="2530">
      <c r="A2530" s="1" t="s">
        <v>5052</v>
      </c>
      <c r="B2530" s="2">
        <v>1180.55</v>
      </c>
      <c r="C2530" s="2">
        <v>1180.55</v>
      </c>
      <c r="D2530" s="2">
        <v>2498.23</v>
      </c>
      <c r="E2530" s="2">
        <v>2498.23</v>
      </c>
      <c r="G2530" s="1" t="s">
        <v>5053</v>
      </c>
      <c r="H2530" s="2">
        <v>1904.63</v>
      </c>
      <c r="I2530" s="2">
        <v>1904.63</v>
      </c>
    </row>
    <row r="2531">
      <c r="A2531" s="1" t="s">
        <v>5054</v>
      </c>
      <c r="B2531" s="2">
        <v>1206.07</v>
      </c>
      <c r="C2531" s="2">
        <v>1206.07</v>
      </c>
      <c r="D2531" s="2">
        <v>2549.43</v>
      </c>
      <c r="E2531" s="2">
        <v>2549.43</v>
      </c>
      <c r="G2531" s="1" t="s">
        <v>5055</v>
      </c>
      <c r="H2531" s="2">
        <v>1929.32</v>
      </c>
      <c r="I2531" s="2">
        <v>1929.32</v>
      </c>
    </row>
    <row r="2532">
      <c r="A2532" s="1" t="s">
        <v>5056</v>
      </c>
      <c r="B2532" s="2">
        <v>1221.53</v>
      </c>
      <c r="C2532" s="2">
        <v>1221.53</v>
      </c>
      <c r="D2532" s="2">
        <v>2579.35</v>
      </c>
      <c r="E2532" s="2">
        <v>2579.35</v>
      </c>
      <c r="G2532" s="1" t="s">
        <v>5057</v>
      </c>
      <c r="H2532" s="2">
        <v>1950.26</v>
      </c>
      <c r="I2532" s="2">
        <v>1950.26</v>
      </c>
    </row>
    <row r="2533">
      <c r="A2533" s="1" t="s">
        <v>5058</v>
      </c>
      <c r="B2533" s="2">
        <v>1224.71</v>
      </c>
      <c r="C2533" s="2">
        <v>1224.71</v>
      </c>
      <c r="D2533" s="2">
        <v>2591.46</v>
      </c>
      <c r="E2533" s="2">
        <v>2591.46</v>
      </c>
      <c r="G2533" s="1" t="s">
        <v>5059</v>
      </c>
      <c r="H2533" s="2">
        <v>1957.26</v>
      </c>
      <c r="I2533" s="2">
        <v>1957.26</v>
      </c>
    </row>
    <row r="2534">
      <c r="A2534" s="1" t="s">
        <v>5060</v>
      </c>
      <c r="B2534" s="2" t="s">
        <v>0</v>
      </c>
      <c r="C2534" s="2">
        <v>1224.71</v>
      </c>
      <c r="D2534" s="2" t="s">
        <v>0</v>
      </c>
      <c r="E2534" s="2">
        <v>2591.46</v>
      </c>
      <c r="G2534" s="1" t="s">
        <v>5061</v>
      </c>
      <c r="H2534" s="2" t="s">
        <v>0</v>
      </c>
      <c r="I2534" s="2">
        <v>1957.26</v>
      </c>
    </row>
    <row r="2535">
      <c r="A2535" s="1" t="s">
        <v>5062</v>
      </c>
      <c r="B2535" s="2" t="s">
        <v>0</v>
      </c>
      <c r="C2535" s="2">
        <v>1224.71</v>
      </c>
      <c r="D2535" s="2" t="s">
        <v>0</v>
      </c>
      <c r="E2535" s="2">
        <v>2591.46</v>
      </c>
      <c r="G2535" s="1" t="s">
        <v>5063</v>
      </c>
      <c r="H2535" s="2" t="s">
        <v>0</v>
      </c>
      <c r="I2535" s="2">
        <v>1957.26</v>
      </c>
    </row>
    <row r="2536">
      <c r="A2536" s="1" t="s">
        <v>5064</v>
      </c>
      <c r="B2536" s="2">
        <v>1223.12</v>
      </c>
      <c r="C2536" s="2">
        <v>1223.12</v>
      </c>
      <c r="D2536" s="2">
        <v>2594.92</v>
      </c>
      <c r="E2536" s="2">
        <v>2594.92</v>
      </c>
      <c r="G2536" s="1" t="s">
        <v>5065</v>
      </c>
      <c r="H2536" s="2">
        <v>1953.64</v>
      </c>
      <c r="I2536" s="2">
        <v>1953.64</v>
      </c>
    </row>
    <row r="2537">
      <c r="A2537" s="1" t="s">
        <v>5066</v>
      </c>
      <c r="B2537" s="2">
        <v>1223.75</v>
      </c>
      <c r="C2537" s="2">
        <v>1223.75</v>
      </c>
      <c r="D2537" s="2">
        <v>2598.49</v>
      </c>
      <c r="E2537" s="2">
        <v>2598.49</v>
      </c>
      <c r="G2537" s="1" t="s">
        <v>5067</v>
      </c>
      <c r="H2537" s="2">
        <v>1962.52</v>
      </c>
      <c r="I2537" s="2">
        <v>1962.52</v>
      </c>
    </row>
    <row r="2538">
      <c r="A2538" s="1" t="s">
        <v>5068</v>
      </c>
      <c r="B2538" s="2">
        <v>1228.28</v>
      </c>
      <c r="C2538" s="2">
        <v>1228.28</v>
      </c>
      <c r="D2538" s="2">
        <v>2609.16</v>
      </c>
      <c r="E2538" s="2">
        <v>2609.16</v>
      </c>
      <c r="G2538" s="1" t="s">
        <v>5069</v>
      </c>
      <c r="H2538" s="2">
        <v>1955.72</v>
      </c>
      <c r="I2538" s="2">
        <v>1955.72</v>
      </c>
    </row>
    <row r="2539">
      <c r="A2539" s="1" t="s">
        <v>5070</v>
      </c>
      <c r="B2539" s="2">
        <v>1233.0</v>
      </c>
      <c r="C2539" s="2">
        <v>1233.0</v>
      </c>
      <c r="D2539" s="2">
        <v>2616.67</v>
      </c>
      <c r="E2539" s="2">
        <v>2616.67</v>
      </c>
      <c r="G2539" s="1" t="s">
        <v>5071</v>
      </c>
      <c r="H2539" s="2">
        <v>1988.96</v>
      </c>
      <c r="I2539" s="2">
        <v>1988.96</v>
      </c>
    </row>
    <row r="2540">
      <c r="A2540" s="1" t="s">
        <v>5072</v>
      </c>
      <c r="B2540" s="2">
        <v>1240.4</v>
      </c>
      <c r="C2540" s="2">
        <v>1240.4</v>
      </c>
      <c r="D2540" s="2">
        <v>2637.54</v>
      </c>
      <c r="E2540" s="2">
        <v>2637.54</v>
      </c>
      <c r="G2540" s="1" t="s">
        <v>5073</v>
      </c>
      <c r="H2540" s="2">
        <v>1986.14</v>
      </c>
      <c r="I2540" s="2">
        <v>1986.14</v>
      </c>
    </row>
    <row r="2541">
      <c r="A2541" s="1" t="s">
        <v>5074</v>
      </c>
      <c r="B2541" s="2" t="s">
        <v>0</v>
      </c>
      <c r="C2541" s="2">
        <v>1240.4</v>
      </c>
      <c r="D2541" s="2" t="s">
        <v>0</v>
      </c>
      <c r="E2541" s="2">
        <v>2637.54</v>
      </c>
      <c r="G2541" s="1" t="s">
        <v>5075</v>
      </c>
      <c r="H2541" s="2" t="s">
        <v>0</v>
      </c>
      <c r="I2541" s="2">
        <v>1986.14</v>
      </c>
    </row>
    <row r="2542">
      <c r="A2542" s="1" t="s">
        <v>5076</v>
      </c>
      <c r="B2542" s="2" t="s">
        <v>0</v>
      </c>
      <c r="C2542" s="2">
        <v>1240.4</v>
      </c>
      <c r="D2542" s="2" t="s">
        <v>0</v>
      </c>
      <c r="E2542" s="2">
        <v>2637.54</v>
      </c>
      <c r="G2542" s="1" t="s">
        <v>5077</v>
      </c>
      <c r="H2542" s="2" t="s">
        <v>0</v>
      </c>
      <c r="I2542" s="2">
        <v>1986.14</v>
      </c>
    </row>
    <row r="2543">
      <c r="A2543" s="1" t="s">
        <v>5078</v>
      </c>
      <c r="B2543" s="2">
        <v>1240.46</v>
      </c>
      <c r="C2543" s="2">
        <v>1240.46</v>
      </c>
      <c r="D2543" s="2">
        <v>2624.91</v>
      </c>
      <c r="E2543" s="2">
        <v>2624.91</v>
      </c>
      <c r="G2543" s="1" t="s">
        <v>5079</v>
      </c>
      <c r="H2543" s="2">
        <v>1996.59</v>
      </c>
      <c r="I2543" s="2">
        <v>1996.59</v>
      </c>
    </row>
    <row r="2544">
      <c r="A2544" s="1" t="s">
        <v>5080</v>
      </c>
      <c r="B2544" s="2">
        <v>1241.59</v>
      </c>
      <c r="C2544" s="2">
        <v>1241.59</v>
      </c>
      <c r="D2544" s="2">
        <v>2627.72</v>
      </c>
      <c r="E2544" s="2">
        <v>2627.72</v>
      </c>
      <c r="G2544" s="1" t="s">
        <v>5081</v>
      </c>
      <c r="H2544" s="2">
        <v>2009.05</v>
      </c>
      <c r="I2544" s="2">
        <v>2009.05</v>
      </c>
    </row>
    <row r="2545">
      <c r="A2545" s="1" t="s">
        <v>5082</v>
      </c>
      <c r="B2545" s="2">
        <v>1235.23</v>
      </c>
      <c r="C2545" s="2">
        <v>1235.23</v>
      </c>
      <c r="D2545" s="2">
        <v>2617.22</v>
      </c>
      <c r="E2545" s="2">
        <v>2617.22</v>
      </c>
      <c r="G2545" s="1" t="s">
        <v>5083</v>
      </c>
      <c r="H2545" s="2">
        <v>2017.48</v>
      </c>
      <c r="I2545" s="2">
        <v>2017.48</v>
      </c>
    </row>
    <row r="2546">
      <c r="A2546" s="1" t="s">
        <v>5084</v>
      </c>
      <c r="B2546" s="2">
        <v>1242.87</v>
      </c>
      <c r="C2546" s="2">
        <v>1242.87</v>
      </c>
      <c r="D2546" s="2">
        <v>2637.31</v>
      </c>
      <c r="E2546" s="2">
        <v>2637.31</v>
      </c>
      <c r="G2546" s="1" t="s">
        <v>5085</v>
      </c>
      <c r="H2546" s="2">
        <v>2009.24</v>
      </c>
      <c r="I2546" s="2">
        <v>2009.24</v>
      </c>
    </row>
    <row r="2547">
      <c r="A2547" s="1" t="s">
        <v>5086</v>
      </c>
      <c r="B2547" s="2">
        <v>1243.91</v>
      </c>
      <c r="C2547" s="2">
        <v>1243.91</v>
      </c>
      <c r="D2547" s="2">
        <v>2642.97</v>
      </c>
      <c r="E2547" s="2">
        <v>2642.97</v>
      </c>
      <c r="G2547" s="1" t="s">
        <v>5087</v>
      </c>
      <c r="H2547" s="2">
        <v>2026.3</v>
      </c>
      <c r="I2547" s="2">
        <v>2026.3</v>
      </c>
    </row>
    <row r="2548">
      <c r="A2548" s="1" t="s">
        <v>5088</v>
      </c>
      <c r="B2548" s="2" t="s">
        <v>0</v>
      </c>
      <c r="C2548" s="2">
        <v>1243.91</v>
      </c>
      <c r="D2548" s="2" t="s">
        <v>0</v>
      </c>
      <c r="E2548" s="2">
        <v>2642.97</v>
      </c>
      <c r="G2548" s="1" t="s">
        <v>5089</v>
      </c>
      <c r="H2548" s="2" t="s">
        <v>0</v>
      </c>
      <c r="I2548" s="2">
        <v>2026.3</v>
      </c>
    </row>
    <row r="2549">
      <c r="A2549" s="1" t="s">
        <v>5090</v>
      </c>
      <c r="B2549" s="2" t="s">
        <v>0</v>
      </c>
      <c r="C2549" s="2">
        <v>1243.91</v>
      </c>
      <c r="D2549" s="2" t="s">
        <v>0</v>
      </c>
      <c r="E2549" s="2">
        <v>2642.97</v>
      </c>
      <c r="G2549" s="1" t="s">
        <v>5091</v>
      </c>
      <c r="H2549" s="2" t="s">
        <v>0</v>
      </c>
      <c r="I2549" s="2">
        <v>2026.3</v>
      </c>
    </row>
    <row r="2550">
      <c r="A2550" s="1" t="s">
        <v>5092</v>
      </c>
      <c r="B2550" s="2">
        <v>1247.08</v>
      </c>
      <c r="C2550" s="2">
        <v>1247.08</v>
      </c>
      <c r="D2550" s="2">
        <v>2649.56</v>
      </c>
      <c r="E2550" s="2">
        <v>2649.56</v>
      </c>
      <c r="G2550" s="1" t="s">
        <v>5093</v>
      </c>
      <c r="H2550" s="2">
        <v>2020.28</v>
      </c>
      <c r="I2550" s="2">
        <v>2020.28</v>
      </c>
    </row>
    <row r="2551">
      <c r="A2551" s="1" t="s">
        <v>5094</v>
      </c>
      <c r="B2551" s="2">
        <v>1254.6</v>
      </c>
      <c r="C2551" s="2">
        <v>1254.6</v>
      </c>
      <c r="D2551" s="2">
        <v>2667.61</v>
      </c>
      <c r="E2551" s="2">
        <v>2667.61</v>
      </c>
      <c r="G2551" s="1" t="s">
        <v>5095</v>
      </c>
      <c r="H2551" s="2">
        <v>2037.09</v>
      </c>
      <c r="I2551" s="2">
        <v>2037.09</v>
      </c>
    </row>
    <row r="2552">
      <c r="A2552" s="1" t="s">
        <v>5096</v>
      </c>
      <c r="B2552" s="2">
        <v>1258.84</v>
      </c>
      <c r="C2552" s="2">
        <v>1258.84</v>
      </c>
      <c r="D2552" s="2">
        <v>2671.48</v>
      </c>
      <c r="E2552" s="2">
        <v>2671.48</v>
      </c>
      <c r="G2552" s="1" t="s">
        <v>5097</v>
      </c>
      <c r="H2552" s="2">
        <v>2038.11</v>
      </c>
      <c r="I2552" s="2">
        <v>2038.11</v>
      </c>
    </row>
    <row r="2553">
      <c r="A2553" s="1" t="s">
        <v>5098</v>
      </c>
      <c r="B2553" s="2">
        <v>1256.77</v>
      </c>
      <c r="C2553" s="2">
        <v>1256.77</v>
      </c>
      <c r="D2553" s="2">
        <v>2665.6</v>
      </c>
      <c r="E2553" s="2">
        <v>2665.6</v>
      </c>
      <c r="G2553" s="1" t="s">
        <v>5099</v>
      </c>
      <c r="H2553" s="2">
        <v>2037.53</v>
      </c>
      <c r="I2553" s="2">
        <v>2037.53</v>
      </c>
    </row>
    <row r="2554">
      <c r="A2554" s="1" t="s">
        <v>5100</v>
      </c>
      <c r="B2554" s="2" t="s">
        <v>0</v>
      </c>
      <c r="C2554" s="2">
        <v>1256.77</v>
      </c>
      <c r="D2554" s="2" t="s">
        <v>0</v>
      </c>
      <c r="E2554" s="2">
        <v>2665.6</v>
      </c>
      <c r="G2554" s="1" t="s">
        <v>5101</v>
      </c>
      <c r="H2554" s="2">
        <v>2029.6</v>
      </c>
      <c r="I2554" s="2">
        <v>2029.6</v>
      </c>
    </row>
    <row r="2555">
      <c r="A2555" s="1" t="s">
        <v>5102</v>
      </c>
      <c r="B2555" s="2" t="s">
        <v>0</v>
      </c>
      <c r="C2555" s="2">
        <v>1256.77</v>
      </c>
      <c r="D2555" s="2" t="s">
        <v>0</v>
      </c>
      <c r="E2555" s="2">
        <v>2665.6</v>
      </c>
      <c r="G2555" s="1" t="s">
        <v>5103</v>
      </c>
      <c r="H2555" s="2" t="s">
        <v>0</v>
      </c>
      <c r="I2555" s="2">
        <v>2029.6</v>
      </c>
    </row>
    <row r="2556">
      <c r="A2556" s="1" t="s">
        <v>5104</v>
      </c>
      <c r="B2556" s="2" t="s">
        <v>0</v>
      </c>
      <c r="C2556" s="2">
        <v>1256.77</v>
      </c>
      <c r="D2556" s="2" t="s">
        <v>0</v>
      </c>
      <c r="E2556" s="2">
        <v>2665.6</v>
      </c>
      <c r="G2556" s="1" t="s">
        <v>5105</v>
      </c>
      <c r="H2556" s="2" t="s">
        <v>0</v>
      </c>
      <c r="I2556" s="2">
        <v>2029.6</v>
      </c>
    </row>
    <row r="2557">
      <c r="A2557" s="1" t="s">
        <v>5106</v>
      </c>
      <c r="B2557" s="2">
        <v>1257.54</v>
      </c>
      <c r="C2557" s="2">
        <v>1257.54</v>
      </c>
      <c r="D2557" s="2">
        <v>2667.27</v>
      </c>
      <c r="E2557" s="2">
        <v>2667.27</v>
      </c>
      <c r="G2557" s="1" t="s">
        <v>5107</v>
      </c>
      <c r="H2557" s="2">
        <v>2022.19</v>
      </c>
      <c r="I2557" s="2">
        <v>2022.19</v>
      </c>
    </row>
    <row r="2558">
      <c r="A2558" s="1" t="s">
        <v>5108</v>
      </c>
      <c r="B2558" s="2">
        <v>1258.51</v>
      </c>
      <c r="C2558" s="2">
        <v>1258.51</v>
      </c>
      <c r="D2558" s="2">
        <v>2662.88</v>
      </c>
      <c r="E2558" s="2">
        <v>2662.88</v>
      </c>
      <c r="G2558" s="1" t="s">
        <v>5109</v>
      </c>
      <c r="H2558" s="2">
        <v>2033.32</v>
      </c>
      <c r="I2558" s="2">
        <v>2033.32</v>
      </c>
    </row>
    <row r="2559">
      <c r="A2559" s="1" t="s">
        <v>5110</v>
      </c>
      <c r="B2559" s="2">
        <v>1259.78</v>
      </c>
      <c r="C2559" s="2">
        <v>1259.78</v>
      </c>
      <c r="D2559" s="2">
        <v>2666.93</v>
      </c>
      <c r="E2559" s="2">
        <v>2666.93</v>
      </c>
      <c r="G2559" s="1" t="s">
        <v>5111</v>
      </c>
      <c r="H2559" s="2">
        <v>2043.49</v>
      </c>
      <c r="I2559" s="2">
        <v>2043.49</v>
      </c>
    </row>
    <row r="2560">
      <c r="A2560" s="1" t="s">
        <v>5112</v>
      </c>
      <c r="B2560" s="2">
        <v>1257.88</v>
      </c>
      <c r="C2560" s="2">
        <v>1257.88</v>
      </c>
      <c r="D2560" s="2">
        <v>2662.98</v>
      </c>
      <c r="E2560" s="2">
        <v>2662.98</v>
      </c>
      <c r="G2560" s="1" t="s">
        <v>5113</v>
      </c>
      <c r="H2560" s="2">
        <v>2051.0</v>
      </c>
      <c r="I2560" s="2">
        <v>2051.0</v>
      </c>
    </row>
    <row r="2561">
      <c r="A2561" s="1" t="s">
        <v>5114</v>
      </c>
      <c r="B2561" s="2">
        <v>1257.64</v>
      </c>
      <c r="C2561" s="2">
        <v>1257.64</v>
      </c>
      <c r="D2561" s="2">
        <v>2652.87</v>
      </c>
      <c r="E2561" s="2">
        <v>2652.87</v>
      </c>
      <c r="G2561" s="1" t="s">
        <v>5115</v>
      </c>
      <c r="H2561" s="2" t="s">
        <v>0</v>
      </c>
      <c r="I2561" s="2">
        <v>2051.0</v>
      </c>
    </row>
    <row r="2562">
      <c r="A2562" s="1" t="s">
        <v>5116</v>
      </c>
      <c r="B2562" s="2" t="s">
        <v>0</v>
      </c>
      <c r="C2562" s="2">
        <v>1257.64</v>
      </c>
      <c r="D2562" s="2" t="s">
        <v>0</v>
      </c>
      <c r="E2562" s="2">
        <v>2652.87</v>
      </c>
      <c r="G2562" s="1" t="s">
        <v>5117</v>
      </c>
      <c r="H2562" s="2" t="s">
        <v>0</v>
      </c>
      <c r="I2562" s="2">
        <v>2051.0</v>
      </c>
    </row>
    <row r="2563">
      <c r="A2563" s="1" t="s">
        <v>5118</v>
      </c>
      <c r="B2563" s="2" t="s">
        <v>0</v>
      </c>
      <c r="C2563" s="2">
        <v>1257.64</v>
      </c>
      <c r="D2563" s="2" t="s">
        <v>0</v>
      </c>
      <c r="E2563" s="2">
        <v>2652.87</v>
      </c>
      <c r="G2563" s="1" t="s">
        <v>5119</v>
      </c>
      <c r="H2563" s="2" t="s">
        <v>0</v>
      </c>
      <c r="I2563" s="2">
        <v>2051.0</v>
      </c>
    </row>
    <row r="2564">
      <c r="A2564" s="1" t="s">
        <v>5120</v>
      </c>
      <c r="B2564" s="2">
        <v>1271.89</v>
      </c>
      <c r="C2564" s="2">
        <v>1271.89</v>
      </c>
      <c r="D2564" s="2">
        <v>2691.52</v>
      </c>
      <c r="E2564" s="2">
        <v>2691.52</v>
      </c>
      <c r="G2564" s="1" t="s">
        <v>5121</v>
      </c>
      <c r="H2564" s="2">
        <v>2070.08</v>
      </c>
      <c r="I2564" s="2">
        <v>2070.08</v>
      </c>
    </row>
    <row r="2565">
      <c r="A2565" s="1" t="s">
        <v>5122</v>
      </c>
      <c r="B2565" s="2">
        <v>1270.2</v>
      </c>
      <c r="C2565" s="2">
        <v>1270.2</v>
      </c>
      <c r="D2565" s="2">
        <v>2681.25</v>
      </c>
      <c r="E2565" s="2">
        <v>2681.25</v>
      </c>
      <c r="G2565" s="1" t="s">
        <v>5123</v>
      </c>
      <c r="H2565" s="2">
        <v>2085.14</v>
      </c>
      <c r="I2565" s="2">
        <v>2085.14</v>
      </c>
    </row>
    <row r="2566">
      <c r="A2566" s="1" t="s">
        <v>5124</v>
      </c>
      <c r="B2566" s="2">
        <v>1276.56</v>
      </c>
      <c r="C2566" s="2">
        <v>1276.56</v>
      </c>
      <c r="D2566" s="2">
        <v>2702.2</v>
      </c>
      <c r="E2566" s="2">
        <v>2702.2</v>
      </c>
      <c r="G2566" s="1" t="s">
        <v>5125</v>
      </c>
      <c r="H2566" s="2">
        <v>2082.55</v>
      </c>
      <c r="I2566" s="2">
        <v>2082.55</v>
      </c>
    </row>
    <row r="2567">
      <c r="A2567" s="1" t="s">
        <v>5126</v>
      </c>
      <c r="B2567" s="2">
        <v>1273.85</v>
      </c>
      <c r="C2567" s="2">
        <v>1273.85</v>
      </c>
      <c r="D2567" s="2">
        <v>2709.89</v>
      </c>
      <c r="E2567" s="2">
        <v>2709.89</v>
      </c>
      <c r="G2567" s="1" t="s">
        <v>5127</v>
      </c>
      <c r="H2567" s="2">
        <v>2077.61</v>
      </c>
      <c r="I2567" s="2">
        <v>2077.61</v>
      </c>
    </row>
    <row r="2568">
      <c r="A2568" s="1" t="s">
        <v>5128</v>
      </c>
      <c r="B2568" s="2">
        <v>1271.5</v>
      </c>
      <c r="C2568" s="2">
        <v>1271.5</v>
      </c>
      <c r="D2568" s="2">
        <v>2703.17</v>
      </c>
      <c r="E2568" s="2">
        <v>2703.17</v>
      </c>
      <c r="G2568" s="1" t="s">
        <v>5129</v>
      </c>
      <c r="H2568" s="2">
        <v>2086.2</v>
      </c>
      <c r="I2568" s="2">
        <v>2086.2</v>
      </c>
    </row>
    <row r="2569">
      <c r="A2569" s="1" t="s">
        <v>5130</v>
      </c>
      <c r="B2569" s="2" t="s">
        <v>0</v>
      </c>
      <c r="C2569" s="2">
        <v>1271.5</v>
      </c>
      <c r="D2569" s="2" t="s">
        <v>0</v>
      </c>
      <c r="E2569" s="2">
        <v>2703.17</v>
      </c>
      <c r="G2569" s="1" t="s">
        <v>5131</v>
      </c>
      <c r="H2569" s="2" t="s">
        <v>0</v>
      </c>
      <c r="I2569" s="2">
        <v>2086.2</v>
      </c>
    </row>
    <row r="2570">
      <c r="A2570" s="1" t="s">
        <v>5132</v>
      </c>
      <c r="B2570" s="2" t="s">
        <v>0</v>
      </c>
      <c r="C2570" s="2">
        <v>1271.5</v>
      </c>
      <c r="D2570" s="2" t="s">
        <v>0</v>
      </c>
      <c r="E2570" s="2">
        <v>2703.17</v>
      </c>
      <c r="G2570" s="1" t="s">
        <v>5133</v>
      </c>
      <c r="H2570" s="2" t="s">
        <v>0</v>
      </c>
      <c r="I2570" s="2">
        <v>2086.2</v>
      </c>
    </row>
    <row r="2571">
      <c r="A2571" s="1" t="s">
        <v>5134</v>
      </c>
      <c r="B2571" s="2">
        <v>1269.75</v>
      </c>
      <c r="C2571" s="2">
        <v>1269.75</v>
      </c>
      <c r="D2571" s="2">
        <v>2707.8</v>
      </c>
      <c r="E2571" s="2">
        <v>2707.8</v>
      </c>
      <c r="G2571" s="1" t="s">
        <v>5135</v>
      </c>
      <c r="H2571" s="2">
        <v>2080.81</v>
      </c>
      <c r="I2571" s="2">
        <v>2080.81</v>
      </c>
    </row>
    <row r="2572">
      <c r="A2572" s="1" t="s">
        <v>5136</v>
      </c>
      <c r="B2572" s="2">
        <v>1274.48</v>
      </c>
      <c r="C2572" s="2">
        <v>1274.48</v>
      </c>
      <c r="D2572" s="2">
        <v>2716.83</v>
      </c>
      <c r="E2572" s="2">
        <v>2716.83</v>
      </c>
      <c r="G2572" s="1" t="s">
        <v>5137</v>
      </c>
      <c r="H2572" s="2">
        <v>2088.32</v>
      </c>
      <c r="I2572" s="2">
        <v>2088.32</v>
      </c>
    </row>
    <row r="2573">
      <c r="A2573" s="1" t="s">
        <v>5138</v>
      </c>
      <c r="B2573" s="2">
        <v>1285.96</v>
      </c>
      <c r="C2573" s="2">
        <v>1285.96</v>
      </c>
      <c r="D2573" s="2">
        <v>2737.33</v>
      </c>
      <c r="E2573" s="2">
        <v>2737.33</v>
      </c>
      <c r="G2573" s="1" t="s">
        <v>5139</v>
      </c>
      <c r="H2573" s="2">
        <v>2094.95</v>
      </c>
      <c r="I2573" s="2">
        <v>2094.95</v>
      </c>
    </row>
    <row r="2574">
      <c r="A2574" s="1" t="s">
        <v>5140</v>
      </c>
      <c r="B2574" s="2">
        <v>1283.76</v>
      </c>
      <c r="C2574" s="2">
        <v>1283.76</v>
      </c>
      <c r="D2574" s="2">
        <v>2735.29</v>
      </c>
      <c r="E2574" s="2">
        <v>2735.29</v>
      </c>
      <c r="G2574" s="1" t="s">
        <v>5141</v>
      </c>
      <c r="H2574" s="2">
        <v>2089.48</v>
      </c>
      <c r="I2574" s="2">
        <v>2089.48</v>
      </c>
    </row>
    <row r="2575">
      <c r="A2575" s="1" t="s">
        <v>5142</v>
      </c>
      <c r="B2575" s="2">
        <v>1293.24</v>
      </c>
      <c r="C2575" s="2">
        <v>1293.24</v>
      </c>
      <c r="D2575" s="2">
        <v>2755.3</v>
      </c>
      <c r="E2575" s="2">
        <v>2755.3</v>
      </c>
      <c r="G2575" s="1" t="s">
        <v>5143</v>
      </c>
      <c r="H2575" s="2">
        <v>2108.17</v>
      </c>
      <c r="I2575" s="2">
        <v>2108.17</v>
      </c>
    </row>
    <row r="2576">
      <c r="A2576" s="1" t="s">
        <v>5144</v>
      </c>
      <c r="B2576" s="2" t="s">
        <v>0</v>
      </c>
      <c r="C2576" s="2">
        <v>1293.24</v>
      </c>
      <c r="D2576" s="2" t="s">
        <v>0</v>
      </c>
      <c r="E2576" s="2">
        <v>2755.3</v>
      </c>
      <c r="G2576" s="1" t="s">
        <v>5145</v>
      </c>
      <c r="H2576" s="2" t="s">
        <v>0</v>
      </c>
      <c r="I2576" s="2">
        <v>2108.17</v>
      </c>
    </row>
    <row r="2577">
      <c r="A2577" s="1" t="s">
        <v>5146</v>
      </c>
      <c r="B2577" s="2" t="s">
        <v>0</v>
      </c>
      <c r="C2577" s="2">
        <v>1293.24</v>
      </c>
      <c r="D2577" s="2" t="s">
        <v>0</v>
      </c>
      <c r="E2577" s="2">
        <v>2755.3</v>
      </c>
      <c r="G2577" s="1" t="s">
        <v>5147</v>
      </c>
      <c r="H2577" s="2" t="s">
        <v>0</v>
      </c>
      <c r="I2577" s="2">
        <v>2108.17</v>
      </c>
    </row>
    <row r="2578">
      <c r="A2578" s="1" t="s">
        <v>5148</v>
      </c>
      <c r="B2578" s="2" t="s">
        <v>0</v>
      </c>
      <c r="C2578" s="2">
        <v>1293.24</v>
      </c>
      <c r="D2578" s="2" t="s">
        <v>0</v>
      </c>
      <c r="E2578" s="2">
        <v>2755.3</v>
      </c>
      <c r="G2578" s="1" t="s">
        <v>5149</v>
      </c>
      <c r="H2578" s="2">
        <v>2099.85</v>
      </c>
      <c r="I2578" s="2">
        <v>2099.85</v>
      </c>
    </row>
    <row r="2579">
      <c r="A2579" s="1" t="s">
        <v>5150</v>
      </c>
      <c r="B2579" s="2">
        <v>1295.02</v>
      </c>
      <c r="C2579" s="2">
        <v>1295.02</v>
      </c>
      <c r="D2579" s="2">
        <v>2765.85</v>
      </c>
      <c r="E2579" s="2">
        <v>2765.85</v>
      </c>
      <c r="G2579" s="1" t="s">
        <v>5151</v>
      </c>
      <c r="H2579" s="2">
        <v>2096.48</v>
      </c>
      <c r="I2579" s="2">
        <v>2096.48</v>
      </c>
    </row>
    <row r="2580">
      <c r="A2580" s="1" t="s">
        <v>5152</v>
      </c>
      <c r="B2580" s="2">
        <v>1281.92</v>
      </c>
      <c r="C2580" s="2">
        <v>1281.92</v>
      </c>
      <c r="D2580" s="2">
        <v>2725.36</v>
      </c>
      <c r="E2580" s="2">
        <v>2725.36</v>
      </c>
      <c r="G2580" s="1" t="s">
        <v>5153</v>
      </c>
      <c r="H2580" s="2">
        <v>2115.69</v>
      </c>
      <c r="I2580" s="2">
        <v>2115.69</v>
      </c>
    </row>
    <row r="2581">
      <c r="A2581" s="1" t="s">
        <v>5154</v>
      </c>
      <c r="B2581" s="2">
        <v>1280.26</v>
      </c>
      <c r="C2581" s="2">
        <v>1280.26</v>
      </c>
      <c r="D2581" s="2">
        <v>2704.29</v>
      </c>
      <c r="E2581" s="2">
        <v>2704.29</v>
      </c>
      <c r="G2581" s="1" t="s">
        <v>5155</v>
      </c>
      <c r="H2581" s="2">
        <v>2106.66</v>
      </c>
      <c r="I2581" s="2">
        <v>2106.66</v>
      </c>
    </row>
    <row r="2582">
      <c r="A2582" s="1" t="s">
        <v>5156</v>
      </c>
      <c r="B2582" s="2">
        <v>1283.35</v>
      </c>
      <c r="C2582" s="2">
        <v>1283.35</v>
      </c>
      <c r="D2582" s="2">
        <v>2689.54</v>
      </c>
      <c r="E2582" s="2">
        <v>2689.54</v>
      </c>
      <c r="G2582" s="1" t="s">
        <v>5157</v>
      </c>
      <c r="H2582" s="2">
        <v>2069.92</v>
      </c>
      <c r="I2582" s="2">
        <v>2069.92</v>
      </c>
    </row>
    <row r="2583">
      <c r="A2583" s="1" t="s">
        <v>5158</v>
      </c>
      <c r="B2583" s="2" t="s">
        <v>0</v>
      </c>
      <c r="C2583" s="2">
        <v>1283.35</v>
      </c>
      <c r="D2583" s="2" t="s">
        <v>0</v>
      </c>
      <c r="E2583" s="2">
        <v>2689.54</v>
      </c>
      <c r="G2583" s="1" t="s">
        <v>5159</v>
      </c>
      <c r="H2583" s="2" t="s">
        <v>0</v>
      </c>
      <c r="I2583" s="2">
        <v>2069.92</v>
      </c>
    </row>
    <row r="2584">
      <c r="A2584" s="1" t="s">
        <v>5160</v>
      </c>
      <c r="B2584" s="2" t="s">
        <v>0</v>
      </c>
      <c r="C2584" s="2">
        <v>1283.35</v>
      </c>
      <c r="D2584" s="2" t="s">
        <v>0</v>
      </c>
      <c r="E2584" s="2">
        <v>2689.54</v>
      </c>
      <c r="G2584" s="1" t="s">
        <v>5161</v>
      </c>
      <c r="H2584" s="2" t="s">
        <v>0</v>
      </c>
      <c r="I2584" s="2">
        <v>2069.92</v>
      </c>
    </row>
    <row r="2585">
      <c r="A2585" s="1" t="s">
        <v>5162</v>
      </c>
      <c r="B2585" s="2">
        <v>1290.84</v>
      </c>
      <c r="C2585" s="2">
        <v>1290.84</v>
      </c>
      <c r="D2585" s="2">
        <v>2717.55</v>
      </c>
      <c r="E2585" s="2">
        <v>2717.55</v>
      </c>
      <c r="G2585" s="1" t="s">
        <v>5163</v>
      </c>
      <c r="H2585" s="2">
        <v>2082.16</v>
      </c>
      <c r="I2585" s="2">
        <v>2082.16</v>
      </c>
    </row>
    <row r="2586">
      <c r="A2586" s="1" t="s">
        <v>5164</v>
      </c>
      <c r="B2586" s="2">
        <v>1291.18</v>
      </c>
      <c r="C2586" s="2">
        <v>1291.18</v>
      </c>
      <c r="D2586" s="2">
        <v>2719.25</v>
      </c>
      <c r="E2586" s="2">
        <v>2719.25</v>
      </c>
      <c r="G2586" s="1" t="s">
        <v>5165</v>
      </c>
      <c r="H2586" s="2">
        <v>2086.67</v>
      </c>
      <c r="I2586" s="2">
        <v>2086.67</v>
      </c>
    </row>
    <row r="2587">
      <c r="A2587" s="1" t="s">
        <v>5166</v>
      </c>
      <c r="B2587" s="2">
        <v>1296.63</v>
      </c>
      <c r="C2587" s="2">
        <v>1296.63</v>
      </c>
      <c r="D2587" s="2">
        <v>2739.5</v>
      </c>
      <c r="E2587" s="2">
        <v>2739.5</v>
      </c>
      <c r="G2587" s="1" t="s">
        <v>5167</v>
      </c>
      <c r="H2587" s="2">
        <v>2110.46</v>
      </c>
      <c r="I2587" s="2">
        <v>2110.46</v>
      </c>
    </row>
    <row r="2588">
      <c r="A2588" s="1" t="s">
        <v>5168</v>
      </c>
      <c r="B2588" s="2">
        <v>1299.54</v>
      </c>
      <c r="C2588" s="2">
        <v>1299.54</v>
      </c>
      <c r="D2588" s="2">
        <v>2755.28</v>
      </c>
      <c r="E2588" s="2">
        <v>2755.28</v>
      </c>
      <c r="G2588" s="1" t="s">
        <v>5169</v>
      </c>
      <c r="H2588" s="2">
        <v>2115.01</v>
      </c>
      <c r="I2588" s="2">
        <v>2115.01</v>
      </c>
    </row>
    <row r="2589">
      <c r="A2589" s="1" t="s">
        <v>5170</v>
      </c>
      <c r="B2589" s="2">
        <v>1276.34</v>
      </c>
      <c r="C2589" s="2">
        <v>1276.34</v>
      </c>
      <c r="D2589" s="2">
        <v>2686.89</v>
      </c>
      <c r="E2589" s="2">
        <v>2686.89</v>
      </c>
      <c r="G2589" s="1" t="s">
        <v>5171</v>
      </c>
      <c r="H2589" s="2">
        <v>2107.87</v>
      </c>
      <c r="I2589" s="2">
        <v>2107.87</v>
      </c>
    </row>
    <row r="2590">
      <c r="A2590" s="1" t="s">
        <v>5172</v>
      </c>
      <c r="B2590" s="2" t="s">
        <v>0</v>
      </c>
      <c r="C2590" s="2">
        <v>1276.34</v>
      </c>
      <c r="D2590" s="2" t="s">
        <v>0</v>
      </c>
      <c r="E2590" s="2">
        <v>2686.89</v>
      </c>
      <c r="G2590" s="1" t="s">
        <v>5173</v>
      </c>
      <c r="H2590" s="2" t="s">
        <v>0</v>
      </c>
      <c r="I2590" s="2">
        <v>2107.87</v>
      </c>
    </row>
    <row r="2591">
      <c r="A2591" s="1" t="s">
        <v>5174</v>
      </c>
      <c r="B2591" s="2" t="s">
        <v>0</v>
      </c>
      <c r="C2591" s="2">
        <v>1276.34</v>
      </c>
      <c r="D2591" s="2" t="s">
        <v>0</v>
      </c>
      <c r="E2591" s="2">
        <v>2686.89</v>
      </c>
      <c r="G2591" s="1" t="s">
        <v>5175</v>
      </c>
      <c r="H2591" s="2" t="s">
        <v>0</v>
      </c>
      <c r="I2591" s="2">
        <v>2107.87</v>
      </c>
    </row>
    <row r="2592">
      <c r="A2592" s="1" t="s">
        <v>5176</v>
      </c>
      <c r="B2592" s="2">
        <v>1286.12</v>
      </c>
      <c r="C2592" s="2">
        <v>1286.12</v>
      </c>
      <c r="D2592" s="2">
        <v>2700.08</v>
      </c>
      <c r="E2592" s="2">
        <v>2700.08</v>
      </c>
      <c r="G2592" s="1" t="s">
        <v>5177</v>
      </c>
      <c r="H2592" s="2">
        <v>2069.73</v>
      </c>
      <c r="I2592" s="2">
        <v>2069.73</v>
      </c>
    </row>
    <row r="2593">
      <c r="A2593" s="1" t="s">
        <v>5178</v>
      </c>
      <c r="B2593" s="2">
        <v>1307.59</v>
      </c>
      <c r="C2593" s="2">
        <v>1307.59</v>
      </c>
      <c r="D2593" s="2">
        <v>2751.19</v>
      </c>
      <c r="E2593" s="2">
        <v>2751.19</v>
      </c>
      <c r="G2593" s="1" t="s">
        <v>5179</v>
      </c>
      <c r="H2593" s="2">
        <v>2072.03</v>
      </c>
      <c r="I2593" s="2">
        <v>2072.03</v>
      </c>
    </row>
    <row r="2594">
      <c r="A2594" s="1" t="s">
        <v>5180</v>
      </c>
      <c r="B2594" s="2">
        <v>1304.03</v>
      </c>
      <c r="C2594" s="2">
        <v>1304.03</v>
      </c>
      <c r="D2594" s="2">
        <v>2749.56</v>
      </c>
      <c r="E2594" s="2">
        <v>2749.56</v>
      </c>
      <c r="G2594" s="1" t="s">
        <v>5181</v>
      </c>
      <c r="H2594" s="2" t="s">
        <v>0</v>
      </c>
      <c r="I2594" s="2">
        <v>2072.03</v>
      </c>
    </row>
    <row r="2595">
      <c r="A2595" s="1" t="s">
        <v>5182</v>
      </c>
      <c r="B2595" s="2">
        <v>1307.1</v>
      </c>
      <c r="C2595" s="2">
        <v>1307.1</v>
      </c>
      <c r="D2595" s="2">
        <v>2753.88</v>
      </c>
      <c r="E2595" s="2">
        <v>2753.88</v>
      </c>
      <c r="G2595" s="1" t="s">
        <v>5183</v>
      </c>
      <c r="H2595" s="2" t="s">
        <v>0</v>
      </c>
      <c r="I2595" s="2">
        <v>2072.03</v>
      </c>
    </row>
    <row r="2596">
      <c r="A2596" s="1" t="s">
        <v>5184</v>
      </c>
      <c r="B2596" s="2">
        <v>1310.87</v>
      </c>
      <c r="C2596" s="2">
        <v>1310.87</v>
      </c>
      <c r="D2596" s="2">
        <v>2769.3</v>
      </c>
      <c r="E2596" s="2">
        <v>2769.3</v>
      </c>
      <c r="G2596" s="1" t="s">
        <v>5185</v>
      </c>
      <c r="H2596" s="2" t="s">
        <v>0</v>
      </c>
      <c r="I2596" s="2">
        <v>2072.03</v>
      </c>
    </row>
    <row r="2597">
      <c r="A2597" s="1" t="s">
        <v>5186</v>
      </c>
      <c r="B2597" s="2" t="s">
        <v>0</v>
      </c>
      <c r="C2597" s="2">
        <v>1310.87</v>
      </c>
      <c r="D2597" s="2" t="s">
        <v>0</v>
      </c>
      <c r="E2597" s="2">
        <v>2769.3</v>
      </c>
      <c r="G2597" s="1" t="s">
        <v>5187</v>
      </c>
      <c r="H2597" s="2" t="s">
        <v>0</v>
      </c>
      <c r="I2597" s="2">
        <v>2072.03</v>
      </c>
    </row>
    <row r="2598">
      <c r="A2598" s="1" t="s">
        <v>5188</v>
      </c>
      <c r="B2598" s="2" t="s">
        <v>0</v>
      </c>
      <c r="C2598" s="2">
        <v>1310.87</v>
      </c>
      <c r="D2598" s="2" t="s">
        <v>0</v>
      </c>
      <c r="E2598" s="2">
        <v>2769.3</v>
      </c>
      <c r="G2598" s="1" t="s">
        <v>5189</v>
      </c>
      <c r="H2598" s="2" t="s">
        <v>0</v>
      </c>
      <c r="I2598" s="2">
        <v>2072.03</v>
      </c>
    </row>
    <row r="2599">
      <c r="A2599" s="1" t="s">
        <v>5190</v>
      </c>
      <c r="B2599" s="2">
        <v>1319.05</v>
      </c>
      <c r="C2599" s="2">
        <v>1319.05</v>
      </c>
      <c r="D2599" s="2">
        <v>2783.99</v>
      </c>
      <c r="E2599" s="2">
        <v>2783.99</v>
      </c>
      <c r="G2599" s="1" t="s">
        <v>5191</v>
      </c>
      <c r="H2599" s="2">
        <v>2081.74</v>
      </c>
      <c r="I2599" s="2">
        <v>2081.74</v>
      </c>
    </row>
    <row r="2600">
      <c r="A2600" s="1" t="s">
        <v>5192</v>
      </c>
      <c r="B2600" s="2">
        <v>1324.57</v>
      </c>
      <c r="C2600" s="2">
        <v>1324.57</v>
      </c>
      <c r="D2600" s="2">
        <v>2797.05</v>
      </c>
      <c r="E2600" s="2">
        <v>2797.05</v>
      </c>
      <c r="G2600" s="1" t="s">
        <v>5193</v>
      </c>
      <c r="H2600" s="2">
        <v>2069.7</v>
      </c>
      <c r="I2600" s="2">
        <v>2069.7</v>
      </c>
    </row>
    <row r="2601">
      <c r="A2601" s="1" t="s">
        <v>5194</v>
      </c>
      <c r="B2601" s="2">
        <v>1320.88</v>
      </c>
      <c r="C2601" s="2">
        <v>1320.88</v>
      </c>
      <c r="D2601" s="2">
        <v>2789.07</v>
      </c>
      <c r="E2601" s="2">
        <v>2789.07</v>
      </c>
      <c r="G2601" s="1" t="s">
        <v>5195</v>
      </c>
      <c r="H2601" s="2">
        <v>2045.58</v>
      </c>
      <c r="I2601" s="2">
        <v>2045.58</v>
      </c>
    </row>
    <row r="2602">
      <c r="A2602" s="1" t="s">
        <v>5196</v>
      </c>
      <c r="B2602" s="2">
        <v>1321.87</v>
      </c>
      <c r="C2602" s="2">
        <v>1321.87</v>
      </c>
      <c r="D2602" s="2">
        <v>2790.45</v>
      </c>
      <c r="E2602" s="2">
        <v>2790.45</v>
      </c>
      <c r="G2602" s="1" t="s">
        <v>5197</v>
      </c>
      <c r="H2602" s="2">
        <v>2008.5</v>
      </c>
      <c r="I2602" s="2">
        <v>2008.5</v>
      </c>
    </row>
    <row r="2603">
      <c r="A2603" s="1" t="s">
        <v>5198</v>
      </c>
      <c r="B2603" s="2">
        <v>1329.15</v>
      </c>
      <c r="C2603" s="2">
        <v>1329.15</v>
      </c>
      <c r="D2603" s="2">
        <v>2809.44</v>
      </c>
      <c r="E2603" s="2">
        <v>2809.44</v>
      </c>
      <c r="G2603" s="1" t="s">
        <v>5199</v>
      </c>
      <c r="H2603" s="2">
        <v>1977.19</v>
      </c>
      <c r="I2603" s="2">
        <v>1977.19</v>
      </c>
    </row>
    <row r="2604">
      <c r="A2604" s="1" t="s">
        <v>5200</v>
      </c>
      <c r="B2604" s="2" t="s">
        <v>0</v>
      </c>
      <c r="C2604" s="2">
        <v>1329.15</v>
      </c>
      <c r="D2604" s="2" t="s">
        <v>0</v>
      </c>
      <c r="E2604" s="2">
        <v>2809.44</v>
      </c>
      <c r="G2604" s="1" t="s">
        <v>5201</v>
      </c>
      <c r="H2604" s="2" t="s">
        <v>0</v>
      </c>
      <c r="I2604" s="2">
        <v>1977.19</v>
      </c>
    </row>
    <row r="2605">
      <c r="A2605" s="1" t="s">
        <v>5202</v>
      </c>
      <c r="B2605" s="2" t="s">
        <v>0</v>
      </c>
      <c r="C2605" s="2">
        <v>1329.15</v>
      </c>
      <c r="D2605" s="2" t="s">
        <v>0</v>
      </c>
      <c r="E2605" s="2">
        <v>2809.44</v>
      </c>
      <c r="G2605" s="1" t="s">
        <v>5203</v>
      </c>
      <c r="H2605" s="2" t="s">
        <v>0</v>
      </c>
      <c r="I2605" s="2">
        <v>1977.19</v>
      </c>
    </row>
    <row r="2606">
      <c r="A2606" s="1" t="s">
        <v>5204</v>
      </c>
      <c r="B2606" s="2">
        <v>1332.32</v>
      </c>
      <c r="C2606" s="2">
        <v>1332.32</v>
      </c>
      <c r="D2606" s="2">
        <v>2817.18</v>
      </c>
      <c r="E2606" s="2">
        <v>2817.18</v>
      </c>
      <c r="G2606" s="1" t="s">
        <v>5205</v>
      </c>
      <c r="H2606" s="2">
        <v>2014.59</v>
      </c>
      <c r="I2606" s="2">
        <v>2014.59</v>
      </c>
    </row>
    <row r="2607">
      <c r="A2607" s="1" t="s">
        <v>5206</v>
      </c>
      <c r="B2607" s="2">
        <v>1328.01</v>
      </c>
      <c r="C2607" s="2">
        <v>1328.01</v>
      </c>
      <c r="D2607" s="2">
        <v>2804.35</v>
      </c>
      <c r="E2607" s="2">
        <v>2804.35</v>
      </c>
      <c r="G2607" s="1" t="s">
        <v>5207</v>
      </c>
      <c r="H2607" s="2">
        <v>2010.52</v>
      </c>
      <c r="I2607" s="2">
        <v>2010.52</v>
      </c>
    </row>
    <row r="2608">
      <c r="A2608" s="1" t="s">
        <v>5208</v>
      </c>
      <c r="B2608" s="2">
        <v>1336.32</v>
      </c>
      <c r="C2608" s="2">
        <v>1336.32</v>
      </c>
      <c r="D2608" s="2">
        <v>2825.56</v>
      </c>
      <c r="E2608" s="2">
        <v>2825.56</v>
      </c>
      <c r="G2608" s="1" t="s">
        <v>5209</v>
      </c>
      <c r="H2608" s="2">
        <v>1989.11</v>
      </c>
      <c r="I2608" s="2">
        <v>1989.11</v>
      </c>
    </row>
    <row r="2609">
      <c r="A2609" s="1" t="s">
        <v>5210</v>
      </c>
      <c r="B2609" s="2">
        <v>1340.43</v>
      </c>
      <c r="C2609" s="2">
        <v>1340.43</v>
      </c>
      <c r="D2609" s="2">
        <v>2831.58</v>
      </c>
      <c r="E2609" s="2">
        <v>2831.58</v>
      </c>
      <c r="G2609" s="1" t="s">
        <v>5211</v>
      </c>
      <c r="H2609" s="2">
        <v>1977.22</v>
      </c>
      <c r="I2609" s="2">
        <v>1977.22</v>
      </c>
    </row>
    <row r="2610">
      <c r="A2610" s="1" t="s">
        <v>5212</v>
      </c>
      <c r="B2610" s="2">
        <v>1343.01</v>
      </c>
      <c r="C2610" s="2">
        <v>1343.01</v>
      </c>
      <c r="D2610" s="2">
        <v>2833.95</v>
      </c>
      <c r="E2610" s="2">
        <v>2833.95</v>
      </c>
      <c r="G2610" s="1" t="s">
        <v>5213</v>
      </c>
      <c r="H2610" s="2">
        <v>2013.14</v>
      </c>
      <c r="I2610" s="2">
        <v>2013.14</v>
      </c>
    </row>
    <row r="2611">
      <c r="A2611" s="1" t="s">
        <v>5214</v>
      </c>
      <c r="B2611" s="2" t="s">
        <v>0</v>
      </c>
      <c r="C2611" s="2">
        <v>1343.01</v>
      </c>
      <c r="D2611" s="2" t="s">
        <v>0</v>
      </c>
      <c r="E2611" s="2">
        <v>2833.95</v>
      </c>
      <c r="G2611" s="1" t="s">
        <v>5215</v>
      </c>
      <c r="H2611" s="2" t="s">
        <v>0</v>
      </c>
      <c r="I2611" s="2">
        <v>2013.14</v>
      </c>
    </row>
    <row r="2612">
      <c r="A2612" s="1" t="s">
        <v>5216</v>
      </c>
      <c r="B2612" s="2" t="s">
        <v>0</v>
      </c>
      <c r="C2612" s="2">
        <v>1343.01</v>
      </c>
      <c r="D2612" s="2" t="s">
        <v>0</v>
      </c>
      <c r="E2612" s="2">
        <v>2833.95</v>
      </c>
      <c r="G2612" s="1" t="s">
        <v>5217</v>
      </c>
      <c r="H2612" s="2" t="s">
        <v>0</v>
      </c>
      <c r="I2612" s="2">
        <v>2013.14</v>
      </c>
    </row>
    <row r="2613">
      <c r="A2613" s="1" t="s">
        <v>5218</v>
      </c>
      <c r="B2613" s="2" t="s">
        <v>0</v>
      </c>
      <c r="C2613" s="2">
        <v>1343.01</v>
      </c>
      <c r="D2613" s="2" t="s">
        <v>0</v>
      </c>
      <c r="E2613" s="2">
        <v>2833.95</v>
      </c>
      <c r="G2613" s="1" t="s">
        <v>5219</v>
      </c>
      <c r="H2613" s="2">
        <v>2005.3</v>
      </c>
      <c r="I2613" s="2">
        <v>2005.3</v>
      </c>
    </row>
    <row r="2614">
      <c r="A2614" s="1" t="s">
        <v>5220</v>
      </c>
      <c r="B2614" s="2">
        <v>1315.44</v>
      </c>
      <c r="C2614" s="2">
        <v>1315.44</v>
      </c>
      <c r="D2614" s="2">
        <v>2756.42</v>
      </c>
      <c r="E2614" s="2">
        <v>2756.42</v>
      </c>
      <c r="G2614" s="1" t="s">
        <v>5221</v>
      </c>
      <c r="H2614" s="2">
        <v>1969.92</v>
      </c>
      <c r="I2614" s="2">
        <v>1969.92</v>
      </c>
    </row>
    <row r="2615">
      <c r="A2615" s="1" t="s">
        <v>5222</v>
      </c>
      <c r="B2615" s="2">
        <v>1307.4</v>
      </c>
      <c r="C2615" s="2">
        <v>1307.4</v>
      </c>
      <c r="D2615" s="2">
        <v>2722.99</v>
      </c>
      <c r="E2615" s="2">
        <v>2722.99</v>
      </c>
      <c r="G2615" s="1" t="s">
        <v>5223</v>
      </c>
      <c r="H2615" s="2">
        <v>1961.63</v>
      </c>
      <c r="I2615" s="2">
        <v>1961.63</v>
      </c>
    </row>
    <row r="2616">
      <c r="A2616" s="1" t="s">
        <v>5224</v>
      </c>
      <c r="B2616" s="2">
        <v>1306.1</v>
      </c>
      <c r="C2616" s="2">
        <v>1306.1</v>
      </c>
      <c r="D2616" s="2">
        <v>2737.9</v>
      </c>
      <c r="E2616" s="2">
        <v>2737.9</v>
      </c>
      <c r="G2616" s="1" t="s">
        <v>5225</v>
      </c>
      <c r="H2616" s="2">
        <v>1949.88</v>
      </c>
      <c r="I2616" s="2">
        <v>1949.88</v>
      </c>
    </row>
    <row r="2617">
      <c r="A2617" s="1" t="s">
        <v>5226</v>
      </c>
      <c r="B2617" s="2">
        <v>1319.88</v>
      </c>
      <c r="C2617" s="2">
        <v>1319.88</v>
      </c>
      <c r="D2617" s="2">
        <v>2781.05</v>
      </c>
      <c r="E2617" s="2">
        <v>2781.05</v>
      </c>
      <c r="G2617" s="1" t="s">
        <v>5227</v>
      </c>
      <c r="H2617" s="2">
        <v>1963.43</v>
      </c>
      <c r="I2617" s="2">
        <v>1963.43</v>
      </c>
    </row>
    <row r="2618">
      <c r="A2618" s="1" t="s">
        <v>5228</v>
      </c>
      <c r="B2618" s="2" t="s">
        <v>0</v>
      </c>
      <c r="C2618" s="2">
        <v>1319.88</v>
      </c>
      <c r="D2618" s="2" t="s">
        <v>0</v>
      </c>
      <c r="E2618" s="2">
        <v>2781.05</v>
      </c>
      <c r="G2618" s="1" t="s">
        <v>5229</v>
      </c>
      <c r="H2618" s="2" t="s">
        <v>0</v>
      </c>
      <c r="I2618" s="2">
        <v>1963.43</v>
      </c>
    </row>
    <row r="2619">
      <c r="A2619" s="1" t="s">
        <v>5230</v>
      </c>
      <c r="B2619" s="2" t="s">
        <v>0</v>
      </c>
      <c r="C2619" s="2">
        <v>1319.88</v>
      </c>
      <c r="D2619" s="2" t="s">
        <v>0</v>
      </c>
      <c r="E2619" s="2">
        <v>2781.05</v>
      </c>
      <c r="G2619" s="1" t="s">
        <v>5231</v>
      </c>
      <c r="H2619" s="2" t="s">
        <v>0</v>
      </c>
      <c r="I2619" s="2">
        <v>1963.43</v>
      </c>
    </row>
    <row r="2620">
      <c r="A2620" s="1" t="s">
        <v>5232</v>
      </c>
      <c r="B2620" s="2">
        <v>1327.22</v>
      </c>
      <c r="C2620" s="2">
        <v>1327.22</v>
      </c>
      <c r="D2620" s="2">
        <v>2782.27</v>
      </c>
      <c r="E2620" s="2">
        <v>2782.27</v>
      </c>
      <c r="G2620" s="1" t="s">
        <v>5233</v>
      </c>
      <c r="H2620" s="2">
        <v>1939.3</v>
      </c>
      <c r="I2620" s="2">
        <v>1939.3</v>
      </c>
    </row>
    <row r="2621">
      <c r="A2621" s="1" t="s">
        <v>5234</v>
      </c>
      <c r="B2621" s="2">
        <v>1306.33</v>
      </c>
      <c r="C2621" s="2">
        <v>1306.33</v>
      </c>
      <c r="D2621" s="2">
        <v>2737.41</v>
      </c>
      <c r="E2621" s="2">
        <v>2737.41</v>
      </c>
      <c r="G2621" s="1" t="s">
        <v>5235</v>
      </c>
      <c r="H2621" s="2" t="s">
        <v>0</v>
      </c>
      <c r="I2621" s="2">
        <v>1939.3</v>
      </c>
    </row>
    <row r="2622">
      <c r="A2622" s="1" t="s">
        <v>5236</v>
      </c>
      <c r="B2622" s="2">
        <v>1308.44</v>
      </c>
      <c r="C2622" s="2">
        <v>1308.44</v>
      </c>
      <c r="D2622" s="2">
        <v>2748.07</v>
      </c>
      <c r="E2622" s="2">
        <v>2748.07</v>
      </c>
      <c r="G2622" s="1" t="s">
        <v>5237</v>
      </c>
      <c r="H2622" s="2">
        <v>1928.24</v>
      </c>
      <c r="I2622" s="2">
        <v>1928.24</v>
      </c>
    </row>
    <row r="2623">
      <c r="A2623" s="1" t="s">
        <v>5238</v>
      </c>
      <c r="B2623" s="2">
        <v>1330.97</v>
      </c>
      <c r="C2623" s="2">
        <v>1330.97</v>
      </c>
      <c r="D2623" s="2">
        <v>2798.74</v>
      </c>
      <c r="E2623" s="2">
        <v>2798.74</v>
      </c>
      <c r="G2623" s="1" t="s">
        <v>5239</v>
      </c>
      <c r="H2623" s="2">
        <v>1970.66</v>
      </c>
      <c r="I2623" s="2">
        <v>1970.66</v>
      </c>
    </row>
    <row r="2624">
      <c r="A2624" s="1" t="s">
        <v>5240</v>
      </c>
      <c r="B2624" s="2">
        <v>1321.15</v>
      </c>
      <c r="C2624" s="2">
        <v>1321.15</v>
      </c>
      <c r="D2624" s="2">
        <v>2784.67</v>
      </c>
      <c r="E2624" s="2">
        <v>2784.67</v>
      </c>
      <c r="G2624" s="1" t="s">
        <v>5241</v>
      </c>
      <c r="H2624" s="2">
        <v>2004.68</v>
      </c>
      <c r="I2624" s="2">
        <v>2004.68</v>
      </c>
    </row>
    <row r="2625">
      <c r="A2625" s="1" t="s">
        <v>5242</v>
      </c>
      <c r="B2625" s="2" t="s">
        <v>0</v>
      </c>
      <c r="C2625" s="2">
        <v>1321.15</v>
      </c>
      <c r="D2625" s="2" t="s">
        <v>0</v>
      </c>
      <c r="E2625" s="2">
        <v>2784.67</v>
      </c>
      <c r="G2625" s="1" t="s">
        <v>5243</v>
      </c>
      <c r="H2625" s="2" t="s">
        <v>0</v>
      </c>
      <c r="I2625" s="2">
        <v>2004.68</v>
      </c>
    </row>
    <row r="2626">
      <c r="A2626" s="1" t="s">
        <v>5244</v>
      </c>
      <c r="B2626" s="2" t="s">
        <v>0</v>
      </c>
      <c r="C2626" s="2">
        <v>1321.15</v>
      </c>
      <c r="D2626" s="2" t="s">
        <v>0</v>
      </c>
      <c r="E2626" s="2">
        <v>2784.67</v>
      </c>
      <c r="G2626" s="1" t="s">
        <v>5245</v>
      </c>
      <c r="H2626" s="2" t="s">
        <v>0</v>
      </c>
      <c r="I2626" s="2">
        <v>2004.68</v>
      </c>
    </row>
    <row r="2627">
      <c r="A2627" s="1" t="s">
        <v>5246</v>
      </c>
      <c r="B2627" s="2">
        <v>1310.13</v>
      </c>
      <c r="C2627" s="2">
        <v>1310.13</v>
      </c>
      <c r="D2627" s="2">
        <v>2745.63</v>
      </c>
      <c r="E2627" s="2">
        <v>2745.63</v>
      </c>
      <c r="G2627" s="1" t="s">
        <v>5247</v>
      </c>
      <c r="H2627" s="2">
        <v>1980.27</v>
      </c>
      <c r="I2627" s="2">
        <v>1980.27</v>
      </c>
    </row>
    <row r="2628">
      <c r="A2628" s="1" t="s">
        <v>5248</v>
      </c>
      <c r="B2628" s="2">
        <v>1321.82</v>
      </c>
      <c r="C2628" s="2">
        <v>1321.82</v>
      </c>
      <c r="D2628" s="2">
        <v>2765.77</v>
      </c>
      <c r="E2628" s="2">
        <v>2765.77</v>
      </c>
      <c r="G2628" s="1" t="s">
        <v>5249</v>
      </c>
      <c r="H2628" s="2">
        <v>1996.32</v>
      </c>
      <c r="I2628" s="2">
        <v>1996.32</v>
      </c>
    </row>
    <row r="2629">
      <c r="A2629" s="1" t="s">
        <v>5250</v>
      </c>
      <c r="B2629" s="2">
        <v>1320.02</v>
      </c>
      <c r="C2629" s="2">
        <v>1320.02</v>
      </c>
      <c r="D2629" s="2">
        <v>2751.72</v>
      </c>
      <c r="E2629" s="2">
        <v>2751.72</v>
      </c>
      <c r="G2629" s="1" t="s">
        <v>5251</v>
      </c>
      <c r="H2629" s="2">
        <v>2001.47</v>
      </c>
      <c r="I2629" s="2">
        <v>2001.47</v>
      </c>
    </row>
    <row r="2630">
      <c r="A2630" s="1" t="s">
        <v>5252</v>
      </c>
      <c r="B2630" s="2">
        <v>1295.11</v>
      </c>
      <c r="C2630" s="2">
        <v>1295.11</v>
      </c>
      <c r="D2630" s="2">
        <v>2701.02</v>
      </c>
      <c r="E2630" s="2">
        <v>2701.02</v>
      </c>
      <c r="G2630" s="1" t="s">
        <v>5253</v>
      </c>
      <c r="H2630" s="2">
        <v>1981.58</v>
      </c>
      <c r="I2630" s="2">
        <v>1981.58</v>
      </c>
    </row>
    <row r="2631">
      <c r="A2631" s="1" t="s">
        <v>5254</v>
      </c>
      <c r="B2631" s="2">
        <v>1304.28</v>
      </c>
      <c r="C2631" s="2">
        <v>1304.28</v>
      </c>
      <c r="D2631" s="2">
        <v>2715.61</v>
      </c>
      <c r="E2631" s="2">
        <v>2715.61</v>
      </c>
      <c r="G2631" s="1" t="s">
        <v>5255</v>
      </c>
      <c r="H2631" s="2">
        <v>1955.54</v>
      </c>
      <c r="I2631" s="2">
        <v>1955.54</v>
      </c>
    </row>
    <row r="2632">
      <c r="A2632" s="1" t="s">
        <v>5256</v>
      </c>
      <c r="B2632" s="2" t="s">
        <v>0</v>
      </c>
      <c r="C2632" s="2">
        <v>1304.28</v>
      </c>
      <c r="D2632" s="2" t="s">
        <v>0</v>
      </c>
      <c r="E2632" s="2">
        <v>2715.61</v>
      </c>
      <c r="G2632" s="1" t="s">
        <v>5257</v>
      </c>
      <c r="H2632" s="2" t="s">
        <v>0</v>
      </c>
      <c r="I2632" s="2">
        <v>1955.54</v>
      </c>
    </row>
    <row r="2633">
      <c r="A2633" s="1" t="s">
        <v>5258</v>
      </c>
      <c r="B2633" s="2" t="s">
        <v>0</v>
      </c>
      <c r="C2633" s="2">
        <v>1304.28</v>
      </c>
      <c r="D2633" s="2" t="s">
        <v>0</v>
      </c>
      <c r="E2633" s="2">
        <v>2715.61</v>
      </c>
      <c r="G2633" s="1" t="s">
        <v>5259</v>
      </c>
      <c r="H2633" s="2" t="s">
        <v>0</v>
      </c>
      <c r="I2633" s="2">
        <v>1955.54</v>
      </c>
    </row>
    <row r="2634">
      <c r="A2634" s="1" t="s">
        <v>5260</v>
      </c>
      <c r="B2634" s="2">
        <v>1296.39</v>
      </c>
      <c r="C2634" s="2">
        <v>1296.39</v>
      </c>
      <c r="D2634" s="2">
        <v>2700.97</v>
      </c>
      <c r="E2634" s="2">
        <v>2700.97</v>
      </c>
      <c r="G2634" s="1" t="s">
        <v>5261</v>
      </c>
      <c r="H2634" s="2">
        <v>1971.23</v>
      </c>
      <c r="I2634" s="2">
        <v>1971.23</v>
      </c>
    </row>
    <row r="2635">
      <c r="A2635" s="1" t="s">
        <v>5262</v>
      </c>
      <c r="B2635" s="2">
        <v>1281.87</v>
      </c>
      <c r="C2635" s="2">
        <v>1281.87</v>
      </c>
      <c r="D2635" s="2">
        <v>2667.33</v>
      </c>
      <c r="E2635" s="2">
        <v>2667.33</v>
      </c>
      <c r="G2635" s="1" t="s">
        <v>5263</v>
      </c>
      <c r="H2635" s="2">
        <v>1923.92</v>
      </c>
      <c r="I2635" s="2">
        <v>1923.92</v>
      </c>
    </row>
    <row r="2636">
      <c r="A2636" s="1" t="s">
        <v>5264</v>
      </c>
      <c r="B2636" s="2">
        <v>1256.88</v>
      </c>
      <c r="C2636" s="2">
        <v>1256.88</v>
      </c>
      <c r="D2636" s="2">
        <v>2616.82</v>
      </c>
      <c r="E2636" s="2">
        <v>2616.82</v>
      </c>
      <c r="G2636" s="1" t="s">
        <v>5265</v>
      </c>
      <c r="H2636" s="2">
        <v>1957.97</v>
      </c>
      <c r="I2636" s="2">
        <v>1957.97</v>
      </c>
    </row>
    <row r="2637">
      <c r="A2637" s="1" t="s">
        <v>5266</v>
      </c>
      <c r="B2637" s="2">
        <v>1273.72</v>
      </c>
      <c r="C2637" s="2">
        <v>1273.72</v>
      </c>
      <c r="D2637" s="2">
        <v>2636.05</v>
      </c>
      <c r="E2637" s="2">
        <v>2636.05</v>
      </c>
      <c r="G2637" s="1" t="s">
        <v>5267</v>
      </c>
      <c r="H2637" s="2">
        <v>1959.03</v>
      </c>
      <c r="I2637" s="2">
        <v>1959.03</v>
      </c>
    </row>
    <row r="2638">
      <c r="A2638" s="1" t="s">
        <v>5268</v>
      </c>
      <c r="B2638" s="2">
        <v>1279.2</v>
      </c>
      <c r="C2638" s="2">
        <v>1279.2</v>
      </c>
      <c r="D2638" s="2">
        <v>2643.67</v>
      </c>
      <c r="E2638" s="2">
        <v>2643.67</v>
      </c>
      <c r="G2638" s="1" t="s">
        <v>5269</v>
      </c>
      <c r="H2638" s="2">
        <v>1981.13</v>
      </c>
      <c r="I2638" s="2">
        <v>1981.13</v>
      </c>
    </row>
    <row r="2639">
      <c r="A2639" s="1" t="s">
        <v>5270</v>
      </c>
      <c r="B2639" s="2" t="s">
        <v>0</v>
      </c>
      <c r="C2639" s="2">
        <v>1279.2</v>
      </c>
      <c r="D2639" s="2" t="s">
        <v>0</v>
      </c>
      <c r="E2639" s="2">
        <v>2643.67</v>
      </c>
      <c r="G2639" s="1" t="s">
        <v>5271</v>
      </c>
      <c r="H2639" s="2" t="s">
        <v>0</v>
      </c>
      <c r="I2639" s="2">
        <v>1981.13</v>
      </c>
    </row>
    <row r="2640">
      <c r="A2640" s="1" t="s">
        <v>5272</v>
      </c>
      <c r="B2640" s="2" t="s">
        <v>0</v>
      </c>
      <c r="C2640" s="2">
        <v>1279.2</v>
      </c>
      <c r="D2640" s="2" t="s">
        <v>0</v>
      </c>
      <c r="E2640" s="2">
        <v>2643.67</v>
      </c>
      <c r="G2640" s="1" t="s">
        <v>5273</v>
      </c>
      <c r="H2640" s="2" t="s">
        <v>0</v>
      </c>
      <c r="I2640" s="2">
        <v>1981.13</v>
      </c>
    </row>
    <row r="2641">
      <c r="A2641" s="1" t="s">
        <v>5274</v>
      </c>
      <c r="B2641" s="2">
        <v>1298.38</v>
      </c>
      <c r="C2641" s="2">
        <v>1298.38</v>
      </c>
      <c r="D2641" s="2">
        <v>2692.09</v>
      </c>
      <c r="E2641" s="2">
        <v>2692.09</v>
      </c>
      <c r="G2641" s="1" t="s">
        <v>5275</v>
      </c>
      <c r="H2641" s="2">
        <v>2003.42</v>
      </c>
      <c r="I2641" s="2">
        <v>2003.42</v>
      </c>
    </row>
    <row r="2642">
      <c r="A2642" s="1" t="s">
        <v>5276</v>
      </c>
      <c r="B2642" s="2">
        <v>1293.77</v>
      </c>
      <c r="C2642" s="2">
        <v>1293.77</v>
      </c>
      <c r="D2642" s="2">
        <v>2683.87</v>
      </c>
      <c r="E2642" s="2">
        <v>2683.87</v>
      </c>
      <c r="G2642" s="1" t="s">
        <v>5277</v>
      </c>
      <c r="H2642" s="2">
        <v>2013.66</v>
      </c>
      <c r="I2642" s="2">
        <v>2013.66</v>
      </c>
    </row>
    <row r="2643">
      <c r="A2643" s="1" t="s">
        <v>5278</v>
      </c>
      <c r="B2643" s="2">
        <v>1297.54</v>
      </c>
      <c r="C2643" s="2">
        <v>1297.54</v>
      </c>
      <c r="D2643" s="2">
        <v>2698.3</v>
      </c>
      <c r="E2643" s="2">
        <v>2698.3</v>
      </c>
      <c r="G2643" s="1" t="s">
        <v>5279</v>
      </c>
      <c r="H2643" s="2">
        <v>2012.18</v>
      </c>
      <c r="I2643" s="2">
        <v>2012.18</v>
      </c>
    </row>
    <row r="2644">
      <c r="A2644" s="1" t="s">
        <v>5280</v>
      </c>
      <c r="B2644" s="2">
        <v>1309.66</v>
      </c>
      <c r="C2644" s="2">
        <v>1309.66</v>
      </c>
      <c r="D2644" s="2">
        <v>2736.42</v>
      </c>
      <c r="E2644" s="2">
        <v>2736.42</v>
      </c>
      <c r="G2644" s="1" t="s">
        <v>5281</v>
      </c>
      <c r="H2644" s="2">
        <v>2036.78</v>
      </c>
      <c r="I2644" s="2">
        <v>2036.78</v>
      </c>
    </row>
    <row r="2645">
      <c r="A2645" s="1" t="s">
        <v>5282</v>
      </c>
      <c r="B2645" s="2">
        <v>1313.8</v>
      </c>
      <c r="C2645" s="2">
        <v>1313.8</v>
      </c>
      <c r="D2645" s="2">
        <v>2743.06</v>
      </c>
      <c r="E2645" s="2">
        <v>2743.06</v>
      </c>
      <c r="G2645" s="1" t="s">
        <v>5283</v>
      </c>
      <c r="H2645" s="2">
        <v>2054.04</v>
      </c>
      <c r="I2645" s="2">
        <v>2054.04</v>
      </c>
    </row>
    <row r="2646">
      <c r="A2646" s="1" t="s">
        <v>5284</v>
      </c>
      <c r="B2646" s="2" t="s">
        <v>0</v>
      </c>
      <c r="C2646" s="2">
        <v>1313.8</v>
      </c>
      <c r="D2646" s="2" t="s">
        <v>0</v>
      </c>
      <c r="E2646" s="2">
        <v>2743.06</v>
      </c>
      <c r="G2646" s="1" t="s">
        <v>5285</v>
      </c>
      <c r="H2646" s="2" t="s">
        <v>0</v>
      </c>
      <c r="I2646" s="2">
        <v>2054.04</v>
      </c>
    </row>
    <row r="2647">
      <c r="A2647" s="1" t="s">
        <v>5286</v>
      </c>
      <c r="B2647" s="2" t="s">
        <v>0</v>
      </c>
      <c r="C2647" s="2">
        <v>1313.8</v>
      </c>
      <c r="D2647" s="2" t="s">
        <v>0</v>
      </c>
      <c r="E2647" s="2">
        <v>2743.06</v>
      </c>
      <c r="G2647" s="1" t="s">
        <v>5287</v>
      </c>
      <c r="H2647" s="2" t="s">
        <v>0</v>
      </c>
      <c r="I2647" s="2">
        <v>2054.04</v>
      </c>
    </row>
    <row r="2648">
      <c r="A2648" s="1" t="s">
        <v>5288</v>
      </c>
      <c r="B2648" s="2">
        <v>1310.19</v>
      </c>
      <c r="C2648" s="2">
        <v>1310.19</v>
      </c>
      <c r="D2648" s="2">
        <v>2730.68</v>
      </c>
      <c r="E2648" s="2">
        <v>2730.68</v>
      </c>
      <c r="G2648" s="1" t="s">
        <v>5289</v>
      </c>
      <c r="H2648" s="2">
        <v>2056.39</v>
      </c>
      <c r="I2648" s="2">
        <v>2056.39</v>
      </c>
    </row>
    <row r="2649">
      <c r="A2649" s="1" t="s">
        <v>5290</v>
      </c>
      <c r="B2649" s="2">
        <v>1319.44</v>
      </c>
      <c r="C2649" s="2">
        <v>1319.44</v>
      </c>
      <c r="D2649" s="2">
        <v>2756.89</v>
      </c>
      <c r="E2649" s="2">
        <v>2756.89</v>
      </c>
      <c r="G2649" s="1" t="s">
        <v>5291</v>
      </c>
      <c r="H2649" s="2">
        <v>2072.13</v>
      </c>
      <c r="I2649" s="2">
        <v>2072.13</v>
      </c>
    </row>
    <row r="2650">
      <c r="A2650" s="1" t="s">
        <v>5292</v>
      </c>
      <c r="B2650" s="2">
        <v>1328.26</v>
      </c>
      <c r="C2650" s="2">
        <v>1328.26</v>
      </c>
      <c r="D2650" s="2">
        <v>2776.79</v>
      </c>
      <c r="E2650" s="2">
        <v>2776.79</v>
      </c>
      <c r="G2650" s="1" t="s">
        <v>5293</v>
      </c>
      <c r="H2650" s="2">
        <v>2091.38</v>
      </c>
      <c r="I2650" s="2">
        <v>2091.38</v>
      </c>
    </row>
    <row r="2651">
      <c r="A2651" s="1" t="s">
        <v>5294</v>
      </c>
      <c r="B2651" s="2">
        <v>1325.83</v>
      </c>
      <c r="C2651" s="2">
        <v>1325.83</v>
      </c>
      <c r="D2651" s="2">
        <v>2781.07</v>
      </c>
      <c r="E2651" s="2">
        <v>2781.07</v>
      </c>
      <c r="G2651" s="1" t="s">
        <v>5295</v>
      </c>
      <c r="H2651" s="2">
        <v>2106.7</v>
      </c>
      <c r="I2651" s="2">
        <v>2106.7</v>
      </c>
    </row>
    <row r="2652">
      <c r="A2652" s="1" t="s">
        <v>5296</v>
      </c>
      <c r="B2652" s="2">
        <v>1332.41</v>
      </c>
      <c r="C2652" s="2">
        <v>1332.41</v>
      </c>
      <c r="D2652" s="2">
        <v>2789.6</v>
      </c>
      <c r="E2652" s="2">
        <v>2789.6</v>
      </c>
      <c r="G2652" s="1" t="s">
        <v>5297</v>
      </c>
      <c r="H2652" s="2">
        <v>2121.01</v>
      </c>
      <c r="I2652" s="2">
        <v>2121.01</v>
      </c>
    </row>
    <row r="2653">
      <c r="A2653" s="1" t="s">
        <v>5298</v>
      </c>
      <c r="B2653" s="2" t="s">
        <v>0</v>
      </c>
      <c r="C2653" s="2">
        <v>1332.41</v>
      </c>
      <c r="D2653" s="2" t="s">
        <v>0</v>
      </c>
      <c r="E2653" s="2">
        <v>2789.6</v>
      </c>
      <c r="G2653" s="1" t="s">
        <v>5299</v>
      </c>
      <c r="H2653" s="2" t="s">
        <v>0</v>
      </c>
      <c r="I2653" s="2">
        <v>2121.01</v>
      </c>
    </row>
    <row r="2654">
      <c r="A2654" s="1" t="s">
        <v>5300</v>
      </c>
      <c r="B2654" s="2" t="s">
        <v>0</v>
      </c>
      <c r="C2654" s="2">
        <v>1332.41</v>
      </c>
      <c r="D2654" s="2" t="s">
        <v>0</v>
      </c>
      <c r="E2654" s="2">
        <v>2789.6</v>
      </c>
      <c r="G2654" s="1" t="s">
        <v>5301</v>
      </c>
      <c r="H2654" s="2" t="s">
        <v>0</v>
      </c>
      <c r="I2654" s="2">
        <v>2121.01</v>
      </c>
    </row>
    <row r="2655">
      <c r="A2655" s="1" t="s">
        <v>5302</v>
      </c>
      <c r="B2655" s="2">
        <v>1332.87</v>
      </c>
      <c r="C2655" s="2">
        <v>1332.87</v>
      </c>
      <c r="D2655" s="2">
        <v>2789.19</v>
      </c>
      <c r="E2655" s="2">
        <v>2789.19</v>
      </c>
      <c r="G2655" s="1" t="s">
        <v>5303</v>
      </c>
      <c r="H2655" s="2">
        <v>2115.87</v>
      </c>
      <c r="I2655" s="2">
        <v>2115.87</v>
      </c>
    </row>
    <row r="2656">
      <c r="A2656" s="1" t="s">
        <v>5304</v>
      </c>
      <c r="B2656" s="2">
        <v>1332.63</v>
      </c>
      <c r="C2656" s="2">
        <v>1332.63</v>
      </c>
      <c r="D2656" s="2">
        <v>2791.19</v>
      </c>
      <c r="E2656" s="2">
        <v>2791.19</v>
      </c>
      <c r="G2656" s="1" t="s">
        <v>5305</v>
      </c>
      <c r="H2656" s="2">
        <v>2130.43</v>
      </c>
      <c r="I2656" s="2">
        <v>2130.43</v>
      </c>
    </row>
    <row r="2657">
      <c r="A2657" s="1" t="s">
        <v>5306</v>
      </c>
      <c r="B2657" s="2">
        <v>1335.54</v>
      </c>
      <c r="C2657" s="2">
        <v>1335.54</v>
      </c>
      <c r="D2657" s="2">
        <v>2799.82</v>
      </c>
      <c r="E2657" s="2">
        <v>2799.82</v>
      </c>
      <c r="G2657" s="1" t="s">
        <v>5307</v>
      </c>
      <c r="H2657" s="2">
        <v>2126.71</v>
      </c>
      <c r="I2657" s="2">
        <v>2126.71</v>
      </c>
    </row>
    <row r="2658">
      <c r="A2658" s="1" t="s">
        <v>5308</v>
      </c>
      <c r="B2658" s="2">
        <v>1333.51</v>
      </c>
      <c r="C2658" s="2">
        <v>1333.51</v>
      </c>
      <c r="D2658" s="2">
        <v>2796.14</v>
      </c>
      <c r="E2658" s="2">
        <v>2796.14</v>
      </c>
      <c r="G2658" s="1" t="s">
        <v>5309</v>
      </c>
      <c r="H2658" s="2">
        <v>2122.14</v>
      </c>
      <c r="I2658" s="2">
        <v>2122.14</v>
      </c>
    </row>
    <row r="2659">
      <c r="A2659" s="1" t="s">
        <v>5310</v>
      </c>
      <c r="B2659" s="2">
        <v>1328.17</v>
      </c>
      <c r="C2659" s="2">
        <v>1328.17</v>
      </c>
      <c r="D2659" s="2">
        <v>2780.41</v>
      </c>
      <c r="E2659" s="2">
        <v>2780.41</v>
      </c>
      <c r="G2659" s="1" t="s">
        <v>5311</v>
      </c>
      <c r="H2659" s="2">
        <v>2127.97</v>
      </c>
      <c r="I2659" s="2">
        <v>2127.97</v>
      </c>
    </row>
    <row r="2660">
      <c r="A2660" s="1" t="s">
        <v>5312</v>
      </c>
      <c r="B2660" s="2" t="s">
        <v>0</v>
      </c>
      <c r="C2660" s="2">
        <v>1328.17</v>
      </c>
      <c r="D2660" s="2" t="s">
        <v>0</v>
      </c>
      <c r="E2660" s="2">
        <v>2780.41</v>
      </c>
      <c r="G2660" s="1" t="s">
        <v>5313</v>
      </c>
      <c r="H2660" s="2" t="s">
        <v>0</v>
      </c>
      <c r="I2660" s="2">
        <v>2127.97</v>
      </c>
    </row>
    <row r="2661">
      <c r="A2661" s="1" t="s">
        <v>5314</v>
      </c>
      <c r="B2661" s="2" t="s">
        <v>0</v>
      </c>
      <c r="C2661" s="2">
        <v>1328.17</v>
      </c>
      <c r="D2661" s="2" t="s">
        <v>0</v>
      </c>
      <c r="E2661" s="2">
        <v>2780.41</v>
      </c>
      <c r="G2661" s="1" t="s">
        <v>5315</v>
      </c>
      <c r="H2661" s="2" t="s">
        <v>0</v>
      </c>
      <c r="I2661" s="2">
        <v>2127.97</v>
      </c>
    </row>
    <row r="2662">
      <c r="A2662" s="1" t="s">
        <v>5316</v>
      </c>
      <c r="B2662" s="2">
        <v>1324.46</v>
      </c>
      <c r="C2662" s="2">
        <v>1324.46</v>
      </c>
      <c r="D2662" s="2">
        <v>2771.51</v>
      </c>
      <c r="E2662" s="2">
        <v>2771.51</v>
      </c>
      <c r="G2662" s="1" t="s">
        <v>5317</v>
      </c>
      <c r="H2662" s="2">
        <v>2122.39</v>
      </c>
      <c r="I2662" s="2">
        <v>2122.39</v>
      </c>
    </row>
    <row r="2663">
      <c r="A2663" s="1" t="s">
        <v>5318</v>
      </c>
      <c r="B2663" s="2">
        <v>1314.16</v>
      </c>
      <c r="C2663" s="2">
        <v>1314.16</v>
      </c>
      <c r="D2663" s="2">
        <v>2744.79</v>
      </c>
      <c r="E2663" s="2">
        <v>2744.79</v>
      </c>
      <c r="G2663" s="1" t="s">
        <v>5319</v>
      </c>
      <c r="H2663" s="2">
        <v>2089.4</v>
      </c>
      <c r="I2663" s="2">
        <v>2089.4</v>
      </c>
    </row>
    <row r="2664">
      <c r="A2664" s="1" t="s">
        <v>5320</v>
      </c>
      <c r="B2664" s="2">
        <v>1314.41</v>
      </c>
      <c r="C2664" s="2">
        <v>1314.41</v>
      </c>
      <c r="D2664" s="2">
        <v>2761.52</v>
      </c>
      <c r="E2664" s="2">
        <v>2761.52</v>
      </c>
      <c r="G2664" s="1" t="s">
        <v>5321</v>
      </c>
      <c r="H2664" s="2">
        <v>2121.92</v>
      </c>
      <c r="I2664" s="2">
        <v>2121.92</v>
      </c>
    </row>
    <row r="2665">
      <c r="A2665" s="1" t="s">
        <v>5322</v>
      </c>
      <c r="B2665" s="2">
        <v>1314.52</v>
      </c>
      <c r="C2665" s="2">
        <v>1314.52</v>
      </c>
      <c r="D2665" s="2">
        <v>2760.22</v>
      </c>
      <c r="E2665" s="2">
        <v>2760.22</v>
      </c>
      <c r="G2665" s="1" t="s">
        <v>5323</v>
      </c>
      <c r="H2665" s="2">
        <v>2141.06</v>
      </c>
      <c r="I2665" s="2">
        <v>2141.06</v>
      </c>
    </row>
    <row r="2666">
      <c r="A2666" s="1" t="s">
        <v>5324</v>
      </c>
      <c r="B2666" s="2">
        <v>1319.68</v>
      </c>
      <c r="C2666" s="2">
        <v>1319.68</v>
      </c>
      <c r="D2666" s="2">
        <v>2764.65</v>
      </c>
      <c r="E2666" s="2">
        <v>2764.65</v>
      </c>
      <c r="G2666" s="1" t="s">
        <v>5325</v>
      </c>
      <c r="H2666" s="2">
        <v>2140.5</v>
      </c>
      <c r="I2666" s="2">
        <v>2140.5</v>
      </c>
    </row>
    <row r="2667">
      <c r="A2667" s="1" t="s">
        <v>5326</v>
      </c>
      <c r="B2667" s="2" t="s">
        <v>0</v>
      </c>
      <c r="C2667" s="2">
        <v>1319.68</v>
      </c>
      <c r="D2667" s="2" t="s">
        <v>0</v>
      </c>
      <c r="E2667" s="2">
        <v>2764.65</v>
      </c>
      <c r="G2667" s="1" t="s">
        <v>5327</v>
      </c>
      <c r="H2667" s="2" t="s">
        <v>0</v>
      </c>
      <c r="I2667" s="2">
        <v>2140.5</v>
      </c>
    </row>
    <row r="2668">
      <c r="A2668" s="1" t="s">
        <v>5328</v>
      </c>
      <c r="B2668" s="2" t="s">
        <v>0</v>
      </c>
      <c r="C2668" s="2">
        <v>1319.68</v>
      </c>
      <c r="D2668" s="2" t="s">
        <v>0</v>
      </c>
      <c r="E2668" s="2">
        <v>2764.65</v>
      </c>
      <c r="G2668" s="1" t="s">
        <v>5329</v>
      </c>
      <c r="H2668" s="2" t="s">
        <v>0</v>
      </c>
      <c r="I2668" s="2">
        <v>2140.5</v>
      </c>
    </row>
    <row r="2669">
      <c r="A2669" s="1" t="s">
        <v>5330</v>
      </c>
      <c r="B2669" s="2">
        <v>1305.14</v>
      </c>
      <c r="C2669" s="2">
        <v>1305.14</v>
      </c>
      <c r="D2669" s="2">
        <v>2735.38</v>
      </c>
      <c r="E2669" s="2">
        <v>2735.38</v>
      </c>
      <c r="G2669" s="1" t="s">
        <v>5331</v>
      </c>
      <c r="H2669" s="2">
        <v>2137.72</v>
      </c>
      <c r="I2669" s="2">
        <v>2137.72</v>
      </c>
    </row>
    <row r="2670">
      <c r="A2670" s="1" t="s">
        <v>5332</v>
      </c>
      <c r="B2670" s="2">
        <v>1312.62</v>
      </c>
      <c r="C2670" s="2">
        <v>1312.62</v>
      </c>
      <c r="D2670" s="2">
        <v>2744.97</v>
      </c>
      <c r="E2670" s="2">
        <v>2744.97</v>
      </c>
      <c r="G2670" s="1" t="s">
        <v>5333</v>
      </c>
      <c r="H2670" s="2">
        <v>2122.68</v>
      </c>
      <c r="I2670" s="2">
        <v>2122.68</v>
      </c>
    </row>
    <row r="2671">
      <c r="A2671" s="1" t="s">
        <v>5334</v>
      </c>
      <c r="B2671" s="2">
        <v>1330.36</v>
      </c>
      <c r="C2671" s="2">
        <v>1330.36</v>
      </c>
      <c r="D2671" s="2">
        <v>2802.51</v>
      </c>
      <c r="E2671" s="2">
        <v>2802.51</v>
      </c>
      <c r="G2671" s="1" t="s">
        <v>5335</v>
      </c>
      <c r="H2671" s="2">
        <v>2169.91</v>
      </c>
      <c r="I2671" s="2">
        <v>2169.91</v>
      </c>
    </row>
    <row r="2672">
      <c r="A2672" s="1" t="s">
        <v>5336</v>
      </c>
      <c r="B2672" s="2">
        <v>1337.38</v>
      </c>
      <c r="C2672" s="2">
        <v>1337.38</v>
      </c>
      <c r="D2672" s="2">
        <v>2820.16</v>
      </c>
      <c r="E2672" s="2">
        <v>2820.16</v>
      </c>
      <c r="G2672" s="1" t="s">
        <v>5337</v>
      </c>
      <c r="H2672" s="2">
        <v>2198.54</v>
      </c>
      <c r="I2672" s="2">
        <v>2198.54</v>
      </c>
    </row>
    <row r="2673">
      <c r="A2673" s="1" t="s">
        <v>5338</v>
      </c>
      <c r="B2673" s="2" t="s">
        <v>0</v>
      </c>
      <c r="C2673" s="2">
        <v>1337.38</v>
      </c>
      <c r="D2673" s="2" t="s">
        <v>0</v>
      </c>
      <c r="E2673" s="2">
        <v>2820.16</v>
      </c>
      <c r="G2673" s="1" t="s">
        <v>5339</v>
      </c>
      <c r="H2673" s="2">
        <v>2197.82</v>
      </c>
      <c r="I2673" s="2">
        <v>2197.82</v>
      </c>
    </row>
    <row r="2674">
      <c r="A2674" s="1" t="s">
        <v>5340</v>
      </c>
      <c r="B2674" s="2" t="s">
        <v>0</v>
      </c>
      <c r="C2674" s="2">
        <v>1337.38</v>
      </c>
      <c r="D2674" s="2" t="s">
        <v>0</v>
      </c>
      <c r="E2674" s="2">
        <v>2820.16</v>
      </c>
      <c r="G2674" s="1" t="s">
        <v>5341</v>
      </c>
      <c r="H2674" s="2" t="s">
        <v>0</v>
      </c>
      <c r="I2674" s="2">
        <v>2197.82</v>
      </c>
    </row>
    <row r="2675">
      <c r="A2675" s="1" t="s">
        <v>5342</v>
      </c>
      <c r="B2675" s="2" t="s">
        <v>0</v>
      </c>
      <c r="C2675" s="2">
        <v>1337.38</v>
      </c>
      <c r="D2675" s="2" t="s">
        <v>0</v>
      </c>
      <c r="E2675" s="2">
        <v>2820.16</v>
      </c>
      <c r="G2675" s="1" t="s">
        <v>5343</v>
      </c>
      <c r="H2675" s="2" t="s">
        <v>0</v>
      </c>
      <c r="I2675" s="2">
        <v>2197.82</v>
      </c>
    </row>
    <row r="2676">
      <c r="A2676" s="1" t="s">
        <v>5344</v>
      </c>
      <c r="B2676" s="2">
        <v>1335.25</v>
      </c>
      <c r="C2676" s="2">
        <v>1335.25</v>
      </c>
      <c r="D2676" s="2">
        <v>2825.88</v>
      </c>
      <c r="E2676" s="2">
        <v>2825.88</v>
      </c>
      <c r="G2676" s="1" t="s">
        <v>5345</v>
      </c>
      <c r="H2676" s="2">
        <v>2216.0</v>
      </c>
      <c r="I2676" s="2">
        <v>2216.0</v>
      </c>
    </row>
    <row r="2677">
      <c r="A2677" s="1" t="s">
        <v>5346</v>
      </c>
      <c r="B2677" s="2">
        <v>1347.24</v>
      </c>
      <c r="C2677" s="2">
        <v>1347.24</v>
      </c>
      <c r="D2677" s="2">
        <v>2847.54</v>
      </c>
      <c r="E2677" s="2">
        <v>2847.54</v>
      </c>
      <c r="G2677" s="1" t="s">
        <v>5347</v>
      </c>
      <c r="H2677" s="2">
        <v>2206.3</v>
      </c>
      <c r="I2677" s="2">
        <v>2206.3</v>
      </c>
    </row>
    <row r="2678">
      <c r="A2678" s="1" t="s">
        <v>5348</v>
      </c>
      <c r="B2678" s="2">
        <v>1355.66</v>
      </c>
      <c r="C2678" s="2">
        <v>1355.66</v>
      </c>
      <c r="D2678" s="2">
        <v>2869.88</v>
      </c>
      <c r="E2678" s="2">
        <v>2869.88</v>
      </c>
      <c r="G2678" s="1" t="s">
        <v>5349</v>
      </c>
      <c r="H2678" s="2">
        <v>2206.7</v>
      </c>
      <c r="I2678" s="2">
        <v>2206.7</v>
      </c>
    </row>
    <row r="2679">
      <c r="A2679" s="1" t="s">
        <v>5350</v>
      </c>
      <c r="B2679" s="2">
        <v>1360.48</v>
      </c>
      <c r="C2679" s="2">
        <v>1360.48</v>
      </c>
      <c r="D2679" s="2">
        <v>2872.53</v>
      </c>
      <c r="E2679" s="2">
        <v>2872.53</v>
      </c>
      <c r="G2679" s="1" t="s">
        <v>5351</v>
      </c>
      <c r="H2679" s="2">
        <v>2208.35</v>
      </c>
      <c r="I2679" s="2">
        <v>2208.35</v>
      </c>
    </row>
    <row r="2680">
      <c r="A2680" s="1" t="s">
        <v>5352</v>
      </c>
      <c r="B2680" s="2">
        <v>1363.61</v>
      </c>
      <c r="C2680" s="2">
        <v>1363.61</v>
      </c>
      <c r="D2680" s="2">
        <v>2873.54</v>
      </c>
      <c r="E2680" s="2">
        <v>2873.54</v>
      </c>
      <c r="G2680" s="1" t="s">
        <v>5353</v>
      </c>
      <c r="H2680" s="2">
        <v>2192.36</v>
      </c>
      <c r="I2680" s="2">
        <v>2192.36</v>
      </c>
    </row>
    <row r="2681">
      <c r="A2681" s="1" t="s">
        <v>5354</v>
      </c>
      <c r="B2681" s="2" t="s">
        <v>0</v>
      </c>
      <c r="C2681" s="2">
        <v>1363.61</v>
      </c>
      <c r="D2681" s="2" t="s">
        <v>0</v>
      </c>
      <c r="E2681" s="2">
        <v>2873.54</v>
      </c>
      <c r="G2681" s="1" t="s">
        <v>5355</v>
      </c>
      <c r="H2681" s="2" t="s">
        <v>0</v>
      </c>
      <c r="I2681" s="2">
        <v>2192.36</v>
      </c>
    </row>
    <row r="2682">
      <c r="A2682" s="1" t="s">
        <v>5356</v>
      </c>
      <c r="B2682" s="2" t="s">
        <v>0</v>
      </c>
      <c r="C2682" s="2">
        <v>1363.61</v>
      </c>
      <c r="D2682" s="2" t="s">
        <v>0</v>
      </c>
      <c r="E2682" s="2">
        <v>2873.54</v>
      </c>
      <c r="G2682" s="1" t="s">
        <v>5357</v>
      </c>
      <c r="H2682" s="2" t="s">
        <v>0</v>
      </c>
      <c r="I2682" s="2">
        <v>2192.36</v>
      </c>
    </row>
    <row r="2683">
      <c r="A2683" s="1" t="s">
        <v>5358</v>
      </c>
      <c r="B2683" s="2">
        <v>1361.22</v>
      </c>
      <c r="C2683" s="2">
        <v>1361.22</v>
      </c>
      <c r="D2683" s="2">
        <v>2864.08</v>
      </c>
      <c r="E2683" s="2">
        <v>2864.08</v>
      </c>
      <c r="G2683" s="1" t="s">
        <v>5359</v>
      </c>
      <c r="H2683" s="2">
        <v>2228.96</v>
      </c>
      <c r="I2683" s="2">
        <v>2228.96</v>
      </c>
    </row>
    <row r="2684">
      <c r="A2684" s="1" t="s">
        <v>5360</v>
      </c>
      <c r="B2684" s="2">
        <v>1356.62</v>
      </c>
      <c r="C2684" s="2">
        <v>1356.62</v>
      </c>
      <c r="D2684" s="2">
        <v>2841.62</v>
      </c>
      <c r="E2684" s="2">
        <v>2841.62</v>
      </c>
      <c r="G2684" s="1" t="s">
        <v>5361</v>
      </c>
      <c r="H2684" s="2">
        <v>2200.73</v>
      </c>
      <c r="I2684" s="2">
        <v>2200.73</v>
      </c>
    </row>
    <row r="2685">
      <c r="A2685" s="1" t="s">
        <v>5362</v>
      </c>
      <c r="B2685" s="2">
        <v>1347.32</v>
      </c>
      <c r="C2685" s="2">
        <v>1347.32</v>
      </c>
      <c r="D2685" s="2">
        <v>2828.23</v>
      </c>
      <c r="E2685" s="2">
        <v>2828.23</v>
      </c>
      <c r="G2685" s="1" t="s">
        <v>5363</v>
      </c>
      <c r="H2685" s="2">
        <v>2180.64</v>
      </c>
      <c r="I2685" s="2">
        <v>2180.64</v>
      </c>
    </row>
    <row r="2686">
      <c r="A2686" s="1" t="s">
        <v>5364</v>
      </c>
      <c r="B2686" s="2">
        <v>1335.1</v>
      </c>
      <c r="C2686" s="2">
        <v>1335.1</v>
      </c>
      <c r="D2686" s="2">
        <v>2814.72</v>
      </c>
      <c r="E2686" s="2">
        <v>2814.72</v>
      </c>
      <c r="G2686" s="1" t="s">
        <v>5365</v>
      </c>
      <c r="H2686" s="2" t="s">
        <v>0</v>
      </c>
      <c r="I2686" s="2">
        <v>2180.64</v>
      </c>
    </row>
    <row r="2687">
      <c r="A2687" s="1" t="s">
        <v>5366</v>
      </c>
      <c r="B2687" s="2">
        <v>1340.2</v>
      </c>
      <c r="C2687" s="2">
        <v>1340.2</v>
      </c>
      <c r="D2687" s="2">
        <v>2827.56</v>
      </c>
      <c r="E2687" s="2">
        <v>2827.56</v>
      </c>
      <c r="G2687" s="1" t="s">
        <v>5367</v>
      </c>
      <c r="H2687" s="2">
        <v>2147.45</v>
      </c>
      <c r="I2687" s="2">
        <v>2147.45</v>
      </c>
    </row>
    <row r="2688">
      <c r="A2688" s="1" t="s">
        <v>5368</v>
      </c>
      <c r="B2688" s="2" t="s">
        <v>0</v>
      </c>
      <c r="C2688" s="2">
        <v>1340.2</v>
      </c>
      <c r="D2688" s="2" t="s">
        <v>0</v>
      </c>
      <c r="E2688" s="2">
        <v>2827.56</v>
      </c>
      <c r="G2688" s="1" t="s">
        <v>5369</v>
      </c>
      <c r="H2688" s="2" t="s">
        <v>0</v>
      </c>
      <c r="I2688" s="2">
        <v>2147.45</v>
      </c>
    </row>
    <row r="2689">
      <c r="A2689" s="1" t="s">
        <v>5370</v>
      </c>
      <c r="B2689" s="2" t="s">
        <v>0</v>
      </c>
      <c r="C2689" s="2">
        <v>1340.2</v>
      </c>
      <c r="D2689" s="2" t="s">
        <v>0</v>
      </c>
      <c r="E2689" s="2">
        <v>2827.56</v>
      </c>
      <c r="G2689" s="1" t="s">
        <v>5371</v>
      </c>
      <c r="H2689" s="2" t="s">
        <v>0</v>
      </c>
      <c r="I2689" s="2">
        <v>2147.45</v>
      </c>
    </row>
    <row r="2690">
      <c r="A2690" s="1" t="s">
        <v>5372</v>
      </c>
      <c r="B2690" s="2">
        <v>1346.29</v>
      </c>
      <c r="C2690" s="2">
        <v>1346.29</v>
      </c>
      <c r="D2690" s="2">
        <v>2843.25</v>
      </c>
      <c r="E2690" s="2">
        <v>2843.25</v>
      </c>
      <c r="G2690" s="1" t="s">
        <v>5373</v>
      </c>
      <c r="H2690" s="2">
        <v>2139.17</v>
      </c>
      <c r="I2690" s="2">
        <v>2139.17</v>
      </c>
    </row>
    <row r="2691">
      <c r="A2691" s="1" t="s">
        <v>5374</v>
      </c>
      <c r="B2691" s="2">
        <v>1357.16</v>
      </c>
      <c r="C2691" s="2">
        <v>1357.16</v>
      </c>
      <c r="D2691" s="2">
        <v>2871.89</v>
      </c>
      <c r="E2691" s="2">
        <v>2871.89</v>
      </c>
      <c r="G2691" s="1" t="s">
        <v>5375</v>
      </c>
      <c r="H2691" s="2" t="s">
        <v>0</v>
      </c>
      <c r="I2691" s="2">
        <v>2139.17</v>
      </c>
    </row>
    <row r="2692">
      <c r="A2692" s="1" t="s">
        <v>5376</v>
      </c>
      <c r="B2692" s="2">
        <v>1342.08</v>
      </c>
      <c r="C2692" s="2">
        <v>1342.08</v>
      </c>
      <c r="D2692" s="2">
        <v>2845.06</v>
      </c>
      <c r="E2692" s="2">
        <v>2845.06</v>
      </c>
      <c r="G2692" s="1" t="s">
        <v>5377</v>
      </c>
      <c r="H2692" s="2">
        <v>2166.63</v>
      </c>
      <c r="I2692" s="2">
        <v>2166.63</v>
      </c>
    </row>
    <row r="2693">
      <c r="A2693" s="1" t="s">
        <v>5378</v>
      </c>
      <c r="B2693" s="2">
        <v>1348.65</v>
      </c>
      <c r="C2693" s="2">
        <v>1348.65</v>
      </c>
      <c r="D2693" s="2">
        <v>2863.04</v>
      </c>
      <c r="E2693" s="2">
        <v>2863.04</v>
      </c>
      <c r="G2693" s="1" t="s">
        <v>5379</v>
      </c>
      <c r="H2693" s="2">
        <v>2122.65</v>
      </c>
      <c r="I2693" s="2">
        <v>2122.65</v>
      </c>
    </row>
    <row r="2694">
      <c r="A2694" s="1" t="s">
        <v>5380</v>
      </c>
      <c r="B2694" s="2">
        <v>1337.77</v>
      </c>
      <c r="C2694" s="2">
        <v>1337.77</v>
      </c>
      <c r="D2694" s="2">
        <v>2828.47</v>
      </c>
      <c r="E2694" s="2">
        <v>2828.47</v>
      </c>
      <c r="G2694" s="1" t="s">
        <v>5381</v>
      </c>
      <c r="H2694" s="2">
        <v>2120.08</v>
      </c>
      <c r="I2694" s="2">
        <v>2120.08</v>
      </c>
    </row>
    <row r="2695">
      <c r="A2695" s="1" t="s">
        <v>5382</v>
      </c>
      <c r="B2695" s="2" t="s">
        <v>0</v>
      </c>
      <c r="C2695" s="2">
        <v>1337.77</v>
      </c>
      <c r="D2695" s="2" t="s">
        <v>0</v>
      </c>
      <c r="E2695" s="2">
        <v>2828.47</v>
      </c>
      <c r="G2695" s="1" t="s">
        <v>5383</v>
      </c>
      <c r="H2695" s="2" t="s">
        <v>0</v>
      </c>
      <c r="I2695" s="2">
        <v>2120.08</v>
      </c>
    </row>
    <row r="2696">
      <c r="A2696" s="1" t="s">
        <v>5384</v>
      </c>
      <c r="B2696" s="2" t="s">
        <v>0</v>
      </c>
      <c r="C2696" s="2">
        <v>1337.77</v>
      </c>
      <c r="D2696" s="2" t="s">
        <v>0</v>
      </c>
      <c r="E2696" s="2">
        <v>2828.47</v>
      </c>
      <c r="G2696" s="1" t="s">
        <v>5385</v>
      </c>
      <c r="H2696" s="2" t="s">
        <v>0</v>
      </c>
      <c r="I2696" s="2">
        <v>2120.08</v>
      </c>
    </row>
    <row r="2697">
      <c r="A2697" s="1" t="s">
        <v>5386</v>
      </c>
      <c r="B2697" s="2">
        <v>1329.47</v>
      </c>
      <c r="C2697" s="2">
        <v>1329.47</v>
      </c>
      <c r="D2697" s="2">
        <v>2782.31</v>
      </c>
      <c r="E2697" s="2">
        <v>2782.31</v>
      </c>
      <c r="G2697" s="1" t="s">
        <v>5387</v>
      </c>
      <c r="H2697" s="2">
        <v>2104.18</v>
      </c>
      <c r="I2697" s="2">
        <v>2104.18</v>
      </c>
    </row>
    <row r="2698">
      <c r="A2698" s="1" t="s">
        <v>5388</v>
      </c>
      <c r="B2698" s="2">
        <v>1328.98</v>
      </c>
      <c r="C2698" s="2">
        <v>1328.98</v>
      </c>
      <c r="D2698" s="2">
        <v>2783.21</v>
      </c>
      <c r="E2698" s="2">
        <v>2783.21</v>
      </c>
      <c r="G2698" s="1" t="s">
        <v>5389</v>
      </c>
      <c r="H2698" s="2">
        <v>2102.41</v>
      </c>
      <c r="I2698" s="2">
        <v>2102.41</v>
      </c>
    </row>
    <row r="2699">
      <c r="A2699" s="1" t="s">
        <v>5390</v>
      </c>
      <c r="B2699" s="2">
        <v>1340.68</v>
      </c>
      <c r="C2699" s="2">
        <v>1340.68</v>
      </c>
      <c r="D2699" s="2">
        <v>2815.0</v>
      </c>
      <c r="E2699" s="2">
        <v>2815.0</v>
      </c>
      <c r="G2699" s="1" t="s">
        <v>5391</v>
      </c>
      <c r="H2699" s="2">
        <v>2135.78</v>
      </c>
      <c r="I2699" s="2">
        <v>2135.78</v>
      </c>
    </row>
    <row r="2700">
      <c r="A2700" s="1" t="s">
        <v>5392</v>
      </c>
      <c r="B2700" s="2">
        <v>1343.6</v>
      </c>
      <c r="C2700" s="2">
        <v>1343.6</v>
      </c>
      <c r="D2700" s="2">
        <v>2823.31</v>
      </c>
      <c r="E2700" s="2">
        <v>2823.31</v>
      </c>
      <c r="G2700" s="1" t="s">
        <v>5393</v>
      </c>
      <c r="H2700" s="2">
        <v>2095.51</v>
      </c>
      <c r="I2700" s="2">
        <v>2095.51</v>
      </c>
    </row>
    <row r="2701">
      <c r="A2701" s="1" t="s">
        <v>5394</v>
      </c>
      <c r="B2701" s="2">
        <v>1333.27</v>
      </c>
      <c r="C2701" s="2">
        <v>1333.27</v>
      </c>
      <c r="D2701" s="2">
        <v>2803.32</v>
      </c>
      <c r="E2701" s="2">
        <v>2803.32</v>
      </c>
      <c r="G2701" s="1" t="s">
        <v>5395</v>
      </c>
      <c r="H2701" s="2">
        <v>2111.5</v>
      </c>
      <c r="I2701" s="2">
        <v>2111.5</v>
      </c>
    </row>
    <row r="2702">
      <c r="A2702" s="1" t="s">
        <v>5396</v>
      </c>
      <c r="B2702" s="2" t="s">
        <v>0</v>
      </c>
      <c r="C2702" s="2">
        <v>1333.27</v>
      </c>
      <c r="D2702" s="2" t="s">
        <v>0</v>
      </c>
      <c r="E2702" s="2">
        <v>2803.32</v>
      </c>
      <c r="G2702" s="1" t="s">
        <v>5397</v>
      </c>
      <c r="H2702" s="2" t="s">
        <v>0</v>
      </c>
      <c r="I2702" s="2">
        <v>2111.5</v>
      </c>
    </row>
    <row r="2703">
      <c r="A2703" s="1" t="s">
        <v>5398</v>
      </c>
      <c r="B2703" s="2" t="s">
        <v>0</v>
      </c>
      <c r="C2703" s="2">
        <v>1333.27</v>
      </c>
      <c r="D2703" s="2" t="s">
        <v>0</v>
      </c>
      <c r="E2703" s="2">
        <v>2803.32</v>
      </c>
      <c r="G2703" s="1" t="s">
        <v>5399</v>
      </c>
      <c r="H2703" s="2" t="s">
        <v>0</v>
      </c>
      <c r="I2703" s="2">
        <v>2111.5</v>
      </c>
    </row>
    <row r="2704">
      <c r="A2704" s="1" t="s">
        <v>5400</v>
      </c>
      <c r="B2704" s="2">
        <v>1317.37</v>
      </c>
      <c r="C2704" s="2">
        <v>1317.37</v>
      </c>
      <c r="D2704" s="2">
        <v>2758.9</v>
      </c>
      <c r="E2704" s="2">
        <v>2758.9</v>
      </c>
      <c r="G2704" s="1" t="s">
        <v>5401</v>
      </c>
      <c r="H2704" s="2">
        <v>2055.71</v>
      </c>
      <c r="I2704" s="2">
        <v>2055.71</v>
      </c>
    </row>
    <row r="2705">
      <c r="A2705" s="1" t="s">
        <v>5402</v>
      </c>
      <c r="B2705" s="2">
        <v>1316.28</v>
      </c>
      <c r="C2705" s="2">
        <v>1316.28</v>
      </c>
      <c r="D2705" s="2">
        <v>2746.16</v>
      </c>
      <c r="E2705" s="2">
        <v>2746.16</v>
      </c>
      <c r="G2705" s="1" t="s">
        <v>5403</v>
      </c>
      <c r="H2705" s="2">
        <v>2061.76</v>
      </c>
      <c r="I2705" s="2">
        <v>2061.76</v>
      </c>
    </row>
    <row r="2706">
      <c r="A2706" s="1" t="s">
        <v>5404</v>
      </c>
      <c r="B2706" s="2">
        <v>1320.47</v>
      </c>
      <c r="C2706" s="2">
        <v>1320.47</v>
      </c>
      <c r="D2706" s="2">
        <v>2761.38</v>
      </c>
      <c r="E2706" s="2">
        <v>2761.38</v>
      </c>
      <c r="G2706" s="1" t="s">
        <v>5405</v>
      </c>
      <c r="H2706" s="2">
        <v>2035.87</v>
      </c>
      <c r="I2706" s="2">
        <v>2035.87</v>
      </c>
    </row>
    <row r="2707">
      <c r="A2707" s="1" t="s">
        <v>5406</v>
      </c>
      <c r="B2707" s="2">
        <v>1325.69</v>
      </c>
      <c r="C2707" s="2">
        <v>1325.69</v>
      </c>
      <c r="D2707" s="2">
        <v>2782.92</v>
      </c>
      <c r="E2707" s="2">
        <v>2782.92</v>
      </c>
      <c r="G2707" s="1" t="s">
        <v>5407</v>
      </c>
      <c r="H2707" s="2">
        <v>2091.91</v>
      </c>
      <c r="I2707" s="2">
        <v>2091.91</v>
      </c>
    </row>
    <row r="2708">
      <c r="A2708" s="1" t="s">
        <v>5408</v>
      </c>
      <c r="B2708" s="2">
        <v>1331.1</v>
      </c>
      <c r="C2708" s="2">
        <v>1331.1</v>
      </c>
      <c r="D2708" s="2">
        <v>2796.86</v>
      </c>
      <c r="E2708" s="2">
        <v>2796.86</v>
      </c>
      <c r="G2708" s="1" t="s">
        <v>5409</v>
      </c>
      <c r="H2708" s="2">
        <v>2100.24</v>
      </c>
      <c r="I2708" s="2">
        <v>2100.24</v>
      </c>
    </row>
    <row r="2709">
      <c r="A2709" s="1" t="s">
        <v>5410</v>
      </c>
      <c r="B2709" s="2" t="s">
        <v>0</v>
      </c>
      <c r="C2709" s="2">
        <v>1331.1</v>
      </c>
      <c r="D2709" s="2" t="s">
        <v>0</v>
      </c>
      <c r="E2709" s="2">
        <v>2796.86</v>
      </c>
      <c r="G2709" s="1" t="s">
        <v>5411</v>
      </c>
      <c r="H2709" s="2" t="s">
        <v>0</v>
      </c>
      <c r="I2709" s="2">
        <v>2100.24</v>
      </c>
    </row>
    <row r="2710">
      <c r="A2710" s="1" t="s">
        <v>5412</v>
      </c>
      <c r="B2710" s="2" t="s">
        <v>0</v>
      </c>
      <c r="C2710" s="2">
        <v>1331.1</v>
      </c>
      <c r="D2710" s="2" t="s">
        <v>0</v>
      </c>
      <c r="E2710" s="2">
        <v>2796.86</v>
      </c>
      <c r="G2710" s="1" t="s">
        <v>5413</v>
      </c>
      <c r="H2710" s="2" t="s">
        <v>0</v>
      </c>
      <c r="I2710" s="2">
        <v>2100.24</v>
      </c>
    </row>
    <row r="2711">
      <c r="A2711" s="1" t="s">
        <v>5414</v>
      </c>
      <c r="B2711" s="2" t="s">
        <v>0</v>
      </c>
      <c r="C2711" s="2">
        <v>1331.1</v>
      </c>
      <c r="D2711" s="2" t="s">
        <v>0</v>
      </c>
      <c r="E2711" s="2">
        <v>2796.86</v>
      </c>
      <c r="G2711" s="1" t="s">
        <v>5415</v>
      </c>
      <c r="H2711" s="2">
        <v>2093.79</v>
      </c>
      <c r="I2711" s="2">
        <v>2093.79</v>
      </c>
    </row>
    <row r="2712">
      <c r="A2712" s="1" t="s">
        <v>5416</v>
      </c>
      <c r="B2712" s="2">
        <v>1345.2</v>
      </c>
      <c r="C2712" s="2">
        <v>1345.2</v>
      </c>
      <c r="D2712" s="2">
        <v>2835.3</v>
      </c>
      <c r="E2712" s="2">
        <v>2835.3</v>
      </c>
      <c r="G2712" s="1" t="s">
        <v>5417</v>
      </c>
      <c r="H2712" s="2">
        <v>2142.47</v>
      </c>
      <c r="I2712" s="2">
        <v>2142.47</v>
      </c>
    </row>
    <row r="2713">
      <c r="A2713" s="1" t="s">
        <v>5418</v>
      </c>
      <c r="B2713" s="2">
        <v>1314.55</v>
      </c>
      <c r="C2713" s="2">
        <v>1314.55</v>
      </c>
      <c r="D2713" s="2">
        <v>2769.19</v>
      </c>
      <c r="E2713" s="2">
        <v>2769.19</v>
      </c>
      <c r="G2713" s="1" t="s">
        <v>5419</v>
      </c>
      <c r="H2713" s="2">
        <v>2141.34</v>
      </c>
      <c r="I2713" s="2">
        <v>2141.34</v>
      </c>
    </row>
    <row r="2714">
      <c r="A2714" s="1" t="s">
        <v>5420</v>
      </c>
      <c r="B2714" s="2">
        <v>1312.94</v>
      </c>
      <c r="C2714" s="2">
        <v>1312.94</v>
      </c>
      <c r="D2714" s="2">
        <v>2773.31</v>
      </c>
      <c r="E2714" s="2">
        <v>2773.31</v>
      </c>
      <c r="G2714" s="1" t="s">
        <v>5421</v>
      </c>
      <c r="H2714" s="2">
        <v>2114.2</v>
      </c>
      <c r="I2714" s="2">
        <v>2114.2</v>
      </c>
    </row>
    <row r="2715">
      <c r="A2715" s="1" t="s">
        <v>5422</v>
      </c>
      <c r="B2715" s="2">
        <v>1300.16</v>
      </c>
      <c r="C2715" s="2">
        <v>1300.16</v>
      </c>
      <c r="D2715" s="2">
        <v>2732.78</v>
      </c>
      <c r="E2715" s="2">
        <v>2732.78</v>
      </c>
      <c r="G2715" s="1" t="s">
        <v>5423</v>
      </c>
      <c r="H2715" s="2">
        <v>2113.47</v>
      </c>
      <c r="I2715" s="2">
        <v>2113.47</v>
      </c>
    </row>
    <row r="2716">
      <c r="A2716" s="1" t="s">
        <v>5424</v>
      </c>
      <c r="B2716" s="2" t="s">
        <v>0</v>
      </c>
      <c r="C2716" s="2">
        <v>1300.16</v>
      </c>
      <c r="D2716" s="2" t="s">
        <v>0</v>
      </c>
      <c r="E2716" s="2">
        <v>2732.78</v>
      </c>
      <c r="G2716" s="1" t="s">
        <v>5425</v>
      </c>
      <c r="H2716" s="2" t="s">
        <v>0</v>
      </c>
      <c r="I2716" s="2">
        <v>2113.47</v>
      </c>
    </row>
    <row r="2717">
      <c r="A2717" s="1" t="s">
        <v>5426</v>
      </c>
      <c r="B2717" s="2" t="s">
        <v>0</v>
      </c>
      <c r="C2717" s="2">
        <v>1300.16</v>
      </c>
      <c r="D2717" s="2" t="s">
        <v>0</v>
      </c>
      <c r="E2717" s="2">
        <v>2732.78</v>
      </c>
      <c r="G2717" s="1" t="s">
        <v>5427</v>
      </c>
      <c r="H2717" s="2" t="s">
        <v>0</v>
      </c>
      <c r="I2717" s="2">
        <v>2113.47</v>
      </c>
    </row>
    <row r="2718">
      <c r="A2718" s="1" t="s">
        <v>5428</v>
      </c>
      <c r="B2718" s="2">
        <v>1286.17</v>
      </c>
      <c r="C2718" s="2">
        <v>1286.17</v>
      </c>
      <c r="D2718" s="2">
        <v>2702.56</v>
      </c>
      <c r="E2718" s="2">
        <v>2702.56</v>
      </c>
      <c r="G2718" s="1" t="s">
        <v>5429</v>
      </c>
      <c r="H2718" s="2" t="s">
        <v>0</v>
      </c>
      <c r="I2718" s="2">
        <v>2113.47</v>
      </c>
    </row>
    <row r="2719">
      <c r="A2719" s="1" t="s">
        <v>5430</v>
      </c>
      <c r="B2719" s="2">
        <v>1284.94</v>
      </c>
      <c r="C2719" s="2">
        <v>1284.94</v>
      </c>
      <c r="D2719" s="2">
        <v>2701.56</v>
      </c>
      <c r="E2719" s="2">
        <v>2701.56</v>
      </c>
      <c r="G2719" s="1" t="s">
        <v>5431</v>
      </c>
      <c r="H2719" s="2">
        <v>2099.71</v>
      </c>
      <c r="I2719" s="2">
        <v>2099.71</v>
      </c>
    </row>
    <row r="2720">
      <c r="A2720" s="1" t="s">
        <v>5432</v>
      </c>
      <c r="B2720" s="2">
        <v>1279.56</v>
      </c>
      <c r="C2720" s="2">
        <v>1279.56</v>
      </c>
      <c r="D2720" s="2">
        <v>2675.38</v>
      </c>
      <c r="E2720" s="2">
        <v>2675.38</v>
      </c>
      <c r="G2720" s="1" t="s">
        <v>5433</v>
      </c>
      <c r="H2720" s="2">
        <v>2083.35</v>
      </c>
      <c r="I2720" s="2">
        <v>2083.35</v>
      </c>
    </row>
    <row r="2721">
      <c r="A2721" s="1" t="s">
        <v>5434</v>
      </c>
      <c r="B2721" s="2">
        <v>1289.0</v>
      </c>
      <c r="C2721" s="2">
        <v>1289.0</v>
      </c>
      <c r="D2721" s="2">
        <v>2684.87</v>
      </c>
      <c r="E2721" s="2">
        <v>2684.87</v>
      </c>
      <c r="G2721" s="1" t="s">
        <v>5435</v>
      </c>
      <c r="H2721" s="2">
        <v>2071.42</v>
      </c>
      <c r="I2721" s="2">
        <v>2071.42</v>
      </c>
    </row>
    <row r="2722">
      <c r="A2722" s="1" t="s">
        <v>5436</v>
      </c>
      <c r="B2722" s="2">
        <v>1270.98</v>
      </c>
      <c r="C2722" s="2">
        <v>1270.98</v>
      </c>
      <c r="D2722" s="2">
        <v>2643.73</v>
      </c>
      <c r="E2722" s="2">
        <v>2643.73</v>
      </c>
      <c r="G2722" s="1" t="s">
        <v>5437</v>
      </c>
      <c r="H2722" s="2">
        <v>2046.67</v>
      </c>
      <c r="I2722" s="2">
        <v>2046.67</v>
      </c>
    </row>
    <row r="2723">
      <c r="A2723" s="1" t="s">
        <v>5438</v>
      </c>
      <c r="B2723" s="2" t="s">
        <v>0</v>
      </c>
      <c r="C2723" s="2">
        <v>1270.98</v>
      </c>
      <c r="D2723" s="2" t="s">
        <v>0</v>
      </c>
      <c r="E2723" s="2">
        <v>2643.73</v>
      </c>
      <c r="G2723" s="1" t="s">
        <v>5439</v>
      </c>
      <c r="H2723" s="2" t="s">
        <v>0</v>
      </c>
      <c r="I2723" s="2">
        <v>2046.67</v>
      </c>
    </row>
    <row r="2724">
      <c r="A2724" s="1" t="s">
        <v>5440</v>
      </c>
      <c r="B2724" s="2" t="s">
        <v>0</v>
      </c>
      <c r="C2724" s="2">
        <v>1270.98</v>
      </c>
      <c r="D2724" s="2" t="s">
        <v>0</v>
      </c>
      <c r="E2724" s="2">
        <v>2643.73</v>
      </c>
      <c r="G2724" s="1" t="s">
        <v>5441</v>
      </c>
      <c r="H2724" s="2" t="s">
        <v>0</v>
      </c>
      <c r="I2724" s="2">
        <v>2046.67</v>
      </c>
    </row>
    <row r="2725">
      <c r="A2725" s="1" t="s">
        <v>5442</v>
      </c>
      <c r="B2725" s="2">
        <v>1271.83</v>
      </c>
      <c r="C2725" s="2">
        <v>1271.83</v>
      </c>
      <c r="D2725" s="2">
        <v>2639.69</v>
      </c>
      <c r="E2725" s="2">
        <v>2639.69</v>
      </c>
      <c r="G2725" s="1" t="s">
        <v>5443</v>
      </c>
      <c r="H2725" s="2">
        <v>2048.74</v>
      </c>
      <c r="I2725" s="2">
        <v>2048.74</v>
      </c>
    </row>
    <row r="2726">
      <c r="A2726" s="1" t="s">
        <v>5444</v>
      </c>
      <c r="B2726" s="2">
        <v>1287.87</v>
      </c>
      <c r="C2726" s="2">
        <v>1287.87</v>
      </c>
      <c r="D2726" s="2">
        <v>2678.72</v>
      </c>
      <c r="E2726" s="2">
        <v>2678.72</v>
      </c>
      <c r="G2726" s="1" t="s">
        <v>5445</v>
      </c>
      <c r="H2726" s="2">
        <v>2076.83</v>
      </c>
      <c r="I2726" s="2">
        <v>2076.83</v>
      </c>
    </row>
    <row r="2727">
      <c r="A2727" s="1" t="s">
        <v>5446</v>
      </c>
      <c r="B2727" s="2">
        <v>1265.42</v>
      </c>
      <c r="C2727" s="2">
        <v>1265.42</v>
      </c>
      <c r="D2727" s="2">
        <v>2631.46</v>
      </c>
      <c r="E2727" s="2">
        <v>2631.46</v>
      </c>
      <c r="G2727" s="1" t="s">
        <v>5447</v>
      </c>
      <c r="H2727" s="2">
        <v>2086.53</v>
      </c>
      <c r="I2727" s="2">
        <v>2086.53</v>
      </c>
    </row>
    <row r="2728">
      <c r="A2728" s="1" t="s">
        <v>5448</v>
      </c>
      <c r="B2728" s="2">
        <v>1267.64</v>
      </c>
      <c r="C2728" s="2">
        <v>1267.64</v>
      </c>
      <c r="D2728" s="2">
        <v>2623.7</v>
      </c>
      <c r="E2728" s="2">
        <v>2623.7</v>
      </c>
      <c r="G2728" s="1" t="s">
        <v>5449</v>
      </c>
      <c r="H2728" s="2">
        <v>2046.63</v>
      </c>
      <c r="I2728" s="2">
        <v>2046.63</v>
      </c>
    </row>
    <row r="2729">
      <c r="A2729" s="1" t="s">
        <v>5450</v>
      </c>
      <c r="B2729" s="2">
        <v>1271.5</v>
      </c>
      <c r="C2729" s="2">
        <v>1271.5</v>
      </c>
      <c r="D2729" s="2">
        <v>2616.48</v>
      </c>
      <c r="E2729" s="2">
        <v>2616.48</v>
      </c>
      <c r="G2729" s="1" t="s">
        <v>5451</v>
      </c>
      <c r="H2729" s="2">
        <v>2031.93</v>
      </c>
      <c r="I2729" s="2">
        <v>2031.93</v>
      </c>
    </row>
    <row r="2730">
      <c r="A2730" s="1" t="s">
        <v>5452</v>
      </c>
      <c r="B2730" s="2" t="s">
        <v>0</v>
      </c>
      <c r="C2730" s="2">
        <v>1271.5</v>
      </c>
      <c r="D2730" s="2" t="s">
        <v>0</v>
      </c>
      <c r="E2730" s="2">
        <v>2616.48</v>
      </c>
      <c r="G2730" s="1" t="s">
        <v>5453</v>
      </c>
      <c r="H2730" s="2" t="s">
        <v>0</v>
      </c>
      <c r="I2730" s="2">
        <v>2031.93</v>
      </c>
    </row>
    <row r="2731">
      <c r="A2731" s="1" t="s">
        <v>5454</v>
      </c>
      <c r="B2731" s="2" t="s">
        <v>0</v>
      </c>
      <c r="C2731" s="2">
        <v>1271.5</v>
      </c>
      <c r="D2731" s="2" t="s">
        <v>0</v>
      </c>
      <c r="E2731" s="2">
        <v>2616.48</v>
      </c>
      <c r="G2731" s="1" t="s">
        <v>5455</v>
      </c>
      <c r="H2731" s="2" t="s">
        <v>0</v>
      </c>
      <c r="I2731" s="2">
        <v>2031.93</v>
      </c>
    </row>
    <row r="2732">
      <c r="A2732" s="1" t="s">
        <v>5456</v>
      </c>
      <c r="B2732" s="2">
        <v>1278.36</v>
      </c>
      <c r="C2732" s="2">
        <v>1278.36</v>
      </c>
      <c r="D2732" s="2">
        <v>2629.66</v>
      </c>
      <c r="E2732" s="2">
        <v>2629.66</v>
      </c>
      <c r="G2732" s="1" t="s">
        <v>5457</v>
      </c>
      <c r="H2732" s="2">
        <v>2019.65</v>
      </c>
      <c r="I2732" s="2">
        <v>2019.65</v>
      </c>
    </row>
    <row r="2733">
      <c r="A2733" s="1" t="s">
        <v>5458</v>
      </c>
      <c r="B2733" s="2">
        <v>1295.52</v>
      </c>
      <c r="C2733" s="2">
        <v>1295.52</v>
      </c>
      <c r="D2733" s="2">
        <v>2687.26</v>
      </c>
      <c r="E2733" s="2">
        <v>2687.26</v>
      </c>
      <c r="G2733" s="1" t="s">
        <v>5459</v>
      </c>
      <c r="H2733" s="2">
        <v>2048.17</v>
      </c>
      <c r="I2733" s="2">
        <v>2048.17</v>
      </c>
    </row>
    <row r="2734">
      <c r="A2734" s="1" t="s">
        <v>5460</v>
      </c>
      <c r="B2734" s="2">
        <v>1287.14</v>
      </c>
      <c r="C2734" s="2">
        <v>1287.14</v>
      </c>
      <c r="D2734" s="2">
        <v>2669.19</v>
      </c>
      <c r="E2734" s="2">
        <v>2669.19</v>
      </c>
      <c r="G2734" s="1" t="s">
        <v>5461</v>
      </c>
      <c r="H2734" s="2">
        <v>2063.9</v>
      </c>
      <c r="I2734" s="2">
        <v>2063.9</v>
      </c>
    </row>
    <row r="2735">
      <c r="A2735" s="1" t="s">
        <v>5462</v>
      </c>
      <c r="B2735" s="2">
        <v>1283.5</v>
      </c>
      <c r="C2735" s="2">
        <v>1283.5</v>
      </c>
      <c r="D2735" s="2">
        <v>2686.75</v>
      </c>
      <c r="E2735" s="2">
        <v>2686.75</v>
      </c>
      <c r="G2735" s="1" t="s">
        <v>5463</v>
      </c>
      <c r="H2735" s="2">
        <v>2055.86</v>
      </c>
      <c r="I2735" s="2">
        <v>2055.86</v>
      </c>
    </row>
    <row r="2736">
      <c r="A2736" s="1" t="s">
        <v>5464</v>
      </c>
      <c r="B2736" s="2">
        <v>1268.45</v>
      </c>
      <c r="C2736" s="2">
        <v>1268.45</v>
      </c>
      <c r="D2736" s="2">
        <v>2652.89</v>
      </c>
      <c r="E2736" s="2">
        <v>2652.89</v>
      </c>
      <c r="G2736" s="1" t="s">
        <v>5465</v>
      </c>
      <c r="H2736" s="2">
        <v>2090.81</v>
      </c>
      <c r="I2736" s="2">
        <v>2090.81</v>
      </c>
    </row>
    <row r="2737">
      <c r="A2737" s="1" t="s">
        <v>5466</v>
      </c>
      <c r="B2737" s="2" t="s">
        <v>0</v>
      </c>
      <c r="C2737" s="2">
        <v>1268.45</v>
      </c>
      <c r="D2737" s="2" t="s">
        <v>0</v>
      </c>
      <c r="E2737" s="2">
        <v>2652.89</v>
      </c>
      <c r="G2737" s="1" t="s">
        <v>5467</v>
      </c>
      <c r="H2737" s="2" t="s">
        <v>0</v>
      </c>
      <c r="I2737" s="2">
        <v>2090.81</v>
      </c>
    </row>
    <row r="2738">
      <c r="A2738" s="1" t="s">
        <v>5468</v>
      </c>
      <c r="B2738" s="2" t="s">
        <v>0</v>
      </c>
      <c r="C2738" s="2">
        <v>1268.45</v>
      </c>
      <c r="D2738" s="2" t="s">
        <v>0</v>
      </c>
      <c r="E2738" s="2">
        <v>2652.89</v>
      </c>
      <c r="G2738" s="1" t="s">
        <v>5469</v>
      </c>
      <c r="H2738" s="2" t="s">
        <v>0</v>
      </c>
      <c r="I2738" s="2">
        <v>2090.81</v>
      </c>
    </row>
    <row r="2739">
      <c r="A2739" s="1" t="s">
        <v>5470</v>
      </c>
      <c r="B2739" s="2">
        <v>1280.1</v>
      </c>
      <c r="C2739" s="2">
        <v>1280.1</v>
      </c>
      <c r="D2739" s="2">
        <v>2688.28</v>
      </c>
      <c r="E2739" s="2">
        <v>2688.28</v>
      </c>
      <c r="G2739" s="1" t="s">
        <v>5471</v>
      </c>
      <c r="H2739" s="2">
        <v>2070.29</v>
      </c>
      <c r="I2739" s="2">
        <v>2070.29</v>
      </c>
    </row>
    <row r="2740">
      <c r="A2740" s="1" t="s">
        <v>5472</v>
      </c>
      <c r="B2740" s="2">
        <v>1296.67</v>
      </c>
      <c r="C2740" s="2">
        <v>1296.67</v>
      </c>
      <c r="D2740" s="2">
        <v>2729.31</v>
      </c>
      <c r="E2740" s="2">
        <v>2729.31</v>
      </c>
      <c r="G2740" s="1" t="s">
        <v>5473</v>
      </c>
      <c r="H2740" s="2">
        <v>2062.91</v>
      </c>
      <c r="I2740" s="2">
        <v>2062.91</v>
      </c>
    </row>
    <row r="2741">
      <c r="A2741" s="1" t="s">
        <v>5474</v>
      </c>
      <c r="B2741" s="2">
        <v>1307.41</v>
      </c>
      <c r="C2741" s="2">
        <v>1307.41</v>
      </c>
      <c r="D2741" s="2">
        <v>2740.49</v>
      </c>
      <c r="E2741" s="2">
        <v>2740.49</v>
      </c>
      <c r="G2741" s="1" t="s">
        <v>5475</v>
      </c>
      <c r="H2741" s="2">
        <v>2094.42</v>
      </c>
      <c r="I2741" s="2">
        <v>2094.42</v>
      </c>
    </row>
    <row r="2742">
      <c r="A2742" s="1" t="s">
        <v>5476</v>
      </c>
      <c r="B2742" s="2">
        <v>1320.64</v>
      </c>
      <c r="C2742" s="2">
        <v>1320.64</v>
      </c>
      <c r="D2742" s="2">
        <v>2773.52</v>
      </c>
      <c r="E2742" s="2">
        <v>2773.52</v>
      </c>
      <c r="G2742" s="1" t="s">
        <v>5477</v>
      </c>
      <c r="H2742" s="2">
        <v>2100.69</v>
      </c>
      <c r="I2742" s="2">
        <v>2100.69</v>
      </c>
    </row>
    <row r="2743">
      <c r="A2743" s="1" t="s">
        <v>5478</v>
      </c>
      <c r="B2743" s="2">
        <v>1339.67</v>
      </c>
      <c r="C2743" s="2">
        <v>1339.67</v>
      </c>
      <c r="D2743" s="2">
        <v>2816.03</v>
      </c>
      <c r="E2743" s="2">
        <v>2816.03</v>
      </c>
      <c r="G2743" s="1" t="s">
        <v>5479</v>
      </c>
      <c r="H2743" s="2">
        <v>2125.74</v>
      </c>
      <c r="I2743" s="2">
        <v>2125.74</v>
      </c>
    </row>
    <row r="2744">
      <c r="A2744" s="1" t="s">
        <v>5480</v>
      </c>
      <c r="B2744" s="2" t="s">
        <v>0</v>
      </c>
      <c r="C2744" s="2">
        <v>1339.67</v>
      </c>
      <c r="D2744" s="2" t="s">
        <v>0</v>
      </c>
      <c r="E2744" s="2">
        <v>2816.03</v>
      </c>
      <c r="G2744" s="1" t="s">
        <v>5481</v>
      </c>
      <c r="H2744" s="2" t="s">
        <v>0</v>
      </c>
      <c r="I2744" s="2">
        <v>2125.74</v>
      </c>
    </row>
    <row r="2745">
      <c r="A2745" s="1" t="s">
        <v>5482</v>
      </c>
      <c r="B2745" s="2" t="s">
        <v>0</v>
      </c>
      <c r="C2745" s="2">
        <v>1339.67</v>
      </c>
      <c r="D2745" s="2" t="s">
        <v>0</v>
      </c>
      <c r="E2745" s="2">
        <v>2816.03</v>
      </c>
      <c r="G2745" s="1" t="s">
        <v>5483</v>
      </c>
      <c r="H2745" s="2" t="s">
        <v>0</v>
      </c>
      <c r="I2745" s="2">
        <v>2125.74</v>
      </c>
    </row>
    <row r="2746">
      <c r="A2746" s="1" t="s">
        <v>5484</v>
      </c>
      <c r="B2746" s="2" t="s">
        <v>0</v>
      </c>
      <c r="C2746" s="2">
        <v>1339.67</v>
      </c>
      <c r="D2746" s="2" t="s">
        <v>0</v>
      </c>
      <c r="E2746" s="2">
        <v>2816.03</v>
      </c>
      <c r="G2746" s="1" t="s">
        <v>5485</v>
      </c>
      <c r="H2746" s="2">
        <v>2145.3</v>
      </c>
      <c r="I2746" s="2">
        <v>2145.3</v>
      </c>
    </row>
    <row r="2747">
      <c r="A2747" s="1" t="s">
        <v>5486</v>
      </c>
      <c r="B2747" s="2">
        <v>1337.88</v>
      </c>
      <c r="C2747" s="2">
        <v>1337.88</v>
      </c>
      <c r="D2747" s="2">
        <v>2825.77</v>
      </c>
      <c r="E2747" s="2">
        <v>2825.77</v>
      </c>
      <c r="G2747" s="1" t="s">
        <v>5487</v>
      </c>
      <c r="H2747" s="2">
        <v>2161.75</v>
      </c>
      <c r="I2747" s="2">
        <v>2161.75</v>
      </c>
    </row>
    <row r="2748">
      <c r="A2748" s="1" t="s">
        <v>5488</v>
      </c>
      <c r="B2748" s="2">
        <v>1339.22</v>
      </c>
      <c r="C2748" s="2">
        <v>1339.22</v>
      </c>
      <c r="D2748" s="2">
        <v>2834.02</v>
      </c>
      <c r="E2748" s="2">
        <v>2834.02</v>
      </c>
      <c r="G2748" s="1" t="s">
        <v>5489</v>
      </c>
      <c r="H2748" s="2">
        <v>2171.19</v>
      </c>
      <c r="I2748" s="2">
        <v>2171.19</v>
      </c>
    </row>
    <row r="2749">
      <c r="A2749" s="1" t="s">
        <v>5490</v>
      </c>
      <c r="B2749" s="2">
        <v>1353.22</v>
      </c>
      <c r="C2749" s="2">
        <v>1353.22</v>
      </c>
      <c r="D2749" s="2">
        <v>2872.66</v>
      </c>
      <c r="E2749" s="2">
        <v>2872.66</v>
      </c>
      <c r="G2749" s="1" t="s">
        <v>5491</v>
      </c>
      <c r="H2749" s="2">
        <v>2180.59</v>
      </c>
      <c r="I2749" s="2">
        <v>2180.59</v>
      </c>
    </row>
    <row r="2750">
      <c r="A2750" s="1" t="s">
        <v>5492</v>
      </c>
      <c r="B2750" s="2">
        <v>1343.8</v>
      </c>
      <c r="C2750" s="2">
        <v>1343.8</v>
      </c>
      <c r="D2750" s="2">
        <v>2859.81</v>
      </c>
      <c r="E2750" s="2">
        <v>2859.81</v>
      </c>
      <c r="G2750" s="1" t="s">
        <v>5493</v>
      </c>
      <c r="H2750" s="2">
        <v>2180.35</v>
      </c>
      <c r="I2750" s="2">
        <v>2180.35</v>
      </c>
    </row>
    <row r="2751">
      <c r="A2751" s="1" t="s">
        <v>5494</v>
      </c>
      <c r="B2751" s="2" t="s">
        <v>0</v>
      </c>
      <c r="C2751" s="2">
        <v>1343.8</v>
      </c>
      <c r="D2751" s="2" t="s">
        <v>0</v>
      </c>
      <c r="E2751" s="2">
        <v>2859.81</v>
      </c>
      <c r="G2751" s="1" t="s">
        <v>5495</v>
      </c>
      <c r="H2751" s="2" t="s">
        <v>0</v>
      </c>
      <c r="I2751" s="2">
        <v>2180.35</v>
      </c>
    </row>
    <row r="2752">
      <c r="A2752" s="1" t="s">
        <v>5496</v>
      </c>
      <c r="B2752" s="2" t="s">
        <v>0</v>
      </c>
      <c r="C2752" s="2">
        <v>1343.8</v>
      </c>
      <c r="D2752" s="2" t="s">
        <v>0</v>
      </c>
      <c r="E2752" s="2">
        <v>2859.81</v>
      </c>
      <c r="G2752" s="1" t="s">
        <v>5497</v>
      </c>
      <c r="H2752" s="2" t="s">
        <v>0</v>
      </c>
      <c r="I2752" s="2">
        <v>2180.35</v>
      </c>
    </row>
    <row r="2753">
      <c r="A2753" s="1" t="s">
        <v>5498</v>
      </c>
      <c r="B2753" s="2">
        <v>1319.49</v>
      </c>
      <c r="C2753" s="2">
        <v>1319.49</v>
      </c>
      <c r="D2753" s="2">
        <v>2802.62</v>
      </c>
      <c r="E2753" s="2">
        <v>2802.62</v>
      </c>
      <c r="G2753" s="1" t="s">
        <v>5499</v>
      </c>
      <c r="H2753" s="2">
        <v>2157.16</v>
      </c>
      <c r="I2753" s="2">
        <v>2157.16</v>
      </c>
    </row>
    <row r="2754">
      <c r="A2754" s="1" t="s">
        <v>5500</v>
      </c>
      <c r="B2754" s="2">
        <v>1313.64</v>
      </c>
      <c r="C2754" s="2">
        <v>1313.64</v>
      </c>
      <c r="D2754" s="2">
        <v>2781.91</v>
      </c>
      <c r="E2754" s="2">
        <v>2781.91</v>
      </c>
      <c r="G2754" s="1" t="s">
        <v>5501</v>
      </c>
      <c r="H2754" s="2">
        <v>2109.73</v>
      </c>
      <c r="I2754" s="2">
        <v>2109.73</v>
      </c>
    </row>
    <row r="2755">
      <c r="A2755" s="1" t="s">
        <v>5502</v>
      </c>
      <c r="B2755" s="2">
        <v>1317.72</v>
      </c>
      <c r="C2755" s="2">
        <v>1317.72</v>
      </c>
      <c r="D2755" s="2">
        <v>2796.92</v>
      </c>
      <c r="E2755" s="2">
        <v>2796.92</v>
      </c>
      <c r="G2755" s="1" t="s">
        <v>5503</v>
      </c>
      <c r="H2755" s="2">
        <v>2129.64</v>
      </c>
      <c r="I2755" s="2">
        <v>2129.64</v>
      </c>
    </row>
    <row r="2756">
      <c r="A2756" s="1" t="s">
        <v>5504</v>
      </c>
      <c r="B2756" s="2">
        <v>1308.87</v>
      </c>
      <c r="C2756" s="2">
        <v>1308.87</v>
      </c>
      <c r="D2756" s="2">
        <v>2762.67</v>
      </c>
      <c r="E2756" s="2">
        <v>2762.67</v>
      </c>
      <c r="G2756" s="1" t="s">
        <v>5505</v>
      </c>
      <c r="H2756" s="2">
        <v>2130.07</v>
      </c>
      <c r="I2756" s="2">
        <v>2130.07</v>
      </c>
    </row>
    <row r="2757">
      <c r="A2757" s="1" t="s">
        <v>5506</v>
      </c>
      <c r="B2757" s="2">
        <v>1316.14</v>
      </c>
      <c r="C2757" s="2">
        <v>1316.14</v>
      </c>
      <c r="D2757" s="2">
        <v>2789.8</v>
      </c>
      <c r="E2757" s="2">
        <v>2789.8</v>
      </c>
      <c r="G2757" s="1" t="s">
        <v>5507</v>
      </c>
      <c r="H2757" s="2">
        <v>2145.2</v>
      </c>
      <c r="I2757" s="2">
        <v>2145.2</v>
      </c>
    </row>
    <row r="2758">
      <c r="A2758" s="1" t="s">
        <v>5508</v>
      </c>
      <c r="B2758" s="2" t="s">
        <v>0</v>
      </c>
      <c r="C2758" s="2">
        <v>1316.14</v>
      </c>
      <c r="D2758" s="2" t="s">
        <v>0</v>
      </c>
      <c r="E2758" s="2">
        <v>2789.8</v>
      </c>
      <c r="G2758" s="1" t="s">
        <v>5509</v>
      </c>
      <c r="H2758" s="2" t="s">
        <v>0</v>
      </c>
      <c r="I2758" s="2">
        <v>2145.2</v>
      </c>
    </row>
    <row r="2759">
      <c r="A2759" s="1" t="s">
        <v>5510</v>
      </c>
      <c r="B2759" s="2" t="s">
        <v>0</v>
      </c>
      <c r="C2759" s="2">
        <v>1316.14</v>
      </c>
      <c r="D2759" s="2" t="s">
        <v>0</v>
      </c>
      <c r="E2759" s="2">
        <v>2789.8</v>
      </c>
      <c r="G2759" s="1" t="s">
        <v>5511</v>
      </c>
      <c r="H2759" s="2" t="s">
        <v>0</v>
      </c>
      <c r="I2759" s="2">
        <v>2145.2</v>
      </c>
    </row>
    <row r="2760">
      <c r="A2760" s="1" t="s">
        <v>5512</v>
      </c>
      <c r="B2760" s="2">
        <v>1305.44</v>
      </c>
      <c r="C2760" s="2">
        <v>1305.44</v>
      </c>
      <c r="D2760" s="2">
        <v>2765.11</v>
      </c>
      <c r="E2760" s="2">
        <v>2765.11</v>
      </c>
      <c r="G2760" s="1" t="s">
        <v>5513</v>
      </c>
      <c r="H2760" s="2">
        <v>2130.48</v>
      </c>
      <c r="I2760" s="2">
        <v>2130.48</v>
      </c>
    </row>
    <row r="2761">
      <c r="A2761" s="1" t="s">
        <v>5514</v>
      </c>
      <c r="B2761" s="2">
        <v>1326.73</v>
      </c>
      <c r="C2761" s="2">
        <v>1326.73</v>
      </c>
      <c r="D2761" s="2">
        <v>2826.52</v>
      </c>
      <c r="E2761" s="2">
        <v>2826.52</v>
      </c>
      <c r="G2761" s="1" t="s">
        <v>5515</v>
      </c>
      <c r="H2761" s="2">
        <v>2130.21</v>
      </c>
      <c r="I2761" s="2">
        <v>2130.21</v>
      </c>
    </row>
    <row r="2762">
      <c r="A2762" s="1" t="s">
        <v>5516</v>
      </c>
      <c r="B2762" s="2">
        <v>1325.84</v>
      </c>
      <c r="C2762" s="2">
        <v>1325.84</v>
      </c>
      <c r="D2762" s="2">
        <v>2814.23</v>
      </c>
      <c r="E2762" s="2">
        <v>2814.23</v>
      </c>
      <c r="G2762" s="1" t="s">
        <v>5517</v>
      </c>
      <c r="H2762" s="2">
        <v>2154.95</v>
      </c>
      <c r="I2762" s="2">
        <v>2154.95</v>
      </c>
    </row>
    <row r="2763">
      <c r="A2763" s="1" t="s">
        <v>5518</v>
      </c>
      <c r="B2763" s="2">
        <v>1343.8</v>
      </c>
      <c r="C2763" s="2">
        <v>1343.8</v>
      </c>
      <c r="D2763" s="2">
        <v>2834.43</v>
      </c>
      <c r="E2763" s="2">
        <v>2834.43</v>
      </c>
      <c r="G2763" s="1" t="s">
        <v>5519</v>
      </c>
      <c r="H2763" s="2">
        <v>2145.04</v>
      </c>
      <c r="I2763" s="2">
        <v>2145.04</v>
      </c>
    </row>
    <row r="2764">
      <c r="A2764" s="1" t="s">
        <v>5520</v>
      </c>
      <c r="B2764" s="2">
        <v>1345.02</v>
      </c>
      <c r="C2764" s="2">
        <v>1345.02</v>
      </c>
      <c r="D2764" s="2">
        <v>2858.83</v>
      </c>
      <c r="E2764" s="2">
        <v>2858.83</v>
      </c>
      <c r="G2764" s="1" t="s">
        <v>5521</v>
      </c>
      <c r="H2764" s="2">
        <v>2171.23</v>
      </c>
      <c r="I2764" s="2">
        <v>2171.23</v>
      </c>
    </row>
    <row r="2765">
      <c r="A2765" s="1" t="s">
        <v>5522</v>
      </c>
      <c r="B2765" s="2" t="s">
        <v>0</v>
      </c>
      <c r="C2765" s="2">
        <v>1345.02</v>
      </c>
      <c r="D2765" s="2" t="s">
        <v>0</v>
      </c>
      <c r="E2765" s="2">
        <v>2858.83</v>
      </c>
      <c r="G2765" s="1" t="s">
        <v>5523</v>
      </c>
      <c r="H2765" s="2" t="s">
        <v>0</v>
      </c>
      <c r="I2765" s="2">
        <v>2171.23</v>
      </c>
    </row>
    <row r="2766">
      <c r="A2766" s="1" t="s">
        <v>5524</v>
      </c>
      <c r="B2766" s="2" t="s">
        <v>0</v>
      </c>
      <c r="C2766" s="2">
        <v>1345.02</v>
      </c>
      <c r="D2766" s="2" t="s">
        <v>0</v>
      </c>
      <c r="E2766" s="2">
        <v>2858.83</v>
      </c>
      <c r="G2766" s="1" t="s">
        <v>5525</v>
      </c>
      <c r="H2766" s="2" t="s">
        <v>0</v>
      </c>
      <c r="I2766" s="2">
        <v>2171.23</v>
      </c>
    </row>
    <row r="2767">
      <c r="A2767" s="1" t="s">
        <v>5526</v>
      </c>
      <c r="B2767" s="2">
        <v>1337.43</v>
      </c>
      <c r="C2767" s="2">
        <v>1337.43</v>
      </c>
      <c r="D2767" s="2">
        <v>2842.8</v>
      </c>
      <c r="E2767" s="2">
        <v>2842.8</v>
      </c>
      <c r="G2767" s="1" t="s">
        <v>5527</v>
      </c>
      <c r="H2767" s="2">
        <v>2150.48</v>
      </c>
      <c r="I2767" s="2">
        <v>2150.48</v>
      </c>
    </row>
    <row r="2768">
      <c r="A2768" s="1" t="s">
        <v>5528</v>
      </c>
      <c r="B2768" s="2">
        <v>1331.94</v>
      </c>
      <c r="C2768" s="2">
        <v>1331.94</v>
      </c>
      <c r="D2768" s="2">
        <v>2839.96</v>
      </c>
      <c r="E2768" s="2">
        <v>2839.96</v>
      </c>
      <c r="G2768" s="1" t="s">
        <v>5529</v>
      </c>
      <c r="H2768" s="2">
        <v>2168.7</v>
      </c>
      <c r="I2768" s="2">
        <v>2168.7</v>
      </c>
    </row>
    <row r="2769">
      <c r="A2769" s="1" t="s">
        <v>5530</v>
      </c>
      <c r="B2769" s="2">
        <v>1304.89</v>
      </c>
      <c r="C2769" s="2">
        <v>1304.89</v>
      </c>
      <c r="D2769" s="2">
        <v>2764.79</v>
      </c>
      <c r="E2769" s="2">
        <v>2764.79</v>
      </c>
      <c r="G2769" s="1" t="s">
        <v>5531</v>
      </c>
      <c r="H2769" s="2">
        <v>2174.31</v>
      </c>
      <c r="I2769" s="2">
        <v>2174.31</v>
      </c>
    </row>
    <row r="2770">
      <c r="A2770" s="1" t="s">
        <v>5532</v>
      </c>
      <c r="B2770" s="2">
        <v>1300.67</v>
      </c>
      <c r="C2770" s="2">
        <v>1300.67</v>
      </c>
      <c r="D2770" s="2">
        <v>2766.25</v>
      </c>
      <c r="E2770" s="2">
        <v>2766.25</v>
      </c>
      <c r="G2770" s="1" t="s">
        <v>5533</v>
      </c>
      <c r="H2770" s="2">
        <v>2155.85</v>
      </c>
      <c r="I2770" s="2">
        <v>2155.85</v>
      </c>
    </row>
    <row r="2771">
      <c r="A2771" s="1" t="s">
        <v>5534</v>
      </c>
      <c r="B2771" s="2">
        <v>1292.28</v>
      </c>
      <c r="C2771" s="2">
        <v>1292.28</v>
      </c>
      <c r="D2771" s="2">
        <v>2756.38</v>
      </c>
      <c r="E2771" s="2">
        <v>2756.38</v>
      </c>
      <c r="G2771" s="1" t="s">
        <v>5535</v>
      </c>
      <c r="H2771" s="2">
        <v>2133.21</v>
      </c>
      <c r="I2771" s="2">
        <v>2133.21</v>
      </c>
    </row>
    <row r="2772">
      <c r="A2772" s="1" t="s">
        <v>5536</v>
      </c>
      <c r="B2772" s="2" t="s">
        <v>0</v>
      </c>
      <c r="C2772" s="2">
        <v>1292.28</v>
      </c>
      <c r="D2772" s="2" t="s">
        <v>0</v>
      </c>
      <c r="E2772" s="2">
        <v>2756.38</v>
      </c>
      <c r="G2772" s="1" t="s">
        <v>5537</v>
      </c>
      <c r="H2772" s="2" t="s">
        <v>0</v>
      </c>
      <c r="I2772" s="2">
        <v>2133.21</v>
      </c>
    </row>
    <row r="2773">
      <c r="A2773" s="1" t="s">
        <v>5538</v>
      </c>
      <c r="B2773" s="2" t="s">
        <v>0</v>
      </c>
      <c r="C2773" s="2">
        <v>1292.28</v>
      </c>
      <c r="D2773" s="2" t="s">
        <v>0</v>
      </c>
      <c r="E2773" s="2">
        <v>2756.38</v>
      </c>
      <c r="G2773" s="1" t="s">
        <v>5539</v>
      </c>
      <c r="H2773" s="2" t="s">
        <v>0</v>
      </c>
      <c r="I2773" s="2">
        <v>2133.21</v>
      </c>
    </row>
    <row r="2774">
      <c r="A2774" s="1" t="s">
        <v>5540</v>
      </c>
      <c r="B2774" s="2">
        <v>1286.94</v>
      </c>
      <c r="C2774" s="2">
        <v>1286.94</v>
      </c>
      <c r="D2774" s="2">
        <v>2744.61</v>
      </c>
      <c r="E2774" s="2">
        <v>2744.61</v>
      </c>
      <c r="G2774" s="1" t="s">
        <v>5541</v>
      </c>
      <c r="H2774" s="2">
        <v>2172.31</v>
      </c>
      <c r="I2774" s="2">
        <v>2172.31</v>
      </c>
    </row>
    <row r="2775">
      <c r="A2775" s="1" t="s">
        <v>5542</v>
      </c>
      <c r="B2775" s="2">
        <v>1254.05</v>
      </c>
      <c r="C2775" s="2">
        <v>1254.05</v>
      </c>
      <c r="D2775" s="2">
        <v>2669.24</v>
      </c>
      <c r="E2775" s="2">
        <v>2669.24</v>
      </c>
      <c r="G2775" s="1" t="s">
        <v>5543</v>
      </c>
      <c r="H2775" s="2">
        <v>2121.27</v>
      </c>
      <c r="I2775" s="2">
        <v>2121.27</v>
      </c>
    </row>
    <row r="2776">
      <c r="A2776" s="1" t="s">
        <v>5544</v>
      </c>
      <c r="B2776" s="2">
        <v>1260.34</v>
      </c>
      <c r="C2776" s="2">
        <v>1260.34</v>
      </c>
      <c r="D2776" s="2">
        <v>2693.07</v>
      </c>
      <c r="E2776" s="2">
        <v>2693.07</v>
      </c>
      <c r="G2776" s="1" t="s">
        <v>5545</v>
      </c>
      <c r="H2776" s="2">
        <v>2066.26</v>
      </c>
      <c r="I2776" s="2">
        <v>2066.26</v>
      </c>
    </row>
    <row r="2777">
      <c r="A2777" s="1" t="s">
        <v>5546</v>
      </c>
      <c r="B2777" s="2">
        <v>1200.07</v>
      </c>
      <c r="C2777" s="2">
        <v>1200.07</v>
      </c>
      <c r="D2777" s="2">
        <v>2556.39</v>
      </c>
      <c r="E2777" s="2">
        <v>2556.39</v>
      </c>
      <c r="G2777" s="1" t="s">
        <v>5547</v>
      </c>
      <c r="H2777" s="2">
        <v>2018.47</v>
      </c>
      <c r="I2777" s="2">
        <v>2018.47</v>
      </c>
    </row>
    <row r="2778">
      <c r="A2778" s="1" t="s">
        <v>5548</v>
      </c>
      <c r="B2778" s="2">
        <v>1199.38</v>
      </c>
      <c r="C2778" s="2">
        <v>1199.38</v>
      </c>
      <c r="D2778" s="2">
        <v>2532.41</v>
      </c>
      <c r="E2778" s="2">
        <v>2532.41</v>
      </c>
      <c r="G2778" s="1" t="s">
        <v>5549</v>
      </c>
      <c r="H2778" s="2">
        <v>1943.75</v>
      </c>
      <c r="I2778" s="2">
        <v>1943.75</v>
      </c>
    </row>
    <row r="2779">
      <c r="A2779" s="1" t="s">
        <v>5550</v>
      </c>
      <c r="B2779" s="2" t="s">
        <v>0</v>
      </c>
      <c r="C2779" s="2">
        <v>1199.38</v>
      </c>
      <c r="D2779" s="2" t="s">
        <v>0</v>
      </c>
      <c r="E2779" s="2">
        <v>2532.41</v>
      </c>
      <c r="G2779" s="1" t="s">
        <v>5551</v>
      </c>
      <c r="H2779" s="2" t="s">
        <v>0</v>
      </c>
      <c r="I2779" s="2">
        <v>1943.75</v>
      </c>
    </row>
    <row r="2780">
      <c r="A2780" s="1" t="s">
        <v>5552</v>
      </c>
      <c r="B2780" s="2" t="s">
        <v>0</v>
      </c>
      <c r="C2780" s="2">
        <v>1199.38</v>
      </c>
      <c r="D2780" s="2" t="s">
        <v>0</v>
      </c>
      <c r="E2780" s="2">
        <v>2532.41</v>
      </c>
      <c r="G2780" s="1" t="s">
        <v>5553</v>
      </c>
      <c r="H2780" s="2" t="s">
        <v>0</v>
      </c>
      <c r="I2780" s="2">
        <v>1943.75</v>
      </c>
    </row>
    <row r="2781">
      <c r="A2781" s="1" t="s">
        <v>5554</v>
      </c>
      <c r="B2781" s="2">
        <v>1119.46</v>
      </c>
      <c r="C2781" s="2">
        <v>1119.46</v>
      </c>
      <c r="D2781" s="2">
        <v>2357.69</v>
      </c>
      <c r="E2781" s="2">
        <v>2357.69</v>
      </c>
      <c r="G2781" s="1" t="s">
        <v>5555</v>
      </c>
      <c r="H2781" s="2">
        <v>1869.45</v>
      </c>
      <c r="I2781" s="2">
        <v>1869.45</v>
      </c>
    </row>
    <row r="2782">
      <c r="A2782" s="1" t="s">
        <v>5556</v>
      </c>
      <c r="B2782" s="2">
        <v>1172.53</v>
      </c>
      <c r="C2782" s="2">
        <v>1172.53</v>
      </c>
      <c r="D2782" s="2">
        <v>2482.52</v>
      </c>
      <c r="E2782" s="2">
        <v>2482.52</v>
      </c>
      <c r="G2782" s="1" t="s">
        <v>5557</v>
      </c>
      <c r="H2782" s="2">
        <v>1801.35</v>
      </c>
      <c r="I2782" s="2">
        <v>1801.35</v>
      </c>
    </row>
    <row r="2783">
      <c r="A2783" s="1" t="s">
        <v>5558</v>
      </c>
      <c r="B2783" s="2">
        <v>1120.76</v>
      </c>
      <c r="C2783" s="2">
        <v>1120.76</v>
      </c>
      <c r="D2783" s="2">
        <v>2381.05</v>
      </c>
      <c r="E2783" s="2">
        <v>2381.05</v>
      </c>
      <c r="G2783" s="1" t="s">
        <v>5559</v>
      </c>
      <c r="H2783" s="2">
        <v>1806.24</v>
      </c>
      <c r="I2783" s="2">
        <v>1806.24</v>
      </c>
    </row>
    <row r="2784">
      <c r="A2784" s="1" t="s">
        <v>5560</v>
      </c>
      <c r="B2784" s="2">
        <v>1172.64</v>
      </c>
      <c r="C2784" s="2">
        <v>1172.64</v>
      </c>
      <c r="D2784" s="2">
        <v>2492.68</v>
      </c>
      <c r="E2784" s="2">
        <v>2492.68</v>
      </c>
      <c r="G2784" s="1" t="s">
        <v>5561</v>
      </c>
      <c r="H2784" s="2">
        <v>1817.44</v>
      </c>
      <c r="I2784" s="2">
        <v>1817.44</v>
      </c>
    </row>
    <row r="2785">
      <c r="A2785" s="1" t="s">
        <v>5562</v>
      </c>
      <c r="B2785" s="2">
        <v>1178.81</v>
      </c>
      <c r="C2785" s="2">
        <v>1178.81</v>
      </c>
      <c r="D2785" s="2">
        <v>2507.98</v>
      </c>
      <c r="E2785" s="2">
        <v>2507.98</v>
      </c>
      <c r="G2785" s="1" t="s">
        <v>5563</v>
      </c>
      <c r="H2785" s="2">
        <v>1793.31</v>
      </c>
      <c r="I2785" s="2">
        <v>1793.31</v>
      </c>
    </row>
    <row r="2786">
      <c r="A2786" s="1" t="s">
        <v>5564</v>
      </c>
      <c r="B2786" s="2" t="s">
        <v>0</v>
      </c>
      <c r="C2786" s="2">
        <v>1178.81</v>
      </c>
      <c r="D2786" s="2" t="s">
        <v>0</v>
      </c>
      <c r="E2786" s="2">
        <v>2507.98</v>
      </c>
      <c r="G2786" s="1" t="s">
        <v>5565</v>
      </c>
      <c r="H2786" s="2" t="s">
        <v>0</v>
      </c>
      <c r="I2786" s="2">
        <v>1793.31</v>
      </c>
    </row>
    <row r="2787">
      <c r="A2787" s="1" t="s">
        <v>5566</v>
      </c>
      <c r="B2787" s="2" t="s">
        <v>0</v>
      </c>
      <c r="C2787" s="2">
        <v>1178.81</v>
      </c>
      <c r="D2787" s="2" t="s">
        <v>0</v>
      </c>
      <c r="E2787" s="2">
        <v>2507.98</v>
      </c>
      <c r="G2787" s="1" t="s">
        <v>5567</v>
      </c>
      <c r="H2787" s="2" t="s">
        <v>0</v>
      </c>
      <c r="I2787" s="2">
        <v>1793.31</v>
      </c>
    </row>
    <row r="2788">
      <c r="A2788" s="1" t="s">
        <v>5568</v>
      </c>
      <c r="B2788" s="2">
        <v>1204.49</v>
      </c>
      <c r="C2788" s="2">
        <v>1204.49</v>
      </c>
      <c r="D2788" s="2">
        <v>2555.2</v>
      </c>
      <c r="E2788" s="2">
        <v>2555.2</v>
      </c>
      <c r="G2788" s="1" t="s">
        <v>5569</v>
      </c>
      <c r="H2788" s="2" t="s">
        <v>0</v>
      </c>
      <c r="I2788" s="2">
        <v>1793.31</v>
      </c>
    </row>
    <row r="2789">
      <c r="A2789" s="1" t="s">
        <v>5570</v>
      </c>
      <c r="B2789" s="2">
        <v>1192.76</v>
      </c>
      <c r="C2789" s="2">
        <v>1192.76</v>
      </c>
      <c r="D2789" s="2">
        <v>2523.45</v>
      </c>
      <c r="E2789" s="2">
        <v>2523.45</v>
      </c>
      <c r="G2789" s="1" t="s">
        <v>5571</v>
      </c>
      <c r="H2789" s="2">
        <v>1879.87</v>
      </c>
      <c r="I2789" s="2">
        <v>1879.87</v>
      </c>
    </row>
    <row r="2790">
      <c r="A2790" s="1" t="s">
        <v>5572</v>
      </c>
      <c r="B2790" s="2">
        <v>1193.88</v>
      </c>
      <c r="C2790" s="2">
        <v>1193.88</v>
      </c>
      <c r="D2790" s="2">
        <v>2511.48</v>
      </c>
      <c r="E2790" s="2">
        <v>2511.48</v>
      </c>
      <c r="G2790" s="1" t="s">
        <v>5573</v>
      </c>
      <c r="H2790" s="2">
        <v>1892.67</v>
      </c>
      <c r="I2790" s="2">
        <v>1892.67</v>
      </c>
    </row>
    <row r="2791">
      <c r="A2791" s="1" t="s">
        <v>5574</v>
      </c>
      <c r="B2791" s="2">
        <v>1140.65</v>
      </c>
      <c r="C2791" s="2">
        <v>1140.65</v>
      </c>
      <c r="D2791" s="2">
        <v>2380.43</v>
      </c>
      <c r="E2791" s="2">
        <v>2380.43</v>
      </c>
      <c r="G2791" s="1" t="s">
        <v>5575</v>
      </c>
      <c r="H2791" s="2">
        <v>1860.58</v>
      </c>
      <c r="I2791" s="2">
        <v>1860.58</v>
      </c>
    </row>
    <row r="2792">
      <c r="A2792" s="1" t="s">
        <v>5576</v>
      </c>
      <c r="B2792" s="2">
        <v>1123.53</v>
      </c>
      <c r="C2792" s="2">
        <v>1123.53</v>
      </c>
      <c r="D2792" s="2">
        <v>2341.84</v>
      </c>
      <c r="E2792" s="2">
        <v>2341.84</v>
      </c>
      <c r="G2792" s="1" t="s">
        <v>5577</v>
      </c>
      <c r="H2792" s="2">
        <v>1744.88</v>
      </c>
      <c r="I2792" s="2">
        <v>1744.88</v>
      </c>
    </row>
    <row r="2793">
      <c r="A2793" s="1" t="s">
        <v>5578</v>
      </c>
      <c r="B2793" s="2" t="s">
        <v>0</v>
      </c>
      <c r="C2793" s="2">
        <v>1123.53</v>
      </c>
      <c r="D2793" s="2" t="s">
        <v>0</v>
      </c>
      <c r="E2793" s="2">
        <v>2341.84</v>
      </c>
      <c r="G2793" s="1" t="s">
        <v>5579</v>
      </c>
      <c r="H2793" s="2" t="s">
        <v>0</v>
      </c>
      <c r="I2793" s="2">
        <v>1744.88</v>
      </c>
    </row>
    <row r="2794">
      <c r="A2794" s="1" t="s">
        <v>5580</v>
      </c>
      <c r="B2794" s="2" t="s">
        <v>0</v>
      </c>
      <c r="C2794" s="2">
        <v>1123.53</v>
      </c>
      <c r="D2794" s="2" t="s">
        <v>0</v>
      </c>
      <c r="E2794" s="2">
        <v>2341.84</v>
      </c>
      <c r="G2794" s="1" t="s">
        <v>5581</v>
      </c>
      <c r="H2794" s="2" t="s">
        <v>0</v>
      </c>
      <c r="I2794" s="2">
        <v>1744.88</v>
      </c>
    </row>
    <row r="2795">
      <c r="A2795" s="1" t="s">
        <v>5582</v>
      </c>
      <c r="B2795" s="2">
        <v>1123.82</v>
      </c>
      <c r="C2795" s="2">
        <v>1123.82</v>
      </c>
      <c r="D2795" s="2">
        <v>2345.38</v>
      </c>
      <c r="E2795" s="2">
        <v>2345.38</v>
      </c>
      <c r="G2795" s="1" t="s">
        <v>5583</v>
      </c>
      <c r="H2795" s="2">
        <v>1710.7</v>
      </c>
      <c r="I2795" s="2">
        <v>1710.7</v>
      </c>
    </row>
    <row r="2796">
      <c r="A2796" s="1" t="s">
        <v>5584</v>
      </c>
      <c r="B2796" s="2">
        <v>1162.35</v>
      </c>
      <c r="C2796" s="2">
        <v>1162.35</v>
      </c>
      <c r="D2796" s="2">
        <v>2446.06</v>
      </c>
      <c r="E2796" s="2">
        <v>2446.06</v>
      </c>
      <c r="G2796" s="1" t="s">
        <v>5585</v>
      </c>
      <c r="H2796" s="2">
        <v>1776.68</v>
      </c>
      <c r="I2796" s="2">
        <v>1776.68</v>
      </c>
    </row>
    <row r="2797">
      <c r="A2797" s="1" t="s">
        <v>5586</v>
      </c>
      <c r="B2797" s="2">
        <v>1177.6</v>
      </c>
      <c r="C2797" s="2">
        <v>1177.6</v>
      </c>
      <c r="D2797" s="2">
        <v>2467.69</v>
      </c>
      <c r="E2797" s="2">
        <v>2467.69</v>
      </c>
      <c r="G2797" s="1" t="s">
        <v>5587</v>
      </c>
      <c r="H2797" s="2">
        <v>1754.78</v>
      </c>
      <c r="I2797" s="2">
        <v>1754.78</v>
      </c>
    </row>
    <row r="2798">
      <c r="A2798" s="1" t="s">
        <v>5588</v>
      </c>
      <c r="B2798" s="2">
        <v>1159.27</v>
      </c>
      <c r="C2798" s="2">
        <v>1159.27</v>
      </c>
      <c r="D2798" s="2">
        <v>2419.63</v>
      </c>
      <c r="E2798" s="2">
        <v>2419.63</v>
      </c>
      <c r="G2798" s="1" t="s">
        <v>5589</v>
      </c>
      <c r="H2798" s="2">
        <v>1764.58</v>
      </c>
      <c r="I2798" s="2">
        <v>1764.58</v>
      </c>
    </row>
    <row r="2799">
      <c r="A2799" s="1" t="s">
        <v>5590</v>
      </c>
      <c r="B2799" s="2">
        <v>1176.8</v>
      </c>
      <c r="C2799" s="2">
        <v>1176.8</v>
      </c>
      <c r="D2799" s="2">
        <v>2479.85</v>
      </c>
      <c r="E2799" s="2">
        <v>2479.85</v>
      </c>
      <c r="G2799" s="1" t="s">
        <v>5591</v>
      </c>
      <c r="H2799" s="2">
        <v>1778.95</v>
      </c>
      <c r="I2799" s="2">
        <v>1778.95</v>
      </c>
    </row>
    <row r="2800">
      <c r="A2800" s="1" t="s">
        <v>5592</v>
      </c>
      <c r="B2800" s="2" t="s">
        <v>0</v>
      </c>
      <c r="C2800" s="2">
        <v>1176.8</v>
      </c>
      <c r="D2800" s="2" t="s">
        <v>0</v>
      </c>
      <c r="E2800" s="2">
        <v>2479.85</v>
      </c>
      <c r="G2800" s="1" t="s">
        <v>5593</v>
      </c>
      <c r="H2800" s="2" t="s">
        <v>0</v>
      </c>
      <c r="I2800" s="2">
        <v>1778.95</v>
      </c>
    </row>
    <row r="2801">
      <c r="A2801" s="1" t="s">
        <v>5594</v>
      </c>
      <c r="B2801" s="2" t="s">
        <v>0</v>
      </c>
      <c r="C2801" s="2">
        <v>1176.8</v>
      </c>
      <c r="D2801" s="2" t="s">
        <v>0</v>
      </c>
      <c r="E2801" s="2">
        <v>2479.85</v>
      </c>
      <c r="G2801" s="1" t="s">
        <v>5595</v>
      </c>
      <c r="H2801" s="2" t="s">
        <v>0</v>
      </c>
      <c r="I2801" s="2">
        <v>1778.95</v>
      </c>
    </row>
    <row r="2802">
      <c r="A2802" s="1" t="s">
        <v>5596</v>
      </c>
      <c r="B2802" s="2">
        <v>1210.08</v>
      </c>
      <c r="C2802" s="2">
        <v>1210.08</v>
      </c>
      <c r="D2802" s="2">
        <v>2562.11</v>
      </c>
      <c r="E2802" s="2">
        <v>2562.11</v>
      </c>
      <c r="G2802" s="1" t="s">
        <v>5597</v>
      </c>
      <c r="H2802" s="2">
        <v>1829.5</v>
      </c>
      <c r="I2802" s="2">
        <v>1829.5</v>
      </c>
    </row>
    <row r="2803">
      <c r="A2803" s="1" t="s">
        <v>5598</v>
      </c>
      <c r="B2803" s="2">
        <v>1212.92</v>
      </c>
      <c r="C2803" s="2">
        <v>1212.92</v>
      </c>
      <c r="D2803" s="2">
        <v>2576.11</v>
      </c>
      <c r="E2803" s="2">
        <v>2576.11</v>
      </c>
      <c r="G2803" s="1" t="s">
        <v>5599</v>
      </c>
      <c r="H2803" s="2">
        <v>1843.82</v>
      </c>
      <c r="I2803" s="2">
        <v>1843.82</v>
      </c>
    </row>
    <row r="2804">
      <c r="A2804" s="1" t="s">
        <v>5600</v>
      </c>
      <c r="B2804" s="2">
        <v>1218.89</v>
      </c>
      <c r="C2804" s="2">
        <v>1218.89</v>
      </c>
      <c r="D2804" s="2">
        <v>2579.46</v>
      </c>
      <c r="E2804" s="2">
        <v>2579.46</v>
      </c>
      <c r="G2804" s="1" t="s">
        <v>5601</v>
      </c>
      <c r="H2804" s="2">
        <v>1880.11</v>
      </c>
      <c r="I2804" s="2">
        <v>1880.11</v>
      </c>
    </row>
    <row r="2805">
      <c r="A2805" s="1" t="s">
        <v>5602</v>
      </c>
      <c r="B2805" s="2">
        <v>1204.42</v>
      </c>
      <c r="C2805" s="2">
        <v>1204.42</v>
      </c>
      <c r="D2805" s="2">
        <v>2546.04</v>
      </c>
      <c r="E2805" s="2">
        <v>2546.04</v>
      </c>
      <c r="G2805" s="1" t="s">
        <v>5603</v>
      </c>
      <c r="H2805" s="2">
        <v>1880.7</v>
      </c>
      <c r="I2805" s="2">
        <v>1880.7</v>
      </c>
    </row>
    <row r="2806">
      <c r="A2806" s="1" t="s">
        <v>5604</v>
      </c>
      <c r="B2806" s="2">
        <v>1173.97</v>
      </c>
      <c r="C2806" s="2">
        <v>1173.97</v>
      </c>
      <c r="D2806" s="2">
        <v>2480.33</v>
      </c>
      <c r="E2806" s="2">
        <v>2480.33</v>
      </c>
      <c r="G2806" s="1" t="s">
        <v>5605</v>
      </c>
      <c r="H2806" s="2">
        <v>1867.75</v>
      </c>
      <c r="I2806" s="2">
        <v>1867.75</v>
      </c>
    </row>
    <row r="2807">
      <c r="A2807" s="1" t="s">
        <v>5606</v>
      </c>
      <c r="B2807" s="2" t="s">
        <v>0</v>
      </c>
      <c r="C2807" s="2">
        <v>1173.97</v>
      </c>
      <c r="D2807" s="2" t="s">
        <v>0</v>
      </c>
      <c r="E2807" s="2">
        <v>2480.33</v>
      </c>
      <c r="G2807" s="1" t="s">
        <v>5607</v>
      </c>
      <c r="H2807" s="2" t="s">
        <v>0</v>
      </c>
      <c r="I2807" s="2">
        <v>1867.75</v>
      </c>
    </row>
    <row r="2808">
      <c r="A2808" s="1" t="s">
        <v>5608</v>
      </c>
      <c r="B2808" s="2" t="s">
        <v>0</v>
      </c>
      <c r="C2808" s="2">
        <v>1173.97</v>
      </c>
      <c r="D2808" s="2" t="s">
        <v>0</v>
      </c>
      <c r="E2808" s="2">
        <v>2480.33</v>
      </c>
      <c r="G2808" s="1" t="s">
        <v>5609</v>
      </c>
      <c r="H2808" s="2" t="s">
        <v>0</v>
      </c>
      <c r="I2808" s="2">
        <v>1867.75</v>
      </c>
    </row>
    <row r="2809">
      <c r="A2809" s="1" t="s">
        <v>5610</v>
      </c>
      <c r="B2809" s="2" t="s">
        <v>0</v>
      </c>
      <c r="C2809" s="2">
        <v>1173.97</v>
      </c>
      <c r="D2809" s="2" t="s">
        <v>0</v>
      </c>
      <c r="E2809" s="2">
        <v>2480.33</v>
      </c>
      <c r="G2809" s="1" t="s">
        <v>5611</v>
      </c>
      <c r="H2809" s="2">
        <v>1785.83</v>
      </c>
      <c r="I2809" s="2">
        <v>1785.83</v>
      </c>
    </row>
    <row r="2810">
      <c r="A2810" s="1" t="s">
        <v>5612</v>
      </c>
      <c r="B2810" s="2">
        <v>1165.24</v>
      </c>
      <c r="C2810" s="2">
        <v>1165.24</v>
      </c>
      <c r="D2810" s="2">
        <v>2473.83</v>
      </c>
      <c r="E2810" s="2">
        <v>2473.83</v>
      </c>
      <c r="G2810" s="1" t="s">
        <v>5613</v>
      </c>
      <c r="H2810" s="2">
        <v>1766.71</v>
      </c>
      <c r="I2810" s="2">
        <v>1766.71</v>
      </c>
    </row>
    <row r="2811">
      <c r="A2811" s="1" t="s">
        <v>5614</v>
      </c>
      <c r="B2811" s="2">
        <v>1198.62</v>
      </c>
      <c r="C2811" s="2">
        <v>1198.62</v>
      </c>
      <c r="D2811" s="2">
        <v>2548.94</v>
      </c>
      <c r="E2811" s="2">
        <v>2548.94</v>
      </c>
      <c r="G2811" s="1" t="s">
        <v>5615</v>
      </c>
      <c r="H2811" s="2">
        <v>1833.46</v>
      </c>
      <c r="I2811" s="2">
        <v>1833.46</v>
      </c>
    </row>
    <row r="2812">
      <c r="A2812" s="1" t="s">
        <v>5616</v>
      </c>
      <c r="B2812" s="2">
        <v>1185.9</v>
      </c>
      <c r="C2812" s="2">
        <v>1185.9</v>
      </c>
      <c r="D2812" s="2">
        <v>2529.14</v>
      </c>
      <c r="E2812" s="2">
        <v>2529.14</v>
      </c>
      <c r="G2812" s="1" t="s">
        <v>5617</v>
      </c>
      <c r="H2812" s="2">
        <v>1846.64</v>
      </c>
      <c r="I2812" s="2">
        <v>1846.64</v>
      </c>
    </row>
    <row r="2813">
      <c r="A2813" s="1" t="s">
        <v>5618</v>
      </c>
      <c r="B2813" s="2">
        <v>1154.23</v>
      </c>
      <c r="C2813" s="2">
        <v>1154.23</v>
      </c>
      <c r="D2813" s="2">
        <v>2467.99</v>
      </c>
      <c r="E2813" s="2">
        <v>2467.99</v>
      </c>
      <c r="G2813" s="1" t="s">
        <v>5619</v>
      </c>
      <c r="H2813" s="2">
        <v>1812.93</v>
      </c>
      <c r="I2813" s="2">
        <v>1812.93</v>
      </c>
    </row>
    <row r="2814">
      <c r="A2814" s="1" t="s">
        <v>5620</v>
      </c>
      <c r="B2814" s="2" t="s">
        <v>0</v>
      </c>
      <c r="C2814" s="2">
        <v>1154.23</v>
      </c>
      <c r="D2814" s="2" t="s">
        <v>0</v>
      </c>
      <c r="E2814" s="2">
        <v>2467.99</v>
      </c>
      <c r="G2814" s="1" t="s">
        <v>5621</v>
      </c>
      <c r="H2814" s="2" t="s">
        <v>0</v>
      </c>
      <c r="I2814" s="2">
        <v>1812.93</v>
      </c>
    </row>
    <row r="2815">
      <c r="A2815" s="1" t="s">
        <v>5622</v>
      </c>
      <c r="B2815" s="2" t="s">
        <v>0</v>
      </c>
      <c r="C2815" s="2">
        <v>1154.23</v>
      </c>
      <c r="D2815" s="2" t="s">
        <v>0</v>
      </c>
      <c r="E2815" s="2">
        <v>2467.99</v>
      </c>
      <c r="G2815" s="1" t="s">
        <v>5623</v>
      </c>
      <c r="H2815" s="2" t="s">
        <v>0</v>
      </c>
      <c r="I2815" s="2">
        <v>1812.93</v>
      </c>
    </row>
    <row r="2816">
      <c r="A2816" s="1" t="s">
        <v>5624</v>
      </c>
      <c r="B2816" s="2">
        <v>1162.27</v>
      </c>
      <c r="C2816" s="2">
        <v>1162.27</v>
      </c>
      <c r="D2816" s="2">
        <v>2495.09</v>
      </c>
      <c r="E2816" s="2">
        <v>2495.09</v>
      </c>
      <c r="G2816" s="1" t="s">
        <v>5625</v>
      </c>
      <c r="H2816" s="2" t="s">
        <v>0</v>
      </c>
      <c r="I2816" s="2">
        <v>1812.93</v>
      </c>
    </row>
    <row r="2817">
      <c r="A2817" s="1" t="s">
        <v>5626</v>
      </c>
      <c r="B2817" s="2">
        <v>1172.87</v>
      </c>
      <c r="C2817" s="2">
        <v>1172.87</v>
      </c>
      <c r="D2817" s="2">
        <v>2532.15</v>
      </c>
      <c r="E2817" s="2">
        <v>2532.15</v>
      </c>
      <c r="G2817" s="1" t="s">
        <v>5627</v>
      </c>
      <c r="H2817" s="2" t="s">
        <v>0</v>
      </c>
      <c r="I2817" s="2">
        <v>1812.93</v>
      </c>
    </row>
    <row r="2818">
      <c r="A2818" s="1" t="s">
        <v>5628</v>
      </c>
      <c r="B2818" s="2">
        <v>1188.68</v>
      </c>
      <c r="C2818" s="2">
        <v>1188.68</v>
      </c>
      <c r="D2818" s="2">
        <v>2572.55</v>
      </c>
      <c r="E2818" s="2">
        <v>2572.55</v>
      </c>
      <c r="G2818" s="1" t="s">
        <v>5629</v>
      </c>
      <c r="H2818" s="2">
        <v>1749.16</v>
      </c>
      <c r="I2818" s="2">
        <v>1749.16</v>
      </c>
    </row>
    <row r="2819">
      <c r="A2819" s="1" t="s">
        <v>5630</v>
      </c>
      <c r="B2819" s="2">
        <v>1209.11</v>
      </c>
      <c r="C2819" s="2">
        <v>1209.11</v>
      </c>
      <c r="D2819" s="2">
        <v>2607.07</v>
      </c>
      <c r="E2819" s="2">
        <v>2607.07</v>
      </c>
      <c r="G2819" s="1" t="s">
        <v>5631</v>
      </c>
      <c r="H2819" s="2">
        <v>1774.08</v>
      </c>
      <c r="I2819" s="2">
        <v>1774.08</v>
      </c>
    </row>
    <row r="2820">
      <c r="A2820" s="1" t="s">
        <v>5632</v>
      </c>
      <c r="B2820" s="2">
        <v>1216.01</v>
      </c>
      <c r="C2820" s="2">
        <v>1216.01</v>
      </c>
      <c r="D2820" s="2">
        <v>2622.31</v>
      </c>
      <c r="E2820" s="2">
        <v>2622.31</v>
      </c>
      <c r="G2820" s="1" t="s">
        <v>5633</v>
      </c>
      <c r="H2820" s="2">
        <v>1840.1</v>
      </c>
      <c r="I2820" s="2">
        <v>1840.1</v>
      </c>
    </row>
    <row r="2821">
      <c r="A2821" s="1" t="s">
        <v>5634</v>
      </c>
      <c r="B2821" s="2" t="s">
        <v>0</v>
      </c>
      <c r="C2821" s="2">
        <v>1216.01</v>
      </c>
      <c r="D2821" s="2" t="s">
        <v>0</v>
      </c>
      <c r="E2821" s="2">
        <v>2622.31</v>
      </c>
      <c r="G2821" s="1" t="s">
        <v>5635</v>
      </c>
      <c r="H2821" s="2" t="s">
        <v>0</v>
      </c>
      <c r="I2821" s="2">
        <v>1840.1</v>
      </c>
    </row>
    <row r="2822">
      <c r="A2822" s="1" t="s">
        <v>5636</v>
      </c>
      <c r="B2822" s="2" t="s">
        <v>0</v>
      </c>
      <c r="C2822" s="2">
        <v>1216.01</v>
      </c>
      <c r="D2822" s="2" t="s">
        <v>0</v>
      </c>
      <c r="E2822" s="2">
        <v>2622.31</v>
      </c>
      <c r="G2822" s="1" t="s">
        <v>5637</v>
      </c>
      <c r="H2822" s="2" t="s">
        <v>0</v>
      </c>
      <c r="I2822" s="2">
        <v>1840.1</v>
      </c>
    </row>
    <row r="2823">
      <c r="A2823" s="1" t="s">
        <v>5638</v>
      </c>
      <c r="B2823" s="2">
        <v>1204.09</v>
      </c>
      <c r="C2823" s="2">
        <v>1204.09</v>
      </c>
      <c r="D2823" s="2">
        <v>2612.83</v>
      </c>
      <c r="E2823" s="2">
        <v>2612.83</v>
      </c>
      <c r="G2823" s="1" t="s">
        <v>5639</v>
      </c>
      <c r="H2823" s="2">
        <v>1820.94</v>
      </c>
      <c r="I2823" s="2">
        <v>1820.94</v>
      </c>
    </row>
    <row r="2824">
      <c r="A2824" s="1" t="s">
        <v>5640</v>
      </c>
      <c r="B2824" s="2">
        <v>1202.09</v>
      </c>
      <c r="C2824" s="2">
        <v>1202.09</v>
      </c>
      <c r="D2824" s="2">
        <v>2590.24</v>
      </c>
      <c r="E2824" s="2">
        <v>2590.24</v>
      </c>
      <c r="G2824" s="1" t="s">
        <v>5641</v>
      </c>
      <c r="H2824" s="2">
        <v>1837.97</v>
      </c>
      <c r="I2824" s="2">
        <v>1837.97</v>
      </c>
    </row>
    <row r="2825">
      <c r="A2825" s="1" t="s">
        <v>5642</v>
      </c>
      <c r="B2825" s="2">
        <v>1166.76</v>
      </c>
      <c r="C2825" s="2">
        <v>1166.76</v>
      </c>
      <c r="D2825" s="2">
        <v>2538.19</v>
      </c>
      <c r="E2825" s="2">
        <v>2538.19</v>
      </c>
      <c r="G2825" s="1" t="s">
        <v>5643</v>
      </c>
      <c r="H2825" s="2">
        <v>1854.28</v>
      </c>
      <c r="I2825" s="2">
        <v>1854.28</v>
      </c>
    </row>
    <row r="2826">
      <c r="A2826" s="1" t="s">
        <v>5644</v>
      </c>
      <c r="B2826" s="2">
        <v>1129.56</v>
      </c>
      <c r="C2826" s="2">
        <v>1129.56</v>
      </c>
      <c r="D2826" s="2">
        <v>2455.67</v>
      </c>
      <c r="E2826" s="2">
        <v>2455.67</v>
      </c>
      <c r="G2826" s="1" t="s">
        <v>5645</v>
      </c>
      <c r="H2826" s="2">
        <v>1800.55</v>
      </c>
      <c r="I2826" s="2">
        <v>1800.55</v>
      </c>
    </row>
    <row r="2827">
      <c r="A2827" s="1" t="s">
        <v>5646</v>
      </c>
      <c r="B2827" s="2">
        <v>1136.43</v>
      </c>
      <c r="C2827" s="2">
        <v>1136.43</v>
      </c>
      <c r="D2827" s="2">
        <v>2483.23</v>
      </c>
      <c r="E2827" s="2">
        <v>2483.23</v>
      </c>
      <c r="G2827" s="1" t="s">
        <v>5647</v>
      </c>
      <c r="H2827" s="2">
        <v>1697.44</v>
      </c>
      <c r="I2827" s="2">
        <v>1697.44</v>
      </c>
    </row>
    <row r="2828">
      <c r="A2828" s="1" t="s">
        <v>5648</v>
      </c>
      <c r="B2828" s="2" t="s">
        <v>0</v>
      </c>
      <c r="C2828" s="2">
        <v>1136.43</v>
      </c>
      <c r="D2828" s="2" t="s">
        <v>0</v>
      </c>
      <c r="E2828" s="2">
        <v>2483.23</v>
      </c>
      <c r="G2828" s="1" t="s">
        <v>5649</v>
      </c>
      <c r="H2828" s="2" t="s">
        <v>0</v>
      </c>
      <c r="I2828" s="2">
        <v>1697.44</v>
      </c>
    </row>
    <row r="2829">
      <c r="A2829" s="1" t="s">
        <v>5650</v>
      </c>
      <c r="B2829" s="2" t="s">
        <v>0</v>
      </c>
      <c r="C2829" s="2">
        <v>1136.43</v>
      </c>
      <c r="D2829" s="2" t="s">
        <v>0</v>
      </c>
      <c r="E2829" s="2">
        <v>2483.23</v>
      </c>
      <c r="G2829" s="1" t="s">
        <v>5651</v>
      </c>
      <c r="H2829" s="2" t="s">
        <v>0</v>
      </c>
      <c r="I2829" s="2">
        <v>1697.44</v>
      </c>
    </row>
    <row r="2830">
      <c r="A2830" s="1" t="s">
        <v>5652</v>
      </c>
      <c r="B2830" s="2">
        <v>1162.95</v>
      </c>
      <c r="C2830" s="2">
        <v>1162.95</v>
      </c>
      <c r="D2830" s="2">
        <v>2516.69</v>
      </c>
      <c r="E2830" s="2">
        <v>2516.69</v>
      </c>
      <c r="G2830" s="1" t="s">
        <v>5653</v>
      </c>
      <c r="H2830" s="2">
        <v>1652.71</v>
      </c>
      <c r="I2830" s="2">
        <v>1652.71</v>
      </c>
    </row>
    <row r="2831">
      <c r="A2831" s="1" t="s">
        <v>5654</v>
      </c>
      <c r="B2831" s="2">
        <v>1175.38</v>
      </c>
      <c r="C2831" s="2">
        <v>1175.38</v>
      </c>
      <c r="D2831" s="2">
        <v>2546.83</v>
      </c>
      <c r="E2831" s="2">
        <v>2546.83</v>
      </c>
      <c r="G2831" s="1" t="s">
        <v>5655</v>
      </c>
      <c r="H2831" s="2">
        <v>1735.71</v>
      </c>
      <c r="I2831" s="2">
        <v>1735.71</v>
      </c>
    </row>
    <row r="2832">
      <c r="A2832" s="1" t="s">
        <v>5656</v>
      </c>
      <c r="B2832" s="2">
        <v>1151.06</v>
      </c>
      <c r="C2832" s="2">
        <v>1151.06</v>
      </c>
      <c r="D2832" s="2">
        <v>2491.58</v>
      </c>
      <c r="E2832" s="2">
        <v>2491.58</v>
      </c>
      <c r="G2832" s="1" t="s">
        <v>5657</v>
      </c>
      <c r="H2832" s="2">
        <v>1723.09</v>
      </c>
      <c r="I2832" s="2">
        <v>1723.09</v>
      </c>
    </row>
    <row r="2833">
      <c r="A2833" s="1" t="s">
        <v>5658</v>
      </c>
      <c r="B2833" s="2">
        <v>1160.4</v>
      </c>
      <c r="C2833" s="2">
        <v>1160.4</v>
      </c>
      <c r="D2833" s="2">
        <v>2480.76</v>
      </c>
      <c r="E2833" s="2">
        <v>2480.76</v>
      </c>
      <c r="G2833" s="1" t="s">
        <v>5659</v>
      </c>
      <c r="H2833" s="2">
        <v>1769.29</v>
      </c>
      <c r="I2833" s="2">
        <v>1769.29</v>
      </c>
    </row>
    <row r="2834">
      <c r="A2834" s="1" t="s">
        <v>5660</v>
      </c>
      <c r="B2834" s="2">
        <v>1131.42</v>
      </c>
      <c r="C2834" s="2">
        <v>1131.42</v>
      </c>
      <c r="D2834" s="2">
        <v>2415.4</v>
      </c>
      <c r="E2834" s="2">
        <v>2415.4</v>
      </c>
      <c r="G2834" s="1" t="s">
        <v>5661</v>
      </c>
      <c r="H2834" s="2">
        <v>1769.65</v>
      </c>
      <c r="I2834" s="2">
        <v>1769.65</v>
      </c>
    </row>
    <row r="2835">
      <c r="A2835" s="1" t="s">
        <v>5662</v>
      </c>
      <c r="B2835" s="2" t="s">
        <v>0</v>
      </c>
      <c r="C2835" s="2">
        <v>1131.42</v>
      </c>
      <c r="D2835" s="2" t="s">
        <v>0</v>
      </c>
      <c r="E2835" s="2">
        <v>2415.4</v>
      </c>
      <c r="G2835" s="1" t="s">
        <v>5663</v>
      </c>
      <c r="H2835" s="2" t="s">
        <v>0</v>
      </c>
      <c r="I2835" s="2">
        <v>1769.65</v>
      </c>
    </row>
    <row r="2836">
      <c r="A2836" s="1" t="s">
        <v>5664</v>
      </c>
      <c r="B2836" s="2" t="s">
        <v>0</v>
      </c>
      <c r="C2836" s="2">
        <v>1131.42</v>
      </c>
      <c r="D2836" s="2" t="s">
        <v>0</v>
      </c>
      <c r="E2836" s="2">
        <v>2415.4</v>
      </c>
      <c r="G2836" s="1" t="s">
        <v>5665</v>
      </c>
      <c r="H2836" s="2" t="s">
        <v>0</v>
      </c>
      <c r="I2836" s="2">
        <v>1769.65</v>
      </c>
    </row>
    <row r="2837">
      <c r="A2837" s="1" t="s">
        <v>5666</v>
      </c>
      <c r="B2837" s="2">
        <v>1099.23</v>
      </c>
      <c r="C2837" s="2">
        <v>1099.23</v>
      </c>
      <c r="D2837" s="2">
        <v>2335.83</v>
      </c>
      <c r="E2837" s="2">
        <v>2335.83</v>
      </c>
      <c r="G2837" s="1" t="s">
        <v>5667</v>
      </c>
      <c r="H2837" s="2" t="s">
        <v>0</v>
      </c>
      <c r="I2837" s="2">
        <v>1769.65</v>
      </c>
    </row>
    <row r="2838">
      <c r="A2838" s="1" t="s">
        <v>5668</v>
      </c>
      <c r="B2838" s="2">
        <v>1123.95</v>
      </c>
      <c r="C2838" s="2">
        <v>1123.95</v>
      </c>
      <c r="D2838" s="2">
        <v>2404.82</v>
      </c>
      <c r="E2838" s="2">
        <v>2404.82</v>
      </c>
      <c r="G2838" s="1" t="s">
        <v>5669</v>
      </c>
      <c r="H2838" s="2">
        <v>1706.19</v>
      </c>
      <c r="I2838" s="2">
        <v>1706.19</v>
      </c>
    </row>
    <row r="2839">
      <c r="A2839" s="1" t="s">
        <v>5670</v>
      </c>
      <c r="B2839" s="2">
        <v>1144.04</v>
      </c>
      <c r="C2839" s="2">
        <v>1144.04</v>
      </c>
      <c r="D2839" s="2">
        <v>2460.51</v>
      </c>
      <c r="E2839" s="2">
        <v>2460.51</v>
      </c>
      <c r="G2839" s="1" t="s">
        <v>5671</v>
      </c>
      <c r="H2839" s="2">
        <v>1666.52</v>
      </c>
      <c r="I2839" s="2">
        <v>1666.52</v>
      </c>
    </row>
    <row r="2840">
      <c r="A2840" s="1" t="s">
        <v>5672</v>
      </c>
      <c r="B2840" s="2">
        <v>1164.97</v>
      </c>
      <c r="C2840" s="2">
        <v>1164.97</v>
      </c>
      <c r="D2840" s="2">
        <v>2506.82</v>
      </c>
      <c r="E2840" s="2">
        <v>2506.82</v>
      </c>
      <c r="G2840" s="1" t="s">
        <v>5673</v>
      </c>
      <c r="H2840" s="2">
        <v>1710.32</v>
      </c>
      <c r="I2840" s="2">
        <v>1710.32</v>
      </c>
    </row>
    <row r="2841">
      <c r="A2841" s="1" t="s">
        <v>5674</v>
      </c>
      <c r="B2841" s="2">
        <v>1155.46</v>
      </c>
      <c r="C2841" s="2">
        <v>1155.46</v>
      </c>
      <c r="D2841" s="2">
        <v>2479.35</v>
      </c>
      <c r="E2841" s="2">
        <v>2479.35</v>
      </c>
      <c r="G2841" s="1" t="s">
        <v>5675</v>
      </c>
      <c r="H2841" s="2">
        <v>1759.77</v>
      </c>
      <c r="I2841" s="2">
        <v>1759.77</v>
      </c>
    </row>
    <row r="2842">
      <c r="A2842" s="1" t="s">
        <v>5676</v>
      </c>
      <c r="B2842" s="2" t="s">
        <v>0</v>
      </c>
      <c r="C2842" s="2">
        <v>1155.46</v>
      </c>
      <c r="D2842" s="2" t="s">
        <v>0</v>
      </c>
      <c r="E2842" s="2">
        <v>2479.35</v>
      </c>
      <c r="G2842" s="1" t="s">
        <v>5677</v>
      </c>
      <c r="H2842" s="2" t="s">
        <v>0</v>
      </c>
      <c r="I2842" s="2">
        <v>1759.77</v>
      </c>
    </row>
    <row r="2843">
      <c r="A2843" s="1" t="s">
        <v>5678</v>
      </c>
      <c r="B2843" s="2" t="s">
        <v>0</v>
      </c>
      <c r="C2843" s="2">
        <v>1155.46</v>
      </c>
      <c r="D2843" s="2" t="s">
        <v>0</v>
      </c>
      <c r="E2843" s="2">
        <v>2479.35</v>
      </c>
      <c r="G2843" s="1" t="s">
        <v>5679</v>
      </c>
      <c r="H2843" s="2" t="s">
        <v>0</v>
      </c>
      <c r="I2843" s="2">
        <v>1759.77</v>
      </c>
    </row>
    <row r="2844">
      <c r="A2844" s="1" t="s">
        <v>5680</v>
      </c>
      <c r="B2844" s="2">
        <v>1194.89</v>
      </c>
      <c r="C2844" s="2">
        <v>1194.89</v>
      </c>
      <c r="D2844" s="2">
        <v>2566.05</v>
      </c>
      <c r="E2844" s="2">
        <v>2566.05</v>
      </c>
      <c r="G2844" s="1" t="s">
        <v>5681</v>
      </c>
      <c r="H2844" s="2">
        <v>1766.44</v>
      </c>
      <c r="I2844" s="2">
        <v>1766.44</v>
      </c>
    </row>
    <row r="2845">
      <c r="A2845" s="1" t="s">
        <v>5682</v>
      </c>
      <c r="B2845" s="2">
        <v>1195.54</v>
      </c>
      <c r="C2845" s="2">
        <v>1195.54</v>
      </c>
      <c r="D2845" s="2">
        <v>2583.03</v>
      </c>
      <c r="E2845" s="2">
        <v>2583.03</v>
      </c>
      <c r="G2845" s="1" t="s">
        <v>5683</v>
      </c>
      <c r="H2845" s="2">
        <v>1795.02</v>
      </c>
      <c r="I2845" s="2">
        <v>1795.02</v>
      </c>
    </row>
    <row r="2846">
      <c r="A2846" s="1" t="s">
        <v>5684</v>
      </c>
      <c r="B2846" s="2">
        <v>1207.25</v>
      </c>
      <c r="C2846" s="2">
        <v>1207.25</v>
      </c>
      <c r="D2846" s="2">
        <v>2604.73</v>
      </c>
      <c r="E2846" s="2">
        <v>2604.73</v>
      </c>
      <c r="G2846" s="1" t="s">
        <v>5685</v>
      </c>
      <c r="H2846" s="2">
        <v>1809.5</v>
      </c>
      <c r="I2846" s="2">
        <v>1809.5</v>
      </c>
    </row>
    <row r="2847">
      <c r="A2847" s="1" t="s">
        <v>5686</v>
      </c>
      <c r="B2847" s="2">
        <v>1203.66</v>
      </c>
      <c r="C2847" s="2">
        <v>1203.66</v>
      </c>
      <c r="D2847" s="2">
        <v>2620.24</v>
      </c>
      <c r="E2847" s="2">
        <v>2620.24</v>
      </c>
      <c r="G2847" s="1" t="s">
        <v>5687</v>
      </c>
      <c r="H2847" s="2">
        <v>1823.1</v>
      </c>
      <c r="I2847" s="2">
        <v>1823.1</v>
      </c>
    </row>
    <row r="2848">
      <c r="A2848" s="1" t="s">
        <v>5688</v>
      </c>
      <c r="B2848" s="2">
        <v>1224.58</v>
      </c>
      <c r="C2848" s="2">
        <v>1224.58</v>
      </c>
      <c r="D2848" s="2">
        <v>2667.85</v>
      </c>
      <c r="E2848" s="2">
        <v>2667.85</v>
      </c>
      <c r="G2848" s="1" t="s">
        <v>5689</v>
      </c>
      <c r="H2848" s="2">
        <v>1835.4</v>
      </c>
      <c r="I2848" s="2">
        <v>1835.4</v>
      </c>
    </row>
    <row r="2849">
      <c r="A2849" s="1" t="s">
        <v>5690</v>
      </c>
      <c r="B2849" s="2" t="s">
        <v>0</v>
      </c>
      <c r="C2849" s="2">
        <v>1224.58</v>
      </c>
      <c r="D2849" s="2" t="s">
        <v>0</v>
      </c>
      <c r="E2849" s="2">
        <v>2667.85</v>
      </c>
      <c r="G2849" s="1" t="s">
        <v>5691</v>
      </c>
      <c r="H2849" s="2" t="s">
        <v>0</v>
      </c>
      <c r="I2849" s="2">
        <v>1835.4</v>
      </c>
    </row>
    <row r="2850">
      <c r="A2850" s="1" t="s">
        <v>5692</v>
      </c>
      <c r="B2850" s="2" t="s">
        <v>0</v>
      </c>
      <c r="C2850" s="2">
        <v>1224.58</v>
      </c>
      <c r="D2850" s="2" t="s">
        <v>0</v>
      </c>
      <c r="E2850" s="2">
        <v>2667.85</v>
      </c>
      <c r="G2850" s="1" t="s">
        <v>5693</v>
      </c>
      <c r="H2850" s="2" t="s">
        <v>0</v>
      </c>
      <c r="I2850" s="2">
        <v>1835.4</v>
      </c>
    </row>
    <row r="2851">
      <c r="A2851" s="1" t="s">
        <v>5694</v>
      </c>
      <c r="B2851" s="2">
        <v>1200.86</v>
      </c>
      <c r="C2851" s="2">
        <v>1200.86</v>
      </c>
      <c r="D2851" s="2">
        <v>2614.92</v>
      </c>
      <c r="E2851" s="2">
        <v>2614.92</v>
      </c>
      <c r="G2851" s="1" t="s">
        <v>5695</v>
      </c>
      <c r="H2851" s="2">
        <v>1865.18</v>
      </c>
      <c r="I2851" s="2">
        <v>1865.18</v>
      </c>
    </row>
    <row r="2852">
      <c r="A2852" s="1" t="s">
        <v>5696</v>
      </c>
      <c r="B2852" s="2">
        <v>1225.38</v>
      </c>
      <c r="C2852" s="2">
        <v>1225.38</v>
      </c>
      <c r="D2852" s="2">
        <v>2657.43</v>
      </c>
      <c r="E2852" s="2">
        <v>2657.43</v>
      </c>
      <c r="G2852" s="1" t="s">
        <v>5697</v>
      </c>
      <c r="H2852" s="2">
        <v>1838.9</v>
      </c>
      <c r="I2852" s="2">
        <v>1838.9</v>
      </c>
    </row>
    <row r="2853">
      <c r="A2853" s="1" t="s">
        <v>5698</v>
      </c>
      <c r="B2853" s="2">
        <v>1209.88</v>
      </c>
      <c r="C2853" s="2">
        <v>1209.88</v>
      </c>
      <c r="D2853" s="2">
        <v>2604.04</v>
      </c>
      <c r="E2853" s="2">
        <v>2604.04</v>
      </c>
      <c r="G2853" s="1" t="s">
        <v>5699</v>
      </c>
      <c r="H2853" s="2">
        <v>1855.92</v>
      </c>
      <c r="I2853" s="2">
        <v>1855.92</v>
      </c>
    </row>
    <row r="2854">
      <c r="A2854" s="1" t="s">
        <v>5700</v>
      </c>
      <c r="B2854" s="2">
        <v>1215.39</v>
      </c>
      <c r="C2854" s="2">
        <v>1215.39</v>
      </c>
      <c r="D2854" s="2">
        <v>2598.62</v>
      </c>
      <c r="E2854" s="2">
        <v>2598.62</v>
      </c>
      <c r="G2854" s="1" t="s">
        <v>5701</v>
      </c>
      <c r="H2854" s="2">
        <v>1805.09</v>
      </c>
      <c r="I2854" s="2">
        <v>1805.09</v>
      </c>
    </row>
    <row r="2855">
      <c r="A2855" s="1" t="s">
        <v>5702</v>
      </c>
      <c r="B2855" s="2">
        <v>1238.25</v>
      </c>
      <c r="C2855" s="2">
        <v>1238.25</v>
      </c>
      <c r="D2855" s="2">
        <v>2637.46</v>
      </c>
      <c r="E2855" s="2">
        <v>2637.46</v>
      </c>
      <c r="G2855" s="1" t="s">
        <v>5703</v>
      </c>
      <c r="H2855" s="2">
        <v>1838.38</v>
      </c>
      <c r="I2855" s="2">
        <v>1838.38</v>
      </c>
    </row>
    <row r="2856">
      <c r="A2856" s="1" t="s">
        <v>5704</v>
      </c>
      <c r="B2856" s="2" t="s">
        <v>0</v>
      </c>
      <c r="C2856" s="2">
        <v>1238.25</v>
      </c>
      <c r="D2856" s="2" t="s">
        <v>0</v>
      </c>
      <c r="E2856" s="2">
        <v>2637.46</v>
      </c>
      <c r="G2856" s="1" t="s">
        <v>5705</v>
      </c>
      <c r="H2856" s="2" t="s">
        <v>0</v>
      </c>
      <c r="I2856" s="2">
        <v>1838.38</v>
      </c>
    </row>
    <row r="2857">
      <c r="A2857" s="1" t="s">
        <v>5706</v>
      </c>
      <c r="B2857" s="2" t="s">
        <v>0</v>
      </c>
      <c r="C2857" s="2">
        <v>1238.25</v>
      </c>
      <c r="D2857" s="2" t="s">
        <v>0</v>
      </c>
      <c r="E2857" s="2">
        <v>2637.46</v>
      </c>
      <c r="G2857" s="1" t="s">
        <v>5707</v>
      </c>
      <c r="H2857" s="2" t="s">
        <v>0</v>
      </c>
      <c r="I2857" s="2">
        <v>1838.38</v>
      </c>
    </row>
    <row r="2858">
      <c r="A2858" s="1" t="s">
        <v>5708</v>
      </c>
      <c r="B2858" s="2">
        <v>1254.19</v>
      </c>
      <c r="C2858" s="2">
        <v>1254.19</v>
      </c>
      <c r="D2858" s="2">
        <v>2699.44</v>
      </c>
      <c r="E2858" s="2">
        <v>2699.44</v>
      </c>
      <c r="G2858" s="1" t="s">
        <v>5709</v>
      </c>
      <c r="H2858" s="2">
        <v>1898.32</v>
      </c>
      <c r="I2858" s="2">
        <v>1898.32</v>
      </c>
    </row>
    <row r="2859">
      <c r="A2859" s="1" t="s">
        <v>5710</v>
      </c>
      <c r="B2859" s="2">
        <v>1229.05</v>
      </c>
      <c r="C2859" s="2">
        <v>1229.05</v>
      </c>
      <c r="D2859" s="2">
        <v>2638.42</v>
      </c>
      <c r="E2859" s="2">
        <v>2638.42</v>
      </c>
      <c r="G2859" s="1" t="s">
        <v>5711</v>
      </c>
      <c r="H2859" s="2">
        <v>1888.65</v>
      </c>
      <c r="I2859" s="2">
        <v>1888.65</v>
      </c>
    </row>
    <row r="2860">
      <c r="A2860" s="1" t="s">
        <v>5712</v>
      </c>
      <c r="B2860" s="2">
        <v>1242.0</v>
      </c>
      <c r="C2860" s="2">
        <v>1242.0</v>
      </c>
      <c r="D2860" s="2">
        <v>2650.67</v>
      </c>
      <c r="E2860" s="2">
        <v>2650.67</v>
      </c>
      <c r="G2860" s="1" t="s">
        <v>5713</v>
      </c>
      <c r="H2860" s="2">
        <v>1894.31</v>
      </c>
      <c r="I2860" s="2">
        <v>1894.31</v>
      </c>
    </row>
    <row r="2861">
      <c r="A2861" s="1" t="s">
        <v>5714</v>
      </c>
      <c r="B2861" s="2">
        <v>1284.59</v>
      </c>
      <c r="C2861" s="2">
        <v>1284.59</v>
      </c>
      <c r="D2861" s="2">
        <v>2738.63</v>
      </c>
      <c r="E2861" s="2">
        <v>2738.63</v>
      </c>
      <c r="G2861" s="1" t="s">
        <v>5715</v>
      </c>
      <c r="H2861" s="2">
        <v>1922.04</v>
      </c>
      <c r="I2861" s="2">
        <v>1922.04</v>
      </c>
    </row>
    <row r="2862">
      <c r="A2862" s="1" t="s">
        <v>5716</v>
      </c>
      <c r="B2862" s="2">
        <v>1285.08</v>
      </c>
      <c r="C2862" s="2">
        <v>1285.08</v>
      </c>
      <c r="D2862" s="2">
        <v>2737.15</v>
      </c>
      <c r="E2862" s="2">
        <v>2737.15</v>
      </c>
      <c r="G2862" s="1" t="s">
        <v>5717</v>
      </c>
      <c r="H2862" s="2">
        <v>1929.48</v>
      </c>
      <c r="I2862" s="2">
        <v>1929.48</v>
      </c>
    </row>
    <row r="2863">
      <c r="A2863" s="1" t="s">
        <v>5718</v>
      </c>
      <c r="B2863" s="2" t="s">
        <v>0</v>
      </c>
      <c r="C2863" s="2">
        <v>1285.08</v>
      </c>
      <c r="D2863" s="2" t="s">
        <v>0</v>
      </c>
      <c r="E2863" s="2">
        <v>2737.15</v>
      </c>
      <c r="G2863" s="1" t="s">
        <v>5719</v>
      </c>
      <c r="H2863" s="2" t="s">
        <v>0</v>
      </c>
      <c r="I2863" s="2">
        <v>1929.48</v>
      </c>
    </row>
    <row r="2864">
      <c r="A2864" s="1" t="s">
        <v>5720</v>
      </c>
      <c r="B2864" s="2" t="s">
        <v>0</v>
      </c>
      <c r="C2864" s="2">
        <v>1285.08</v>
      </c>
      <c r="D2864" s="2" t="s">
        <v>0</v>
      </c>
      <c r="E2864" s="2">
        <v>2737.15</v>
      </c>
      <c r="G2864" s="1" t="s">
        <v>5721</v>
      </c>
      <c r="H2864" s="2" t="s">
        <v>0</v>
      </c>
      <c r="I2864" s="2">
        <v>1929.48</v>
      </c>
    </row>
    <row r="2865">
      <c r="A2865" s="1" t="s">
        <v>5722</v>
      </c>
      <c r="B2865" s="2">
        <v>1253.3</v>
      </c>
      <c r="C2865" s="2">
        <v>1253.3</v>
      </c>
      <c r="D2865" s="2">
        <v>2684.41</v>
      </c>
      <c r="E2865" s="2">
        <v>2684.41</v>
      </c>
      <c r="G2865" s="1" t="s">
        <v>5723</v>
      </c>
      <c r="H2865" s="2">
        <v>1909.03</v>
      </c>
      <c r="I2865" s="2">
        <v>1909.03</v>
      </c>
    </row>
    <row r="2866">
      <c r="A2866" s="1" t="s">
        <v>5724</v>
      </c>
      <c r="B2866" s="2">
        <v>1218.28</v>
      </c>
      <c r="C2866" s="2">
        <v>1218.28</v>
      </c>
      <c r="D2866" s="2">
        <v>2606.96</v>
      </c>
      <c r="E2866" s="2">
        <v>2606.96</v>
      </c>
      <c r="G2866" s="1" t="s">
        <v>5725</v>
      </c>
      <c r="H2866" s="2">
        <v>1909.63</v>
      </c>
      <c r="I2866" s="2">
        <v>1909.63</v>
      </c>
    </row>
    <row r="2867">
      <c r="A2867" s="1" t="s">
        <v>5726</v>
      </c>
      <c r="B2867" s="2">
        <v>1237.9</v>
      </c>
      <c r="C2867" s="2">
        <v>1237.9</v>
      </c>
      <c r="D2867" s="2">
        <v>2639.98</v>
      </c>
      <c r="E2867" s="2">
        <v>2639.98</v>
      </c>
      <c r="G2867" s="1" t="s">
        <v>5727</v>
      </c>
      <c r="H2867" s="2">
        <v>1898.01</v>
      </c>
      <c r="I2867" s="2">
        <v>1898.01</v>
      </c>
    </row>
    <row r="2868">
      <c r="A2868" s="1" t="s">
        <v>5728</v>
      </c>
      <c r="B2868" s="2">
        <v>1261.15</v>
      </c>
      <c r="C2868" s="2">
        <v>1261.15</v>
      </c>
      <c r="D2868" s="2">
        <v>2697.97</v>
      </c>
      <c r="E2868" s="2">
        <v>2697.97</v>
      </c>
      <c r="G2868" s="1" t="s">
        <v>5729</v>
      </c>
      <c r="H2868" s="2">
        <v>1869.96</v>
      </c>
      <c r="I2868" s="2">
        <v>1869.96</v>
      </c>
    </row>
    <row r="2869">
      <c r="A2869" s="1" t="s">
        <v>5730</v>
      </c>
      <c r="B2869" s="2">
        <v>1253.23</v>
      </c>
      <c r="C2869" s="2">
        <v>1253.23</v>
      </c>
      <c r="D2869" s="2">
        <v>2686.15</v>
      </c>
      <c r="E2869" s="2">
        <v>2686.15</v>
      </c>
      <c r="G2869" s="1" t="s">
        <v>5731</v>
      </c>
      <c r="H2869" s="2">
        <v>1928.41</v>
      </c>
      <c r="I2869" s="2">
        <v>1928.41</v>
      </c>
    </row>
    <row r="2870">
      <c r="A2870" s="1" t="s">
        <v>5732</v>
      </c>
      <c r="B2870" s="2" t="s">
        <v>0</v>
      </c>
      <c r="C2870" s="2">
        <v>1253.23</v>
      </c>
      <c r="D2870" s="2" t="s">
        <v>0</v>
      </c>
      <c r="E2870" s="2">
        <v>2686.15</v>
      </c>
      <c r="G2870" s="1" t="s">
        <v>5733</v>
      </c>
      <c r="H2870" s="2" t="s">
        <v>0</v>
      </c>
      <c r="I2870" s="2">
        <v>1928.41</v>
      </c>
    </row>
    <row r="2871">
      <c r="A2871" s="1" t="s">
        <v>5734</v>
      </c>
      <c r="B2871" s="2" t="s">
        <v>0</v>
      </c>
      <c r="C2871" s="2">
        <v>1253.23</v>
      </c>
      <c r="D2871" s="2" t="s">
        <v>0</v>
      </c>
      <c r="E2871" s="2">
        <v>2686.15</v>
      </c>
      <c r="G2871" s="1" t="s">
        <v>5735</v>
      </c>
      <c r="H2871" s="2" t="s">
        <v>0</v>
      </c>
      <c r="I2871" s="2">
        <v>1928.41</v>
      </c>
    </row>
    <row r="2872">
      <c r="A2872" s="1" t="s">
        <v>5736</v>
      </c>
      <c r="B2872" s="2">
        <v>1261.12</v>
      </c>
      <c r="C2872" s="2">
        <v>1261.12</v>
      </c>
      <c r="D2872" s="2">
        <v>2695.25</v>
      </c>
      <c r="E2872" s="2">
        <v>2695.25</v>
      </c>
      <c r="G2872" s="1" t="s">
        <v>5737</v>
      </c>
      <c r="H2872" s="2">
        <v>1919.1</v>
      </c>
      <c r="I2872" s="2">
        <v>1919.1</v>
      </c>
    </row>
    <row r="2873">
      <c r="A2873" s="1" t="s">
        <v>5738</v>
      </c>
      <c r="B2873" s="2">
        <v>1275.92</v>
      </c>
      <c r="C2873" s="2">
        <v>1275.92</v>
      </c>
      <c r="D2873" s="2">
        <v>2727.49</v>
      </c>
      <c r="E2873" s="2">
        <v>2727.49</v>
      </c>
      <c r="G2873" s="1" t="s">
        <v>5739</v>
      </c>
      <c r="H2873" s="2">
        <v>1903.14</v>
      </c>
      <c r="I2873" s="2">
        <v>1903.14</v>
      </c>
    </row>
    <row r="2874">
      <c r="A2874" s="1" t="s">
        <v>5740</v>
      </c>
      <c r="B2874" s="2">
        <v>1229.1</v>
      </c>
      <c r="C2874" s="2">
        <v>1229.1</v>
      </c>
      <c r="D2874" s="2">
        <v>2621.65</v>
      </c>
      <c r="E2874" s="2">
        <v>2621.65</v>
      </c>
      <c r="G2874" s="1" t="s">
        <v>5741</v>
      </c>
      <c r="H2874" s="2">
        <v>1907.53</v>
      </c>
      <c r="I2874" s="2">
        <v>1907.53</v>
      </c>
    </row>
    <row r="2875">
      <c r="A2875" s="1" t="s">
        <v>5742</v>
      </c>
      <c r="B2875" s="2">
        <v>1239.7</v>
      </c>
      <c r="C2875" s="2">
        <v>1239.7</v>
      </c>
      <c r="D2875" s="2">
        <v>2625.15</v>
      </c>
      <c r="E2875" s="2">
        <v>2625.15</v>
      </c>
      <c r="G2875" s="1" t="s">
        <v>5743</v>
      </c>
      <c r="H2875" s="2">
        <v>1813.25</v>
      </c>
      <c r="I2875" s="2">
        <v>1813.25</v>
      </c>
    </row>
    <row r="2876">
      <c r="A2876" s="1" t="s">
        <v>5744</v>
      </c>
      <c r="B2876" s="2">
        <v>1263.85</v>
      </c>
      <c r="C2876" s="2">
        <v>1263.85</v>
      </c>
      <c r="D2876" s="2">
        <v>2678.75</v>
      </c>
      <c r="E2876" s="2">
        <v>2678.75</v>
      </c>
      <c r="G2876" s="1" t="s">
        <v>5745</v>
      </c>
      <c r="H2876" s="2">
        <v>1863.45</v>
      </c>
      <c r="I2876" s="2">
        <v>1863.45</v>
      </c>
    </row>
    <row r="2877">
      <c r="A2877" s="1" t="s">
        <v>5746</v>
      </c>
      <c r="B2877" s="2" t="s">
        <v>0</v>
      </c>
      <c r="C2877" s="2">
        <v>1263.85</v>
      </c>
      <c r="D2877" s="2" t="s">
        <v>0</v>
      </c>
      <c r="E2877" s="2">
        <v>2678.75</v>
      </c>
      <c r="G2877" s="1" t="s">
        <v>5747</v>
      </c>
      <c r="H2877" s="2" t="s">
        <v>0</v>
      </c>
      <c r="I2877" s="2">
        <v>1863.45</v>
      </c>
    </row>
    <row r="2878">
      <c r="A2878" s="1" t="s">
        <v>5748</v>
      </c>
      <c r="B2878" s="2" t="s">
        <v>0</v>
      </c>
      <c r="C2878" s="2">
        <v>1263.85</v>
      </c>
      <c r="D2878" s="2" t="s">
        <v>0</v>
      </c>
      <c r="E2878" s="2">
        <v>2678.75</v>
      </c>
      <c r="G2878" s="1" t="s">
        <v>5749</v>
      </c>
      <c r="H2878" s="2" t="s">
        <v>0</v>
      </c>
      <c r="I2878" s="2">
        <v>1863.45</v>
      </c>
    </row>
    <row r="2879">
      <c r="A2879" s="1" t="s">
        <v>5750</v>
      </c>
      <c r="B2879" s="2">
        <v>1251.78</v>
      </c>
      <c r="C2879" s="2">
        <v>1251.78</v>
      </c>
      <c r="D2879" s="2">
        <v>2657.22</v>
      </c>
      <c r="E2879" s="2">
        <v>2657.22</v>
      </c>
      <c r="G2879" s="1" t="s">
        <v>5751</v>
      </c>
      <c r="H2879" s="2">
        <v>1902.81</v>
      </c>
      <c r="I2879" s="2">
        <v>1902.81</v>
      </c>
    </row>
    <row r="2880">
      <c r="A2880" s="1" t="s">
        <v>5752</v>
      </c>
      <c r="B2880" s="2">
        <v>1257.81</v>
      </c>
      <c r="C2880" s="2">
        <v>1257.81</v>
      </c>
      <c r="D2880" s="2">
        <v>2686.2</v>
      </c>
      <c r="E2880" s="2">
        <v>2686.2</v>
      </c>
      <c r="G2880" s="1" t="s">
        <v>5753</v>
      </c>
      <c r="H2880" s="2">
        <v>1886.12</v>
      </c>
      <c r="I2880" s="2">
        <v>1886.12</v>
      </c>
    </row>
    <row r="2881">
      <c r="A2881" s="1" t="s">
        <v>5754</v>
      </c>
      <c r="B2881" s="2">
        <v>1236.91</v>
      </c>
      <c r="C2881" s="2">
        <v>1236.91</v>
      </c>
      <c r="D2881" s="2">
        <v>2639.61</v>
      </c>
      <c r="E2881" s="2">
        <v>2639.61</v>
      </c>
      <c r="G2881" s="1" t="s">
        <v>5755</v>
      </c>
      <c r="H2881" s="2">
        <v>1856.07</v>
      </c>
      <c r="I2881" s="2">
        <v>1856.07</v>
      </c>
    </row>
    <row r="2882">
      <c r="A2882" s="1" t="s">
        <v>5756</v>
      </c>
      <c r="B2882" s="2">
        <v>1216.13</v>
      </c>
      <c r="C2882" s="2">
        <v>1216.13</v>
      </c>
      <c r="D2882" s="2">
        <v>2587.99</v>
      </c>
      <c r="E2882" s="2">
        <v>2587.99</v>
      </c>
      <c r="G2882" s="1" t="s">
        <v>5757</v>
      </c>
      <c r="H2882" s="2">
        <v>1876.67</v>
      </c>
      <c r="I2882" s="2">
        <v>1876.67</v>
      </c>
    </row>
    <row r="2883">
      <c r="A2883" s="1" t="s">
        <v>5758</v>
      </c>
      <c r="B2883" s="2">
        <v>1215.65</v>
      </c>
      <c r="C2883" s="2">
        <v>1215.65</v>
      </c>
      <c r="D2883" s="2">
        <v>2572.5</v>
      </c>
      <c r="E2883" s="2">
        <v>2572.5</v>
      </c>
      <c r="G2883" s="1" t="s">
        <v>5759</v>
      </c>
      <c r="H2883" s="2">
        <v>1839.17</v>
      </c>
      <c r="I2883" s="2">
        <v>1839.17</v>
      </c>
    </row>
    <row r="2884">
      <c r="A2884" s="1" t="s">
        <v>5760</v>
      </c>
      <c r="B2884" s="2" t="s">
        <v>0</v>
      </c>
      <c r="C2884" s="2">
        <v>1215.65</v>
      </c>
      <c r="D2884" s="2" t="s">
        <v>0</v>
      </c>
      <c r="E2884" s="2">
        <v>2572.5</v>
      </c>
      <c r="G2884" s="1" t="s">
        <v>5761</v>
      </c>
      <c r="H2884" s="2" t="s">
        <v>0</v>
      </c>
      <c r="I2884" s="2">
        <v>1839.17</v>
      </c>
    </row>
    <row r="2885">
      <c r="A2885" s="1" t="s">
        <v>5762</v>
      </c>
      <c r="B2885" s="2" t="s">
        <v>0</v>
      </c>
      <c r="C2885" s="2">
        <v>1215.65</v>
      </c>
      <c r="D2885" s="2" t="s">
        <v>0</v>
      </c>
      <c r="E2885" s="2">
        <v>2572.5</v>
      </c>
      <c r="G2885" s="1" t="s">
        <v>5763</v>
      </c>
      <c r="H2885" s="2" t="s">
        <v>0</v>
      </c>
      <c r="I2885" s="2">
        <v>1839.17</v>
      </c>
    </row>
    <row r="2886">
      <c r="A2886" s="1" t="s">
        <v>5764</v>
      </c>
      <c r="B2886" s="2">
        <v>1192.98</v>
      </c>
      <c r="C2886" s="2">
        <v>1192.98</v>
      </c>
      <c r="D2886" s="2">
        <v>2523.14</v>
      </c>
      <c r="E2886" s="2">
        <v>2523.14</v>
      </c>
      <c r="G2886" s="1" t="s">
        <v>5765</v>
      </c>
      <c r="H2886" s="2">
        <v>1820.03</v>
      </c>
      <c r="I2886" s="2">
        <v>1820.03</v>
      </c>
    </row>
    <row r="2887">
      <c r="A2887" s="1" t="s">
        <v>5766</v>
      </c>
      <c r="B2887" s="2">
        <v>1188.04</v>
      </c>
      <c r="C2887" s="2">
        <v>1188.04</v>
      </c>
      <c r="D2887" s="2">
        <v>2521.28</v>
      </c>
      <c r="E2887" s="2">
        <v>2521.28</v>
      </c>
      <c r="G2887" s="1" t="s">
        <v>5767</v>
      </c>
      <c r="H2887" s="2">
        <v>1826.28</v>
      </c>
      <c r="I2887" s="2">
        <v>1826.28</v>
      </c>
    </row>
    <row r="2888">
      <c r="A2888" s="1" t="s">
        <v>5768</v>
      </c>
      <c r="B2888" s="2">
        <v>1161.79</v>
      </c>
      <c r="C2888" s="2">
        <v>1161.79</v>
      </c>
      <c r="D2888" s="2">
        <v>2460.08</v>
      </c>
      <c r="E2888" s="2">
        <v>2460.08</v>
      </c>
      <c r="G2888" s="1" t="s">
        <v>5769</v>
      </c>
      <c r="H2888" s="2">
        <v>1783.1</v>
      </c>
      <c r="I2888" s="2">
        <v>1783.1</v>
      </c>
    </row>
    <row r="2889">
      <c r="A2889" s="1" t="s">
        <v>5770</v>
      </c>
      <c r="B2889" s="2" t="s">
        <v>0</v>
      </c>
      <c r="C2889" s="2">
        <v>1161.79</v>
      </c>
      <c r="D2889" s="2" t="s">
        <v>0</v>
      </c>
      <c r="E2889" s="2">
        <v>2460.08</v>
      </c>
      <c r="G2889" s="1" t="s">
        <v>5771</v>
      </c>
      <c r="H2889" s="2">
        <v>1795.06</v>
      </c>
      <c r="I2889" s="2">
        <v>1795.06</v>
      </c>
    </row>
    <row r="2890">
      <c r="A2890" s="1" t="s">
        <v>5772</v>
      </c>
      <c r="B2890" s="2">
        <v>1158.67</v>
      </c>
      <c r="C2890" s="2">
        <v>1158.67</v>
      </c>
      <c r="D2890" s="2">
        <v>2441.51</v>
      </c>
      <c r="E2890" s="2">
        <v>2441.51</v>
      </c>
      <c r="G2890" s="1" t="s">
        <v>5773</v>
      </c>
      <c r="H2890" s="2">
        <v>1776.4</v>
      </c>
      <c r="I2890" s="2">
        <v>1776.4</v>
      </c>
    </row>
    <row r="2891">
      <c r="A2891" s="1" t="s">
        <v>5774</v>
      </c>
      <c r="B2891" s="2" t="s">
        <v>0</v>
      </c>
      <c r="C2891" s="2">
        <v>1158.67</v>
      </c>
      <c r="D2891" s="2" t="s">
        <v>0</v>
      </c>
      <c r="E2891" s="2">
        <v>2441.51</v>
      </c>
      <c r="G2891" s="1" t="s">
        <v>5775</v>
      </c>
      <c r="H2891" s="2" t="s">
        <v>0</v>
      </c>
      <c r="I2891" s="2">
        <v>1776.4</v>
      </c>
    </row>
    <row r="2892">
      <c r="A2892" s="1" t="s">
        <v>5776</v>
      </c>
      <c r="B2892" s="2" t="s">
        <v>0</v>
      </c>
      <c r="C2892" s="2">
        <v>1158.67</v>
      </c>
      <c r="D2892" s="2" t="s">
        <v>0</v>
      </c>
      <c r="E2892" s="2">
        <v>2441.51</v>
      </c>
      <c r="G2892" s="1" t="s">
        <v>5777</v>
      </c>
      <c r="H2892" s="2" t="s">
        <v>0</v>
      </c>
      <c r="I2892" s="2">
        <v>1776.4</v>
      </c>
    </row>
    <row r="2893">
      <c r="A2893" s="1" t="s">
        <v>5778</v>
      </c>
      <c r="B2893" s="2">
        <v>1192.55</v>
      </c>
      <c r="C2893" s="2">
        <v>1192.55</v>
      </c>
      <c r="D2893" s="2">
        <v>2527.34</v>
      </c>
      <c r="E2893" s="2">
        <v>2527.34</v>
      </c>
      <c r="G2893" s="1" t="s">
        <v>5779</v>
      </c>
      <c r="H2893" s="2">
        <v>1815.28</v>
      </c>
      <c r="I2893" s="2">
        <v>1815.28</v>
      </c>
    </row>
    <row r="2894">
      <c r="A2894" s="1" t="s">
        <v>5780</v>
      </c>
      <c r="B2894" s="2">
        <v>1195.19</v>
      </c>
      <c r="C2894" s="2">
        <v>1195.19</v>
      </c>
      <c r="D2894" s="2">
        <v>2515.51</v>
      </c>
      <c r="E2894" s="2">
        <v>2515.51</v>
      </c>
      <c r="G2894" s="1" t="s">
        <v>5781</v>
      </c>
      <c r="H2894" s="2">
        <v>1856.52</v>
      </c>
      <c r="I2894" s="2">
        <v>1856.52</v>
      </c>
    </row>
    <row r="2895">
      <c r="A2895" s="1" t="s">
        <v>5782</v>
      </c>
      <c r="B2895" s="2">
        <v>1246.96</v>
      </c>
      <c r="C2895" s="2">
        <v>1246.96</v>
      </c>
      <c r="D2895" s="2">
        <v>2620.34</v>
      </c>
      <c r="E2895" s="2">
        <v>2620.34</v>
      </c>
      <c r="G2895" s="1" t="s">
        <v>5783</v>
      </c>
      <c r="H2895" s="2">
        <v>1847.51</v>
      </c>
      <c r="I2895" s="2">
        <v>1847.51</v>
      </c>
    </row>
    <row r="2896">
      <c r="A2896" s="1" t="s">
        <v>5784</v>
      </c>
      <c r="B2896" s="2">
        <v>1244.58</v>
      </c>
      <c r="C2896" s="2">
        <v>1244.58</v>
      </c>
      <c r="D2896" s="2">
        <v>2626.2</v>
      </c>
      <c r="E2896" s="2">
        <v>2626.2</v>
      </c>
      <c r="G2896" s="1" t="s">
        <v>5785</v>
      </c>
      <c r="H2896" s="2">
        <v>1916.18</v>
      </c>
      <c r="I2896" s="2">
        <v>1916.18</v>
      </c>
    </row>
    <row r="2897">
      <c r="A2897" s="1" t="s">
        <v>5786</v>
      </c>
      <c r="B2897" s="2">
        <v>1244.28</v>
      </c>
      <c r="C2897" s="2">
        <v>1244.28</v>
      </c>
      <c r="D2897" s="2">
        <v>2626.93</v>
      </c>
      <c r="E2897" s="2">
        <v>2626.93</v>
      </c>
      <c r="G2897" s="1" t="s">
        <v>5787</v>
      </c>
      <c r="H2897" s="2">
        <v>1916.04</v>
      </c>
      <c r="I2897" s="2">
        <v>1916.04</v>
      </c>
    </row>
    <row r="2898">
      <c r="A2898" s="1" t="s">
        <v>5788</v>
      </c>
      <c r="B2898" s="2" t="s">
        <v>0</v>
      </c>
      <c r="C2898" s="2">
        <v>1244.28</v>
      </c>
      <c r="D2898" s="2" t="s">
        <v>0</v>
      </c>
      <c r="E2898" s="2">
        <v>2626.93</v>
      </c>
      <c r="G2898" s="1" t="s">
        <v>5789</v>
      </c>
      <c r="H2898" s="2" t="s">
        <v>0</v>
      </c>
      <c r="I2898" s="2">
        <v>1916.04</v>
      </c>
    </row>
    <row r="2899">
      <c r="A2899" s="1" t="s">
        <v>5790</v>
      </c>
      <c r="B2899" s="2" t="s">
        <v>0</v>
      </c>
      <c r="C2899" s="2">
        <v>1244.28</v>
      </c>
      <c r="D2899" s="2" t="s">
        <v>0</v>
      </c>
      <c r="E2899" s="2">
        <v>2626.93</v>
      </c>
      <c r="G2899" s="1" t="s">
        <v>5791</v>
      </c>
      <c r="H2899" s="2" t="s">
        <v>0</v>
      </c>
      <c r="I2899" s="2">
        <v>1916.04</v>
      </c>
    </row>
    <row r="2900">
      <c r="A2900" s="1" t="s">
        <v>5792</v>
      </c>
      <c r="B2900" s="2">
        <v>1257.08</v>
      </c>
      <c r="C2900" s="2">
        <v>1257.08</v>
      </c>
      <c r="D2900" s="2">
        <v>2655.76</v>
      </c>
      <c r="E2900" s="2">
        <v>2655.76</v>
      </c>
      <c r="G2900" s="1" t="s">
        <v>5793</v>
      </c>
      <c r="H2900" s="2">
        <v>1922.9</v>
      </c>
      <c r="I2900" s="2">
        <v>1922.9</v>
      </c>
    </row>
    <row r="2901">
      <c r="A2901" s="1" t="s">
        <v>5794</v>
      </c>
      <c r="B2901" s="2">
        <v>1258.47</v>
      </c>
      <c r="C2901" s="2">
        <v>1258.47</v>
      </c>
      <c r="D2901" s="2">
        <v>2649.56</v>
      </c>
      <c r="E2901" s="2">
        <v>2649.56</v>
      </c>
      <c r="G2901" s="1" t="s">
        <v>5795</v>
      </c>
      <c r="H2901" s="2">
        <v>1902.82</v>
      </c>
      <c r="I2901" s="2">
        <v>1902.82</v>
      </c>
    </row>
    <row r="2902">
      <c r="A2902" s="1" t="s">
        <v>5796</v>
      </c>
      <c r="B2902" s="2">
        <v>1261.01</v>
      </c>
      <c r="C2902" s="2">
        <v>1261.01</v>
      </c>
      <c r="D2902" s="2">
        <v>2649.21</v>
      </c>
      <c r="E2902" s="2">
        <v>2649.21</v>
      </c>
      <c r="G2902" s="1" t="s">
        <v>5797</v>
      </c>
      <c r="H2902" s="2">
        <v>1919.42</v>
      </c>
      <c r="I2902" s="2">
        <v>1919.42</v>
      </c>
    </row>
    <row r="2903">
      <c r="A2903" s="1" t="s">
        <v>5798</v>
      </c>
      <c r="B2903" s="2">
        <v>1234.35</v>
      </c>
      <c r="C2903" s="2">
        <v>1234.35</v>
      </c>
      <c r="D2903" s="2">
        <v>2596.38</v>
      </c>
      <c r="E2903" s="2">
        <v>2596.38</v>
      </c>
      <c r="G2903" s="1" t="s">
        <v>5799</v>
      </c>
      <c r="H2903" s="2">
        <v>1912.39</v>
      </c>
      <c r="I2903" s="2">
        <v>1912.39</v>
      </c>
    </row>
    <row r="2904">
      <c r="A2904" s="1" t="s">
        <v>5800</v>
      </c>
      <c r="B2904" s="2">
        <v>1255.19</v>
      </c>
      <c r="C2904" s="2">
        <v>1255.19</v>
      </c>
      <c r="D2904" s="2">
        <v>2646.85</v>
      </c>
      <c r="E2904" s="2">
        <v>2646.85</v>
      </c>
      <c r="G2904" s="1" t="s">
        <v>5801</v>
      </c>
      <c r="H2904" s="2">
        <v>1874.75</v>
      </c>
      <c r="I2904" s="2">
        <v>1874.75</v>
      </c>
    </row>
    <row r="2905">
      <c r="A2905" s="1" t="s">
        <v>5802</v>
      </c>
      <c r="B2905" s="2" t="s">
        <v>0</v>
      </c>
      <c r="C2905" s="2">
        <v>1255.19</v>
      </c>
      <c r="D2905" s="2" t="s">
        <v>0</v>
      </c>
      <c r="E2905" s="2">
        <v>2646.85</v>
      </c>
      <c r="G2905" s="1" t="s">
        <v>5803</v>
      </c>
      <c r="H2905" s="2" t="s">
        <v>0</v>
      </c>
      <c r="I2905" s="2">
        <v>1874.75</v>
      </c>
    </row>
    <row r="2906">
      <c r="A2906" s="1" t="s">
        <v>5804</v>
      </c>
      <c r="B2906" s="2" t="s">
        <v>0</v>
      </c>
      <c r="C2906" s="2">
        <v>1255.19</v>
      </c>
      <c r="D2906" s="2" t="s">
        <v>0</v>
      </c>
      <c r="E2906" s="2">
        <v>2646.85</v>
      </c>
      <c r="G2906" s="1" t="s">
        <v>5805</v>
      </c>
      <c r="H2906" s="2" t="s">
        <v>0</v>
      </c>
      <c r="I2906" s="2">
        <v>1874.75</v>
      </c>
    </row>
    <row r="2907">
      <c r="A2907" s="1" t="s">
        <v>5806</v>
      </c>
      <c r="B2907" s="2">
        <v>1236.47</v>
      </c>
      <c r="C2907" s="2">
        <v>1236.47</v>
      </c>
      <c r="D2907" s="2">
        <v>2612.26</v>
      </c>
      <c r="E2907" s="2">
        <v>2612.26</v>
      </c>
      <c r="G2907" s="1" t="s">
        <v>5807</v>
      </c>
      <c r="H2907" s="2">
        <v>1899.76</v>
      </c>
      <c r="I2907" s="2">
        <v>1899.76</v>
      </c>
    </row>
    <row r="2908">
      <c r="A2908" s="1" t="s">
        <v>5808</v>
      </c>
      <c r="B2908" s="2">
        <v>1225.73</v>
      </c>
      <c r="C2908" s="2">
        <v>1225.73</v>
      </c>
      <c r="D2908" s="2">
        <v>2579.27</v>
      </c>
      <c r="E2908" s="2">
        <v>2579.27</v>
      </c>
      <c r="G2908" s="1" t="s">
        <v>5809</v>
      </c>
      <c r="H2908" s="2">
        <v>1864.06</v>
      </c>
      <c r="I2908" s="2">
        <v>1864.06</v>
      </c>
    </row>
    <row r="2909">
      <c r="A2909" s="1" t="s">
        <v>5810</v>
      </c>
      <c r="B2909" s="2">
        <v>1211.82</v>
      </c>
      <c r="C2909" s="2">
        <v>1211.82</v>
      </c>
      <c r="D2909" s="2">
        <v>2539.31</v>
      </c>
      <c r="E2909" s="2">
        <v>2539.31</v>
      </c>
      <c r="G2909" s="1" t="s">
        <v>5811</v>
      </c>
      <c r="H2909" s="2">
        <v>1857.75</v>
      </c>
      <c r="I2909" s="2">
        <v>1857.75</v>
      </c>
    </row>
    <row r="2910">
      <c r="A2910" s="1" t="s">
        <v>5812</v>
      </c>
      <c r="B2910" s="2">
        <v>1215.75</v>
      </c>
      <c r="C2910" s="2">
        <v>1215.75</v>
      </c>
      <c r="D2910" s="2">
        <v>2541.01</v>
      </c>
      <c r="E2910" s="2">
        <v>2541.01</v>
      </c>
      <c r="G2910" s="1" t="s">
        <v>5813</v>
      </c>
      <c r="H2910" s="2">
        <v>1819.11</v>
      </c>
      <c r="I2910" s="2">
        <v>1819.11</v>
      </c>
    </row>
    <row r="2911">
      <c r="A2911" s="1" t="s">
        <v>5814</v>
      </c>
      <c r="B2911" s="2">
        <v>1219.66</v>
      </c>
      <c r="C2911" s="2">
        <v>1219.66</v>
      </c>
      <c r="D2911" s="2">
        <v>2555.33</v>
      </c>
      <c r="E2911" s="2">
        <v>2555.33</v>
      </c>
      <c r="G2911" s="1" t="s">
        <v>5815</v>
      </c>
      <c r="H2911" s="2">
        <v>1839.96</v>
      </c>
      <c r="I2911" s="2">
        <v>1839.96</v>
      </c>
    </row>
    <row r="2912">
      <c r="A2912" s="1" t="s">
        <v>5816</v>
      </c>
      <c r="B2912" s="2" t="s">
        <v>0</v>
      </c>
      <c r="C2912" s="2">
        <v>1219.66</v>
      </c>
      <c r="D2912" s="2" t="s">
        <v>0</v>
      </c>
      <c r="E2912" s="2">
        <v>2555.33</v>
      </c>
      <c r="G2912" s="1" t="s">
        <v>5817</v>
      </c>
      <c r="H2912" s="2" t="s">
        <v>0</v>
      </c>
      <c r="I2912" s="2">
        <v>1839.96</v>
      </c>
    </row>
    <row r="2913">
      <c r="A2913" s="1" t="s">
        <v>5818</v>
      </c>
      <c r="B2913" s="2" t="s">
        <v>0</v>
      </c>
      <c r="C2913" s="2">
        <v>1219.66</v>
      </c>
      <c r="D2913" s="2" t="s">
        <v>0</v>
      </c>
      <c r="E2913" s="2">
        <v>2555.33</v>
      </c>
      <c r="G2913" s="1" t="s">
        <v>5819</v>
      </c>
      <c r="H2913" s="2" t="s">
        <v>0</v>
      </c>
      <c r="I2913" s="2">
        <v>1839.96</v>
      </c>
    </row>
    <row r="2914">
      <c r="A2914" s="1" t="s">
        <v>5820</v>
      </c>
      <c r="B2914" s="2">
        <v>1205.35</v>
      </c>
      <c r="C2914" s="2">
        <v>1205.35</v>
      </c>
      <c r="D2914" s="2">
        <v>2523.14</v>
      </c>
      <c r="E2914" s="2">
        <v>2523.14</v>
      </c>
      <c r="G2914" s="1" t="s">
        <v>5821</v>
      </c>
      <c r="H2914" s="2">
        <v>1776.93</v>
      </c>
      <c r="I2914" s="2">
        <v>1776.93</v>
      </c>
    </row>
    <row r="2915">
      <c r="A2915" s="1" t="s">
        <v>5822</v>
      </c>
      <c r="B2915" s="2">
        <v>1241.3</v>
      </c>
      <c r="C2915" s="2">
        <v>1241.3</v>
      </c>
      <c r="D2915" s="2">
        <v>2603.73</v>
      </c>
      <c r="E2915" s="2">
        <v>2603.73</v>
      </c>
      <c r="G2915" s="1" t="s">
        <v>5823</v>
      </c>
      <c r="H2915" s="2">
        <v>1793.06</v>
      </c>
      <c r="I2915" s="2">
        <v>1793.06</v>
      </c>
    </row>
    <row r="2916">
      <c r="A2916" s="1" t="s">
        <v>5824</v>
      </c>
      <c r="B2916" s="2">
        <v>1243.72</v>
      </c>
      <c r="C2916" s="2">
        <v>1243.72</v>
      </c>
      <c r="D2916" s="2">
        <v>2577.97</v>
      </c>
      <c r="E2916" s="2">
        <v>2577.97</v>
      </c>
      <c r="G2916" s="1" t="s">
        <v>5825</v>
      </c>
      <c r="H2916" s="2">
        <v>1848.41</v>
      </c>
      <c r="I2916" s="2">
        <v>1848.41</v>
      </c>
    </row>
    <row r="2917">
      <c r="A2917" s="1" t="s">
        <v>5826</v>
      </c>
      <c r="B2917" s="2">
        <v>1254.0</v>
      </c>
      <c r="C2917" s="2">
        <v>1254.0</v>
      </c>
      <c r="D2917" s="2">
        <v>2599.45</v>
      </c>
      <c r="E2917" s="2">
        <v>2599.45</v>
      </c>
      <c r="G2917" s="1" t="s">
        <v>5827</v>
      </c>
      <c r="H2917" s="2">
        <v>1847.49</v>
      </c>
      <c r="I2917" s="2">
        <v>1847.49</v>
      </c>
    </row>
    <row r="2918">
      <c r="A2918" s="1" t="s">
        <v>5828</v>
      </c>
      <c r="B2918" s="2">
        <v>1265.33</v>
      </c>
      <c r="C2918" s="2">
        <v>1265.33</v>
      </c>
      <c r="D2918" s="2">
        <v>2618.64</v>
      </c>
      <c r="E2918" s="2">
        <v>2618.64</v>
      </c>
      <c r="G2918" s="1" t="s">
        <v>5829</v>
      </c>
      <c r="H2918" s="2">
        <v>1867.22</v>
      </c>
      <c r="I2918" s="2">
        <v>1867.22</v>
      </c>
    </row>
    <row r="2919">
      <c r="A2919" s="1" t="s">
        <v>5830</v>
      </c>
      <c r="B2919" s="2" t="s">
        <v>0</v>
      </c>
      <c r="C2919" s="2">
        <v>1265.33</v>
      </c>
      <c r="D2919" s="2" t="s">
        <v>0</v>
      </c>
      <c r="E2919" s="2">
        <v>2618.64</v>
      </c>
      <c r="G2919" s="1" t="s">
        <v>5831</v>
      </c>
      <c r="H2919" s="2" t="s">
        <v>0</v>
      </c>
      <c r="I2919" s="2">
        <v>1867.22</v>
      </c>
    </row>
    <row r="2920">
      <c r="A2920" s="1" t="s">
        <v>5832</v>
      </c>
      <c r="B2920" s="2" t="s">
        <v>0</v>
      </c>
      <c r="C2920" s="2">
        <v>1265.33</v>
      </c>
      <c r="D2920" s="2" t="s">
        <v>0</v>
      </c>
      <c r="E2920" s="2">
        <v>2618.64</v>
      </c>
      <c r="G2920" s="1" t="s">
        <v>5833</v>
      </c>
      <c r="H2920" s="2" t="s">
        <v>0</v>
      </c>
      <c r="I2920" s="2">
        <v>1867.22</v>
      </c>
    </row>
    <row r="2921">
      <c r="A2921" s="1" t="s">
        <v>5834</v>
      </c>
      <c r="B2921" s="2" t="s">
        <v>0</v>
      </c>
      <c r="C2921" s="2">
        <v>1265.33</v>
      </c>
      <c r="D2921" s="2" t="s">
        <v>0</v>
      </c>
      <c r="E2921" s="2">
        <v>2618.64</v>
      </c>
      <c r="G2921" s="1" t="s">
        <v>5835</v>
      </c>
      <c r="H2921" s="2">
        <v>1856.7</v>
      </c>
      <c r="I2921" s="2">
        <v>1856.7</v>
      </c>
    </row>
    <row r="2922">
      <c r="A2922" s="1" t="s">
        <v>5836</v>
      </c>
      <c r="B2922" s="2">
        <v>1265.43</v>
      </c>
      <c r="C2922" s="2">
        <v>1265.43</v>
      </c>
      <c r="D2922" s="2">
        <v>2625.2</v>
      </c>
      <c r="E2922" s="2">
        <v>2625.2</v>
      </c>
      <c r="G2922" s="1" t="s">
        <v>5837</v>
      </c>
      <c r="H2922" s="2">
        <v>1842.02</v>
      </c>
      <c r="I2922" s="2">
        <v>1842.02</v>
      </c>
    </row>
    <row r="2923">
      <c r="A2923" s="1" t="s">
        <v>5838</v>
      </c>
      <c r="B2923" s="2">
        <v>1249.64</v>
      </c>
      <c r="C2923" s="2">
        <v>1249.64</v>
      </c>
      <c r="D2923" s="2">
        <v>2589.98</v>
      </c>
      <c r="E2923" s="2">
        <v>2589.98</v>
      </c>
      <c r="G2923" s="1" t="s">
        <v>5839</v>
      </c>
      <c r="H2923" s="2">
        <v>1825.12</v>
      </c>
      <c r="I2923" s="2">
        <v>1825.12</v>
      </c>
    </row>
    <row r="2924">
      <c r="A2924" s="1" t="s">
        <v>5840</v>
      </c>
      <c r="B2924" s="2">
        <v>1263.02</v>
      </c>
      <c r="C2924" s="2">
        <v>1263.02</v>
      </c>
      <c r="D2924" s="2">
        <v>2613.74</v>
      </c>
      <c r="E2924" s="2">
        <v>2613.74</v>
      </c>
      <c r="G2924" s="1" t="s">
        <v>5841</v>
      </c>
      <c r="H2924" s="2">
        <v>1825.74</v>
      </c>
      <c r="I2924" s="2">
        <v>1825.74</v>
      </c>
    </row>
    <row r="2925">
      <c r="A2925" s="1" t="s">
        <v>5842</v>
      </c>
      <c r="B2925" s="2">
        <v>1257.6</v>
      </c>
      <c r="C2925" s="2">
        <v>1257.6</v>
      </c>
      <c r="D2925" s="2">
        <v>2605.15</v>
      </c>
      <c r="E2925" s="2">
        <v>2605.15</v>
      </c>
      <c r="G2925" s="1" t="s">
        <v>5843</v>
      </c>
      <c r="H2925" s="2" t="s">
        <v>0</v>
      </c>
      <c r="I2925" s="2">
        <v>1825.74</v>
      </c>
    </row>
    <row r="2926">
      <c r="A2926" s="1" t="s">
        <v>5844</v>
      </c>
      <c r="B2926" s="2" t="s">
        <v>0</v>
      </c>
      <c r="C2926" s="2">
        <v>1257.6</v>
      </c>
      <c r="D2926" s="2" t="s">
        <v>0</v>
      </c>
      <c r="E2926" s="2">
        <v>2605.15</v>
      </c>
      <c r="G2926" s="1" t="s">
        <v>5845</v>
      </c>
      <c r="H2926" s="2" t="s">
        <v>0</v>
      </c>
      <c r="I2926" s="2">
        <v>1825.74</v>
      </c>
    </row>
    <row r="2927">
      <c r="A2927" s="1" t="s">
        <v>5846</v>
      </c>
      <c r="B2927" s="2" t="s">
        <v>0</v>
      </c>
      <c r="C2927" s="2">
        <v>1257.6</v>
      </c>
      <c r="D2927" s="2" t="s">
        <v>0</v>
      </c>
      <c r="E2927" s="2">
        <v>2605.15</v>
      </c>
      <c r="G2927" s="1" t="s">
        <v>5847</v>
      </c>
      <c r="H2927" s="2" t="s">
        <v>0</v>
      </c>
      <c r="I2927" s="2">
        <v>1825.74</v>
      </c>
    </row>
    <row r="2928">
      <c r="A2928" s="1" t="s">
        <v>5848</v>
      </c>
      <c r="B2928" s="2" t="s">
        <v>0</v>
      </c>
      <c r="C2928" s="2">
        <v>1257.6</v>
      </c>
      <c r="D2928" s="2" t="s">
        <v>0</v>
      </c>
      <c r="E2928" s="2">
        <v>2605.15</v>
      </c>
      <c r="G2928" s="1" t="s">
        <v>5849</v>
      </c>
      <c r="H2928" s="2">
        <v>1826.37</v>
      </c>
      <c r="I2928" s="2">
        <v>1826.37</v>
      </c>
    </row>
    <row r="2929">
      <c r="A2929" s="1" t="s">
        <v>5850</v>
      </c>
      <c r="B2929" s="2">
        <v>1277.06</v>
      </c>
      <c r="C2929" s="2">
        <v>1277.06</v>
      </c>
      <c r="D2929" s="2">
        <v>2648.72</v>
      </c>
      <c r="E2929" s="2">
        <v>2648.72</v>
      </c>
      <c r="G2929" s="1" t="s">
        <v>5851</v>
      </c>
      <c r="H2929" s="2">
        <v>1875.41</v>
      </c>
      <c r="I2929" s="2">
        <v>1875.41</v>
      </c>
    </row>
    <row r="2930">
      <c r="A2930" s="1" t="s">
        <v>5852</v>
      </c>
      <c r="B2930" s="2">
        <v>1277.3</v>
      </c>
      <c r="C2930" s="2">
        <v>1277.3</v>
      </c>
      <c r="D2930" s="2">
        <v>2648.36</v>
      </c>
      <c r="E2930" s="2">
        <v>2648.36</v>
      </c>
      <c r="G2930" s="1" t="s">
        <v>5853</v>
      </c>
      <c r="H2930" s="2">
        <v>1866.22</v>
      </c>
      <c r="I2930" s="2">
        <v>1866.22</v>
      </c>
    </row>
    <row r="2931">
      <c r="A2931" s="1" t="s">
        <v>5854</v>
      </c>
      <c r="B2931" s="2">
        <v>1281.06</v>
      </c>
      <c r="C2931" s="2">
        <v>1281.06</v>
      </c>
      <c r="D2931" s="2">
        <v>2669.86</v>
      </c>
      <c r="E2931" s="2">
        <v>2669.86</v>
      </c>
      <c r="G2931" s="1" t="s">
        <v>5855</v>
      </c>
      <c r="H2931" s="2">
        <v>1863.74</v>
      </c>
      <c r="I2931" s="2">
        <v>1863.74</v>
      </c>
    </row>
    <row r="2932">
      <c r="A2932" s="1" t="s">
        <v>5856</v>
      </c>
      <c r="B2932" s="2">
        <v>1277.81</v>
      </c>
      <c r="C2932" s="2">
        <v>1277.81</v>
      </c>
      <c r="D2932" s="2">
        <v>2674.22</v>
      </c>
      <c r="E2932" s="2">
        <v>2674.22</v>
      </c>
      <c r="G2932" s="1" t="s">
        <v>5857</v>
      </c>
      <c r="H2932" s="2">
        <v>1843.14</v>
      </c>
      <c r="I2932" s="2">
        <v>1843.14</v>
      </c>
    </row>
    <row r="2933">
      <c r="A2933" s="1" t="s">
        <v>5858</v>
      </c>
      <c r="B2933" s="2" t="s">
        <v>0</v>
      </c>
      <c r="C2933" s="2">
        <v>1277.81</v>
      </c>
      <c r="D2933" s="2" t="s">
        <v>0</v>
      </c>
      <c r="E2933" s="2">
        <v>2674.22</v>
      </c>
      <c r="G2933" s="1" t="s">
        <v>5859</v>
      </c>
      <c r="H2933" s="2" t="s">
        <v>0</v>
      </c>
      <c r="I2933" s="2">
        <v>1843.14</v>
      </c>
    </row>
    <row r="2934">
      <c r="A2934" s="1" t="s">
        <v>5860</v>
      </c>
      <c r="B2934" s="2" t="s">
        <v>0</v>
      </c>
      <c r="C2934" s="2">
        <v>1277.81</v>
      </c>
      <c r="D2934" s="2" t="s">
        <v>0</v>
      </c>
      <c r="E2934" s="2">
        <v>2674.22</v>
      </c>
      <c r="G2934" s="1" t="s">
        <v>5861</v>
      </c>
      <c r="H2934" s="2" t="s">
        <v>0</v>
      </c>
      <c r="I2934" s="2">
        <v>1843.14</v>
      </c>
    </row>
    <row r="2935">
      <c r="A2935" s="1" t="s">
        <v>5862</v>
      </c>
      <c r="B2935" s="2">
        <v>1280.7</v>
      </c>
      <c r="C2935" s="2">
        <v>1280.7</v>
      </c>
      <c r="D2935" s="2">
        <v>2676.56</v>
      </c>
      <c r="E2935" s="2">
        <v>2676.56</v>
      </c>
      <c r="G2935" s="1" t="s">
        <v>5863</v>
      </c>
      <c r="H2935" s="2">
        <v>1826.49</v>
      </c>
      <c r="I2935" s="2">
        <v>1826.49</v>
      </c>
    </row>
    <row r="2936">
      <c r="A2936" s="1" t="s">
        <v>5864</v>
      </c>
      <c r="B2936" s="2">
        <v>1292.08</v>
      </c>
      <c r="C2936" s="2">
        <v>1292.08</v>
      </c>
      <c r="D2936" s="2">
        <v>2702.5</v>
      </c>
      <c r="E2936" s="2">
        <v>2702.5</v>
      </c>
      <c r="G2936" s="1" t="s">
        <v>5865</v>
      </c>
      <c r="H2936" s="2">
        <v>1853.22</v>
      </c>
      <c r="I2936" s="2">
        <v>1853.22</v>
      </c>
    </row>
    <row r="2937">
      <c r="A2937" s="1" t="s">
        <v>5866</v>
      </c>
      <c r="B2937" s="2">
        <v>1292.48</v>
      </c>
      <c r="C2937" s="2">
        <v>1292.48</v>
      </c>
      <c r="D2937" s="2">
        <v>2710.76</v>
      </c>
      <c r="E2937" s="2">
        <v>2710.76</v>
      </c>
      <c r="G2937" s="1" t="s">
        <v>5867</v>
      </c>
      <c r="H2937" s="2">
        <v>1845.55</v>
      </c>
      <c r="I2937" s="2">
        <v>1845.55</v>
      </c>
    </row>
    <row r="2938">
      <c r="A2938" s="1" t="s">
        <v>5868</v>
      </c>
      <c r="B2938" s="2">
        <v>1295.5</v>
      </c>
      <c r="C2938" s="2">
        <v>1295.5</v>
      </c>
      <c r="D2938" s="2">
        <v>2724.7</v>
      </c>
      <c r="E2938" s="2">
        <v>2724.7</v>
      </c>
      <c r="G2938" s="1" t="s">
        <v>5869</v>
      </c>
      <c r="H2938" s="2">
        <v>1864.57</v>
      </c>
      <c r="I2938" s="2">
        <v>1864.57</v>
      </c>
    </row>
    <row r="2939">
      <c r="A2939" s="1" t="s">
        <v>5870</v>
      </c>
      <c r="B2939" s="2">
        <v>1289.09</v>
      </c>
      <c r="C2939" s="2">
        <v>1289.09</v>
      </c>
      <c r="D2939" s="2">
        <v>2710.67</v>
      </c>
      <c r="E2939" s="2">
        <v>2710.67</v>
      </c>
      <c r="G2939" s="1" t="s">
        <v>5871</v>
      </c>
      <c r="H2939" s="2">
        <v>1875.68</v>
      </c>
      <c r="I2939" s="2">
        <v>1875.68</v>
      </c>
    </row>
    <row r="2940">
      <c r="A2940" s="1" t="s">
        <v>5872</v>
      </c>
      <c r="B2940" s="2" t="s">
        <v>0</v>
      </c>
      <c r="C2940" s="2">
        <v>1289.09</v>
      </c>
      <c r="D2940" s="2" t="s">
        <v>0</v>
      </c>
      <c r="E2940" s="2">
        <v>2710.67</v>
      </c>
      <c r="G2940" s="1" t="s">
        <v>5873</v>
      </c>
      <c r="H2940" s="2" t="s">
        <v>0</v>
      </c>
      <c r="I2940" s="2">
        <v>1875.68</v>
      </c>
    </row>
    <row r="2941">
      <c r="A2941" s="1" t="s">
        <v>5874</v>
      </c>
      <c r="B2941" s="2" t="s">
        <v>0</v>
      </c>
      <c r="C2941" s="2">
        <v>1289.09</v>
      </c>
      <c r="D2941" s="2" t="s">
        <v>0</v>
      </c>
      <c r="E2941" s="2">
        <v>2710.67</v>
      </c>
      <c r="G2941" s="1" t="s">
        <v>5875</v>
      </c>
      <c r="H2941" s="2" t="s">
        <v>0</v>
      </c>
      <c r="I2941" s="2">
        <v>1875.68</v>
      </c>
    </row>
    <row r="2942">
      <c r="A2942" s="1" t="s">
        <v>5876</v>
      </c>
      <c r="B2942" s="2" t="s">
        <v>0</v>
      </c>
      <c r="C2942" s="2">
        <v>1289.09</v>
      </c>
      <c r="D2942" s="2" t="s">
        <v>0</v>
      </c>
      <c r="E2942" s="2">
        <v>2710.67</v>
      </c>
      <c r="G2942" s="1" t="s">
        <v>5877</v>
      </c>
      <c r="H2942" s="2">
        <v>1859.27</v>
      </c>
      <c r="I2942" s="2">
        <v>1859.27</v>
      </c>
    </row>
    <row r="2943">
      <c r="A2943" s="1" t="s">
        <v>5878</v>
      </c>
      <c r="B2943" s="2">
        <v>1293.67</v>
      </c>
      <c r="C2943" s="2">
        <v>1293.67</v>
      </c>
      <c r="D2943" s="2">
        <v>2728.08</v>
      </c>
      <c r="E2943" s="2">
        <v>2728.08</v>
      </c>
      <c r="G2943" s="1" t="s">
        <v>5879</v>
      </c>
      <c r="H2943" s="2">
        <v>1892.74</v>
      </c>
      <c r="I2943" s="2">
        <v>1892.74</v>
      </c>
    </row>
    <row r="2944">
      <c r="A2944" s="1" t="s">
        <v>5880</v>
      </c>
      <c r="B2944" s="2">
        <v>1308.04</v>
      </c>
      <c r="C2944" s="2">
        <v>1308.04</v>
      </c>
      <c r="D2944" s="2">
        <v>2769.71</v>
      </c>
      <c r="E2944" s="2">
        <v>2769.71</v>
      </c>
      <c r="G2944" s="1" t="s">
        <v>5881</v>
      </c>
      <c r="H2944" s="2">
        <v>1892.39</v>
      </c>
      <c r="I2944" s="2">
        <v>1892.39</v>
      </c>
    </row>
    <row r="2945">
      <c r="A2945" s="1" t="s">
        <v>5882</v>
      </c>
      <c r="B2945" s="2">
        <v>1314.5</v>
      </c>
      <c r="C2945" s="2">
        <v>1314.5</v>
      </c>
      <c r="D2945" s="2">
        <v>2788.33</v>
      </c>
      <c r="E2945" s="2">
        <v>2788.33</v>
      </c>
      <c r="G2945" s="1" t="s">
        <v>5883</v>
      </c>
      <c r="H2945" s="2">
        <v>1914.97</v>
      </c>
      <c r="I2945" s="2">
        <v>1914.97</v>
      </c>
    </row>
    <row r="2946">
      <c r="A2946" s="1" t="s">
        <v>5884</v>
      </c>
      <c r="B2946" s="2">
        <v>1315.38</v>
      </c>
      <c r="C2946" s="2">
        <v>1315.38</v>
      </c>
      <c r="D2946" s="2">
        <v>2786.7</v>
      </c>
      <c r="E2946" s="2">
        <v>2786.7</v>
      </c>
      <c r="G2946" s="1" t="s">
        <v>5885</v>
      </c>
      <c r="H2946" s="2">
        <v>1949.89</v>
      </c>
      <c r="I2946" s="2">
        <v>1949.89</v>
      </c>
    </row>
    <row r="2947">
      <c r="A2947" s="1" t="s">
        <v>5886</v>
      </c>
      <c r="B2947" s="2" t="s">
        <v>0</v>
      </c>
      <c r="C2947" s="2">
        <v>1315.38</v>
      </c>
      <c r="D2947" s="2" t="s">
        <v>0</v>
      </c>
      <c r="E2947" s="2">
        <v>2786.7</v>
      </c>
      <c r="G2947" s="1" t="s">
        <v>5887</v>
      </c>
      <c r="H2947" s="2" t="s">
        <v>0</v>
      </c>
      <c r="I2947" s="2">
        <v>1949.89</v>
      </c>
    </row>
    <row r="2948">
      <c r="A2948" s="1" t="s">
        <v>5888</v>
      </c>
      <c r="B2948" s="2" t="s">
        <v>0</v>
      </c>
      <c r="C2948" s="2">
        <v>1315.38</v>
      </c>
      <c r="D2948" s="2" t="s">
        <v>0</v>
      </c>
      <c r="E2948" s="2">
        <v>2786.7</v>
      </c>
      <c r="G2948" s="1" t="s">
        <v>5889</v>
      </c>
      <c r="H2948" s="2" t="s">
        <v>0</v>
      </c>
      <c r="I2948" s="2">
        <v>1949.89</v>
      </c>
    </row>
    <row r="2949">
      <c r="A2949" s="1" t="s">
        <v>5890</v>
      </c>
      <c r="B2949" s="2">
        <v>1316.0</v>
      </c>
      <c r="C2949" s="2">
        <v>1316.0</v>
      </c>
      <c r="D2949" s="2">
        <v>2784.17</v>
      </c>
      <c r="E2949" s="2">
        <v>2784.17</v>
      </c>
      <c r="G2949" s="1" t="s">
        <v>5891</v>
      </c>
      <c r="H2949" s="2" t="s">
        <v>0</v>
      </c>
      <c r="I2949" s="2">
        <v>1949.89</v>
      </c>
    </row>
    <row r="2950">
      <c r="A2950" s="1" t="s">
        <v>5892</v>
      </c>
      <c r="B2950" s="2">
        <v>1314.63</v>
      </c>
      <c r="C2950" s="2">
        <v>1314.63</v>
      </c>
      <c r="D2950" s="2">
        <v>2786.64</v>
      </c>
      <c r="E2950" s="2">
        <v>2786.64</v>
      </c>
      <c r="G2950" s="1" t="s">
        <v>5893</v>
      </c>
      <c r="H2950" s="2" t="s">
        <v>0</v>
      </c>
      <c r="I2950" s="2">
        <v>1949.89</v>
      </c>
    </row>
    <row r="2951">
      <c r="A2951" s="1" t="s">
        <v>5894</v>
      </c>
      <c r="B2951" s="2">
        <v>1326.06</v>
      </c>
      <c r="C2951" s="2">
        <v>1326.06</v>
      </c>
      <c r="D2951" s="2">
        <v>2818.31</v>
      </c>
      <c r="E2951" s="2">
        <v>2818.31</v>
      </c>
      <c r="G2951" s="1" t="s">
        <v>5895</v>
      </c>
      <c r="H2951" s="2">
        <v>1952.23</v>
      </c>
      <c r="I2951" s="2">
        <v>1952.23</v>
      </c>
    </row>
    <row r="2952">
      <c r="A2952" s="1" t="s">
        <v>5896</v>
      </c>
      <c r="B2952" s="2">
        <v>1318.45</v>
      </c>
      <c r="C2952" s="2">
        <v>1318.45</v>
      </c>
      <c r="D2952" s="2">
        <v>2805.28</v>
      </c>
      <c r="E2952" s="2">
        <v>2805.28</v>
      </c>
      <c r="G2952" s="1" t="s">
        <v>5897</v>
      </c>
      <c r="H2952" s="2">
        <v>1957.18</v>
      </c>
      <c r="I2952" s="2">
        <v>1957.18</v>
      </c>
    </row>
    <row r="2953">
      <c r="A2953" s="1" t="s">
        <v>5898</v>
      </c>
      <c r="B2953" s="2">
        <v>1316.32</v>
      </c>
      <c r="C2953" s="2">
        <v>1316.32</v>
      </c>
      <c r="D2953" s="2">
        <v>2816.55</v>
      </c>
      <c r="E2953" s="2">
        <v>2816.55</v>
      </c>
      <c r="G2953" s="1" t="s">
        <v>5899</v>
      </c>
      <c r="H2953" s="2">
        <v>1964.83</v>
      </c>
      <c r="I2953" s="2">
        <v>1964.83</v>
      </c>
    </row>
    <row r="2954">
      <c r="A2954" s="1" t="s">
        <v>5900</v>
      </c>
      <c r="B2954" s="2" t="s">
        <v>0</v>
      </c>
      <c r="C2954" s="2">
        <v>1316.32</v>
      </c>
      <c r="D2954" s="2" t="s">
        <v>0</v>
      </c>
      <c r="E2954" s="2">
        <v>2816.55</v>
      </c>
      <c r="G2954" s="1" t="s">
        <v>5901</v>
      </c>
      <c r="H2954" s="2" t="s">
        <v>0</v>
      </c>
      <c r="I2954" s="2">
        <v>1964.83</v>
      </c>
    </row>
    <row r="2955">
      <c r="A2955" s="1" t="s">
        <v>5902</v>
      </c>
      <c r="B2955" s="2" t="s">
        <v>0</v>
      </c>
      <c r="C2955" s="2">
        <v>1316.32</v>
      </c>
      <c r="D2955" s="2" t="s">
        <v>0</v>
      </c>
      <c r="E2955" s="2">
        <v>2816.55</v>
      </c>
      <c r="G2955" s="1" t="s">
        <v>5903</v>
      </c>
      <c r="H2955" s="2" t="s">
        <v>0</v>
      </c>
      <c r="I2955" s="2">
        <v>1964.83</v>
      </c>
    </row>
    <row r="2956">
      <c r="A2956" s="1" t="s">
        <v>5904</v>
      </c>
      <c r="B2956" s="2">
        <v>1313.02</v>
      </c>
      <c r="C2956" s="2">
        <v>1313.02</v>
      </c>
      <c r="D2956" s="2">
        <v>2811.94</v>
      </c>
      <c r="E2956" s="2">
        <v>2811.94</v>
      </c>
      <c r="G2956" s="1" t="s">
        <v>5905</v>
      </c>
      <c r="H2956" s="2">
        <v>1940.55</v>
      </c>
      <c r="I2956" s="2">
        <v>1940.55</v>
      </c>
    </row>
    <row r="2957">
      <c r="A2957" s="1" t="s">
        <v>5906</v>
      </c>
      <c r="B2957" s="2">
        <v>1312.4</v>
      </c>
      <c r="C2957" s="2">
        <v>1312.4</v>
      </c>
      <c r="D2957" s="2">
        <v>2813.84</v>
      </c>
      <c r="E2957" s="2">
        <v>2813.84</v>
      </c>
      <c r="G2957" s="1" t="s">
        <v>5907</v>
      </c>
      <c r="H2957" s="2">
        <v>1955.79</v>
      </c>
      <c r="I2957" s="2">
        <v>1955.79</v>
      </c>
    </row>
    <row r="2958">
      <c r="A2958" s="1" t="s">
        <v>5908</v>
      </c>
      <c r="B2958" s="2">
        <v>1324.08</v>
      </c>
      <c r="C2958" s="2">
        <v>1324.08</v>
      </c>
      <c r="D2958" s="2">
        <v>2848.27</v>
      </c>
      <c r="E2958" s="2">
        <v>2848.27</v>
      </c>
      <c r="G2958" s="1" t="s">
        <v>5909</v>
      </c>
      <c r="H2958" s="2">
        <v>1959.24</v>
      </c>
      <c r="I2958" s="2">
        <v>1959.24</v>
      </c>
    </row>
    <row r="2959">
      <c r="A2959" s="1" t="s">
        <v>5910</v>
      </c>
      <c r="B2959" s="2">
        <v>1325.54</v>
      </c>
      <c r="C2959" s="2">
        <v>1325.54</v>
      </c>
      <c r="D2959" s="2">
        <v>2859.68</v>
      </c>
      <c r="E2959" s="2">
        <v>2859.68</v>
      </c>
      <c r="G2959" s="1" t="s">
        <v>5911</v>
      </c>
      <c r="H2959" s="2">
        <v>1984.3</v>
      </c>
      <c r="I2959" s="2">
        <v>1984.3</v>
      </c>
    </row>
    <row r="2960">
      <c r="A2960" s="1" t="s">
        <v>5912</v>
      </c>
      <c r="B2960" s="2">
        <v>1344.9</v>
      </c>
      <c r="C2960" s="2">
        <v>1344.9</v>
      </c>
      <c r="D2960" s="2">
        <v>2905.66</v>
      </c>
      <c r="E2960" s="2">
        <v>2905.66</v>
      </c>
      <c r="G2960" s="1" t="s">
        <v>5913</v>
      </c>
      <c r="H2960" s="2">
        <v>1972.34</v>
      </c>
      <c r="I2960" s="2">
        <v>1972.34</v>
      </c>
    </row>
    <row r="2961">
      <c r="A2961" s="1" t="s">
        <v>5914</v>
      </c>
      <c r="B2961" s="2" t="s">
        <v>0</v>
      </c>
      <c r="C2961" s="2">
        <v>1344.9</v>
      </c>
      <c r="D2961" s="2" t="s">
        <v>0</v>
      </c>
      <c r="E2961" s="2">
        <v>2905.66</v>
      </c>
      <c r="G2961" s="1" t="s">
        <v>5915</v>
      </c>
      <c r="H2961" s="2" t="s">
        <v>0</v>
      </c>
      <c r="I2961" s="2">
        <v>1972.34</v>
      </c>
    </row>
    <row r="2962">
      <c r="A2962" s="1" t="s">
        <v>5916</v>
      </c>
      <c r="B2962" s="2" t="s">
        <v>0</v>
      </c>
      <c r="C2962" s="2">
        <v>1344.9</v>
      </c>
      <c r="D2962" s="2" t="s">
        <v>0</v>
      </c>
      <c r="E2962" s="2">
        <v>2905.66</v>
      </c>
      <c r="G2962" s="1" t="s">
        <v>5917</v>
      </c>
      <c r="H2962" s="2" t="s">
        <v>0</v>
      </c>
      <c r="I2962" s="2">
        <v>1972.34</v>
      </c>
    </row>
    <row r="2963">
      <c r="A2963" s="1" t="s">
        <v>5918</v>
      </c>
      <c r="B2963" s="2">
        <v>1344.33</v>
      </c>
      <c r="C2963" s="2">
        <v>1344.33</v>
      </c>
      <c r="D2963" s="2">
        <v>2901.99</v>
      </c>
      <c r="E2963" s="2">
        <v>2901.99</v>
      </c>
      <c r="G2963" s="1" t="s">
        <v>5919</v>
      </c>
      <c r="H2963" s="2">
        <v>1973.13</v>
      </c>
      <c r="I2963" s="2">
        <v>1973.13</v>
      </c>
    </row>
    <row r="2964">
      <c r="A2964" s="1" t="s">
        <v>5920</v>
      </c>
      <c r="B2964" s="2">
        <v>1347.05</v>
      </c>
      <c r="C2964" s="2">
        <v>1347.05</v>
      </c>
      <c r="D2964" s="2">
        <v>2904.08</v>
      </c>
      <c r="E2964" s="2">
        <v>2904.08</v>
      </c>
      <c r="G2964" s="1" t="s">
        <v>5921</v>
      </c>
      <c r="H2964" s="2">
        <v>1981.59</v>
      </c>
      <c r="I2964" s="2">
        <v>1981.59</v>
      </c>
    </row>
    <row r="2965">
      <c r="A2965" s="1" t="s">
        <v>5922</v>
      </c>
      <c r="B2965" s="2">
        <v>1349.96</v>
      </c>
      <c r="C2965" s="2">
        <v>1349.96</v>
      </c>
      <c r="D2965" s="2">
        <v>2915.86</v>
      </c>
      <c r="E2965" s="2">
        <v>2915.86</v>
      </c>
      <c r="G2965" s="1" t="s">
        <v>5923</v>
      </c>
      <c r="H2965" s="2">
        <v>2003.73</v>
      </c>
      <c r="I2965" s="2">
        <v>2003.73</v>
      </c>
    </row>
    <row r="2966">
      <c r="A2966" s="1" t="s">
        <v>5924</v>
      </c>
      <c r="B2966" s="2">
        <v>1351.95</v>
      </c>
      <c r="C2966" s="2">
        <v>1351.95</v>
      </c>
      <c r="D2966" s="2">
        <v>2927.23</v>
      </c>
      <c r="E2966" s="2">
        <v>2927.23</v>
      </c>
      <c r="G2966" s="1" t="s">
        <v>5925</v>
      </c>
      <c r="H2966" s="2">
        <v>2014.62</v>
      </c>
      <c r="I2966" s="2">
        <v>2014.62</v>
      </c>
    </row>
    <row r="2967">
      <c r="A2967" s="1" t="s">
        <v>5926</v>
      </c>
      <c r="B2967" s="2">
        <v>1342.64</v>
      </c>
      <c r="C2967" s="2">
        <v>1342.64</v>
      </c>
      <c r="D2967" s="2">
        <v>2903.88</v>
      </c>
      <c r="E2967" s="2">
        <v>2903.88</v>
      </c>
      <c r="G2967" s="1" t="s">
        <v>5927</v>
      </c>
      <c r="H2967" s="2">
        <v>1993.71</v>
      </c>
      <c r="I2967" s="2">
        <v>1993.71</v>
      </c>
    </row>
    <row r="2968">
      <c r="A2968" s="1" t="s">
        <v>5928</v>
      </c>
      <c r="B2968" s="2" t="s">
        <v>0</v>
      </c>
      <c r="C2968" s="2">
        <v>1342.64</v>
      </c>
      <c r="D2968" s="2" t="s">
        <v>0</v>
      </c>
      <c r="E2968" s="2">
        <v>2903.88</v>
      </c>
      <c r="G2968" s="1" t="s">
        <v>5929</v>
      </c>
      <c r="H2968" s="2" t="s">
        <v>0</v>
      </c>
      <c r="I2968" s="2">
        <v>1993.71</v>
      </c>
    </row>
    <row r="2969">
      <c r="A2969" s="1" t="s">
        <v>5930</v>
      </c>
      <c r="B2969" s="2" t="s">
        <v>0</v>
      </c>
      <c r="C2969" s="2">
        <v>1342.64</v>
      </c>
      <c r="D2969" s="2" t="s">
        <v>0</v>
      </c>
      <c r="E2969" s="2">
        <v>2903.88</v>
      </c>
      <c r="G2969" s="1" t="s">
        <v>5931</v>
      </c>
      <c r="H2969" s="2" t="s">
        <v>0</v>
      </c>
      <c r="I2969" s="2">
        <v>1993.71</v>
      </c>
    </row>
    <row r="2970">
      <c r="A2970" s="1" t="s">
        <v>5932</v>
      </c>
      <c r="B2970" s="2">
        <v>1351.77</v>
      </c>
      <c r="C2970" s="2">
        <v>1351.77</v>
      </c>
      <c r="D2970" s="2">
        <v>2931.39</v>
      </c>
      <c r="E2970" s="2">
        <v>2931.39</v>
      </c>
      <c r="G2970" s="1" t="s">
        <v>5933</v>
      </c>
      <c r="H2970" s="2">
        <v>2005.74</v>
      </c>
      <c r="I2970" s="2">
        <v>2005.74</v>
      </c>
    </row>
    <row r="2971">
      <c r="A2971" s="1" t="s">
        <v>5934</v>
      </c>
      <c r="B2971" s="2">
        <v>1350.5</v>
      </c>
      <c r="C2971" s="2">
        <v>1350.5</v>
      </c>
      <c r="D2971" s="2">
        <v>2931.83</v>
      </c>
      <c r="E2971" s="2">
        <v>2931.83</v>
      </c>
      <c r="G2971" s="1" t="s">
        <v>5935</v>
      </c>
      <c r="H2971" s="2">
        <v>2002.64</v>
      </c>
      <c r="I2971" s="2">
        <v>2002.64</v>
      </c>
    </row>
    <row r="2972">
      <c r="A2972" s="1" t="s">
        <v>5936</v>
      </c>
      <c r="B2972" s="2">
        <v>1343.23</v>
      </c>
      <c r="C2972" s="2">
        <v>1343.23</v>
      </c>
      <c r="D2972" s="2">
        <v>2915.83</v>
      </c>
      <c r="E2972" s="2">
        <v>2915.83</v>
      </c>
      <c r="G2972" s="1" t="s">
        <v>5937</v>
      </c>
      <c r="H2972" s="2">
        <v>2025.32</v>
      </c>
      <c r="I2972" s="2">
        <v>2025.32</v>
      </c>
    </row>
    <row r="2973">
      <c r="A2973" s="1" t="s">
        <v>5938</v>
      </c>
      <c r="B2973" s="2">
        <v>1358.04</v>
      </c>
      <c r="C2973" s="2">
        <v>1358.04</v>
      </c>
      <c r="D2973" s="2">
        <v>2959.85</v>
      </c>
      <c r="E2973" s="2">
        <v>2959.85</v>
      </c>
      <c r="G2973" s="1" t="s">
        <v>5939</v>
      </c>
      <c r="H2973" s="2">
        <v>1997.45</v>
      </c>
      <c r="I2973" s="2">
        <v>1997.45</v>
      </c>
    </row>
    <row r="2974">
      <c r="A2974" s="1" t="s">
        <v>5940</v>
      </c>
      <c r="B2974" s="2">
        <v>1361.23</v>
      </c>
      <c r="C2974" s="2">
        <v>1361.23</v>
      </c>
      <c r="D2974" s="2">
        <v>2951.78</v>
      </c>
      <c r="E2974" s="2">
        <v>2951.78</v>
      </c>
      <c r="G2974" s="1" t="s">
        <v>5941</v>
      </c>
      <c r="H2974" s="2">
        <v>2023.47</v>
      </c>
      <c r="I2974" s="2">
        <v>2023.47</v>
      </c>
    </row>
    <row r="2975">
      <c r="A2975" s="1" t="s">
        <v>5942</v>
      </c>
      <c r="B2975" s="2" t="s">
        <v>0</v>
      </c>
      <c r="C2975" s="2">
        <v>1361.23</v>
      </c>
      <c r="D2975" s="2" t="s">
        <v>0</v>
      </c>
      <c r="E2975" s="2">
        <v>2951.78</v>
      </c>
      <c r="G2975" s="1" t="s">
        <v>5943</v>
      </c>
      <c r="H2975" s="2" t="s">
        <v>0</v>
      </c>
      <c r="I2975" s="2">
        <v>2023.47</v>
      </c>
    </row>
    <row r="2976">
      <c r="A2976" s="1" t="s">
        <v>5944</v>
      </c>
      <c r="B2976" s="2" t="s">
        <v>0</v>
      </c>
      <c r="C2976" s="2">
        <v>1361.23</v>
      </c>
      <c r="D2976" s="2" t="s">
        <v>0</v>
      </c>
      <c r="E2976" s="2">
        <v>2951.78</v>
      </c>
      <c r="G2976" s="1" t="s">
        <v>5945</v>
      </c>
      <c r="H2976" s="2" t="s">
        <v>0</v>
      </c>
      <c r="I2976" s="2">
        <v>2023.47</v>
      </c>
    </row>
    <row r="2977">
      <c r="A2977" s="1" t="s">
        <v>5946</v>
      </c>
      <c r="B2977" s="2" t="s">
        <v>0</v>
      </c>
      <c r="C2977" s="2">
        <v>1361.23</v>
      </c>
      <c r="D2977" s="2" t="s">
        <v>0</v>
      </c>
      <c r="E2977" s="2">
        <v>2951.78</v>
      </c>
      <c r="G2977" s="1" t="s">
        <v>5947</v>
      </c>
      <c r="H2977" s="2">
        <v>2024.9</v>
      </c>
      <c r="I2977" s="2">
        <v>2024.9</v>
      </c>
    </row>
    <row r="2978">
      <c r="A2978" s="1" t="s">
        <v>5948</v>
      </c>
      <c r="B2978" s="2">
        <v>1362.21</v>
      </c>
      <c r="C2978" s="2">
        <v>1362.21</v>
      </c>
      <c r="D2978" s="2">
        <v>2948.57</v>
      </c>
      <c r="E2978" s="2">
        <v>2948.57</v>
      </c>
      <c r="G2978" s="1" t="s">
        <v>5949</v>
      </c>
      <c r="H2978" s="2">
        <v>2024.24</v>
      </c>
      <c r="I2978" s="2">
        <v>2024.24</v>
      </c>
    </row>
    <row r="2979">
      <c r="A2979" s="1" t="s">
        <v>5950</v>
      </c>
      <c r="B2979" s="2">
        <v>1357.66</v>
      </c>
      <c r="C2979" s="2">
        <v>1357.66</v>
      </c>
      <c r="D2979" s="2">
        <v>2933.17</v>
      </c>
      <c r="E2979" s="2">
        <v>2933.17</v>
      </c>
      <c r="G2979" s="1" t="s">
        <v>5951</v>
      </c>
      <c r="H2979" s="2">
        <v>2028.65</v>
      </c>
      <c r="I2979" s="2">
        <v>2028.65</v>
      </c>
    </row>
    <row r="2980">
      <c r="A2980" s="1" t="s">
        <v>5952</v>
      </c>
      <c r="B2980" s="2">
        <v>1363.46</v>
      </c>
      <c r="C2980" s="2">
        <v>1363.46</v>
      </c>
      <c r="D2980" s="2">
        <v>2956.98</v>
      </c>
      <c r="E2980" s="2">
        <v>2956.98</v>
      </c>
      <c r="G2980" s="1" t="s">
        <v>5953</v>
      </c>
      <c r="H2980" s="2">
        <v>2007.8</v>
      </c>
      <c r="I2980" s="2">
        <v>2007.8</v>
      </c>
    </row>
    <row r="2981">
      <c r="A2981" s="1" t="s">
        <v>5954</v>
      </c>
      <c r="B2981" s="2">
        <v>1365.74</v>
      </c>
      <c r="C2981" s="2">
        <v>1365.74</v>
      </c>
      <c r="D2981" s="2">
        <v>2963.75</v>
      </c>
      <c r="E2981" s="2">
        <v>2963.75</v>
      </c>
      <c r="G2981" s="1" t="s">
        <v>5955</v>
      </c>
      <c r="H2981" s="2">
        <v>2019.89</v>
      </c>
      <c r="I2981" s="2">
        <v>2019.89</v>
      </c>
    </row>
    <row r="2982">
      <c r="A2982" s="1" t="s">
        <v>5956</v>
      </c>
      <c r="B2982" s="2" t="s">
        <v>0</v>
      </c>
      <c r="C2982" s="2">
        <v>1365.74</v>
      </c>
      <c r="D2982" s="2" t="s">
        <v>0</v>
      </c>
      <c r="E2982" s="2">
        <v>2963.75</v>
      </c>
      <c r="G2982" s="1" t="s">
        <v>5957</v>
      </c>
      <c r="H2982" s="2" t="s">
        <v>0</v>
      </c>
      <c r="I2982" s="2">
        <v>2019.89</v>
      </c>
    </row>
    <row r="2983">
      <c r="A2983" s="1" t="s">
        <v>5958</v>
      </c>
      <c r="B2983" s="2" t="s">
        <v>0</v>
      </c>
      <c r="C2983" s="2">
        <v>1365.74</v>
      </c>
      <c r="D2983" s="2" t="s">
        <v>0</v>
      </c>
      <c r="E2983" s="2">
        <v>2963.75</v>
      </c>
      <c r="G2983" s="1" t="s">
        <v>5959</v>
      </c>
      <c r="H2983" s="2" t="s">
        <v>0</v>
      </c>
      <c r="I2983" s="2">
        <v>2019.89</v>
      </c>
    </row>
    <row r="2984">
      <c r="A2984" s="1" t="s">
        <v>5960</v>
      </c>
      <c r="B2984" s="2">
        <v>1367.59</v>
      </c>
      <c r="C2984" s="2">
        <v>1367.59</v>
      </c>
      <c r="D2984" s="2">
        <v>2966.16</v>
      </c>
      <c r="E2984" s="2">
        <v>2966.16</v>
      </c>
      <c r="G2984" s="1" t="s">
        <v>5961</v>
      </c>
      <c r="H2984" s="2">
        <v>1991.16</v>
      </c>
      <c r="I2984" s="2">
        <v>1991.16</v>
      </c>
    </row>
    <row r="2985">
      <c r="A2985" s="1" t="s">
        <v>5962</v>
      </c>
      <c r="B2985" s="2">
        <v>1372.18</v>
      </c>
      <c r="C2985" s="2">
        <v>1372.18</v>
      </c>
      <c r="D2985" s="2">
        <v>2986.76</v>
      </c>
      <c r="E2985" s="2">
        <v>2986.76</v>
      </c>
      <c r="G2985" s="1" t="s">
        <v>5963</v>
      </c>
      <c r="H2985" s="2">
        <v>2003.69</v>
      </c>
      <c r="I2985" s="2">
        <v>2003.69</v>
      </c>
    </row>
    <row r="2986">
      <c r="A2986" s="1" t="s">
        <v>5964</v>
      </c>
      <c r="B2986" s="2">
        <v>1365.68</v>
      </c>
      <c r="C2986" s="2">
        <v>1365.68</v>
      </c>
      <c r="D2986" s="2">
        <v>2966.89</v>
      </c>
      <c r="E2986" s="2">
        <v>2966.89</v>
      </c>
      <c r="G2986" s="1" t="s">
        <v>5965</v>
      </c>
      <c r="H2986" s="2">
        <v>2030.25</v>
      </c>
      <c r="I2986" s="2">
        <v>2030.25</v>
      </c>
    </row>
    <row r="2987">
      <c r="A2987" s="1" t="s">
        <v>5966</v>
      </c>
      <c r="B2987" s="2">
        <v>1374.09</v>
      </c>
      <c r="C2987" s="2">
        <v>1374.09</v>
      </c>
      <c r="D2987" s="2">
        <v>2988.97</v>
      </c>
      <c r="E2987" s="2">
        <v>2988.97</v>
      </c>
      <c r="G2987" s="1" t="s">
        <v>5967</v>
      </c>
      <c r="H2987" s="2" t="s">
        <v>0</v>
      </c>
      <c r="I2987" s="2">
        <v>2030.25</v>
      </c>
    </row>
    <row r="2988">
      <c r="A2988" s="1" t="s">
        <v>5968</v>
      </c>
      <c r="B2988" s="2">
        <v>1369.63</v>
      </c>
      <c r="C2988" s="2">
        <v>1369.63</v>
      </c>
      <c r="D2988" s="2">
        <v>2976.19</v>
      </c>
      <c r="E2988" s="2">
        <v>2976.19</v>
      </c>
      <c r="G2988" s="1" t="s">
        <v>5969</v>
      </c>
      <c r="H2988" s="2">
        <v>2034.63</v>
      </c>
      <c r="I2988" s="2">
        <v>2034.63</v>
      </c>
    </row>
    <row r="2989">
      <c r="A2989" s="1" t="s">
        <v>5970</v>
      </c>
      <c r="B2989" s="2" t="s">
        <v>0</v>
      </c>
      <c r="C2989" s="2">
        <v>1369.63</v>
      </c>
      <c r="D2989" s="2" t="s">
        <v>0</v>
      </c>
      <c r="E2989" s="2">
        <v>2976.19</v>
      </c>
      <c r="G2989" s="1" t="s">
        <v>5971</v>
      </c>
      <c r="H2989" s="2" t="s">
        <v>0</v>
      </c>
      <c r="I2989" s="2">
        <v>2034.63</v>
      </c>
    </row>
    <row r="2990">
      <c r="A2990" s="1" t="s">
        <v>5972</v>
      </c>
      <c r="B2990" s="2" t="s">
        <v>0</v>
      </c>
      <c r="C2990" s="2">
        <v>1369.63</v>
      </c>
      <c r="D2990" s="2" t="s">
        <v>0</v>
      </c>
      <c r="E2990" s="2">
        <v>2976.19</v>
      </c>
      <c r="G2990" s="1" t="s">
        <v>5973</v>
      </c>
      <c r="H2990" s="2" t="s">
        <v>0</v>
      </c>
      <c r="I2990" s="2">
        <v>2034.63</v>
      </c>
    </row>
    <row r="2991">
      <c r="A2991" s="1" t="s">
        <v>5974</v>
      </c>
      <c r="B2991" s="2">
        <v>1364.33</v>
      </c>
      <c r="C2991" s="2">
        <v>1364.33</v>
      </c>
      <c r="D2991" s="2">
        <v>2950.48</v>
      </c>
      <c r="E2991" s="2">
        <v>2950.48</v>
      </c>
      <c r="G2991" s="1" t="s">
        <v>5975</v>
      </c>
      <c r="H2991" s="2">
        <v>2016.06</v>
      </c>
      <c r="I2991" s="2">
        <v>2016.06</v>
      </c>
    </row>
    <row r="2992">
      <c r="A2992" s="1" t="s">
        <v>5976</v>
      </c>
      <c r="B2992" s="2">
        <v>1343.36</v>
      </c>
      <c r="C2992" s="2">
        <v>1343.36</v>
      </c>
      <c r="D2992" s="2">
        <v>2910.32</v>
      </c>
      <c r="E2992" s="2">
        <v>2910.32</v>
      </c>
      <c r="G2992" s="1" t="s">
        <v>5977</v>
      </c>
      <c r="H2992" s="2">
        <v>2000.36</v>
      </c>
      <c r="I2992" s="2">
        <v>2000.36</v>
      </c>
    </row>
    <row r="2993">
      <c r="A2993" s="1" t="s">
        <v>5978</v>
      </c>
      <c r="B2993" s="2">
        <v>1352.63</v>
      </c>
      <c r="C2993" s="2">
        <v>1352.63</v>
      </c>
      <c r="D2993" s="2">
        <v>2935.69</v>
      </c>
      <c r="E2993" s="2">
        <v>2935.69</v>
      </c>
      <c r="G2993" s="1" t="s">
        <v>5979</v>
      </c>
      <c r="H2993" s="2">
        <v>1982.15</v>
      </c>
      <c r="I2993" s="2">
        <v>1982.15</v>
      </c>
    </row>
    <row r="2994">
      <c r="A2994" s="1" t="s">
        <v>5980</v>
      </c>
      <c r="B2994" s="2">
        <v>1365.91</v>
      </c>
      <c r="C2994" s="2">
        <v>1365.91</v>
      </c>
      <c r="D2994" s="2">
        <v>2970.42</v>
      </c>
      <c r="E2994" s="2">
        <v>2970.42</v>
      </c>
      <c r="G2994" s="1" t="s">
        <v>5981</v>
      </c>
      <c r="H2994" s="2">
        <v>2000.76</v>
      </c>
      <c r="I2994" s="2">
        <v>2000.76</v>
      </c>
    </row>
    <row r="2995">
      <c r="A2995" s="1" t="s">
        <v>5982</v>
      </c>
      <c r="B2995" s="2">
        <v>1370.87</v>
      </c>
      <c r="C2995" s="2">
        <v>1370.87</v>
      </c>
      <c r="D2995" s="2">
        <v>2988.34</v>
      </c>
      <c r="E2995" s="2">
        <v>2988.34</v>
      </c>
      <c r="G2995" s="1" t="s">
        <v>5983</v>
      </c>
      <c r="H2995" s="2">
        <v>2018.3</v>
      </c>
      <c r="I2995" s="2">
        <v>2018.3</v>
      </c>
    </row>
    <row r="2996">
      <c r="A2996" s="1" t="s">
        <v>5984</v>
      </c>
      <c r="B2996" s="2" t="s">
        <v>0</v>
      </c>
      <c r="C2996" s="2">
        <v>1370.87</v>
      </c>
      <c r="D2996" s="2" t="s">
        <v>0</v>
      </c>
      <c r="E2996" s="2">
        <v>2988.34</v>
      </c>
      <c r="G2996" s="1" t="s">
        <v>5985</v>
      </c>
      <c r="H2996" s="2" t="s">
        <v>0</v>
      </c>
      <c r="I2996" s="2">
        <v>2018.3</v>
      </c>
    </row>
    <row r="2997">
      <c r="A2997" s="1" t="s">
        <v>5986</v>
      </c>
      <c r="B2997" s="2" t="s">
        <v>0</v>
      </c>
      <c r="C2997" s="2">
        <v>1370.87</v>
      </c>
      <c r="D2997" s="2" t="s">
        <v>0</v>
      </c>
      <c r="E2997" s="2">
        <v>2988.34</v>
      </c>
      <c r="G2997" s="1" t="s">
        <v>5987</v>
      </c>
      <c r="H2997" s="2" t="s">
        <v>0</v>
      </c>
      <c r="I2997" s="2">
        <v>2018.3</v>
      </c>
    </row>
    <row r="2998">
      <c r="A2998" s="1" t="s">
        <v>5988</v>
      </c>
      <c r="B2998" s="2">
        <v>1371.09</v>
      </c>
      <c r="C2998" s="2">
        <v>1371.09</v>
      </c>
      <c r="D2998" s="2">
        <v>2983.66</v>
      </c>
      <c r="E2998" s="2">
        <v>2983.66</v>
      </c>
      <c r="G2998" s="1" t="s">
        <v>5989</v>
      </c>
      <c r="H2998" s="2">
        <v>2002.5</v>
      </c>
      <c r="I2998" s="2">
        <v>2002.5</v>
      </c>
    </row>
    <row r="2999">
      <c r="A2999" s="1" t="s">
        <v>5990</v>
      </c>
      <c r="B2999" s="2">
        <v>1395.96</v>
      </c>
      <c r="C2999" s="2">
        <v>1395.96</v>
      </c>
      <c r="D2999" s="2">
        <v>3039.88</v>
      </c>
      <c r="E2999" s="2">
        <v>3039.88</v>
      </c>
      <c r="G2999" s="1" t="s">
        <v>5991</v>
      </c>
      <c r="H2999" s="2">
        <v>2025.04</v>
      </c>
      <c r="I2999" s="2">
        <v>2025.04</v>
      </c>
    </row>
    <row r="3000">
      <c r="A3000" s="1" t="s">
        <v>5992</v>
      </c>
      <c r="B3000" s="2">
        <v>1394.28</v>
      </c>
      <c r="C3000" s="2">
        <v>1394.28</v>
      </c>
      <c r="D3000" s="2">
        <v>3040.73</v>
      </c>
      <c r="E3000" s="2">
        <v>3040.73</v>
      </c>
      <c r="G3000" s="1" t="s">
        <v>5993</v>
      </c>
      <c r="H3000" s="2">
        <v>2045.08</v>
      </c>
      <c r="I3000" s="2">
        <v>2045.08</v>
      </c>
    </row>
    <row r="3001">
      <c r="A3001" s="1" t="s">
        <v>5994</v>
      </c>
      <c r="B3001" s="2">
        <v>1402.6</v>
      </c>
      <c r="C3001" s="2">
        <v>1402.6</v>
      </c>
      <c r="D3001" s="2">
        <v>3056.37</v>
      </c>
      <c r="E3001" s="2">
        <v>3056.37</v>
      </c>
      <c r="G3001" s="1" t="s">
        <v>5995</v>
      </c>
      <c r="H3001" s="2">
        <v>2043.76</v>
      </c>
      <c r="I3001" s="2">
        <v>2043.76</v>
      </c>
    </row>
    <row r="3002">
      <c r="A3002" s="1" t="s">
        <v>5996</v>
      </c>
      <c r="B3002" s="2">
        <v>1404.17</v>
      </c>
      <c r="C3002" s="2">
        <v>1404.17</v>
      </c>
      <c r="D3002" s="2">
        <v>3055.26</v>
      </c>
      <c r="E3002" s="2">
        <v>3055.26</v>
      </c>
      <c r="G3002" s="1" t="s">
        <v>5997</v>
      </c>
      <c r="H3002" s="2">
        <v>2034.44</v>
      </c>
      <c r="I3002" s="2">
        <v>2034.44</v>
      </c>
    </row>
    <row r="3003">
      <c r="A3003" s="1" t="s">
        <v>5998</v>
      </c>
      <c r="B3003" s="2" t="s">
        <v>0</v>
      </c>
      <c r="C3003" s="2">
        <v>1404.17</v>
      </c>
      <c r="D3003" s="2" t="s">
        <v>0</v>
      </c>
      <c r="E3003" s="2">
        <v>3055.26</v>
      </c>
      <c r="G3003" s="1" t="s">
        <v>5999</v>
      </c>
      <c r="H3003" s="2" t="s">
        <v>0</v>
      </c>
      <c r="I3003" s="2">
        <v>2034.44</v>
      </c>
    </row>
    <row r="3004">
      <c r="A3004" s="1" t="s">
        <v>6000</v>
      </c>
      <c r="B3004" s="2" t="s">
        <v>0</v>
      </c>
      <c r="C3004" s="2">
        <v>1404.17</v>
      </c>
      <c r="D3004" s="2" t="s">
        <v>0</v>
      </c>
      <c r="E3004" s="2">
        <v>3055.26</v>
      </c>
      <c r="G3004" s="1" t="s">
        <v>6001</v>
      </c>
      <c r="H3004" s="2" t="s">
        <v>0</v>
      </c>
      <c r="I3004" s="2">
        <v>2034.44</v>
      </c>
    </row>
    <row r="3005">
      <c r="A3005" s="1" t="s">
        <v>6002</v>
      </c>
      <c r="B3005" s="2">
        <v>1409.75</v>
      </c>
      <c r="C3005" s="2">
        <v>1409.75</v>
      </c>
      <c r="D3005" s="2">
        <v>3078.32</v>
      </c>
      <c r="E3005" s="2">
        <v>3078.32</v>
      </c>
      <c r="G3005" s="1" t="s">
        <v>6003</v>
      </c>
      <c r="H3005" s="2">
        <v>2047.0</v>
      </c>
      <c r="I3005" s="2">
        <v>2047.0</v>
      </c>
    </row>
    <row r="3006">
      <c r="A3006" s="1" t="s">
        <v>6004</v>
      </c>
      <c r="B3006" s="2">
        <v>1405.52</v>
      </c>
      <c r="C3006" s="2">
        <v>1405.52</v>
      </c>
      <c r="D3006" s="2">
        <v>3074.15</v>
      </c>
      <c r="E3006" s="2">
        <v>3074.15</v>
      </c>
      <c r="G3006" s="1" t="s">
        <v>6005</v>
      </c>
      <c r="H3006" s="2">
        <v>2042.15</v>
      </c>
      <c r="I3006" s="2">
        <v>2042.15</v>
      </c>
    </row>
    <row r="3007">
      <c r="A3007" s="1" t="s">
        <v>6006</v>
      </c>
      <c r="B3007" s="2">
        <v>1402.89</v>
      </c>
      <c r="C3007" s="2">
        <v>1402.89</v>
      </c>
      <c r="D3007" s="2">
        <v>3075.32</v>
      </c>
      <c r="E3007" s="2">
        <v>3075.32</v>
      </c>
      <c r="G3007" s="1" t="s">
        <v>6007</v>
      </c>
      <c r="H3007" s="2">
        <v>2027.23</v>
      </c>
      <c r="I3007" s="2">
        <v>2027.23</v>
      </c>
    </row>
    <row r="3008">
      <c r="A3008" s="1" t="s">
        <v>6008</v>
      </c>
      <c r="B3008" s="2">
        <v>1392.78</v>
      </c>
      <c r="C3008" s="2">
        <v>1392.78</v>
      </c>
      <c r="D3008" s="2">
        <v>3063.32</v>
      </c>
      <c r="E3008" s="2">
        <v>3063.32</v>
      </c>
      <c r="G3008" s="1" t="s">
        <v>6009</v>
      </c>
      <c r="H3008" s="2">
        <v>2026.12</v>
      </c>
      <c r="I3008" s="2">
        <v>2026.12</v>
      </c>
    </row>
    <row r="3009">
      <c r="A3009" s="1" t="s">
        <v>6010</v>
      </c>
      <c r="B3009" s="2">
        <v>1397.11</v>
      </c>
      <c r="C3009" s="2">
        <v>1397.11</v>
      </c>
      <c r="D3009" s="2">
        <v>3067.92</v>
      </c>
      <c r="E3009" s="2">
        <v>3067.92</v>
      </c>
      <c r="G3009" s="1" t="s">
        <v>6011</v>
      </c>
      <c r="H3009" s="2">
        <v>2026.83</v>
      </c>
      <c r="I3009" s="2">
        <v>2026.83</v>
      </c>
    </row>
    <row r="3010">
      <c r="A3010" s="1" t="s">
        <v>6012</v>
      </c>
      <c r="B3010" s="2" t="s">
        <v>0</v>
      </c>
      <c r="C3010" s="2">
        <v>1397.11</v>
      </c>
      <c r="D3010" s="2" t="s">
        <v>0</v>
      </c>
      <c r="E3010" s="2">
        <v>3067.92</v>
      </c>
      <c r="G3010" s="1" t="s">
        <v>6013</v>
      </c>
      <c r="H3010" s="2" t="s">
        <v>0</v>
      </c>
      <c r="I3010" s="2">
        <v>2026.83</v>
      </c>
    </row>
    <row r="3011">
      <c r="A3011" s="1" t="s">
        <v>6014</v>
      </c>
      <c r="B3011" s="2" t="s">
        <v>0</v>
      </c>
      <c r="C3011" s="2">
        <v>1397.11</v>
      </c>
      <c r="D3011" s="2" t="s">
        <v>0</v>
      </c>
      <c r="E3011" s="2">
        <v>3067.92</v>
      </c>
      <c r="G3011" s="1" t="s">
        <v>6015</v>
      </c>
      <c r="H3011" s="2" t="s">
        <v>0</v>
      </c>
      <c r="I3011" s="2">
        <v>2026.83</v>
      </c>
    </row>
    <row r="3012">
      <c r="A3012" s="1" t="s">
        <v>6016</v>
      </c>
      <c r="B3012" s="2">
        <v>1416.51</v>
      </c>
      <c r="C3012" s="2">
        <v>1416.51</v>
      </c>
      <c r="D3012" s="2">
        <v>3122.57</v>
      </c>
      <c r="E3012" s="2">
        <v>3122.57</v>
      </c>
      <c r="G3012" s="1" t="s">
        <v>6017</v>
      </c>
      <c r="H3012" s="2">
        <v>2019.19</v>
      </c>
      <c r="I3012" s="2">
        <v>2019.19</v>
      </c>
    </row>
    <row r="3013">
      <c r="A3013" s="1" t="s">
        <v>6018</v>
      </c>
      <c r="B3013" s="2">
        <v>1412.52</v>
      </c>
      <c r="C3013" s="2">
        <v>1412.52</v>
      </c>
      <c r="D3013" s="2">
        <v>3120.35</v>
      </c>
      <c r="E3013" s="2">
        <v>3120.35</v>
      </c>
      <c r="G3013" s="1" t="s">
        <v>6019</v>
      </c>
      <c r="H3013" s="2">
        <v>2039.76</v>
      </c>
      <c r="I3013" s="2">
        <v>2039.76</v>
      </c>
    </row>
    <row r="3014">
      <c r="A3014" s="1" t="s">
        <v>6020</v>
      </c>
      <c r="B3014" s="2">
        <v>1405.54</v>
      </c>
      <c r="C3014" s="2">
        <v>1405.54</v>
      </c>
      <c r="D3014" s="2">
        <v>3104.96</v>
      </c>
      <c r="E3014" s="2">
        <v>3104.96</v>
      </c>
      <c r="G3014" s="1" t="s">
        <v>6021</v>
      </c>
      <c r="H3014" s="2">
        <v>2031.74</v>
      </c>
      <c r="I3014" s="2">
        <v>2031.74</v>
      </c>
    </row>
    <row r="3015">
      <c r="A3015" s="1" t="s">
        <v>6022</v>
      </c>
      <c r="B3015" s="2">
        <v>1403.28</v>
      </c>
      <c r="C3015" s="2">
        <v>1403.28</v>
      </c>
      <c r="D3015" s="2">
        <v>3095.36</v>
      </c>
      <c r="E3015" s="2">
        <v>3095.36</v>
      </c>
      <c r="G3015" s="1" t="s">
        <v>6023</v>
      </c>
      <c r="H3015" s="2">
        <v>2014.41</v>
      </c>
      <c r="I3015" s="2">
        <v>2014.41</v>
      </c>
    </row>
    <row r="3016">
      <c r="A3016" s="1" t="s">
        <v>6024</v>
      </c>
      <c r="B3016" s="2">
        <v>1408.47</v>
      </c>
      <c r="C3016" s="2">
        <v>1408.47</v>
      </c>
      <c r="D3016" s="2">
        <v>3091.57</v>
      </c>
      <c r="E3016" s="2">
        <v>3091.57</v>
      </c>
      <c r="G3016" s="1" t="s">
        <v>6025</v>
      </c>
      <c r="H3016" s="2">
        <v>2014.04</v>
      </c>
      <c r="I3016" s="2">
        <v>2014.04</v>
      </c>
    </row>
    <row r="3017">
      <c r="A3017" s="1" t="s">
        <v>6026</v>
      </c>
      <c r="B3017" s="2" t="s">
        <v>0</v>
      </c>
      <c r="C3017" s="2">
        <v>1408.47</v>
      </c>
      <c r="D3017" s="2" t="s">
        <v>0</v>
      </c>
      <c r="E3017" s="2">
        <v>3091.57</v>
      </c>
      <c r="G3017" s="1" t="s">
        <v>6027</v>
      </c>
      <c r="H3017" s="2" t="s">
        <v>0</v>
      </c>
      <c r="I3017" s="2">
        <v>2014.04</v>
      </c>
    </row>
    <row r="3018">
      <c r="A3018" s="1" t="s">
        <v>6028</v>
      </c>
      <c r="B3018" s="2" t="s">
        <v>0</v>
      </c>
      <c r="C3018" s="2">
        <v>1408.47</v>
      </c>
      <c r="D3018" s="2" t="s">
        <v>0</v>
      </c>
      <c r="E3018" s="2">
        <v>3091.57</v>
      </c>
      <c r="G3018" s="1" t="s">
        <v>6029</v>
      </c>
      <c r="H3018" s="2" t="s">
        <v>0</v>
      </c>
      <c r="I3018" s="2">
        <v>2014.04</v>
      </c>
    </row>
    <row r="3019">
      <c r="A3019" s="1" t="s">
        <v>6030</v>
      </c>
      <c r="B3019" s="2">
        <v>1418.9</v>
      </c>
      <c r="C3019" s="2">
        <v>1418.9</v>
      </c>
      <c r="D3019" s="2">
        <v>3119.7</v>
      </c>
      <c r="E3019" s="2">
        <v>3119.7</v>
      </c>
      <c r="G3019" s="1" t="s">
        <v>6031</v>
      </c>
      <c r="H3019" s="2">
        <v>2029.29</v>
      </c>
      <c r="I3019" s="2">
        <v>2029.29</v>
      </c>
    </row>
    <row r="3020">
      <c r="A3020" s="1" t="s">
        <v>6032</v>
      </c>
      <c r="B3020" s="2">
        <v>1413.31</v>
      </c>
      <c r="C3020" s="2">
        <v>1413.31</v>
      </c>
      <c r="D3020" s="2">
        <v>3113.57</v>
      </c>
      <c r="E3020" s="2">
        <v>3113.57</v>
      </c>
      <c r="G3020" s="1" t="s">
        <v>6033</v>
      </c>
      <c r="H3020" s="2">
        <v>2049.28</v>
      </c>
      <c r="I3020" s="2">
        <v>2049.28</v>
      </c>
    </row>
    <row r="3021">
      <c r="A3021" s="1" t="s">
        <v>6034</v>
      </c>
      <c r="B3021" s="2">
        <v>1398.96</v>
      </c>
      <c r="C3021" s="2">
        <v>1398.96</v>
      </c>
      <c r="D3021" s="2">
        <v>3068.09</v>
      </c>
      <c r="E3021" s="2">
        <v>3068.09</v>
      </c>
      <c r="G3021" s="1" t="s">
        <v>6035</v>
      </c>
      <c r="H3021" s="2">
        <v>2018.61</v>
      </c>
      <c r="I3021" s="2">
        <v>2018.61</v>
      </c>
    </row>
    <row r="3022">
      <c r="A3022" s="1" t="s">
        <v>6036</v>
      </c>
      <c r="B3022" s="2">
        <v>1398.08</v>
      </c>
      <c r="C3022" s="2">
        <v>1398.08</v>
      </c>
      <c r="D3022" s="2">
        <v>3080.5</v>
      </c>
      <c r="E3022" s="2">
        <v>3080.5</v>
      </c>
      <c r="G3022" s="1" t="s">
        <v>6037</v>
      </c>
      <c r="H3022" s="2">
        <v>2028.77</v>
      </c>
      <c r="I3022" s="2">
        <v>2028.77</v>
      </c>
    </row>
    <row r="3023">
      <c r="A3023" s="1" t="s">
        <v>6038</v>
      </c>
      <c r="B3023" s="2" t="s">
        <v>0</v>
      </c>
      <c r="C3023" s="2">
        <v>1398.08</v>
      </c>
      <c r="D3023" s="2" t="s">
        <v>0</v>
      </c>
      <c r="E3023" s="2">
        <v>3080.5</v>
      </c>
      <c r="G3023" s="1" t="s">
        <v>6039</v>
      </c>
      <c r="H3023" s="2">
        <v>2029.03</v>
      </c>
      <c r="I3023" s="2">
        <v>2029.03</v>
      </c>
    </row>
    <row r="3024">
      <c r="A3024" s="1" t="s">
        <v>6040</v>
      </c>
      <c r="B3024" s="2" t="s">
        <v>0</v>
      </c>
      <c r="C3024" s="2">
        <v>1398.08</v>
      </c>
      <c r="D3024" s="2" t="s">
        <v>0</v>
      </c>
      <c r="E3024" s="2">
        <v>3080.5</v>
      </c>
      <c r="G3024" s="1" t="s">
        <v>6041</v>
      </c>
      <c r="H3024" s="2" t="s">
        <v>0</v>
      </c>
      <c r="I3024" s="2">
        <v>2029.03</v>
      </c>
    </row>
    <row r="3025">
      <c r="A3025" s="1" t="s">
        <v>6042</v>
      </c>
      <c r="B3025" s="2" t="s">
        <v>0</v>
      </c>
      <c r="C3025" s="2">
        <v>1398.08</v>
      </c>
      <c r="D3025" s="2" t="s">
        <v>0</v>
      </c>
      <c r="E3025" s="2">
        <v>3080.5</v>
      </c>
      <c r="G3025" s="1" t="s">
        <v>6043</v>
      </c>
      <c r="H3025" s="2" t="s">
        <v>0</v>
      </c>
      <c r="I3025" s="2">
        <v>2029.03</v>
      </c>
    </row>
    <row r="3026">
      <c r="A3026" s="1" t="s">
        <v>6044</v>
      </c>
      <c r="B3026" s="2">
        <v>1382.2</v>
      </c>
      <c r="C3026" s="2">
        <v>1382.2</v>
      </c>
      <c r="D3026" s="2">
        <v>3047.08</v>
      </c>
      <c r="E3026" s="2">
        <v>3047.08</v>
      </c>
      <c r="G3026" s="1" t="s">
        <v>6045</v>
      </c>
      <c r="H3026" s="2">
        <v>1997.08</v>
      </c>
      <c r="I3026" s="2">
        <v>1997.08</v>
      </c>
    </row>
    <row r="3027">
      <c r="A3027" s="1" t="s">
        <v>6046</v>
      </c>
      <c r="B3027" s="2">
        <v>1358.59</v>
      </c>
      <c r="C3027" s="2">
        <v>1358.59</v>
      </c>
      <c r="D3027" s="2">
        <v>2991.22</v>
      </c>
      <c r="E3027" s="2">
        <v>2991.22</v>
      </c>
      <c r="G3027" s="1" t="s">
        <v>6047</v>
      </c>
      <c r="H3027" s="2">
        <v>1994.41</v>
      </c>
      <c r="I3027" s="2">
        <v>1994.41</v>
      </c>
    </row>
    <row r="3028">
      <c r="A3028" s="1" t="s">
        <v>6048</v>
      </c>
      <c r="B3028" s="2">
        <v>1368.71</v>
      </c>
      <c r="C3028" s="2">
        <v>1368.71</v>
      </c>
      <c r="D3028" s="2">
        <v>3016.46</v>
      </c>
      <c r="E3028" s="2">
        <v>3016.46</v>
      </c>
      <c r="G3028" s="1" t="s">
        <v>6049</v>
      </c>
      <c r="H3028" s="2" t="s">
        <v>0</v>
      </c>
      <c r="I3028" s="2">
        <v>1994.41</v>
      </c>
    </row>
    <row r="3029">
      <c r="A3029" s="1" t="s">
        <v>6050</v>
      </c>
      <c r="B3029" s="2">
        <v>1387.57</v>
      </c>
      <c r="C3029" s="2">
        <v>1387.57</v>
      </c>
      <c r="D3029" s="2">
        <v>3055.55</v>
      </c>
      <c r="E3029" s="2">
        <v>3055.55</v>
      </c>
      <c r="G3029" s="1" t="s">
        <v>6051</v>
      </c>
      <c r="H3029" s="2">
        <v>1986.63</v>
      </c>
      <c r="I3029" s="2">
        <v>1986.63</v>
      </c>
    </row>
    <row r="3030">
      <c r="A3030" s="1" t="s">
        <v>6052</v>
      </c>
      <c r="B3030" s="2">
        <v>1370.26</v>
      </c>
      <c r="C3030" s="2">
        <v>1370.26</v>
      </c>
      <c r="D3030" s="2">
        <v>3011.33</v>
      </c>
      <c r="E3030" s="2">
        <v>3011.33</v>
      </c>
      <c r="G3030" s="1" t="s">
        <v>6053</v>
      </c>
      <c r="H3030" s="2">
        <v>2008.91</v>
      </c>
      <c r="I3030" s="2">
        <v>2008.91</v>
      </c>
    </row>
    <row r="3031">
      <c r="A3031" s="1" t="s">
        <v>6054</v>
      </c>
      <c r="B3031" s="2" t="s">
        <v>0</v>
      </c>
      <c r="C3031" s="2">
        <v>1370.26</v>
      </c>
      <c r="D3031" s="2" t="s">
        <v>0</v>
      </c>
      <c r="E3031" s="2">
        <v>3011.33</v>
      </c>
      <c r="G3031" s="1" t="s">
        <v>6055</v>
      </c>
      <c r="H3031" s="2" t="s">
        <v>0</v>
      </c>
      <c r="I3031" s="2">
        <v>2008.91</v>
      </c>
    </row>
    <row r="3032">
      <c r="A3032" s="1" t="s">
        <v>6056</v>
      </c>
      <c r="B3032" s="2" t="s">
        <v>0</v>
      </c>
      <c r="C3032" s="2">
        <v>1370.26</v>
      </c>
      <c r="D3032" s="2" t="s">
        <v>0</v>
      </c>
      <c r="E3032" s="2">
        <v>3011.33</v>
      </c>
      <c r="G3032" s="1" t="s">
        <v>6057</v>
      </c>
      <c r="H3032" s="2" t="s">
        <v>0</v>
      </c>
      <c r="I3032" s="2">
        <v>2008.91</v>
      </c>
    </row>
    <row r="3033">
      <c r="A3033" s="1" t="s">
        <v>6058</v>
      </c>
      <c r="B3033" s="2">
        <v>1369.57</v>
      </c>
      <c r="C3033" s="2">
        <v>1369.57</v>
      </c>
      <c r="D3033" s="2">
        <v>2988.4</v>
      </c>
      <c r="E3033" s="2">
        <v>2988.4</v>
      </c>
      <c r="G3033" s="1" t="s">
        <v>6059</v>
      </c>
      <c r="H3033" s="2">
        <v>1992.63</v>
      </c>
      <c r="I3033" s="2">
        <v>1992.63</v>
      </c>
    </row>
    <row r="3034">
      <c r="A3034" s="1" t="s">
        <v>6060</v>
      </c>
      <c r="B3034" s="2">
        <v>1390.78</v>
      </c>
      <c r="C3034" s="2">
        <v>1390.78</v>
      </c>
      <c r="D3034" s="2">
        <v>3042.82</v>
      </c>
      <c r="E3034" s="2">
        <v>3042.82</v>
      </c>
      <c r="G3034" s="1" t="s">
        <v>6061</v>
      </c>
      <c r="H3034" s="2">
        <v>1985.3</v>
      </c>
      <c r="I3034" s="2">
        <v>1985.3</v>
      </c>
    </row>
    <row r="3035">
      <c r="A3035" s="1" t="s">
        <v>6062</v>
      </c>
      <c r="B3035" s="2">
        <v>1385.14</v>
      </c>
      <c r="C3035" s="2">
        <v>1385.14</v>
      </c>
      <c r="D3035" s="2">
        <v>3031.45</v>
      </c>
      <c r="E3035" s="2">
        <v>3031.45</v>
      </c>
      <c r="G3035" s="1" t="s">
        <v>6063</v>
      </c>
      <c r="H3035" s="2">
        <v>2004.53</v>
      </c>
      <c r="I3035" s="2">
        <v>2004.53</v>
      </c>
    </row>
    <row r="3036">
      <c r="A3036" s="1" t="s">
        <v>6064</v>
      </c>
      <c r="B3036" s="2">
        <v>1376.92</v>
      </c>
      <c r="C3036" s="2">
        <v>1376.92</v>
      </c>
      <c r="D3036" s="2">
        <v>3007.56</v>
      </c>
      <c r="E3036" s="2">
        <v>3007.56</v>
      </c>
      <c r="G3036" s="1" t="s">
        <v>6065</v>
      </c>
      <c r="H3036" s="2">
        <v>1999.86</v>
      </c>
      <c r="I3036" s="2">
        <v>1999.86</v>
      </c>
    </row>
    <row r="3037">
      <c r="A3037" s="1" t="s">
        <v>6066</v>
      </c>
      <c r="B3037" s="2">
        <v>1378.53</v>
      </c>
      <c r="C3037" s="2">
        <v>1378.53</v>
      </c>
      <c r="D3037" s="2">
        <v>3000.45</v>
      </c>
      <c r="E3037" s="2">
        <v>3000.45</v>
      </c>
      <c r="G3037" s="1" t="s">
        <v>6067</v>
      </c>
      <c r="H3037" s="2">
        <v>1974.65</v>
      </c>
      <c r="I3037" s="2">
        <v>1974.65</v>
      </c>
    </row>
    <row r="3038">
      <c r="A3038" s="1" t="s">
        <v>6068</v>
      </c>
      <c r="B3038" s="2" t="s">
        <v>0</v>
      </c>
      <c r="C3038" s="2">
        <v>1378.53</v>
      </c>
      <c r="D3038" s="2" t="s">
        <v>0</v>
      </c>
      <c r="E3038" s="2">
        <v>3000.45</v>
      </c>
      <c r="G3038" s="1" t="s">
        <v>6069</v>
      </c>
      <c r="H3038" s="2" t="s">
        <v>0</v>
      </c>
      <c r="I3038" s="2">
        <v>1974.65</v>
      </c>
    </row>
    <row r="3039">
      <c r="A3039" s="1" t="s">
        <v>6070</v>
      </c>
      <c r="B3039" s="2" t="s">
        <v>0</v>
      </c>
      <c r="C3039" s="2">
        <v>1378.53</v>
      </c>
      <c r="D3039" s="2" t="s">
        <v>0</v>
      </c>
      <c r="E3039" s="2">
        <v>3000.45</v>
      </c>
      <c r="G3039" s="1" t="s">
        <v>6071</v>
      </c>
      <c r="H3039" s="2" t="s">
        <v>0</v>
      </c>
      <c r="I3039" s="2">
        <v>1974.65</v>
      </c>
    </row>
    <row r="3040">
      <c r="A3040" s="1" t="s">
        <v>6072</v>
      </c>
      <c r="B3040" s="2">
        <v>1366.94</v>
      </c>
      <c r="C3040" s="2">
        <v>1366.94</v>
      </c>
      <c r="D3040" s="2">
        <v>2970.45</v>
      </c>
      <c r="E3040" s="2">
        <v>2970.45</v>
      </c>
      <c r="G3040" s="1" t="s">
        <v>6073</v>
      </c>
      <c r="H3040" s="2">
        <v>1972.63</v>
      </c>
      <c r="I3040" s="2">
        <v>1972.63</v>
      </c>
    </row>
    <row r="3041">
      <c r="A3041" s="1" t="s">
        <v>6074</v>
      </c>
      <c r="B3041" s="2">
        <v>1371.97</v>
      </c>
      <c r="C3041" s="2">
        <v>1371.97</v>
      </c>
      <c r="D3041" s="2">
        <v>2961.6</v>
      </c>
      <c r="E3041" s="2">
        <v>2961.6</v>
      </c>
      <c r="G3041" s="1" t="s">
        <v>6075</v>
      </c>
      <c r="H3041" s="2">
        <v>1963.42</v>
      </c>
      <c r="I3041" s="2">
        <v>1963.42</v>
      </c>
    </row>
    <row r="3042">
      <c r="A3042" s="1" t="s">
        <v>6076</v>
      </c>
      <c r="B3042" s="2">
        <v>1390.69</v>
      </c>
      <c r="C3042" s="2">
        <v>1390.69</v>
      </c>
      <c r="D3042" s="2">
        <v>3029.63</v>
      </c>
      <c r="E3042" s="2">
        <v>3029.63</v>
      </c>
      <c r="G3042" s="1" t="s">
        <v>6077</v>
      </c>
      <c r="H3042" s="2">
        <v>1961.98</v>
      </c>
      <c r="I3042" s="2">
        <v>1961.98</v>
      </c>
    </row>
    <row r="3043">
      <c r="A3043" s="1" t="s">
        <v>6078</v>
      </c>
      <c r="B3043" s="2">
        <v>1399.98</v>
      </c>
      <c r="C3043" s="2">
        <v>1399.98</v>
      </c>
      <c r="D3043" s="2">
        <v>3050.61</v>
      </c>
      <c r="E3043" s="2">
        <v>3050.61</v>
      </c>
      <c r="G3043" s="1" t="s">
        <v>6079</v>
      </c>
      <c r="H3043" s="2">
        <v>1964.04</v>
      </c>
      <c r="I3043" s="2">
        <v>1964.04</v>
      </c>
    </row>
    <row r="3044">
      <c r="A3044" s="1" t="s">
        <v>6080</v>
      </c>
      <c r="B3044" s="2">
        <v>1403.36</v>
      </c>
      <c r="C3044" s="2">
        <v>1403.36</v>
      </c>
      <c r="D3044" s="2">
        <v>3069.2</v>
      </c>
      <c r="E3044" s="2">
        <v>3069.2</v>
      </c>
      <c r="G3044" s="1" t="s">
        <v>6081</v>
      </c>
      <c r="H3044" s="2">
        <v>1975.35</v>
      </c>
      <c r="I3044" s="2">
        <v>1975.35</v>
      </c>
    </row>
    <row r="3045">
      <c r="A3045" s="1" t="s">
        <v>6082</v>
      </c>
      <c r="B3045" s="2" t="s">
        <v>0</v>
      </c>
      <c r="C3045" s="2">
        <v>1403.36</v>
      </c>
      <c r="D3045" s="2" t="s">
        <v>0</v>
      </c>
      <c r="E3045" s="2">
        <v>3069.2</v>
      </c>
      <c r="G3045" s="1" t="s">
        <v>6083</v>
      </c>
      <c r="H3045" s="2" t="s">
        <v>0</v>
      </c>
      <c r="I3045" s="2">
        <v>1975.35</v>
      </c>
    </row>
    <row r="3046">
      <c r="A3046" s="1" t="s">
        <v>6084</v>
      </c>
      <c r="B3046" s="2" t="s">
        <v>0</v>
      </c>
      <c r="C3046" s="2">
        <v>1403.36</v>
      </c>
      <c r="D3046" s="2" t="s">
        <v>0</v>
      </c>
      <c r="E3046" s="2">
        <v>3069.2</v>
      </c>
      <c r="G3046" s="1" t="s">
        <v>6085</v>
      </c>
      <c r="H3046" s="2" t="s">
        <v>0</v>
      </c>
      <c r="I3046" s="2">
        <v>1975.35</v>
      </c>
    </row>
    <row r="3047">
      <c r="A3047" s="1" t="s">
        <v>6086</v>
      </c>
      <c r="B3047" s="2">
        <v>1397.91</v>
      </c>
      <c r="C3047" s="2">
        <v>1397.91</v>
      </c>
      <c r="D3047" s="2">
        <v>3046.36</v>
      </c>
      <c r="E3047" s="2">
        <v>3046.36</v>
      </c>
      <c r="G3047" s="1" t="s">
        <v>6087</v>
      </c>
      <c r="H3047" s="2">
        <v>1981.99</v>
      </c>
      <c r="I3047" s="2">
        <v>1981.99</v>
      </c>
    </row>
    <row r="3048">
      <c r="A3048" s="1" t="s">
        <v>6088</v>
      </c>
      <c r="B3048" s="2">
        <v>1405.82</v>
      </c>
      <c r="C3048" s="2">
        <v>1405.82</v>
      </c>
      <c r="D3048" s="2">
        <v>3050.44</v>
      </c>
      <c r="E3048" s="2">
        <v>3050.44</v>
      </c>
      <c r="G3048" s="1" t="s">
        <v>6089</v>
      </c>
      <c r="H3048" s="2" t="s">
        <v>0</v>
      </c>
      <c r="I3048" s="2">
        <v>1981.99</v>
      </c>
    </row>
    <row r="3049">
      <c r="A3049" s="1" t="s">
        <v>6090</v>
      </c>
      <c r="B3049" s="2">
        <v>1402.31</v>
      </c>
      <c r="C3049" s="2">
        <v>1402.31</v>
      </c>
      <c r="D3049" s="2">
        <v>3059.85</v>
      </c>
      <c r="E3049" s="2">
        <v>3059.85</v>
      </c>
      <c r="G3049" s="1" t="s">
        <v>6091</v>
      </c>
      <c r="H3049" s="2">
        <v>1999.07</v>
      </c>
      <c r="I3049" s="2">
        <v>1999.07</v>
      </c>
    </row>
    <row r="3050">
      <c r="A3050" s="1" t="s">
        <v>6092</v>
      </c>
      <c r="B3050" s="2">
        <v>1391.57</v>
      </c>
      <c r="C3050" s="2">
        <v>1391.57</v>
      </c>
      <c r="D3050" s="2">
        <v>3024.3</v>
      </c>
      <c r="E3050" s="2">
        <v>3024.3</v>
      </c>
      <c r="G3050" s="1" t="s">
        <v>6093</v>
      </c>
      <c r="H3050" s="2">
        <v>1995.11</v>
      </c>
      <c r="I3050" s="2">
        <v>1995.11</v>
      </c>
    </row>
    <row r="3051">
      <c r="A3051" s="1" t="s">
        <v>6094</v>
      </c>
      <c r="B3051" s="2">
        <v>1369.1</v>
      </c>
      <c r="C3051" s="2">
        <v>1369.1</v>
      </c>
      <c r="D3051" s="2">
        <v>2956.34</v>
      </c>
      <c r="E3051" s="2">
        <v>2956.34</v>
      </c>
      <c r="G3051" s="1" t="s">
        <v>6095</v>
      </c>
      <c r="H3051" s="2">
        <v>1989.15</v>
      </c>
      <c r="I3051" s="2">
        <v>1989.15</v>
      </c>
    </row>
    <row r="3052">
      <c r="A3052" s="1" t="s">
        <v>6096</v>
      </c>
      <c r="B3052" s="2" t="s">
        <v>0</v>
      </c>
      <c r="C3052" s="2">
        <v>1369.1</v>
      </c>
      <c r="D3052" s="2" t="s">
        <v>0</v>
      </c>
      <c r="E3052" s="2">
        <v>2956.34</v>
      </c>
      <c r="G3052" s="1" t="s">
        <v>6097</v>
      </c>
      <c r="H3052" s="2" t="s">
        <v>0</v>
      </c>
      <c r="I3052" s="2">
        <v>1989.15</v>
      </c>
    </row>
    <row r="3053">
      <c r="A3053" s="1" t="s">
        <v>6098</v>
      </c>
      <c r="B3053" s="2" t="s">
        <v>0</v>
      </c>
      <c r="C3053" s="2">
        <v>1369.1</v>
      </c>
      <c r="D3053" s="2" t="s">
        <v>0</v>
      </c>
      <c r="E3053" s="2">
        <v>2956.34</v>
      </c>
      <c r="G3053" s="1" t="s">
        <v>6099</v>
      </c>
      <c r="H3053" s="2" t="s">
        <v>0</v>
      </c>
      <c r="I3053" s="2">
        <v>1989.15</v>
      </c>
    </row>
    <row r="3054">
      <c r="A3054" s="1" t="s">
        <v>6100</v>
      </c>
      <c r="B3054" s="2">
        <v>1369.58</v>
      </c>
      <c r="C3054" s="2">
        <v>1369.58</v>
      </c>
      <c r="D3054" s="2">
        <v>2957.76</v>
      </c>
      <c r="E3054" s="2">
        <v>2957.76</v>
      </c>
      <c r="G3054" s="1" t="s">
        <v>6101</v>
      </c>
      <c r="H3054" s="2">
        <v>1956.44</v>
      </c>
      <c r="I3054" s="2">
        <v>1956.44</v>
      </c>
    </row>
    <row r="3055">
      <c r="A3055" s="1" t="s">
        <v>6102</v>
      </c>
      <c r="B3055" s="2">
        <v>1363.72</v>
      </c>
      <c r="C3055" s="2">
        <v>1363.72</v>
      </c>
      <c r="D3055" s="2">
        <v>2946.27</v>
      </c>
      <c r="E3055" s="2">
        <v>2946.27</v>
      </c>
      <c r="G3055" s="1" t="s">
        <v>6103</v>
      </c>
      <c r="H3055" s="2">
        <v>1967.01</v>
      </c>
      <c r="I3055" s="2">
        <v>1967.01</v>
      </c>
    </row>
    <row r="3056">
      <c r="A3056" s="1" t="s">
        <v>6104</v>
      </c>
      <c r="B3056" s="2">
        <v>1354.58</v>
      </c>
      <c r="C3056" s="2">
        <v>1354.58</v>
      </c>
      <c r="D3056" s="2">
        <v>2934.71</v>
      </c>
      <c r="E3056" s="2">
        <v>2934.71</v>
      </c>
      <c r="G3056" s="1" t="s">
        <v>6105</v>
      </c>
      <c r="H3056" s="2">
        <v>1950.29</v>
      </c>
      <c r="I3056" s="2">
        <v>1950.29</v>
      </c>
    </row>
    <row r="3057">
      <c r="A3057" s="1" t="s">
        <v>6106</v>
      </c>
      <c r="B3057" s="2">
        <v>1357.99</v>
      </c>
      <c r="C3057" s="2">
        <v>1357.99</v>
      </c>
      <c r="D3057" s="2">
        <v>2933.64</v>
      </c>
      <c r="E3057" s="2">
        <v>2933.64</v>
      </c>
      <c r="G3057" s="1" t="s">
        <v>6107</v>
      </c>
      <c r="H3057" s="2">
        <v>1944.93</v>
      </c>
      <c r="I3057" s="2">
        <v>1944.93</v>
      </c>
    </row>
    <row r="3058">
      <c r="A3058" s="1" t="s">
        <v>6108</v>
      </c>
      <c r="B3058" s="2">
        <v>1353.39</v>
      </c>
      <c r="C3058" s="2">
        <v>1353.39</v>
      </c>
      <c r="D3058" s="2">
        <v>2933.82</v>
      </c>
      <c r="E3058" s="2">
        <v>2933.82</v>
      </c>
      <c r="G3058" s="1" t="s">
        <v>6109</v>
      </c>
      <c r="H3058" s="2">
        <v>1917.13</v>
      </c>
      <c r="I3058" s="2">
        <v>1917.13</v>
      </c>
    </row>
    <row r="3059">
      <c r="A3059" s="1" t="s">
        <v>6110</v>
      </c>
      <c r="B3059" s="2" t="s">
        <v>0</v>
      </c>
      <c r="C3059" s="2">
        <v>1353.39</v>
      </c>
      <c r="D3059" s="2" t="s">
        <v>0</v>
      </c>
      <c r="E3059" s="2">
        <v>2933.82</v>
      </c>
      <c r="G3059" s="1" t="s">
        <v>6111</v>
      </c>
      <c r="H3059" s="2" t="s">
        <v>0</v>
      </c>
      <c r="I3059" s="2">
        <v>1917.13</v>
      </c>
    </row>
    <row r="3060">
      <c r="A3060" s="1" t="s">
        <v>6112</v>
      </c>
      <c r="B3060" s="2" t="s">
        <v>0</v>
      </c>
      <c r="C3060" s="2">
        <v>1353.39</v>
      </c>
      <c r="D3060" s="2" t="s">
        <v>0</v>
      </c>
      <c r="E3060" s="2">
        <v>2933.82</v>
      </c>
      <c r="G3060" s="1" t="s">
        <v>6113</v>
      </c>
      <c r="H3060" s="2" t="s">
        <v>0</v>
      </c>
      <c r="I3060" s="2">
        <v>1917.13</v>
      </c>
    </row>
    <row r="3061">
      <c r="A3061" s="1" t="s">
        <v>6114</v>
      </c>
      <c r="B3061" s="2">
        <v>1338.35</v>
      </c>
      <c r="C3061" s="2">
        <v>1338.35</v>
      </c>
      <c r="D3061" s="2">
        <v>2902.58</v>
      </c>
      <c r="E3061" s="2">
        <v>2902.58</v>
      </c>
      <c r="G3061" s="1" t="s">
        <v>6115</v>
      </c>
      <c r="H3061" s="2">
        <v>1913.73</v>
      </c>
      <c r="I3061" s="2">
        <v>1913.73</v>
      </c>
    </row>
    <row r="3062">
      <c r="A3062" s="1" t="s">
        <v>6116</v>
      </c>
      <c r="B3062" s="2">
        <v>1330.66</v>
      </c>
      <c r="C3062" s="2">
        <v>1330.66</v>
      </c>
      <c r="D3062" s="2">
        <v>2893.76</v>
      </c>
      <c r="E3062" s="2">
        <v>2893.76</v>
      </c>
      <c r="G3062" s="1" t="s">
        <v>6117</v>
      </c>
      <c r="H3062" s="2">
        <v>1898.96</v>
      </c>
      <c r="I3062" s="2">
        <v>1898.96</v>
      </c>
    </row>
    <row r="3063">
      <c r="A3063" s="1" t="s">
        <v>6118</v>
      </c>
      <c r="B3063" s="2">
        <v>1324.8</v>
      </c>
      <c r="C3063" s="2">
        <v>1324.8</v>
      </c>
      <c r="D3063" s="2">
        <v>2874.04</v>
      </c>
      <c r="E3063" s="2">
        <v>2874.04</v>
      </c>
      <c r="G3063" s="1" t="s">
        <v>6119</v>
      </c>
      <c r="H3063" s="2">
        <v>1840.53</v>
      </c>
      <c r="I3063" s="2">
        <v>1840.53</v>
      </c>
    </row>
    <row r="3064">
      <c r="A3064" s="1" t="s">
        <v>6120</v>
      </c>
      <c r="B3064" s="2">
        <v>1304.86</v>
      </c>
      <c r="C3064" s="2">
        <v>1304.86</v>
      </c>
      <c r="D3064" s="2">
        <v>2813.69</v>
      </c>
      <c r="E3064" s="2">
        <v>2813.69</v>
      </c>
      <c r="G3064" s="1" t="s">
        <v>6121</v>
      </c>
      <c r="H3064" s="2">
        <v>1845.24</v>
      </c>
      <c r="I3064" s="2">
        <v>1845.24</v>
      </c>
    </row>
    <row r="3065">
      <c r="A3065" s="1" t="s">
        <v>6122</v>
      </c>
      <c r="B3065" s="2">
        <v>1295.22</v>
      </c>
      <c r="C3065" s="2">
        <v>1295.22</v>
      </c>
      <c r="D3065" s="2">
        <v>2778.79</v>
      </c>
      <c r="E3065" s="2">
        <v>2778.79</v>
      </c>
      <c r="G3065" s="1" t="s">
        <v>6123</v>
      </c>
      <c r="H3065" s="2">
        <v>1782.46</v>
      </c>
      <c r="I3065" s="2">
        <v>1782.46</v>
      </c>
    </row>
    <row r="3066">
      <c r="A3066" s="1" t="s">
        <v>6124</v>
      </c>
      <c r="B3066" s="2" t="s">
        <v>0</v>
      </c>
      <c r="C3066" s="2">
        <v>1295.22</v>
      </c>
      <c r="D3066" s="2" t="s">
        <v>0</v>
      </c>
      <c r="E3066" s="2">
        <v>2778.79</v>
      </c>
      <c r="G3066" s="1" t="s">
        <v>6125</v>
      </c>
      <c r="H3066" s="2" t="s">
        <v>0</v>
      </c>
      <c r="I3066" s="2">
        <v>1782.46</v>
      </c>
    </row>
    <row r="3067">
      <c r="A3067" s="1" t="s">
        <v>6126</v>
      </c>
      <c r="B3067" s="2" t="s">
        <v>0</v>
      </c>
      <c r="C3067" s="2">
        <v>1295.22</v>
      </c>
      <c r="D3067" s="2" t="s">
        <v>0</v>
      </c>
      <c r="E3067" s="2">
        <v>2778.79</v>
      </c>
      <c r="G3067" s="1" t="s">
        <v>6127</v>
      </c>
      <c r="H3067" s="2" t="s">
        <v>0</v>
      </c>
      <c r="I3067" s="2">
        <v>1782.46</v>
      </c>
    </row>
    <row r="3068">
      <c r="A3068" s="1" t="s">
        <v>6128</v>
      </c>
      <c r="B3068" s="2">
        <v>1315.99</v>
      </c>
      <c r="C3068" s="2">
        <v>1315.99</v>
      </c>
      <c r="D3068" s="2">
        <v>2847.21</v>
      </c>
      <c r="E3068" s="2">
        <v>2847.21</v>
      </c>
      <c r="G3068" s="1" t="s">
        <v>6129</v>
      </c>
      <c r="H3068" s="2">
        <v>1799.13</v>
      </c>
      <c r="I3068" s="2">
        <v>1799.13</v>
      </c>
    </row>
    <row r="3069">
      <c r="A3069" s="1" t="s">
        <v>6130</v>
      </c>
      <c r="B3069" s="2">
        <v>1316.63</v>
      </c>
      <c r="C3069" s="2">
        <v>1316.63</v>
      </c>
      <c r="D3069" s="2">
        <v>2839.08</v>
      </c>
      <c r="E3069" s="2">
        <v>2839.08</v>
      </c>
      <c r="G3069" s="1" t="s">
        <v>6131</v>
      </c>
      <c r="H3069" s="2">
        <v>1828.69</v>
      </c>
      <c r="I3069" s="2">
        <v>1828.69</v>
      </c>
    </row>
    <row r="3070">
      <c r="A3070" s="1" t="s">
        <v>6132</v>
      </c>
      <c r="B3070" s="2">
        <v>1318.86</v>
      </c>
      <c r="C3070" s="2">
        <v>1318.86</v>
      </c>
      <c r="D3070" s="2">
        <v>2850.12</v>
      </c>
      <c r="E3070" s="2">
        <v>2850.12</v>
      </c>
      <c r="G3070" s="1" t="s">
        <v>6133</v>
      </c>
      <c r="H3070" s="2">
        <v>1808.62</v>
      </c>
      <c r="I3070" s="2">
        <v>1808.62</v>
      </c>
    </row>
    <row r="3071">
      <c r="A3071" s="1" t="s">
        <v>6134</v>
      </c>
      <c r="B3071" s="2">
        <v>1320.68</v>
      </c>
      <c r="C3071" s="2">
        <v>1320.68</v>
      </c>
      <c r="D3071" s="2">
        <v>2839.38</v>
      </c>
      <c r="E3071" s="2">
        <v>2839.38</v>
      </c>
      <c r="G3071" s="1" t="s">
        <v>6135</v>
      </c>
      <c r="H3071" s="2">
        <v>1814.47</v>
      </c>
      <c r="I3071" s="2">
        <v>1814.47</v>
      </c>
    </row>
    <row r="3072">
      <c r="A3072" s="1" t="s">
        <v>6136</v>
      </c>
      <c r="B3072" s="2">
        <v>1317.82</v>
      </c>
      <c r="C3072" s="2">
        <v>1317.82</v>
      </c>
      <c r="D3072" s="2">
        <v>2837.53</v>
      </c>
      <c r="E3072" s="2">
        <v>2837.53</v>
      </c>
      <c r="G3072" s="1" t="s">
        <v>6137</v>
      </c>
      <c r="H3072" s="2">
        <v>1824.17</v>
      </c>
      <c r="I3072" s="2">
        <v>1824.17</v>
      </c>
    </row>
    <row r="3073">
      <c r="A3073" s="1" t="s">
        <v>6138</v>
      </c>
      <c r="B3073" s="2" t="s">
        <v>0</v>
      </c>
      <c r="C3073" s="2">
        <v>1317.82</v>
      </c>
      <c r="D3073" s="2" t="s">
        <v>0</v>
      </c>
      <c r="E3073" s="2">
        <v>2837.53</v>
      </c>
      <c r="G3073" s="1" t="s">
        <v>6139</v>
      </c>
      <c r="H3073" s="2" t="s">
        <v>0</v>
      </c>
      <c r="I3073" s="2">
        <v>1824.17</v>
      </c>
    </row>
    <row r="3074">
      <c r="A3074" s="1" t="s">
        <v>6140</v>
      </c>
      <c r="B3074" s="2" t="s">
        <v>0</v>
      </c>
      <c r="C3074" s="2">
        <v>1317.82</v>
      </c>
      <c r="D3074" s="2" t="s">
        <v>0</v>
      </c>
      <c r="E3074" s="2">
        <v>2837.53</v>
      </c>
      <c r="G3074" s="1" t="s">
        <v>6141</v>
      </c>
      <c r="H3074" s="2" t="s">
        <v>0</v>
      </c>
      <c r="I3074" s="2">
        <v>1824.17</v>
      </c>
    </row>
    <row r="3075">
      <c r="A3075" s="1" t="s">
        <v>6142</v>
      </c>
      <c r="B3075" s="2" t="s">
        <v>0</v>
      </c>
      <c r="C3075" s="2">
        <v>1317.82</v>
      </c>
      <c r="D3075" s="2" t="s">
        <v>0</v>
      </c>
      <c r="E3075" s="2">
        <v>2837.53</v>
      </c>
      <c r="G3075" s="1" t="s">
        <v>6143</v>
      </c>
      <c r="H3075" s="2" t="s">
        <v>0</v>
      </c>
      <c r="I3075" s="2">
        <v>1824.17</v>
      </c>
    </row>
    <row r="3076">
      <c r="A3076" s="1" t="s">
        <v>6144</v>
      </c>
      <c r="B3076" s="2">
        <v>1332.42</v>
      </c>
      <c r="C3076" s="2">
        <v>1332.42</v>
      </c>
      <c r="D3076" s="2">
        <v>2870.99</v>
      </c>
      <c r="E3076" s="2">
        <v>2870.99</v>
      </c>
      <c r="G3076" s="1" t="s">
        <v>6145</v>
      </c>
      <c r="H3076" s="2">
        <v>1849.91</v>
      </c>
      <c r="I3076" s="2">
        <v>1849.91</v>
      </c>
    </row>
    <row r="3077">
      <c r="A3077" s="1" t="s">
        <v>6146</v>
      </c>
      <c r="B3077" s="2">
        <v>1313.32</v>
      </c>
      <c r="C3077" s="2">
        <v>1313.32</v>
      </c>
      <c r="D3077" s="2">
        <v>2837.36</v>
      </c>
      <c r="E3077" s="2">
        <v>2837.36</v>
      </c>
      <c r="G3077" s="1" t="s">
        <v>6147</v>
      </c>
      <c r="H3077" s="2">
        <v>1844.86</v>
      </c>
      <c r="I3077" s="2">
        <v>1844.86</v>
      </c>
    </row>
    <row r="3078">
      <c r="A3078" s="1" t="s">
        <v>6148</v>
      </c>
      <c r="B3078" s="2">
        <v>1310.33</v>
      </c>
      <c r="C3078" s="2">
        <v>1310.33</v>
      </c>
      <c r="D3078" s="2">
        <v>2827.34</v>
      </c>
      <c r="E3078" s="2">
        <v>2827.34</v>
      </c>
      <c r="G3078" s="1" t="s">
        <v>6149</v>
      </c>
      <c r="H3078" s="2">
        <v>1843.47</v>
      </c>
      <c r="I3078" s="2">
        <v>1843.47</v>
      </c>
    </row>
    <row r="3079">
      <c r="A3079" s="1" t="s">
        <v>6150</v>
      </c>
      <c r="B3079" s="2">
        <v>1278.04</v>
      </c>
      <c r="C3079" s="2">
        <v>1278.04</v>
      </c>
      <c r="D3079" s="2">
        <v>2747.48</v>
      </c>
      <c r="E3079" s="2">
        <v>2747.48</v>
      </c>
      <c r="G3079" s="1" t="s">
        <v>6151</v>
      </c>
      <c r="H3079" s="2">
        <v>1834.51</v>
      </c>
      <c r="I3079" s="2">
        <v>1834.51</v>
      </c>
    </row>
    <row r="3080">
      <c r="A3080" s="1" t="s">
        <v>6152</v>
      </c>
      <c r="B3080" s="2" t="s">
        <v>0</v>
      </c>
      <c r="C3080" s="2">
        <v>1278.04</v>
      </c>
      <c r="D3080" s="2" t="s">
        <v>0</v>
      </c>
      <c r="E3080" s="2">
        <v>2747.48</v>
      </c>
      <c r="G3080" s="1" t="s">
        <v>6153</v>
      </c>
      <c r="H3080" s="2" t="s">
        <v>0</v>
      </c>
      <c r="I3080" s="2">
        <v>1834.51</v>
      </c>
    </row>
    <row r="3081">
      <c r="A3081" s="1" t="s">
        <v>6154</v>
      </c>
      <c r="B3081" s="2" t="s">
        <v>0</v>
      </c>
      <c r="C3081" s="2">
        <v>1278.04</v>
      </c>
      <c r="D3081" s="2" t="s">
        <v>0</v>
      </c>
      <c r="E3081" s="2">
        <v>2747.48</v>
      </c>
      <c r="G3081" s="1" t="s">
        <v>6155</v>
      </c>
      <c r="H3081" s="2" t="s">
        <v>0</v>
      </c>
      <c r="I3081" s="2">
        <v>1834.51</v>
      </c>
    </row>
    <row r="3082">
      <c r="A3082" s="1" t="s">
        <v>6156</v>
      </c>
      <c r="B3082" s="2">
        <v>1278.18</v>
      </c>
      <c r="C3082" s="2">
        <v>1278.18</v>
      </c>
      <c r="D3082" s="2">
        <v>2760.01</v>
      </c>
      <c r="E3082" s="2">
        <v>2760.01</v>
      </c>
      <c r="G3082" s="1" t="s">
        <v>6157</v>
      </c>
      <c r="H3082" s="2">
        <v>1783.13</v>
      </c>
      <c r="I3082" s="2">
        <v>1783.13</v>
      </c>
    </row>
    <row r="3083">
      <c r="A3083" s="1" t="s">
        <v>6158</v>
      </c>
      <c r="B3083" s="2">
        <v>1285.5</v>
      </c>
      <c r="C3083" s="2">
        <v>1285.5</v>
      </c>
      <c r="D3083" s="2">
        <v>2778.11</v>
      </c>
      <c r="E3083" s="2">
        <v>2778.11</v>
      </c>
      <c r="G3083" s="1" t="s">
        <v>6159</v>
      </c>
      <c r="H3083" s="2">
        <v>1801.85</v>
      </c>
      <c r="I3083" s="2">
        <v>1801.85</v>
      </c>
    </row>
    <row r="3084">
      <c r="A3084" s="1" t="s">
        <v>6160</v>
      </c>
      <c r="B3084" s="2">
        <v>1315.13</v>
      </c>
      <c r="C3084" s="2">
        <v>1315.13</v>
      </c>
      <c r="D3084" s="2">
        <v>2844.72</v>
      </c>
      <c r="E3084" s="2">
        <v>2844.72</v>
      </c>
      <c r="G3084" s="1" t="s">
        <v>6161</v>
      </c>
      <c r="H3084" s="2" t="s">
        <v>0</v>
      </c>
      <c r="I3084" s="2">
        <v>1801.85</v>
      </c>
    </row>
    <row r="3085">
      <c r="A3085" s="1" t="s">
        <v>6162</v>
      </c>
      <c r="B3085" s="2">
        <v>1314.99</v>
      </c>
      <c r="C3085" s="2">
        <v>1314.99</v>
      </c>
      <c r="D3085" s="2">
        <v>2831.02</v>
      </c>
      <c r="E3085" s="2">
        <v>2831.02</v>
      </c>
      <c r="G3085" s="1" t="s">
        <v>6163</v>
      </c>
      <c r="H3085" s="2">
        <v>1847.95</v>
      </c>
      <c r="I3085" s="2">
        <v>1847.95</v>
      </c>
    </row>
    <row r="3086">
      <c r="A3086" s="1" t="s">
        <v>6164</v>
      </c>
      <c r="B3086" s="2">
        <v>1325.66</v>
      </c>
      <c r="C3086" s="2">
        <v>1325.66</v>
      </c>
      <c r="D3086" s="2">
        <v>2858.42</v>
      </c>
      <c r="E3086" s="2">
        <v>2858.42</v>
      </c>
      <c r="G3086" s="1" t="s">
        <v>6165</v>
      </c>
      <c r="H3086" s="2">
        <v>1835.64</v>
      </c>
      <c r="I3086" s="2">
        <v>1835.64</v>
      </c>
    </row>
    <row r="3087">
      <c r="A3087" s="1" t="s">
        <v>6166</v>
      </c>
      <c r="B3087" s="2" t="s">
        <v>0</v>
      </c>
      <c r="C3087" s="2">
        <v>1325.66</v>
      </c>
      <c r="D3087" s="2" t="s">
        <v>0</v>
      </c>
      <c r="E3087" s="2">
        <v>2858.42</v>
      </c>
      <c r="G3087" s="1" t="s">
        <v>6167</v>
      </c>
      <c r="H3087" s="2" t="s">
        <v>0</v>
      </c>
      <c r="I3087" s="2">
        <v>1835.64</v>
      </c>
    </row>
    <row r="3088">
      <c r="A3088" s="1" t="s">
        <v>6168</v>
      </c>
      <c r="B3088" s="2" t="s">
        <v>0</v>
      </c>
      <c r="C3088" s="2">
        <v>1325.66</v>
      </c>
      <c r="D3088" s="2" t="s">
        <v>0</v>
      </c>
      <c r="E3088" s="2">
        <v>2858.42</v>
      </c>
      <c r="G3088" s="1" t="s">
        <v>6169</v>
      </c>
      <c r="H3088" s="2" t="s">
        <v>0</v>
      </c>
      <c r="I3088" s="2">
        <v>1835.64</v>
      </c>
    </row>
    <row r="3089">
      <c r="A3089" s="1" t="s">
        <v>6170</v>
      </c>
      <c r="B3089" s="2">
        <v>1308.93</v>
      </c>
      <c r="C3089" s="2">
        <v>1308.93</v>
      </c>
      <c r="D3089" s="2">
        <v>2809.73</v>
      </c>
      <c r="E3089" s="2">
        <v>2809.73</v>
      </c>
      <c r="G3089" s="1" t="s">
        <v>6171</v>
      </c>
      <c r="H3089" s="2">
        <v>1867.04</v>
      </c>
      <c r="I3089" s="2">
        <v>1867.04</v>
      </c>
    </row>
    <row r="3090">
      <c r="A3090" s="1" t="s">
        <v>6172</v>
      </c>
      <c r="B3090" s="2">
        <v>1324.18</v>
      </c>
      <c r="C3090" s="2">
        <v>1324.18</v>
      </c>
      <c r="D3090" s="2">
        <v>2843.07</v>
      </c>
      <c r="E3090" s="2">
        <v>2843.07</v>
      </c>
      <c r="G3090" s="1" t="s">
        <v>6173</v>
      </c>
      <c r="H3090" s="2">
        <v>1854.74</v>
      </c>
      <c r="I3090" s="2">
        <v>1854.74</v>
      </c>
    </row>
    <row r="3091">
      <c r="A3091" s="1" t="s">
        <v>6174</v>
      </c>
      <c r="B3091" s="2">
        <v>1314.88</v>
      </c>
      <c r="C3091" s="2">
        <v>1314.88</v>
      </c>
      <c r="D3091" s="2">
        <v>2818.61</v>
      </c>
      <c r="E3091" s="2">
        <v>2818.61</v>
      </c>
      <c r="G3091" s="1" t="s">
        <v>6175</v>
      </c>
      <c r="H3091" s="2">
        <v>1859.32</v>
      </c>
      <c r="I3091" s="2">
        <v>1859.32</v>
      </c>
    </row>
    <row r="3092">
      <c r="A3092" s="1" t="s">
        <v>6176</v>
      </c>
      <c r="B3092" s="2">
        <v>1329.1</v>
      </c>
      <c r="C3092" s="2">
        <v>1329.1</v>
      </c>
      <c r="D3092" s="2">
        <v>2836.33</v>
      </c>
      <c r="E3092" s="2">
        <v>2836.33</v>
      </c>
      <c r="G3092" s="1" t="s">
        <v>6177</v>
      </c>
      <c r="H3092" s="2">
        <v>1871.48</v>
      </c>
      <c r="I3092" s="2">
        <v>1871.48</v>
      </c>
    </row>
    <row r="3093">
      <c r="A3093" s="1" t="s">
        <v>6178</v>
      </c>
      <c r="B3093" s="2">
        <v>1342.84</v>
      </c>
      <c r="C3093" s="2">
        <v>1342.84</v>
      </c>
      <c r="D3093" s="2">
        <v>2872.8</v>
      </c>
      <c r="E3093" s="2">
        <v>2872.8</v>
      </c>
      <c r="G3093" s="1" t="s">
        <v>6179</v>
      </c>
      <c r="H3093" s="2">
        <v>1858.16</v>
      </c>
      <c r="I3093" s="2">
        <v>1858.16</v>
      </c>
    </row>
    <row r="3094">
      <c r="A3094" s="1" t="s">
        <v>6180</v>
      </c>
      <c r="B3094" s="2" t="s">
        <v>0</v>
      </c>
      <c r="C3094" s="2">
        <v>1342.84</v>
      </c>
      <c r="D3094" s="2" t="s">
        <v>0</v>
      </c>
      <c r="E3094" s="2">
        <v>2872.8</v>
      </c>
      <c r="G3094" s="1" t="s">
        <v>6181</v>
      </c>
      <c r="H3094" s="2" t="s">
        <v>0</v>
      </c>
      <c r="I3094" s="2">
        <v>1858.16</v>
      </c>
    </row>
    <row r="3095">
      <c r="A3095" s="1" t="s">
        <v>6182</v>
      </c>
      <c r="B3095" s="2" t="s">
        <v>0</v>
      </c>
      <c r="C3095" s="2">
        <v>1342.84</v>
      </c>
      <c r="D3095" s="2" t="s">
        <v>0</v>
      </c>
      <c r="E3095" s="2">
        <v>2872.8</v>
      </c>
      <c r="G3095" s="1" t="s">
        <v>6183</v>
      </c>
      <c r="H3095" s="2" t="s">
        <v>0</v>
      </c>
      <c r="I3095" s="2">
        <v>1858.16</v>
      </c>
    </row>
    <row r="3096">
      <c r="A3096" s="1" t="s">
        <v>6184</v>
      </c>
      <c r="B3096" s="2">
        <v>1344.78</v>
      </c>
      <c r="C3096" s="2">
        <v>1344.78</v>
      </c>
      <c r="D3096" s="2">
        <v>2895.33</v>
      </c>
      <c r="E3096" s="2">
        <v>2895.33</v>
      </c>
      <c r="G3096" s="1" t="s">
        <v>6185</v>
      </c>
      <c r="H3096" s="2">
        <v>1891.71</v>
      </c>
      <c r="I3096" s="2">
        <v>1891.71</v>
      </c>
    </row>
    <row r="3097">
      <c r="A3097" s="1" t="s">
        <v>6186</v>
      </c>
      <c r="B3097" s="2">
        <v>1357.98</v>
      </c>
      <c r="C3097" s="2">
        <v>1357.98</v>
      </c>
      <c r="D3097" s="2">
        <v>2929.76</v>
      </c>
      <c r="E3097" s="2">
        <v>2929.76</v>
      </c>
      <c r="G3097" s="1" t="s">
        <v>6187</v>
      </c>
      <c r="H3097" s="2">
        <v>1891.77</v>
      </c>
      <c r="I3097" s="2">
        <v>1891.77</v>
      </c>
    </row>
    <row r="3098">
      <c r="A3098" s="1" t="s">
        <v>6188</v>
      </c>
      <c r="B3098" s="2">
        <v>1355.69</v>
      </c>
      <c r="C3098" s="2">
        <v>1355.69</v>
      </c>
      <c r="D3098" s="2">
        <v>2930.45</v>
      </c>
      <c r="E3098" s="2">
        <v>2930.45</v>
      </c>
      <c r="G3098" s="1" t="s">
        <v>6189</v>
      </c>
      <c r="H3098" s="2">
        <v>1904.12</v>
      </c>
      <c r="I3098" s="2">
        <v>1904.12</v>
      </c>
    </row>
    <row r="3099">
      <c r="A3099" s="1" t="s">
        <v>6190</v>
      </c>
      <c r="B3099" s="2">
        <v>1325.51</v>
      </c>
      <c r="C3099" s="2">
        <v>1325.51</v>
      </c>
      <c r="D3099" s="2">
        <v>2859.09</v>
      </c>
      <c r="E3099" s="2">
        <v>2859.09</v>
      </c>
      <c r="G3099" s="1" t="s">
        <v>6191</v>
      </c>
      <c r="H3099" s="2">
        <v>1889.15</v>
      </c>
      <c r="I3099" s="2">
        <v>1889.15</v>
      </c>
    </row>
    <row r="3100">
      <c r="A3100" s="1" t="s">
        <v>6192</v>
      </c>
      <c r="B3100" s="2">
        <v>1335.02</v>
      </c>
      <c r="C3100" s="2">
        <v>1335.02</v>
      </c>
      <c r="D3100" s="2">
        <v>2892.42</v>
      </c>
      <c r="E3100" s="2">
        <v>2892.42</v>
      </c>
      <c r="G3100" s="1" t="s">
        <v>6193</v>
      </c>
      <c r="H3100" s="2">
        <v>1847.39</v>
      </c>
      <c r="I3100" s="2">
        <v>1847.39</v>
      </c>
    </row>
    <row r="3101">
      <c r="A3101" s="1" t="s">
        <v>6194</v>
      </c>
      <c r="B3101" s="2" t="s">
        <v>0</v>
      </c>
      <c r="C3101" s="2">
        <v>1335.02</v>
      </c>
      <c r="D3101" s="2" t="s">
        <v>0</v>
      </c>
      <c r="E3101" s="2">
        <v>2892.42</v>
      </c>
      <c r="G3101" s="1" t="s">
        <v>6195</v>
      </c>
      <c r="H3101" s="2" t="s">
        <v>0</v>
      </c>
      <c r="I3101" s="2">
        <v>1847.39</v>
      </c>
    </row>
    <row r="3102">
      <c r="A3102" s="1" t="s">
        <v>6196</v>
      </c>
      <c r="B3102" s="2" t="s">
        <v>0</v>
      </c>
      <c r="C3102" s="2">
        <v>1335.02</v>
      </c>
      <c r="D3102" s="2" t="s">
        <v>0</v>
      </c>
      <c r="E3102" s="2">
        <v>2892.42</v>
      </c>
      <c r="G3102" s="1" t="s">
        <v>6197</v>
      </c>
      <c r="H3102" s="2" t="s">
        <v>0</v>
      </c>
      <c r="I3102" s="2">
        <v>1847.39</v>
      </c>
    </row>
    <row r="3103">
      <c r="A3103" s="1" t="s">
        <v>6198</v>
      </c>
      <c r="B3103" s="2">
        <v>1313.72</v>
      </c>
      <c r="C3103" s="2">
        <v>1313.72</v>
      </c>
      <c r="D3103" s="2">
        <v>2836.16</v>
      </c>
      <c r="E3103" s="2">
        <v>2836.16</v>
      </c>
      <c r="G3103" s="1" t="s">
        <v>6199</v>
      </c>
      <c r="H3103" s="2">
        <v>1825.38</v>
      </c>
      <c r="I3103" s="2">
        <v>1825.38</v>
      </c>
    </row>
    <row r="3104">
      <c r="A3104" s="1" t="s">
        <v>6200</v>
      </c>
      <c r="B3104" s="2">
        <v>1319.99</v>
      </c>
      <c r="C3104" s="2">
        <v>1319.99</v>
      </c>
      <c r="D3104" s="2">
        <v>2854.06</v>
      </c>
      <c r="E3104" s="2">
        <v>2854.06</v>
      </c>
      <c r="G3104" s="1" t="s">
        <v>6201</v>
      </c>
      <c r="H3104" s="2">
        <v>1817.81</v>
      </c>
      <c r="I3104" s="2">
        <v>1817.81</v>
      </c>
    </row>
    <row r="3105">
      <c r="A3105" s="1" t="s">
        <v>6202</v>
      </c>
      <c r="B3105" s="2">
        <v>1331.85</v>
      </c>
      <c r="C3105" s="2">
        <v>1331.85</v>
      </c>
      <c r="D3105" s="2">
        <v>2875.32</v>
      </c>
      <c r="E3105" s="2">
        <v>2875.32</v>
      </c>
      <c r="G3105" s="1" t="s">
        <v>6203</v>
      </c>
      <c r="H3105" s="2">
        <v>1817.65</v>
      </c>
      <c r="I3105" s="2">
        <v>1817.65</v>
      </c>
    </row>
    <row r="3106">
      <c r="A3106" s="1" t="s">
        <v>6204</v>
      </c>
      <c r="B3106" s="2">
        <v>1329.04</v>
      </c>
      <c r="C3106" s="2">
        <v>1329.04</v>
      </c>
      <c r="D3106" s="2">
        <v>2849.49</v>
      </c>
      <c r="E3106" s="2">
        <v>2849.49</v>
      </c>
      <c r="G3106" s="1" t="s">
        <v>6205</v>
      </c>
      <c r="H3106" s="2">
        <v>1819.18</v>
      </c>
      <c r="I3106" s="2">
        <v>1819.18</v>
      </c>
    </row>
    <row r="3107">
      <c r="A3107" s="1" t="s">
        <v>6206</v>
      </c>
      <c r="B3107" s="2">
        <v>1362.16</v>
      </c>
      <c r="C3107" s="2">
        <v>1362.16</v>
      </c>
      <c r="D3107" s="2">
        <v>2935.05</v>
      </c>
      <c r="E3107" s="2">
        <v>2935.05</v>
      </c>
      <c r="G3107" s="1" t="s">
        <v>6207</v>
      </c>
      <c r="H3107" s="2">
        <v>1854.01</v>
      </c>
      <c r="I3107" s="2">
        <v>1854.01</v>
      </c>
    </row>
    <row r="3108">
      <c r="A3108" s="1" t="s">
        <v>6208</v>
      </c>
      <c r="B3108" s="2" t="s">
        <v>0</v>
      </c>
      <c r="C3108" s="2">
        <v>1362.16</v>
      </c>
      <c r="D3108" s="2" t="s">
        <v>0</v>
      </c>
      <c r="E3108" s="2">
        <v>2935.05</v>
      </c>
      <c r="G3108" s="1" t="s">
        <v>6209</v>
      </c>
      <c r="H3108" s="2" t="s">
        <v>0</v>
      </c>
      <c r="I3108" s="2">
        <v>1854.01</v>
      </c>
    </row>
    <row r="3109">
      <c r="A3109" s="1" t="s">
        <v>6210</v>
      </c>
      <c r="B3109" s="2" t="s">
        <v>0</v>
      </c>
      <c r="C3109" s="2">
        <v>1362.16</v>
      </c>
      <c r="D3109" s="2" t="s">
        <v>0</v>
      </c>
      <c r="E3109" s="2">
        <v>2935.05</v>
      </c>
      <c r="G3109" s="1" t="s">
        <v>6211</v>
      </c>
      <c r="H3109" s="2" t="s">
        <v>0</v>
      </c>
      <c r="I3109" s="2">
        <v>1854.01</v>
      </c>
    </row>
    <row r="3110">
      <c r="A3110" s="1" t="s">
        <v>6212</v>
      </c>
      <c r="B3110" s="2">
        <v>1365.51</v>
      </c>
      <c r="C3110" s="2">
        <v>1365.51</v>
      </c>
      <c r="D3110" s="2">
        <v>2951.23</v>
      </c>
      <c r="E3110" s="2">
        <v>2951.23</v>
      </c>
      <c r="G3110" s="1" t="s">
        <v>6213</v>
      </c>
      <c r="H3110" s="2">
        <v>1851.65</v>
      </c>
      <c r="I3110" s="2">
        <v>1851.65</v>
      </c>
    </row>
    <row r="3111">
      <c r="A3111" s="1" t="s">
        <v>6214</v>
      </c>
      <c r="B3111" s="2">
        <v>1374.02</v>
      </c>
      <c r="C3111" s="2">
        <v>1374.02</v>
      </c>
      <c r="D3111" s="2">
        <v>2976.08</v>
      </c>
      <c r="E3111" s="2">
        <v>2976.08</v>
      </c>
      <c r="G3111" s="1" t="s">
        <v>6215</v>
      </c>
      <c r="H3111" s="2">
        <v>1867.82</v>
      </c>
      <c r="I3111" s="2">
        <v>1867.82</v>
      </c>
    </row>
    <row r="3112">
      <c r="A3112" s="1" t="s">
        <v>6216</v>
      </c>
      <c r="B3112" s="2">
        <v>1374.02</v>
      </c>
      <c r="C3112" s="2">
        <v>1374.02</v>
      </c>
      <c r="D3112" s="2" t="s">
        <v>0</v>
      </c>
      <c r="E3112" s="2">
        <v>2976.08</v>
      </c>
      <c r="G3112" s="1" t="s">
        <v>6217</v>
      </c>
      <c r="H3112" s="2">
        <v>1874.45</v>
      </c>
      <c r="I3112" s="2">
        <v>1874.45</v>
      </c>
    </row>
    <row r="3113">
      <c r="A3113" s="1" t="s">
        <v>6218</v>
      </c>
      <c r="B3113" s="2">
        <v>1367.58</v>
      </c>
      <c r="C3113" s="2">
        <v>1367.58</v>
      </c>
      <c r="D3113" s="2">
        <v>2976.12</v>
      </c>
      <c r="E3113" s="2">
        <v>2976.12</v>
      </c>
      <c r="G3113" s="1" t="s">
        <v>6219</v>
      </c>
      <c r="H3113" s="2">
        <v>1875.49</v>
      </c>
      <c r="I3113" s="2">
        <v>1875.49</v>
      </c>
    </row>
    <row r="3114">
      <c r="A3114" s="1" t="s">
        <v>6220</v>
      </c>
      <c r="B3114" s="2">
        <v>1354.68</v>
      </c>
      <c r="C3114" s="2">
        <v>1354.68</v>
      </c>
      <c r="D3114" s="2">
        <v>2937.33</v>
      </c>
      <c r="E3114" s="2">
        <v>2937.33</v>
      </c>
      <c r="G3114" s="1" t="s">
        <v>6221</v>
      </c>
      <c r="H3114" s="2">
        <v>1858.2</v>
      </c>
      <c r="I3114" s="2">
        <v>1858.2</v>
      </c>
    </row>
    <row r="3115">
      <c r="A3115" s="1" t="s">
        <v>6222</v>
      </c>
      <c r="B3115" s="2" t="s">
        <v>0</v>
      </c>
      <c r="C3115" s="2">
        <v>1354.68</v>
      </c>
      <c r="D3115" s="2" t="s">
        <v>0</v>
      </c>
      <c r="E3115" s="2">
        <v>2937.33</v>
      </c>
      <c r="G3115" s="1" t="s">
        <v>6223</v>
      </c>
      <c r="H3115" s="2" t="s">
        <v>0</v>
      </c>
      <c r="I3115" s="2">
        <v>1858.2</v>
      </c>
    </row>
    <row r="3116">
      <c r="A3116" s="1" t="s">
        <v>6224</v>
      </c>
      <c r="B3116" s="2" t="s">
        <v>0</v>
      </c>
      <c r="C3116" s="2">
        <v>1354.68</v>
      </c>
      <c r="D3116" s="2" t="s">
        <v>0</v>
      </c>
      <c r="E3116" s="2">
        <v>2937.33</v>
      </c>
      <c r="G3116" s="1" t="s">
        <v>6225</v>
      </c>
      <c r="H3116" s="2" t="s">
        <v>0</v>
      </c>
      <c r="I3116" s="2">
        <v>1858.2</v>
      </c>
    </row>
    <row r="3117">
      <c r="A3117" s="1" t="s">
        <v>6226</v>
      </c>
      <c r="B3117" s="2">
        <v>1352.46</v>
      </c>
      <c r="C3117" s="2">
        <v>1352.46</v>
      </c>
      <c r="D3117" s="2">
        <v>2931.77</v>
      </c>
      <c r="E3117" s="2">
        <v>2931.77</v>
      </c>
      <c r="G3117" s="1" t="s">
        <v>6227</v>
      </c>
      <c r="H3117" s="2">
        <v>1836.13</v>
      </c>
      <c r="I3117" s="2">
        <v>1836.13</v>
      </c>
    </row>
    <row r="3118">
      <c r="A3118" s="1" t="s">
        <v>6228</v>
      </c>
      <c r="B3118" s="2">
        <v>1341.47</v>
      </c>
      <c r="C3118" s="2">
        <v>1341.47</v>
      </c>
      <c r="D3118" s="2">
        <v>2902.33</v>
      </c>
      <c r="E3118" s="2">
        <v>2902.33</v>
      </c>
      <c r="G3118" s="1" t="s">
        <v>6229</v>
      </c>
      <c r="H3118" s="2">
        <v>1829.45</v>
      </c>
      <c r="I3118" s="2">
        <v>1829.45</v>
      </c>
    </row>
    <row r="3119">
      <c r="A3119" s="1" t="s">
        <v>6230</v>
      </c>
      <c r="B3119" s="2">
        <v>1341.45</v>
      </c>
      <c r="C3119" s="2">
        <v>1341.45</v>
      </c>
      <c r="D3119" s="2">
        <v>2887.98</v>
      </c>
      <c r="E3119" s="2">
        <v>2887.98</v>
      </c>
      <c r="G3119" s="1" t="s">
        <v>6231</v>
      </c>
      <c r="H3119" s="2">
        <v>1826.39</v>
      </c>
      <c r="I3119" s="2">
        <v>1826.39</v>
      </c>
    </row>
    <row r="3120">
      <c r="A3120" s="1" t="s">
        <v>6232</v>
      </c>
      <c r="B3120" s="2">
        <v>1334.76</v>
      </c>
      <c r="C3120" s="2">
        <v>1334.76</v>
      </c>
      <c r="D3120" s="2">
        <v>2866.19</v>
      </c>
      <c r="E3120" s="2">
        <v>2866.19</v>
      </c>
      <c r="G3120" s="1" t="s">
        <v>6233</v>
      </c>
      <c r="H3120" s="2">
        <v>1785.39</v>
      </c>
      <c r="I3120" s="2">
        <v>1785.39</v>
      </c>
    </row>
    <row r="3121">
      <c r="A3121" s="1" t="s">
        <v>6234</v>
      </c>
      <c r="B3121" s="2">
        <v>1356.78</v>
      </c>
      <c r="C3121" s="2">
        <v>1356.78</v>
      </c>
      <c r="D3121" s="2">
        <v>2908.47</v>
      </c>
      <c r="E3121" s="2">
        <v>2908.47</v>
      </c>
      <c r="G3121" s="1" t="s">
        <v>6235</v>
      </c>
      <c r="H3121" s="2">
        <v>1812.89</v>
      </c>
      <c r="I3121" s="2">
        <v>1812.89</v>
      </c>
    </row>
    <row r="3122">
      <c r="A3122" s="1" t="s">
        <v>6236</v>
      </c>
      <c r="B3122" s="2" t="s">
        <v>0</v>
      </c>
      <c r="C3122" s="2">
        <v>1356.78</v>
      </c>
      <c r="D3122" s="2" t="s">
        <v>0</v>
      </c>
      <c r="E3122" s="2">
        <v>2908.47</v>
      </c>
      <c r="G3122" s="1" t="s">
        <v>6237</v>
      </c>
      <c r="H3122" s="2" t="s">
        <v>0</v>
      </c>
      <c r="I3122" s="2">
        <v>1812.89</v>
      </c>
    </row>
    <row r="3123">
      <c r="A3123" s="1" t="s">
        <v>6238</v>
      </c>
      <c r="B3123" s="2" t="s">
        <v>0</v>
      </c>
      <c r="C3123" s="2">
        <v>1356.78</v>
      </c>
      <c r="D3123" s="2" t="s">
        <v>0</v>
      </c>
      <c r="E3123" s="2">
        <v>2908.47</v>
      </c>
      <c r="G3123" s="1" t="s">
        <v>6239</v>
      </c>
      <c r="H3123" s="2" t="s">
        <v>0</v>
      </c>
      <c r="I3123" s="2">
        <v>1812.89</v>
      </c>
    </row>
    <row r="3124">
      <c r="A3124" s="1" t="s">
        <v>6240</v>
      </c>
      <c r="B3124" s="2">
        <v>1353.64</v>
      </c>
      <c r="C3124" s="2">
        <v>1353.64</v>
      </c>
      <c r="D3124" s="2">
        <v>2896.94</v>
      </c>
      <c r="E3124" s="2">
        <v>2896.94</v>
      </c>
      <c r="G3124" s="1" t="s">
        <v>6241</v>
      </c>
      <c r="H3124" s="2">
        <v>1817.79</v>
      </c>
      <c r="I3124" s="2">
        <v>1817.79</v>
      </c>
    </row>
    <row r="3125">
      <c r="A3125" s="1" t="s">
        <v>6242</v>
      </c>
      <c r="B3125" s="2">
        <v>1363.67</v>
      </c>
      <c r="C3125" s="2">
        <v>1363.67</v>
      </c>
      <c r="D3125" s="2">
        <v>2910.04</v>
      </c>
      <c r="E3125" s="2">
        <v>2910.04</v>
      </c>
      <c r="G3125" s="1" t="s">
        <v>6243</v>
      </c>
      <c r="H3125" s="2">
        <v>1821.96</v>
      </c>
      <c r="I3125" s="2">
        <v>1821.96</v>
      </c>
    </row>
    <row r="3126">
      <c r="A3126" s="1" t="s">
        <v>6244</v>
      </c>
      <c r="B3126" s="2">
        <v>1372.78</v>
      </c>
      <c r="C3126" s="2">
        <v>1372.78</v>
      </c>
      <c r="D3126" s="2">
        <v>2942.6</v>
      </c>
      <c r="E3126" s="2">
        <v>2942.6</v>
      </c>
      <c r="G3126" s="1" t="s">
        <v>6245</v>
      </c>
      <c r="H3126" s="2">
        <v>1794.91</v>
      </c>
      <c r="I3126" s="2">
        <v>1794.91</v>
      </c>
    </row>
    <row r="3127">
      <c r="A3127" s="1" t="s">
        <v>6246</v>
      </c>
      <c r="B3127" s="2">
        <v>1376.51</v>
      </c>
      <c r="C3127" s="2">
        <v>1376.51</v>
      </c>
      <c r="D3127" s="2">
        <v>2965.9</v>
      </c>
      <c r="E3127" s="2">
        <v>2965.9</v>
      </c>
      <c r="G3127" s="1" t="s">
        <v>6247</v>
      </c>
      <c r="H3127" s="2">
        <v>1822.96</v>
      </c>
      <c r="I3127" s="2">
        <v>1822.96</v>
      </c>
    </row>
    <row r="3128">
      <c r="A3128" s="1" t="s">
        <v>6248</v>
      </c>
      <c r="B3128" s="2">
        <v>1362.66</v>
      </c>
      <c r="C3128" s="2">
        <v>1362.66</v>
      </c>
      <c r="D3128" s="2">
        <v>2925.3</v>
      </c>
      <c r="E3128" s="2">
        <v>2925.3</v>
      </c>
      <c r="G3128" s="1" t="s">
        <v>6249</v>
      </c>
      <c r="H3128" s="2">
        <v>1822.93</v>
      </c>
      <c r="I3128" s="2">
        <v>1822.93</v>
      </c>
    </row>
    <row r="3129">
      <c r="A3129" s="1" t="s">
        <v>6250</v>
      </c>
      <c r="B3129" s="2" t="s">
        <v>0</v>
      </c>
      <c r="C3129" s="2">
        <v>1362.66</v>
      </c>
      <c r="D3129" s="2" t="s">
        <v>0</v>
      </c>
      <c r="E3129" s="2">
        <v>2925.3</v>
      </c>
      <c r="G3129" s="1" t="s">
        <v>6251</v>
      </c>
      <c r="H3129" s="2" t="s">
        <v>0</v>
      </c>
      <c r="I3129" s="2">
        <v>1822.93</v>
      </c>
    </row>
    <row r="3130">
      <c r="A3130" s="1" t="s">
        <v>6252</v>
      </c>
      <c r="B3130" s="2" t="s">
        <v>0</v>
      </c>
      <c r="C3130" s="2">
        <v>1362.66</v>
      </c>
      <c r="D3130" s="2" t="s">
        <v>0</v>
      </c>
      <c r="E3130" s="2">
        <v>2925.3</v>
      </c>
      <c r="G3130" s="1" t="s">
        <v>6253</v>
      </c>
      <c r="H3130" s="2" t="s">
        <v>0</v>
      </c>
      <c r="I3130" s="2">
        <v>1822.93</v>
      </c>
    </row>
    <row r="3131">
      <c r="A3131" s="1" t="s">
        <v>6254</v>
      </c>
      <c r="B3131" s="2">
        <v>1350.52</v>
      </c>
      <c r="C3131" s="2">
        <v>1350.52</v>
      </c>
      <c r="D3131" s="2">
        <v>2890.15</v>
      </c>
      <c r="E3131" s="2">
        <v>2890.15</v>
      </c>
      <c r="G3131" s="1" t="s">
        <v>6255</v>
      </c>
      <c r="H3131" s="2">
        <v>1789.44</v>
      </c>
      <c r="I3131" s="2">
        <v>1789.44</v>
      </c>
    </row>
    <row r="3132">
      <c r="A3132" s="1" t="s">
        <v>6256</v>
      </c>
      <c r="B3132" s="2">
        <v>1338.31</v>
      </c>
      <c r="C3132" s="2">
        <v>1338.31</v>
      </c>
      <c r="D3132" s="2">
        <v>2862.99</v>
      </c>
      <c r="E3132" s="2">
        <v>2862.99</v>
      </c>
      <c r="G3132" s="1" t="s">
        <v>6257</v>
      </c>
      <c r="H3132" s="2">
        <v>1793.93</v>
      </c>
      <c r="I3132" s="2">
        <v>1793.93</v>
      </c>
    </row>
    <row r="3133">
      <c r="A3133" s="1" t="s">
        <v>6258</v>
      </c>
      <c r="B3133" s="2">
        <v>1337.89</v>
      </c>
      <c r="C3133" s="2">
        <v>1337.89</v>
      </c>
      <c r="D3133" s="2">
        <v>2854.24</v>
      </c>
      <c r="E3133" s="2">
        <v>2854.24</v>
      </c>
      <c r="G3133" s="1" t="s">
        <v>6259</v>
      </c>
      <c r="H3133" s="2">
        <v>1769.31</v>
      </c>
      <c r="I3133" s="2">
        <v>1769.31</v>
      </c>
    </row>
    <row r="3134">
      <c r="A3134" s="1" t="s">
        <v>6260</v>
      </c>
      <c r="B3134" s="2">
        <v>1360.02</v>
      </c>
      <c r="C3134" s="2">
        <v>1360.02</v>
      </c>
      <c r="D3134" s="2">
        <v>2893.25</v>
      </c>
      <c r="E3134" s="2">
        <v>2893.25</v>
      </c>
      <c r="G3134" s="1" t="s">
        <v>6261</v>
      </c>
      <c r="H3134" s="2">
        <v>1782.47</v>
      </c>
      <c r="I3134" s="2">
        <v>1782.47</v>
      </c>
    </row>
    <row r="3135">
      <c r="A3135" s="1" t="s">
        <v>6262</v>
      </c>
      <c r="B3135" s="2">
        <v>1385.97</v>
      </c>
      <c r="C3135" s="2">
        <v>1385.97</v>
      </c>
      <c r="D3135" s="2">
        <v>2958.09</v>
      </c>
      <c r="E3135" s="2">
        <v>2958.09</v>
      </c>
      <c r="G3135" s="1" t="s">
        <v>6263</v>
      </c>
      <c r="H3135" s="2">
        <v>1829.16</v>
      </c>
      <c r="I3135" s="2">
        <v>1829.16</v>
      </c>
    </row>
    <row r="3136">
      <c r="A3136" s="1" t="s">
        <v>6264</v>
      </c>
      <c r="B3136" s="2" t="s">
        <v>0</v>
      </c>
      <c r="C3136" s="2">
        <v>1385.97</v>
      </c>
      <c r="D3136" s="2" t="s">
        <v>0</v>
      </c>
      <c r="E3136" s="2">
        <v>2958.09</v>
      </c>
      <c r="G3136" s="1" t="s">
        <v>6265</v>
      </c>
      <c r="H3136" s="2" t="s">
        <v>0</v>
      </c>
      <c r="I3136" s="2">
        <v>1829.16</v>
      </c>
    </row>
    <row r="3137">
      <c r="A3137" s="1" t="s">
        <v>6266</v>
      </c>
      <c r="B3137" s="2" t="s">
        <v>0</v>
      </c>
      <c r="C3137" s="2">
        <v>1385.97</v>
      </c>
      <c r="D3137" s="2" t="s">
        <v>0</v>
      </c>
      <c r="E3137" s="2">
        <v>2958.09</v>
      </c>
      <c r="G3137" s="1" t="s">
        <v>6267</v>
      </c>
      <c r="H3137" s="2" t="s">
        <v>0</v>
      </c>
      <c r="I3137" s="2">
        <v>1829.16</v>
      </c>
    </row>
    <row r="3138">
      <c r="A3138" s="1" t="s">
        <v>6268</v>
      </c>
      <c r="B3138" s="2">
        <v>1385.3</v>
      </c>
      <c r="C3138" s="2">
        <v>1385.3</v>
      </c>
      <c r="D3138" s="2">
        <v>2945.84</v>
      </c>
      <c r="E3138" s="2">
        <v>2945.84</v>
      </c>
      <c r="G3138" s="1" t="s">
        <v>6269</v>
      </c>
      <c r="H3138" s="2">
        <v>1843.79</v>
      </c>
      <c r="I3138" s="2">
        <v>1843.79</v>
      </c>
    </row>
    <row r="3139">
      <c r="A3139" s="1" t="s">
        <v>6270</v>
      </c>
      <c r="B3139" s="2">
        <v>1379.32</v>
      </c>
      <c r="C3139" s="2">
        <v>1379.32</v>
      </c>
      <c r="D3139" s="2">
        <v>2939.52</v>
      </c>
      <c r="E3139" s="2">
        <v>2939.52</v>
      </c>
      <c r="G3139" s="1" t="s">
        <v>6271</v>
      </c>
      <c r="H3139" s="2">
        <v>1881.99</v>
      </c>
      <c r="I3139" s="2">
        <v>1881.99</v>
      </c>
    </row>
    <row r="3140">
      <c r="A3140" s="1" t="s">
        <v>6272</v>
      </c>
      <c r="B3140" s="2">
        <v>1375.32</v>
      </c>
      <c r="C3140" s="2">
        <v>1375.32</v>
      </c>
      <c r="D3140" s="2">
        <v>2920.21</v>
      </c>
      <c r="E3140" s="2">
        <v>2920.21</v>
      </c>
      <c r="G3140" s="1" t="s">
        <v>6273</v>
      </c>
      <c r="H3140" s="2">
        <v>1879.93</v>
      </c>
      <c r="I3140" s="2">
        <v>1879.93</v>
      </c>
    </row>
    <row r="3141">
      <c r="A3141" s="1" t="s">
        <v>6274</v>
      </c>
      <c r="B3141" s="2">
        <v>1365.0</v>
      </c>
      <c r="C3141" s="2">
        <v>1365.0</v>
      </c>
      <c r="D3141" s="2">
        <v>2909.77</v>
      </c>
      <c r="E3141" s="2">
        <v>2909.77</v>
      </c>
      <c r="G3141" s="1" t="s">
        <v>6275</v>
      </c>
      <c r="H3141" s="2">
        <v>1869.4</v>
      </c>
      <c r="I3141" s="2">
        <v>1869.4</v>
      </c>
    </row>
    <row r="3142">
      <c r="A3142" s="1" t="s">
        <v>6276</v>
      </c>
      <c r="B3142" s="2">
        <v>1390.99</v>
      </c>
      <c r="C3142" s="2">
        <v>1390.99</v>
      </c>
      <c r="D3142" s="2">
        <v>2967.9</v>
      </c>
      <c r="E3142" s="2">
        <v>2967.9</v>
      </c>
      <c r="G3142" s="1" t="s">
        <v>6277</v>
      </c>
      <c r="H3142" s="2">
        <v>1848.68</v>
      </c>
      <c r="I3142" s="2">
        <v>1848.68</v>
      </c>
    </row>
    <row r="3143">
      <c r="A3143" s="1" t="s">
        <v>6278</v>
      </c>
      <c r="B3143" s="2" t="s">
        <v>0</v>
      </c>
      <c r="C3143" s="2">
        <v>1390.99</v>
      </c>
      <c r="D3143" s="2" t="s">
        <v>0</v>
      </c>
      <c r="E3143" s="2">
        <v>2967.9</v>
      </c>
      <c r="G3143" s="1" t="s">
        <v>6279</v>
      </c>
      <c r="H3143" s="2" t="s">
        <v>0</v>
      </c>
      <c r="I3143" s="2">
        <v>1848.68</v>
      </c>
    </row>
    <row r="3144">
      <c r="A3144" s="1" t="s">
        <v>6280</v>
      </c>
      <c r="B3144" s="2" t="s">
        <v>0</v>
      </c>
      <c r="C3144" s="2">
        <v>1390.99</v>
      </c>
      <c r="D3144" s="2" t="s">
        <v>0</v>
      </c>
      <c r="E3144" s="2">
        <v>2967.9</v>
      </c>
      <c r="G3144" s="1" t="s">
        <v>6281</v>
      </c>
      <c r="H3144" s="2" t="s">
        <v>0</v>
      </c>
      <c r="I3144" s="2">
        <v>1848.68</v>
      </c>
    </row>
    <row r="3145">
      <c r="A3145" s="1" t="s">
        <v>6282</v>
      </c>
      <c r="B3145" s="2">
        <v>1394.23</v>
      </c>
      <c r="C3145" s="2">
        <v>1394.23</v>
      </c>
      <c r="D3145" s="2">
        <v>2989.91</v>
      </c>
      <c r="E3145" s="2">
        <v>2989.91</v>
      </c>
      <c r="G3145" s="1" t="s">
        <v>6283</v>
      </c>
      <c r="H3145" s="2">
        <v>1885.88</v>
      </c>
      <c r="I3145" s="2">
        <v>1885.88</v>
      </c>
    </row>
    <row r="3146">
      <c r="A3146" s="1" t="s">
        <v>6284</v>
      </c>
      <c r="B3146" s="2">
        <v>1401.35</v>
      </c>
      <c r="C3146" s="2">
        <v>1401.35</v>
      </c>
      <c r="D3146" s="2">
        <v>3015.86</v>
      </c>
      <c r="E3146" s="2">
        <v>3015.86</v>
      </c>
      <c r="G3146" s="1" t="s">
        <v>6285</v>
      </c>
      <c r="H3146" s="2">
        <v>1886.8</v>
      </c>
      <c r="I3146" s="2">
        <v>1886.8</v>
      </c>
    </row>
    <row r="3147">
      <c r="A3147" s="1" t="s">
        <v>6286</v>
      </c>
      <c r="B3147" s="2">
        <v>1402.22</v>
      </c>
      <c r="C3147" s="2">
        <v>1402.22</v>
      </c>
      <c r="D3147" s="2">
        <v>3011.25</v>
      </c>
      <c r="E3147" s="2">
        <v>3011.25</v>
      </c>
      <c r="G3147" s="1" t="s">
        <v>6287</v>
      </c>
      <c r="H3147" s="2">
        <v>1903.23</v>
      </c>
      <c r="I3147" s="2">
        <v>1903.23</v>
      </c>
    </row>
    <row r="3148">
      <c r="A3148" s="1" t="s">
        <v>6288</v>
      </c>
      <c r="B3148" s="2">
        <v>1402.8</v>
      </c>
      <c r="C3148" s="2">
        <v>1402.8</v>
      </c>
      <c r="D3148" s="2">
        <v>3018.64</v>
      </c>
      <c r="E3148" s="2">
        <v>3018.64</v>
      </c>
      <c r="G3148" s="1" t="s">
        <v>6289</v>
      </c>
      <c r="H3148" s="2">
        <v>1940.59</v>
      </c>
      <c r="I3148" s="2">
        <v>1940.59</v>
      </c>
    </row>
    <row r="3149">
      <c r="A3149" s="1" t="s">
        <v>6290</v>
      </c>
      <c r="B3149" s="2">
        <v>1405.87</v>
      </c>
      <c r="C3149" s="2">
        <v>1405.87</v>
      </c>
      <c r="D3149" s="2">
        <v>3020.86</v>
      </c>
      <c r="E3149" s="2">
        <v>3020.86</v>
      </c>
      <c r="G3149" s="1" t="s">
        <v>6291</v>
      </c>
      <c r="H3149" s="2">
        <v>1946.4</v>
      </c>
      <c r="I3149" s="2">
        <v>1946.4</v>
      </c>
    </row>
    <row r="3150">
      <c r="A3150" s="1" t="s">
        <v>6292</v>
      </c>
      <c r="B3150" s="2" t="s">
        <v>0</v>
      </c>
      <c r="C3150" s="2">
        <v>1405.87</v>
      </c>
      <c r="D3150" s="2" t="s">
        <v>0</v>
      </c>
      <c r="E3150" s="2">
        <v>3020.86</v>
      </c>
      <c r="G3150" s="1" t="s">
        <v>6293</v>
      </c>
      <c r="H3150" s="2" t="s">
        <v>0</v>
      </c>
      <c r="I3150" s="2">
        <v>1946.4</v>
      </c>
    </row>
    <row r="3151">
      <c r="A3151" s="1" t="s">
        <v>6294</v>
      </c>
      <c r="B3151" s="2" t="s">
        <v>0</v>
      </c>
      <c r="C3151" s="2">
        <v>1405.87</v>
      </c>
      <c r="D3151" s="2" t="s">
        <v>0</v>
      </c>
      <c r="E3151" s="2">
        <v>3020.86</v>
      </c>
      <c r="G3151" s="1" t="s">
        <v>6295</v>
      </c>
      <c r="H3151" s="2" t="s">
        <v>0</v>
      </c>
      <c r="I3151" s="2">
        <v>1946.4</v>
      </c>
    </row>
    <row r="3152">
      <c r="A3152" s="1" t="s">
        <v>6296</v>
      </c>
      <c r="B3152" s="2">
        <v>1404.11</v>
      </c>
      <c r="C3152" s="2">
        <v>1404.11</v>
      </c>
      <c r="D3152" s="2">
        <v>3022.52</v>
      </c>
      <c r="E3152" s="2">
        <v>3022.52</v>
      </c>
      <c r="G3152" s="1" t="s">
        <v>6297</v>
      </c>
      <c r="H3152" s="2">
        <v>1932.44</v>
      </c>
      <c r="I3152" s="2">
        <v>1932.44</v>
      </c>
    </row>
    <row r="3153">
      <c r="A3153" s="1" t="s">
        <v>6298</v>
      </c>
      <c r="B3153" s="2">
        <v>1403.93</v>
      </c>
      <c r="C3153" s="2">
        <v>1403.93</v>
      </c>
      <c r="D3153" s="2">
        <v>3016.98</v>
      </c>
      <c r="E3153" s="2">
        <v>3016.98</v>
      </c>
      <c r="G3153" s="1" t="s">
        <v>6299</v>
      </c>
      <c r="H3153" s="2">
        <v>1956.96</v>
      </c>
      <c r="I3153" s="2">
        <v>1956.96</v>
      </c>
    </row>
    <row r="3154">
      <c r="A3154" s="1" t="s">
        <v>6300</v>
      </c>
      <c r="B3154" s="2">
        <v>1405.53</v>
      </c>
      <c r="C3154" s="2">
        <v>1405.53</v>
      </c>
      <c r="D3154" s="2">
        <v>3030.93</v>
      </c>
      <c r="E3154" s="2">
        <v>3030.93</v>
      </c>
      <c r="G3154" s="1" t="s">
        <v>6301</v>
      </c>
      <c r="H3154" s="2" t="s">
        <v>0</v>
      </c>
      <c r="I3154" s="2">
        <v>1956.96</v>
      </c>
    </row>
    <row r="3155">
      <c r="A3155" s="1" t="s">
        <v>6302</v>
      </c>
      <c r="B3155" s="2">
        <v>1415.51</v>
      </c>
      <c r="C3155" s="2">
        <v>1415.51</v>
      </c>
      <c r="D3155" s="2">
        <v>3062.39</v>
      </c>
      <c r="E3155" s="2">
        <v>3062.39</v>
      </c>
      <c r="G3155" s="1" t="s">
        <v>6303</v>
      </c>
      <c r="H3155" s="2">
        <v>1957.91</v>
      </c>
      <c r="I3155" s="2">
        <v>1957.91</v>
      </c>
    </row>
    <row r="3156">
      <c r="A3156" s="1" t="s">
        <v>6304</v>
      </c>
      <c r="B3156" s="2">
        <v>1418.16</v>
      </c>
      <c r="C3156" s="2">
        <v>1418.16</v>
      </c>
      <c r="D3156" s="2">
        <v>3076.59</v>
      </c>
      <c r="E3156" s="2">
        <v>3076.59</v>
      </c>
      <c r="G3156" s="1" t="s">
        <v>6305</v>
      </c>
      <c r="H3156" s="2">
        <v>1946.54</v>
      </c>
      <c r="I3156" s="2">
        <v>1946.54</v>
      </c>
    </row>
    <row r="3157">
      <c r="A3157" s="1" t="s">
        <v>6306</v>
      </c>
      <c r="B3157" s="2" t="s">
        <v>0</v>
      </c>
      <c r="C3157" s="2">
        <v>1418.16</v>
      </c>
      <c r="D3157" s="2" t="s">
        <v>0</v>
      </c>
      <c r="E3157" s="2">
        <v>3076.59</v>
      </c>
      <c r="G3157" s="1" t="s">
        <v>6307</v>
      </c>
      <c r="H3157" s="2" t="s">
        <v>0</v>
      </c>
      <c r="I3157" s="2">
        <v>1946.54</v>
      </c>
    </row>
    <row r="3158">
      <c r="A3158" s="1" t="s">
        <v>6308</v>
      </c>
      <c r="B3158" s="2" t="s">
        <v>0</v>
      </c>
      <c r="C3158" s="2">
        <v>1418.16</v>
      </c>
      <c r="D3158" s="2" t="s">
        <v>0</v>
      </c>
      <c r="E3158" s="2">
        <v>3076.59</v>
      </c>
      <c r="G3158" s="1" t="s">
        <v>6309</v>
      </c>
      <c r="H3158" s="2" t="s">
        <v>0</v>
      </c>
      <c r="I3158" s="2">
        <v>1946.54</v>
      </c>
    </row>
    <row r="3159">
      <c r="A3159" s="1" t="s">
        <v>6310</v>
      </c>
      <c r="B3159" s="2">
        <v>1418.13</v>
      </c>
      <c r="C3159" s="2">
        <v>1418.13</v>
      </c>
      <c r="D3159" s="2">
        <v>3076.21</v>
      </c>
      <c r="E3159" s="2">
        <v>3076.21</v>
      </c>
      <c r="G3159" s="1" t="s">
        <v>6311</v>
      </c>
      <c r="H3159" s="2">
        <v>1946.31</v>
      </c>
      <c r="I3159" s="2">
        <v>1946.31</v>
      </c>
    </row>
    <row r="3160">
      <c r="A3160" s="1" t="s">
        <v>6312</v>
      </c>
      <c r="B3160" s="2">
        <v>1413.17</v>
      </c>
      <c r="C3160" s="2">
        <v>1413.17</v>
      </c>
      <c r="D3160" s="2">
        <v>3067.26</v>
      </c>
      <c r="E3160" s="2">
        <v>3067.26</v>
      </c>
      <c r="G3160" s="1" t="s">
        <v>6313</v>
      </c>
      <c r="H3160" s="2">
        <v>1943.22</v>
      </c>
      <c r="I3160" s="2">
        <v>1943.22</v>
      </c>
    </row>
    <row r="3161">
      <c r="A3161" s="1" t="s">
        <v>6314</v>
      </c>
      <c r="B3161" s="2">
        <v>1413.49</v>
      </c>
      <c r="C3161" s="2">
        <v>1413.49</v>
      </c>
      <c r="D3161" s="2">
        <v>3073.67</v>
      </c>
      <c r="E3161" s="2">
        <v>3073.67</v>
      </c>
      <c r="G3161" s="1" t="s">
        <v>6315</v>
      </c>
      <c r="H3161" s="2">
        <v>1935.19</v>
      </c>
      <c r="I3161" s="2">
        <v>1935.19</v>
      </c>
    </row>
    <row r="3162">
      <c r="A3162" s="1" t="s">
        <v>6316</v>
      </c>
      <c r="B3162" s="2">
        <v>1402.08</v>
      </c>
      <c r="C3162" s="2">
        <v>1402.08</v>
      </c>
      <c r="D3162" s="2">
        <v>3053.4</v>
      </c>
      <c r="E3162" s="2">
        <v>3053.4</v>
      </c>
      <c r="G3162" s="1" t="s">
        <v>6317</v>
      </c>
      <c r="H3162" s="2">
        <v>1942.54</v>
      </c>
      <c r="I3162" s="2">
        <v>1942.54</v>
      </c>
    </row>
    <row r="3163">
      <c r="A3163" s="1" t="s">
        <v>6318</v>
      </c>
      <c r="B3163" s="2">
        <v>1411.13</v>
      </c>
      <c r="C3163" s="2">
        <v>1411.13</v>
      </c>
      <c r="D3163" s="2">
        <v>3069.79</v>
      </c>
      <c r="E3163" s="2">
        <v>3069.79</v>
      </c>
      <c r="G3163" s="1" t="s">
        <v>6319</v>
      </c>
      <c r="H3163" s="2">
        <v>1919.81</v>
      </c>
      <c r="I3163" s="2">
        <v>1919.81</v>
      </c>
    </row>
    <row r="3164">
      <c r="A3164" s="1" t="s">
        <v>6320</v>
      </c>
      <c r="B3164" s="2" t="s">
        <v>0</v>
      </c>
      <c r="C3164" s="2">
        <v>1411.13</v>
      </c>
      <c r="D3164" s="2" t="s">
        <v>0</v>
      </c>
      <c r="E3164" s="2">
        <v>3069.79</v>
      </c>
      <c r="G3164" s="1" t="s">
        <v>6321</v>
      </c>
      <c r="H3164" s="2" t="s">
        <v>0</v>
      </c>
      <c r="I3164" s="2">
        <v>1919.81</v>
      </c>
    </row>
    <row r="3165">
      <c r="A3165" s="1" t="s">
        <v>6322</v>
      </c>
      <c r="B3165" s="2" t="s">
        <v>0</v>
      </c>
      <c r="C3165" s="2">
        <v>1411.13</v>
      </c>
      <c r="D3165" s="2" t="s">
        <v>0</v>
      </c>
      <c r="E3165" s="2">
        <v>3069.79</v>
      </c>
      <c r="G3165" s="1" t="s">
        <v>6323</v>
      </c>
      <c r="H3165" s="2" t="s">
        <v>0</v>
      </c>
      <c r="I3165" s="2">
        <v>1919.81</v>
      </c>
    </row>
    <row r="3166">
      <c r="A3166" s="1" t="s">
        <v>6324</v>
      </c>
      <c r="B3166" s="2">
        <v>1410.44</v>
      </c>
      <c r="C3166" s="2">
        <v>1410.44</v>
      </c>
      <c r="D3166" s="2">
        <v>3073.19</v>
      </c>
      <c r="E3166" s="2">
        <v>3073.19</v>
      </c>
      <c r="G3166" s="1" t="s">
        <v>6325</v>
      </c>
      <c r="H3166" s="2">
        <v>1917.87</v>
      </c>
      <c r="I3166" s="2">
        <v>1917.87</v>
      </c>
    </row>
    <row r="3167">
      <c r="A3167" s="1" t="s">
        <v>6326</v>
      </c>
      <c r="B3167" s="2">
        <v>1409.3</v>
      </c>
      <c r="C3167" s="2">
        <v>1409.3</v>
      </c>
      <c r="D3167" s="2">
        <v>3077.14</v>
      </c>
      <c r="E3167" s="2">
        <v>3077.14</v>
      </c>
      <c r="G3167" s="1" t="s">
        <v>6327</v>
      </c>
      <c r="H3167" s="2">
        <v>1916.33</v>
      </c>
      <c r="I3167" s="2">
        <v>1916.33</v>
      </c>
    </row>
    <row r="3168">
      <c r="A3168" s="1" t="s">
        <v>6328</v>
      </c>
      <c r="B3168" s="2">
        <v>1410.49</v>
      </c>
      <c r="C3168" s="2">
        <v>1410.49</v>
      </c>
      <c r="D3168" s="2">
        <v>3081.19</v>
      </c>
      <c r="E3168" s="2">
        <v>3081.19</v>
      </c>
      <c r="G3168" s="1" t="s">
        <v>6329</v>
      </c>
      <c r="H3168" s="2">
        <v>1928.54</v>
      </c>
      <c r="I3168" s="2">
        <v>1928.54</v>
      </c>
    </row>
    <row r="3169">
      <c r="A3169" s="1" t="s">
        <v>6330</v>
      </c>
      <c r="B3169" s="2">
        <v>1399.48</v>
      </c>
      <c r="C3169" s="2">
        <v>1399.48</v>
      </c>
      <c r="D3169" s="2">
        <v>3048.71</v>
      </c>
      <c r="E3169" s="2">
        <v>3048.71</v>
      </c>
      <c r="G3169" s="1" t="s">
        <v>6331</v>
      </c>
      <c r="H3169" s="2">
        <v>1906.38</v>
      </c>
      <c r="I3169" s="2">
        <v>1906.38</v>
      </c>
    </row>
    <row r="3170">
      <c r="A3170" s="1" t="s">
        <v>6332</v>
      </c>
      <c r="B3170" s="2">
        <v>1406.58</v>
      </c>
      <c r="C3170" s="2">
        <v>1406.58</v>
      </c>
      <c r="D3170" s="2">
        <v>3066.96</v>
      </c>
      <c r="E3170" s="2">
        <v>3066.96</v>
      </c>
      <c r="G3170" s="1" t="s">
        <v>6333</v>
      </c>
      <c r="H3170" s="2">
        <v>1905.12</v>
      </c>
      <c r="I3170" s="2">
        <v>1905.12</v>
      </c>
    </row>
    <row r="3171">
      <c r="A3171" s="1" t="s">
        <v>6334</v>
      </c>
      <c r="B3171" s="2" t="s">
        <v>0</v>
      </c>
      <c r="C3171" s="2">
        <v>1406.58</v>
      </c>
      <c r="D3171" s="2" t="s">
        <v>0</v>
      </c>
      <c r="E3171" s="2">
        <v>3066.96</v>
      </c>
      <c r="G3171" s="1" t="s">
        <v>6335</v>
      </c>
      <c r="H3171" s="2" t="s">
        <v>0</v>
      </c>
      <c r="I3171" s="2">
        <v>1905.12</v>
      </c>
    </row>
    <row r="3172">
      <c r="A3172" s="1" t="s">
        <v>6336</v>
      </c>
      <c r="B3172" s="2" t="s">
        <v>0</v>
      </c>
      <c r="C3172" s="2">
        <v>1406.58</v>
      </c>
      <c r="D3172" s="2" t="s">
        <v>0</v>
      </c>
      <c r="E3172" s="2">
        <v>3066.96</v>
      </c>
      <c r="G3172" s="1" t="s">
        <v>6337</v>
      </c>
      <c r="H3172" s="2" t="s">
        <v>0</v>
      </c>
      <c r="I3172" s="2">
        <v>1905.12</v>
      </c>
    </row>
    <row r="3173">
      <c r="A3173" s="1" t="s">
        <v>6338</v>
      </c>
      <c r="B3173" s="2">
        <v>1406.58</v>
      </c>
      <c r="C3173" s="2">
        <v>1406.58</v>
      </c>
      <c r="D3173" s="2" t="s">
        <v>0</v>
      </c>
      <c r="E3173" s="2">
        <v>3066.96</v>
      </c>
      <c r="G3173" s="1" t="s">
        <v>6339</v>
      </c>
      <c r="H3173" s="2">
        <v>1912.71</v>
      </c>
      <c r="I3173" s="2">
        <v>1912.71</v>
      </c>
    </row>
    <row r="3174">
      <c r="A3174" s="1" t="s">
        <v>6340</v>
      </c>
      <c r="B3174" s="2">
        <v>1404.94</v>
      </c>
      <c r="C3174" s="2">
        <v>1404.94</v>
      </c>
      <c r="D3174" s="2">
        <v>3075.06</v>
      </c>
      <c r="E3174" s="2">
        <v>3075.06</v>
      </c>
      <c r="G3174" s="1" t="s">
        <v>6341</v>
      </c>
      <c r="H3174" s="2">
        <v>1907.13</v>
      </c>
      <c r="I3174" s="2">
        <v>1907.13</v>
      </c>
    </row>
    <row r="3175">
      <c r="A3175" s="1" t="s">
        <v>6342</v>
      </c>
      <c r="B3175" s="2">
        <v>1403.44</v>
      </c>
      <c r="C3175" s="2">
        <v>1403.44</v>
      </c>
      <c r="D3175" s="2">
        <v>3069.27</v>
      </c>
      <c r="E3175" s="2">
        <v>3069.27</v>
      </c>
      <c r="G3175" s="1" t="s">
        <v>6343</v>
      </c>
      <c r="H3175" s="2">
        <v>1874.03</v>
      </c>
      <c r="I3175" s="2">
        <v>1874.03</v>
      </c>
    </row>
    <row r="3176">
      <c r="A3176" s="1" t="s">
        <v>6344</v>
      </c>
      <c r="B3176" s="2">
        <v>1432.12</v>
      </c>
      <c r="C3176" s="2">
        <v>1432.12</v>
      </c>
      <c r="D3176" s="2">
        <v>3135.81</v>
      </c>
      <c r="E3176" s="2">
        <v>3135.81</v>
      </c>
      <c r="G3176" s="1" t="s">
        <v>6345</v>
      </c>
      <c r="H3176" s="2">
        <v>1881.24</v>
      </c>
      <c r="I3176" s="2">
        <v>1881.24</v>
      </c>
    </row>
    <row r="3177">
      <c r="A3177" s="1" t="s">
        <v>6346</v>
      </c>
      <c r="B3177" s="2">
        <v>1437.92</v>
      </c>
      <c r="C3177" s="2">
        <v>1437.92</v>
      </c>
      <c r="D3177" s="2">
        <v>3136.42</v>
      </c>
      <c r="E3177" s="2">
        <v>3136.42</v>
      </c>
      <c r="G3177" s="1" t="s">
        <v>6347</v>
      </c>
      <c r="H3177" s="2">
        <v>1929.58</v>
      </c>
      <c r="I3177" s="2">
        <v>1929.58</v>
      </c>
    </row>
    <row r="3178">
      <c r="A3178" s="1" t="s">
        <v>6348</v>
      </c>
      <c r="B3178" s="2" t="s">
        <v>0</v>
      </c>
      <c r="C3178" s="2">
        <v>1437.92</v>
      </c>
      <c r="D3178" s="2" t="s">
        <v>0</v>
      </c>
      <c r="E3178" s="2">
        <v>3136.42</v>
      </c>
      <c r="G3178" s="1" t="s">
        <v>6349</v>
      </c>
      <c r="H3178" s="2" t="s">
        <v>0</v>
      </c>
      <c r="I3178" s="2">
        <v>1929.58</v>
      </c>
    </row>
    <row r="3179">
      <c r="A3179" s="1" t="s">
        <v>6350</v>
      </c>
      <c r="B3179" s="2" t="s">
        <v>0</v>
      </c>
      <c r="C3179" s="2">
        <v>1437.92</v>
      </c>
      <c r="D3179" s="2" t="s">
        <v>0</v>
      </c>
      <c r="E3179" s="2">
        <v>3136.42</v>
      </c>
      <c r="G3179" s="1" t="s">
        <v>6351</v>
      </c>
      <c r="H3179" s="2" t="s">
        <v>0</v>
      </c>
      <c r="I3179" s="2">
        <v>1929.58</v>
      </c>
    </row>
    <row r="3180">
      <c r="A3180" s="1" t="s">
        <v>6352</v>
      </c>
      <c r="B3180" s="2">
        <v>1429.08</v>
      </c>
      <c r="C3180" s="2">
        <v>1429.08</v>
      </c>
      <c r="D3180" s="2">
        <v>3104.02</v>
      </c>
      <c r="E3180" s="2">
        <v>3104.02</v>
      </c>
      <c r="G3180" s="1" t="s">
        <v>6353</v>
      </c>
      <c r="H3180" s="2">
        <v>1924.7</v>
      </c>
      <c r="I3180" s="2">
        <v>1924.7</v>
      </c>
    </row>
    <row r="3181">
      <c r="A3181" s="1" t="s">
        <v>6354</v>
      </c>
      <c r="B3181" s="2">
        <v>1433.56</v>
      </c>
      <c r="C3181" s="2">
        <v>1433.56</v>
      </c>
      <c r="D3181" s="2">
        <v>3104.53</v>
      </c>
      <c r="E3181" s="2">
        <v>3104.53</v>
      </c>
      <c r="G3181" s="1" t="s">
        <v>6355</v>
      </c>
      <c r="H3181" s="2">
        <v>1920.0</v>
      </c>
      <c r="I3181" s="2">
        <v>1920.0</v>
      </c>
    </row>
    <row r="3182">
      <c r="A3182" s="1" t="s">
        <v>6356</v>
      </c>
      <c r="B3182" s="2">
        <v>1436.56</v>
      </c>
      <c r="C3182" s="2">
        <v>1436.56</v>
      </c>
      <c r="D3182" s="2">
        <v>3114.31</v>
      </c>
      <c r="E3182" s="2">
        <v>3114.31</v>
      </c>
      <c r="G3182" s="1" t="s">
        <v>6357</v>
      </c>
      <c r="H3182" s="2">
        <v>1950.03</v>
      </c>
      <c r="I3182" s="2">
        <v>1950.03</v>
      </c>
    </row>
    <row r="3183">
      <c r="A3183" s="1" t="s">
        <v>6358</v>
      </c>
      <c r="B3183" s="2">
        <v>1459.99</v>
      </c>
      <c r="C3183" s="2">
        <v>1459.99</v>
      </c>
      <c r="D3183" s="2">
        <v>3155.83</v>
      </c>
      <c r="E3183" s="2">
        <v>3155.83</v>
      </c>
      <c r="G3183" s="1" t="s">
        <v>6359</v>
      </c>
      <c r="H3183" s="2">
        <v>1950.69</v>
      </c>
      <c r="I3183" s="2">
        <v>1950.69</v>
      </c>
    </row>
    <row r="3184">
      <c r="A3184" s="1" t="s">
        <v>6360</v>
      </c>
      <c r="B3184" s="2">
        <v>1465.77</v>
      </c>
      <c r="C3184" s="2">
        <v>1465.77</v>
      </c>
      <c r="D3184" s="2">
        <v>3183.95</v>
      </c>
      <c r="E3184" s="2">
        <v>3183.95</v>
      </c>
      <c r="G3184" s="1" t="s">
        <v>6361</v>
      </c>
      <c r="H3184" s="2">
        <v>2007.58</v>
      </c>
      <c r="I3184" s="2">
        <v>2007.58</v>
      </c>
    </row>
    <row r="3185">
      <c r="A3185" s="1" t="s">
        <v>6362</v>
      </c>
      <c r="B3185" s="2" t="s">
        <v>0</v>
      </c>
      <c r="C3185" s="2">
        <v>1465.77</v>
      </c>
      <c r="D3185" s="2" t="s">
        <v>0</v>
      </c>
      <c r="E3185" s="2">
        <v>3183.95</v>
      </c>
      <c r="G3185" s="1" t="s">
        <v>6363</v>
      </c>
      <c r="H3185" s="2" t="s">
        <v>0</v>
      </c>
      <c r="I3185" s="2">
        <v>2007.58</v>
      </c>
    </row>
    <row r="3186">
      <c r="A3186" s="1" t="s">
        <v>6364</v>
      </c>
      <c r="B3186" s="2" t="s">
        <v>0</v>
      </c>
      <c r="C3186" s="2">
        <v>1465.77</v>
      </c>
      <c r="D3186" s="2" t="s">
        <v>0</v>
      </c>
      <c r="E3186" s="2">
        <v>3183.95</v>
      </c>
      <c r="G3186" s="1" t="s">
        <v>6365</v>
      </c>
      <c r="H3186" s="2" t="s">
        <v>0</v>
      </c>
      <c r="I3186" s="2">
        <v>2007.58</v>
      </c>
    </row>
    <row r="3187">
      <c r="A3187" s="1" t="s">
        <v>6366</v>
      </c>
      <c r="B3187" s="2">
        <v>1461.19</v>
      </c>
      <c r="C3187" s="2">
        <v>1461.19</v>
      </c>
      <c r="D3187" s="2">
        <v>3178.67</v>
      </c>
      <c r="E3187" s="2">
        <v>3178.67</v>
      </c>
      <c r="G3187" s="1" t="s">
        <v>6367</v>
      </c>
      <c r="H3187" s="2">
        <v>2002.35</v>
      </c>
      <c r="I3187" s="2">
        <v>2002.35</v>
      </c>
    </row>
    <row r="3188">
      <c r="A3188" s="1" t="s">
        <v>6368</v>
      </c>
      <c r="B3188" s="2">
        <v>1459.32</v>
      </c>
      <c r="C3188" s="2">
        <v>1459.32</v>
      </c>
      <c r="D3188" s="2">
        <v>3177.8</v>
      </c>
      <c r="E3188" s="2">
        <v>3177.8</v>
      </c>
      <c r="G3188" s="1" t="s">
        <v>6369</v>
      </c>
      <c r="H3188" s="2">
        <v>2004.96</v>
      </c>
      <c r="I3188" s="2">
        <v>2004.96</v>
      </c>
    </row>
    <row r="3189">
      <c r="A3189" s="1" t="s">
        <v>6370</v>
      </c>
      <c r="B3189" s="2">
        <v>1461.05</v>
      </c>
      <c r="C3189" s="2">
        <v>1461.05</v>
      </c>
      <c r="D3189" s="2">
        <v>3182.62</v>
      </c>
      <c r="E3189" s="2">
        <v>3182.62</v>
      </c>
      <c r="G3189" s="1" t="s">
        <v>6371</v>
      </c>
      <c r="H3189" s="2">
        <v>2007.88</v>
      </c>
      <c r="I3189" s="2">
        <v>2007.88</v>
      </c>
    </row>
    <row r="3190">
      <c r="A3190" s="1" t="s">
        <v>6372</v>
      </c>
      <c r="B3190" s="2">
        <v>1460.26</v>
      </c>
      <c r="C3190" s="2">
        <v>1460.26</v>
      </c>
      <c r="D3190" s="2">
        <v>3175.96</v>
      </c>
      <c r="E3190" s="2">
        <v>3175.96</v>
      </c>
      <c r="G3190" s="1" t="s">
        <v>6373</v>
      </c>
      <c r="H3190" s="2">
        <v>1990.33</v>
      </c>
      <c r="I3190" s="2">
        <v>1990.33</v>
      </c>
    </row>
    <row r="3191">
      <c r="A3191" s="1" t="s">
        <v>6374</v>
      </c>
      <c r="B3191" s="2">
        <v>1460.15</v>
      </c>
      <c r="C3191" s="2">
        <v>1460.15</v>
      </c>
      <c r="D3191" s="2">
        <v>3179.96</v>
      </c>
      <c r="E3191" s="2">
        <v>3179.96</v>
      </c>
      <c r="G3191" s="1" t="s">
        <v>6375</v>
      </c>
      <c r="H3191" s="2">
        <v>2002.37</v>
      </c>
      <c r="I3191" s="2">
        <v>2002.37</v>
      </c>
    </row>
    <row r="3192">
      <c r="A3192" s="1" t="s">
        <v>6376</v>
      </c>
      <c r="B3192" s="2" t="s">
        <v>0</v>
      </c>
      <c r="C3192" s="2">
        <v>1460.15</v>
      </c>
      <c r="D3192" s="2" t="s">
        <v>0</v>
      </c>
      <c r="E3192" s="2">
        <v>3179.96</v>
      </c>
      <c r="G3192" s="1" t="s">
        <v>6377</v>
      </c>
      <c r="H3192" s="2" t="s">
        <v>0</v>
      </c>
      <c r="I3192" s="2">
        <v>2002.37</v>
      </c>
    </row>
    <row r="3193">
      <c r="A3193" s="1" t="s">
        <v>6378</v>
      </c>
      <c r="B3193" s="2" t="s">
        <v>0</v>
      </c>
      <c r="C3193" s="2">
        <v>1460.15</v>
      </c>
      <c r="D3193" s="2" t="s">
        <v>0</v>
      </c>
      <c r="E3193" s="2">
        <v>3179.96</v>
      </c>
      <c r="G3193" s="1" t="s">
        <v>6379</v>
      </c>
      <c r="H3193" s="2" t="s">
        <v>0</v>
      </c>
      <c r="I3193" s="2">
        <v>2002.37</v>
      </c>
    </row>
    <row r="3194">
      <c r="A3194" s="1" t="s">
        <v>6380</v>
      </c>
      <c r="B3194" s="2">
        <v>1456.89</v>
      </c>
      <c r="C3194" s="2">
        <v>1456.89</v>
      </c>
      <c r="D3194" s="2">
        <v>3160.78</v>
      </c>
      <c r="E3194" s="2">
        <v>3160.78</v>
      </c>
      <c r="G3194" s="1" t="s">
        <v>6381</v>
      </c>
      <c r="H3194" s="2">
        <v>2003.44</v>
      </c>
      <c r="I3194" s="2">
        <v>2003.44</v>
      </c>
    </row>
    <row r="3195">
      <c r="A3195" s="1" t="s">
        <v>6382</v>
      </c>
      <c r="B3195" s="2">
        <v>1441.59</v>
      </c>
      <c r="C3195" s="2">
        <v>1441.59</v>
      </c>
      <c r="D3195" s="2">
        <v>3117.73</v>
      </c>
      <c r="E3195" s="2">
        <v>3117.73</v>
      </c>
      <c r="G3195" s="1" t="s">
        <v>6383</v>
      </c>
      <c r="H3195" s="2">
        <v>1991.41</v>
      </c>
      <c r="I3195" s="2">
        <v>1991.41</v>
      </c>
    </row>
    <row r="3196">
      <c r="A3196" s="1" t="s">
        <v>6384</v>
      </c>
      <c r="B3196" s="2">
        <v>1433.32</v>
      </c>
      <c r="C3196" s="2">
        <v>1433.32</v>
      </c>
      <c r="D3196" s="2">
        <v>3093.7</v>
      </c>
      <c r="E3196" s="2">
        <v>3093.7</v>
      </c>
      <c r="G3196" s="1" t="s">
        <v>6385</v>
      </c>
      <c r="H3196" s="2">
        <v>1980.44</v>
      </c>
      <c r="I3196" s="2">
        <v>1980.44</v>
      </c>
    </row>
    <row r="3197">
      <c r="A3197" s="1" t="s">
        <v>6386</v>
      </c>
      <c r="B3197" s="2">
        <v>1447.15</v>
      </c>
      <c r="C3197" s="2">
        <v>1447.15</v>
      </c>
      <c r="D3197" s="2">
        <v>3136.6</v>
      </c>
      <c r="E3197" s="2">
        <v>3136.6</v>
      </c>
      <c r="G3197" s="1" t="s">
        <v>6387</v>
      </c>
      <c r="H3197" s="2">
        <v>1988.7</v>
      </c>
      <c r="I3197" s="2">
        <v>1988.7</v>
      </c>
    </row>
    <row r="3198">
      <c r="A3198" s="1" t="s">
        <v>6388</v>
      </c>
      <c r="B3198" s="2">
        <v>1440.67</v>
      </c>
      <c r="C3198" s="2">
        <v>1440.67</v>
      </c>
      <c r="D3198" s="2">
        <v>3116.23</v>
      </c>
      <c r="E3198" s="2">
        <v>3116.23</v>
      </c>
      <c r="G3198" s="1" t="s">
        <v>6389</v>
      </c>
      <c r="H3198" s="2">
        <v>1996.21</v>
      </c>
      <c r="I3198" s="2">
        <v>1996.21</v>
      </c>
    </row>
    <row r="3199">
      <c r="A3199" s="1" t="s">
        <v>6390</v>
      </c>
      <c r="B3199" s="2" t="s">
        <v>0</v>
      </c>
      <c r="C3199" s="2">
        <v>1440.67</v>
      </c>
      <c r="D3199" s="2" t="s">
        <v>0</v>
      </c>
      <c r="E3199" s="2">
        <v>3116.23</v>
      </c>
      <c r="G3199" s="1" t="s">
        <v>6391</v>
      </c>
      <c r="H3199" s="2" t="s">
        <v>0</v>
      </c>
      <c r="I3199" s="2">
        <v>1996.21</v>
      </c>
    </row>
    <row r="3200">
      <c r="A3200" s="1" t="s">
        <v>6392</v>
      </c>
      <c r="B3200" s="2" t="s">
        <v>0</v>
      </c>
      <c r="C3200" s="2">
        <v>1440.67</v>
      </c>
      <c r="D3200" s="2" t="s">
        <v>0</v>
      </c>
      <c r="E3200" s="2">
        <v>3116.23</v>
      </c>
      <c r="G3200" s="1" t="s">
        <v>6393</v>
      </c>
      <c r="H3200" s="2" t="s">
        <v>0</v>
      </c>
      <c r="I3200" s="2">
        <v>1996.21</v>
      </c>
    </row>
    <row r="3201">
      <c r="A3201" s="1" t="s">
        <v>6394</v>
      </c>
      <c r="B3201" s="2">
        <v>1444.49</v>
      </c>
      <c r="C3201" s="2">
        <v>1444.49</v>
      </c>
      <c r="D3201" s="2">
        <v>3113.53</v>
      </c>
      <c r="E3201" s="2">
        <v>3113.53</v>
      </c>
      <c r="G3201" s="1" t="s">
        <v>6395</v>
      </c>
      <c r="H3201" s="2" t="s">
        <v>0</v>
      </c>
      <c r="I3201" s="2">
        <v>1996.21</v>
      </c>
    </row>
    <row r="3202">
      <c r="A3202" s="1" t="s">
        <v>6396</v>
      </c>
      <c r="B3202" s="2">
        <v>1445.75</v>
      </c>
      <c r="C3202" s="2">
        <v>1445.75</v>
      </c>
      <c r="D3202" s="2">
        <v>3120.04</v>
      </c>
      <c r="E3202" s="2">
        <v>3120.04</v>
      </c>
      <c r="G3202" s="1" t="s">
        <v>6397</v>
      </c>
      <c r="H3202" s="2">
        <v>1996.03</v>
      </c>
      <c r="I3202" s="2">
        <v>1996.03</v>
      </c>
    </row>
    <row r="3203">
      <c r="A3203" s="1" t="s">
        <v>6398</v>
      </c>
      <c r="B3203" s="2">
        <v>1450.99</v>
      </c>
      <c r="C3203" s="2">
        <v>1450.99</v>
      </c>
      <c r="D3203" s="2">
        <v>3135.23</v>
      </c>
      <c r="E3203" s="2">
        <v>3135.23</v>
      </c>
      <c r="G3203" s="1" t="s">
        <v>6399</v>
      </c>
      <c r="H3203" s="2" t="s">
        <v>0</v>
      </c>
      <c r="I3203" s="2">
        <v>1996.03</v>
      </c>
    </row>
    <row r="3204">
      <c r="A3204" s="1" t="s">
        <v>6400</v>
      </c>
      <c r="B3204" s="2">
        <v>1461.4</v>
      </c>
      <c r="C3204" s="2">
        <v>1461.4</v>
      </c>
      <c r="D3204" s="2">
        <v>3149.46</v>
      </c>
      <c r="E3204" s="2">
        <v>3149.46</v>
      </c>
      <c r="G3204" s="1" t="s">
        <v>6401</v>
      </c>
      <c r="H3204" s="2">
        <v>1992.68</v>
      </c>
      <c r="I3204" s="2">
        <v>1992.68</v>
      </c>
    </row>
    <row r="3205">
      <c r="A3205" s="1" t="s">
        <v>6402</v>
      </c>
      <c r="B3205" s="2">
        <v>1460.93</v>
      </c>
      <c r="C3205" s="2">
        <v>1460.93</v>
      </c>
      <c r="D3205" s="2">
        <v>3136.19</v>
      </c>
      <c r="E3205" s="2">
        <v>3136.19</v>
      </c>
      <c r="G3205" s="1" t="s">
        <v>6403</v>
      </c>
      <c r="H3205" s="2">
        <v>1995.17</v>
      </c>
      <c r="I3205" s="2">
        <v>1995.17</v>
      </c>
    </row>
    <row r="3206">
      <c r="A3206" s="1" t="s">
        <v>6404</v>
      </c>
      <c r="B3206" s="2" t="s">
        <v>0</v>
      </c>
      <c r="C3206" s="2">
        <v>1460.93</v>
      </c>
      <c r="D3206" s="2" t="s">
        <v>0</v>
      </c>
      <c r="E3206" s="2">
        <v>3136.19</v>
      </c>
      <c r="G3206" s="1" t="s">
        <v>6405</v>
      </c>
      <c r="H3206" s="2" t="s">
        <v>0</v>
      </c>
      <c r="I3206" s="2">
        <v>1995.17</v>
      </c>
    </row>
    <row r="3207">
      <c r="A3207" s="1" t="s">
        <v>6406</v>
      </c>
      <c r="B3207" s="2" t="s">
        <v>0</v>
      </c>
      <c r="C3207" s="2">
        <v>1460.93</v>
      </c>
      <c r="D3207" s="2" t="s">
        <v>0</v>
      </c>
      <c r="E3207" s="2">
        <v>3136.19</v>
      </c>
      <c r="G3207" s="1" t="s">
        <v>6407</v>
      </c>
      <c r="H3207" s="2" t="s">
        <v>0</v>
      </c>
      <c r="I3207" s="2">
        <v>1995.17</v>
      </c>
    </row>
    <row r="3208">
      <c r="A3208" s="1" t="s">
        <v>6408</v>
      </c>
      <c r="B3208" s="2">
        <v>1455.88</v>
      </c>
      <c r="C3208" s="2">
        <v>1455.88</v>
      </c>
      <c r="D3208" s="2">
        <v>3112.35</v>
      </c>
      <c r="E3208" s="2">
        <v>3112.35</v>
      </c>
      <c r="G3208" s="1" t="s">
        <v>6409</v>
      </c>
      <c r="H3208" s="2">
        <v>1981.89</v>
      </c>
      <c r="I3208" s="2">
        <v>1981.89</v>
      </c>
    </row>
    <row r="3209">
      <c r="A3209" s="1" t="s">
        <v>6410</v>
      </c>
      <c r="B3209" s="2">
        <v>1441.48</v>
      </c>
      <c r="C3209" s="2">
        <v>1441.48</v>
      </c>
      <c r="D3209" s="2">
        <v>3065.02</v>
      </c>
      <c r="E3209" s="2">
        <v>3065.02</v>
      </c>
      <c r="G3209" s="1" t="s">
        <v>6411</v>
      </c>
      <c r="H3209" s="2">
        <v>1979.04</v>
      </c>
      <c r="I3209" s="2">
        <v>1979.04</v>
      </c>
    </row>
    <row r="3210">
      <c r="A3210" s="1" t="s">
        <v>6412</v>
      </c>
      <c r="B3210" s="2">
        <v>1432.56</v>
      </c>
      <c r="C3210" s="2">
        <v>1432.56</v>
      </c>
      <c r="D3210" s="2">
        <v>3051.78</v>
      </c>
      <c r="E3210" s="2">
        <v>3051.78</v>
      </c>
      <c r="G3210" s="1" t="s">
        <v>6413</v>
      </c>
      <c r="H3210" s="2">
        <v>1948.22</v>
      </c>
      <c r="I3210" s="2">
        <v>1948.22</v>
      </c>
    </row>
    <row r="3211">
      <c r="A3211" s="1" t="s">
        <v>6414</v>
      </c>
      <c r="B3211" s="2">
        <v>1432.84</v>
      </c>
      <c r="C3211" s="2">
        <v>1432.84</v>
      </c>
      <c r="D3211" s="2">
        <v>3049.41</v>
      </c>
      <c r="E3211" s="2">
        <v>3049.41</v>
      </c>
      <c r="G3211" s="1" t="s">
        <v>6415</v>
      </c>
      <c r="H3211" s="2">
        <v>1933.09</v>
      </c>
      <c r="I3211" s="2">
        <v>1933.09</v>
      </c>
    </row>
    <row r="3212">
      <c r="A3212" s="1" t="s">
        <v>6416</v>
      </c>
      <c r="B3212" s="2">
        <v>1428.59</v>
      </c>
      <c r="C3212" s="2">
        <v>1428.59</v>
      </c>
      <c r="D3212" s="2">
        <v>3044.11</v>
      </c>
      <c r="E3212" s="2">
        <v>3044.11</v>
      </c>
      <c r="G3212" s="1" t="s">
        <v>6417</v>
      </c>
      <c r="H3212" s="2">
        <v>1933.26</v>
      </c>
      <c r="I3212" s="2">
        <v>1933.26</v>
      </c>
    </row>
    <row r="3213">
      <c r="A3213" s="1" t="s">
        <v>6418</v>
      </c>
      <c r="B3213" s="2" t="s">
        <v>0</v>
      </c>
      <c r="C3213" s="2">
        <v>1428.59</v>
      </c>
      <c r="D3213" s="2" t="s">
        <v>0</v>
      </c>
      <c r="E3213" s="2">
        <v>3044.11</v>
      </c>
      <c r="G3213" s="1" t="s">
        <v>6419</v>
      </c>
      <c r="H3213" s="2" t="s">
        <v>0</v>
      </c>
      <c r="I3213" s="2">
        <v>1933.26</v>
      </c>
    </row>
    <row r="3214">
      <c r="A3214" s="1" t="s">
        <v>6420</v>
      </c>
      <c r="B3214" s="2" t="s">
        <v>0</v>
      </c>
      <c r="C3214" s="2">
        <v>1428.59</v>
      </c>
      <c r="D3214" s="2" t="s">
        <v>0</v>
      </c>
      <c r="E3214" s="2">
        <v>3044.11</v>
      </c>
      <c r="G3214" s="1" t="s">
        <v>6421</v>
      </c>
      <c r="H3214" s="2" t="s">
        <v>0</v>
      </c>
      <c r="I3214" s="2">
        <v>1933.26</v>
      </c>
    </row>
    <row r="3215">
      <c r="A3215" s="1" t="s">
        <v>6422</v>
      </c>
      <c r="B3215" s="2">
        <v>1440.13</v>
      </c>
      <c r="C3215" s="2">
        <v>1440.13</v>
      </c>
      <c r="D3215" s="2">
        <v>3064.18</v>
      </c>
      <c r="E3215" s="2">
        <v>3064.18</v>
      </c>
      <c r="G3215" s="1" t="s">
        <v>6423</v>
      </c>
      <c r="H3215" s="2">
        <v>1925.59</v>
      </c>
      <c r="I3215" s="2">
        <v>1925.59</v>
      </c>
    </row>
    <row r="3216">
      <c r="A3216" s="1" t="s">
        <v>6424</v>
      </c>
      <c r="B3216" s="2">
        <v>1454.92</v>
      </c>
      <c r="C3216" s="2">
        <v>1454.92</v>
      </c>
      <c r="D3216" s="2">
        <v>3101.17</v>
      </c>
      <c r="E3216" s="2">
        <v>3101.17</v>
      </c>
      <c r="G3216" s="1" t="s">
        <v>6425</v>
      </c>
      <c r="H3216" s="2">
        <v>1941.54</v>
      </c>
      <c r="I3216" s="2">
        <v>1941.54</v>
      </c>
    </row>
    <row r="3217">
      <c r="A3217" s="1" t="s">
        <v>6426</v>
      </c>
      <c r="B3217" s="2">
        <v>1460.91</v>
      </c>
      <c r="C3217" s="2">
        <v>1460.91</v>
      </c>
      <c r="D3217" s="2">
        <v>3104.12</v>
      </c>
      <c r="E3217" s="2">
        <v>3104.12</v>
      </c>
      <c r="G3217" s="1" t="s">
        <v>6427</v>
      </c>
      <c r="H3217" s="2">
        <v>1955.15</v>
      </c>
      <c r="I3217" s="2">
        <v>1955.15</v>
      </c>
    </row>
    <row r="3218">
      <c r="A3218" s="1" t="s">
        <v>6428</v>
      </c>
      <c r="B3218" s="2">
        <v>1457.34</v>
      </c>
      <c r="C3218" s="2">
        <v>1457.34</v>
      </c>
      <c r="D3218" s="2">
        <v>3072.87</v>
      </c>
      <c r="E3218" s="2">
        <v>3072.87</v>
      </c>
      <c r="G3218" s="1" t="s">
        <v>6429</v>
      </c>
      <c r="H3218" s="2">
        <v>1959.12</v>
      </c>
      <c r="I3218" s="2">
        <v>1959.12</v>
      </c>
    </row>
    <row r="3219">
      <c r="A3219" s="1" t="s">
        <v>6430</v>
      </c>
      <c r="B3219" s="2">
        <v>1433.19</v>
      </c>
      <c r="C3219" s="2">
        <v>1433.19</v>
      </c>
      <c r="D3219" s="2">
        <v>3005.62</v>
      </c>
      <c r="E3219" s="2">
        <v>3005.62</v>
      </c>
      <c r="G3219" s="1" t="s">
        <v>6431</v>
      </c>
      <c r="H3219" s="2">
        <v>1943.84</v>
      </c>
      <c r="I3219" s="2">
        <v>1943.84</v>
      </c>
    </row>
    <row r="3220">
      <c r="A3220" s="1" t="s">
        <v>6432</v>
      </c>
      <c r="B3220" s="2" t="s">
        <v>0</v>
      </c>
      <c r="C3220" s="2">
        <v>1433.19</v>
      </c>
      <c r="D3220" s="2" t="s">
        <v>0</v>
      </c>
      <c r="E3220" s="2">
        <v>3005.62</v>
      </c>
      <c r="G3220" s="1" t="s">
        <v>6433</v>
      </c>
      <c r="H3220" s="2" t="s">
        <v>0</v>
      </c>
      <c r="I3220" s="2">
        <v>1943.84</v>
      </c>
    </row>
    <row r="3221">
      <c r="A3221" s="1" t="s">
        <v>6434</v>
      </c>
      <c r="B3221" s="2" t="s">
        <v>0</v>
      </c>
      <c r="C3221" s="2">
        <v>1433.19</v>
      </c>
      <c r="D3221" s="2" t="s">
        <v>0</v>
      </c>
      <c r="E3221" s="2">
        <v>3005.62</v>
      </c>
      <c r="G3221" s="1" t="s">
        <v>6435</v>
      </c>
      <c r="H3221" s="2" t="s">
        <v>0</v>
      </c>
      <c r="I3221" s="2">
        <v>1943.84</v>
      </c>
    </row>
    <row r="3222">
      <c r="A3222" s="1" t="s">
        <v>6436</v>
      </c>
      <c r="B3222" s="2">
        <v>1433.82</v>
      </c>
      <c r="C3222" s="2">
        <v>1433.82</v>
      </c>
      <c r="D3222" s="2">
        <v>3016.96</v>
      </c>
      <c r="E3222" s="2">
        <v>3016.96</v>
      </c>
      <c r="G3222" s="1" t="s">
        <v>6437</v>
      </c>
      <c r="H3222" s="2">
        <v>1941.59</v>
      </c>
      <c r="I3222" s="2">
        <v>1941.59</v>
      </c>
    </row>
    <row r="3223">
      <c r="A3223" s="1" t="s">
        <v>6438</v>
      </c>
      <c r="B3223" s="2">
        <v>1413.11</v>
      </c>
      <c r="C3223" s="2">
        <v>1413.11</v>
      </c>
      <c r="D3223" s="2">
        <v>2990.46</v>
      </c>
      <c r="E3223" s="2">
        <v>2990.46</v>
      </c>
      <c r="G3223" s="1" t="s">
        <v>6439</v>
      </c>
      <c r="H3223" s="2">
        <v>1926.81</v>
      </c>
      <c r="I3223" s="2">
        <v>1926.81</v>
      </c>
    </row>
    <row r="3224">
      <c r="A3224" s="1" t="s">
        <v>6440</v>
      </c>
      <c r="B3224" s="2">
        <v>1408.75</v>
      </c>
      <c r="C3224" s="2">
        <v>1408.75</v>
      </c>
      <c r="D3224" s="2">
        <v>2981.7</v>
      </c>
      <c r="E3224" s="2">
        <v>2981.7</v>
      </c>
      <c r="G3224" s="1" t="s">
        <v>6441</v>
      </c>
      <c r="H3224" s="2">
        <v>1913.96</v>
      </c>
      <c r="I3224" s="2">
        <v>1913.96</v>
      </c>
    </row>
    <row r="3225">
      <c r="A3225" s="1" t="s">
        <v>6442</v>
      </c>
      <c r="B3225" s="2">
        <v>1412.97</v>
      </c>
      <c r="C3225" s="2">
        <v>1412.97</v>
      </c>
      <c r="D3225" s="2">
        <v>2986.12</v>
      </c>
      <c r="E3225" s="2">
        <v>2986.12</v>
      </c>
      <c r="G3225" s="1" t="s">
        <v>6443</v>
      </c>
      <c r="H3225" s="2">
        <v>1924.5</v>
      </c>
      <c r="I3225" s="2">
        <v>1924.5</v>
      </c>
    </row>
    <row r="3226">
      <c r="A3226" s="1" t="s">
        <v>6444</v>
      </c>
      <c r="B3226" s="2">
        <v>1411.94</v>
      </c>
      <c r="C3226" s="2">
        <v>1411.94</v>
      </c>
      <c r="D3226" s="2">
        <v>2987.95</v>
      </c>
      <c r="E3226" s="2">
        <v>2987.95</v>
      </c>
      <c r="G3226" s="1" t="s">
        <v>6445</v>
      </c>
      <c r="H3226" s="2">
        <v>1891.43</v>
      </c>
      <c r="I3226" s="2">
        <v>1891.43</v>
      </c>
    </row>
    <row r="3227">
      <c r="A3227" s="1" t="s">
        <v>6446</v>
      </c>
      <c r="B3227" s="2" t="s">
        <v>0</v>
      </c>
      <c r="C3227" s="2">
        <v>1411.94</v>
      </c>
      <c r="D3227" s="2" t="s">
        <v>0</v>
      </c>
      <c r="E3227" s="2">
        <v>2987.95</v>
      </c>
      <c r="G3227" s="1" t="s">
        <v>6447</v>
      </c>
      <c r="H3227" s="2" t="s">
        <v>0</v>
      </c>
      <c r="I3227" s="2">
        <v>1891.43</v>
      </c>
    </row>
    <row r="3228">
      <c r="A3228" s="1" t="s">
        <v>6448</v>
      </c>
      <c r="B3228" s="2" t="s">
        <v>0</v>
      </c>
      <c r="C3228" s="2">
        <v>1411.94</v>
      </c>
      <c r="D3228" s="2" t="s">
        <v>0</v>
      </c>
      <c r="E3228" s="2">
        <v>2987.95</v>
      </c>
      <c r="G3228" s="1" t="s">
        <v>6449</v>
      </c>
      <c r="H3228" s="2" t="s">
        <v>0</v>
      </c>
      <c r="I3228" s="2">
        <v>1891.43</v>
      </c>
    </row>
    <row r="3229">
      <c r="A3229" s="1" t="s">
        <v>6450</v>
      </c>
      <c r="B3229" s="2">
        <v>1411.94</v>
      </c>
      <c r="C3229" s="2">
        <v>1411.94</v>
      </c>
      <c r="D3229" s="2" t="s">
        <v>0</v>
      </c>
      <c r="E3229" s="2">
        <v>2987.95</v>
      </c>
      <c r="G3229" s="1" t="s">
        <v>6451</v>
      </c>
      <c r="H3229" s="2">
        <v>1891.52</v>
      </c>
      <c r="I3229" s="2">
        <v>1891.52</v>
      </c>
    </row>
    <row r="3230">
      <c r="A3230" s="1" t="s">
        <v>6452</v>
      </c>
      <c r="B3230" s="2">
        <v>1411.94</v>
      </c>
      <c r="C3230" s="2">
        <v>1411.94</v>
      </c>
      <c r="D3230" s="2" t="s">
        <v>0</v>
      </c>
      <c r="E3230" s="2">
        <v>2987.95</v>
      </c>
      <c r="G3230" s="1" t="s">
        <v>6453</v>
      </c>
      <c r="H3230" s="2">
        <v>1899.58</v>
      </c>
      <c r="I3230" s="2">
        <v>1899.58</v>
      </c>
    </row>
    <row r="3231">
      <c r="A3231" s="1" t="s">
        <v>6454</v>
      </c>
      <c r="B3231" s="2">
        <v>1412.16</v>
      </c>
      <c r="C3231" s="2">
        <v>1412.16</v>
      </c>
      <c r="D3231" s="2">
        <v>2977.23</v>
      </c>
      <c r="E3231" s="2">
        <v>2977.23</v>
      </c>
      <c r="G3231" s="1" t="s">
        <v>6455</v>
      </c>
      <c r="H3231" s="2">
        <v>1912.06</v>
      </c>
      <c r="I3231" s="2">
        <v>1912.06</v>
      </c>
    </row>
    <row r="3232">
      <c r="A3232" s="1" t="s">
        <v>6456</v>
      </c>
      <c r="B3232" s="2">
        <v>1427.59</v>
      </c>
      <c r="C3232" s="2">
        <v>1427.59</v>
      </c>
      <c r="D3232" s="2">
        <v>3020.06</v>
      </c>
      <c r="E3232" s="2">
        <v>3020.06</v>
      </c>
      <c r="G3232" s="1" t="s">
        <v>6457</v>
      </c>
      <c r="H3232" s="2">
        <v>1898.44</v>
      </c>
      <c r="I3232" s="2">
        <v>1898.44</v>
      </c>
    </row>
    <row r="3233">
      <c r="A3233" s="1" t="s">
        <v>6458</v>
      </c>
      <c r="B3233" s="2">
        <v>1414.2</v>
      </c>
      <c r="C3233" s="2">
        <v>1414.2</v>
      </c>
      <c r="D3233" s="2">
        <v>2982.13</v>
      </c>
      <c r="E3233" s="2">
        <v>2982.13</v>
      </c>
      <c r="G3233" s="1" t="s">
        <v>6459</v>
      </c>
      <c r="H3233" s="2">
        <v>1918.72</v>
      </c>
      <c r="I3233" s="2">
        <v>1918.72</v>
      </c>
    </row>
    <row r="3234">
      <c r="A3234" s="1" t="s">
        <v>6460</v>
      </c>
      <c r="B3234" s="2" t="s">
        <v>0</v>
      </c>
      <c r="C3234" s="2">
        <v>1414.2</v>
      </c>
      <c r="D3234" s="2" t="s">
        <v>0</v>
      </c>
      <c r="E3234" s="2">
        <v>2982.13</v>
      </c>
      <c r="G3234" s="1" t="s">
        <v>6461</v>
      </c>
      <c r="H3234" s="2" t="s">
        <v>0</v>
      </c>
      <c r="I3234" s="2">
        <v>1918.72</v>
      </c>
    </row>
    <row r="3235">
      <c r="A3235" s="1" t="s">
        <v>6462</v>
      </c>
      <c r="B3235" s="2" t="s">
        <v>0</v>
      </c>
      <c r="C3235" s="2">
        <v>1414.2</v>
      </c>
      <c r="D3235" s="2" t="s">
        <v>0</v>
      </c>
      <c r="E3235" s="2">
        <v>2982.13</v>
      </c>
      <c r="G3235" s="1" t="s">
        <v>6463</v>
      </c>
      <c r="H3235" s="2" t="s">
        <v>0</v>
      </c>
      <c r="I3235" s="2">
        <v>1918.72</v>
      </c>
    </row>
    <row r="3236">
      <c r="A3236" s="1" t="s">
        <v>6464</v>
      </c>
      <c r="B3236" s="2">
        <v>1417.26</v>
      </c>
      <c r="C3236" s="2">
        <v>1417.26</v>
      </c>
      <c r="D3236" s="2">
        <v>2999.66</v>
      </c>
      <c r="E3236" s="2">
        <v>2999.66</v>
      </c>
      <c r="G3236" s="1" t="s">
        <v>6465</v>
      </c>
      <c r="H3236" s="2">
        <v>1908.22</v>
      </c>
      <c r="I3236" s="2">
        <v>1908.22</v>
      </c>
    </row>
    <row r="3237">
      <c r="A3237" s="1" t="s">
        <v>6466</v>
      </c>
      <c r="B3237" s="2">
        <v>1428.39</v>
      </c>
      <c r="C3237" s="2">
        <v>1428.39</v>
      </c>
      <c r="D3237" s="2">
        <v>3011.93</v>
      </c>
      <c r="E3237" s="2">
        <v>3011.93</v>
      </c>
      <c r="G3237" s="1" t="s">
        <v>6467</v>
      </c>
      <c r="H3237" s="2">
        <v>1928.17</v>
      </c>
      <c r="I3237" s="2">
        <v>1928.17</v>
      </c>
    </row>
    <row r="3238">
      <c r="A3238" s="1" t="s">
        <v>6468</v>
      </c>
      <c r="B3238" s="2">
        <v>1394.53</v>
      </c>
      <c r="C3238" s="2">
        <v>1394.53</v>
      </c>
      <c r="D3238" s="2">
        <v>2937.29</v>
      </c>
      <c r="E3238" s="2">
        <v>2937.29</v>
      </c>
      <c r="G3238" s="1" t="s">
        <v>6469</v>
      </c>
      <c r="H3238" s="2">
        <v>1937.55</v>
      </c>
      <c r="I3238" s="2">
        <v>1937.55</v>
      </c>
    </row>
    <row r="3239">
      <c r="A3239" s="1" t="s">
        <v>6470</v>
      </c>
      <c r="B3239" s="2">
        <v>1377.51</v>
      </c>
      <c r="C3239" s="2">
        <v>1377.51</v>
      </c>
      <c r="D3239" s="2">
        <v>2895.58</v>
      </c>
      <c r="E3239" s="2">
        <v>2895.58</v>
      </c>
      <c r="G3239" s="1" t="s">
        <v>6471</v>
      </c>
      <c r="H3239" s="2">
        <v>1914.41</v>
      </c>
      <c r="I3239" s="2">
        <v>1914.41</v>
      </c>
    </row>
    <row r="3240">
      <c r="A3240" s="1" t="s">
        <v>6472</v>
      </c>
      <c r="B3240" s="2">
        <v>1379.85</v>
      </c>
      <c r="C3240" s="2">
        <v>1379.85</v>
      </c>
      <c r="D3240" s="2">
        <v>2904.87</v>
      </c>
      <c r="E3240" s="2">
        <v>2904.87</v>
      </c>
      <c r="G3240" s="1" t="s">
        <v>6473</v>
      </c>
      <c r="H3240" s="2">
        <v>1904.41</v>
      </c>
      <c r="I3240" s="2">
        <v>1904.41</v>
      </c>
    </row>
    <row r="3241">
      <c r="A3241" s="1" t="s">
        <v>6474</v>
      </c>
      <c r="B3241" s="2" t="s">
        <v>0</v>
      </c>
      <c r="C3241" s="2">
        <v>1379.85</v>
      </c>
      <c r="D3241" s="2" t="s">
        <v>0</v>
      </c>
      <c r="E3241" s="2">
        <v>2904.87</v>
      </c>
      <c r="G3241" s="1" t="s">
        <v>6475</v>
      </c>
      <c r="H3241" s="2" t="s">
        <v>0</v>
      </c>
      <c r="I3241" s="2">
        <v>1904.41</v>
      </c>
    </row>
    <row r="3242">
      <c r="A3242" s="1" t="s">
        <v>6476</v>
      </c>
      <c r="B3242" s="2" t="s">
        <v>0</v>
      </c>
      <c r="C3242" s="2">
        <v>1379.85</v>
      </c>
      <c r="D3242" s="2" t="s">
        <v>0</v>
      </c>
      <c r="E3242" s="2">
        <v>2904.87</v>
      </c>
      <c r="G3242" s="1" t="s">
        <v>6477</v>
      </c>
      <c r="H3242" s="2" t="s">
        <v>0</v>
      </c>
      <c r="I3242" s="2">
        <v>1904.41</v>
      </c>
    </row>
    <row r="3243">
      <c r="A3243" s="1" t="s">
        <v>6478</v>
      </c>
      <c r="B3243" s="2">
        <v>1380.03</v>
      </c>
      <c r="C3243" s="2">
        <v>1380.03</v>
      </c>
      <c r="D3243" s="2">
        <v>2904.26</v>
      </c>
      <c r="E3243" s="2">
        <v>2904.26</v>
      </c>
      <c r="G3243" s="1" t="s">
        <v>6479</v>
      </c>
      <c r="H3243" s="2">
        <v>1900.87</v>
      </c>
      <c r="I3243" s="2">
        <v>1900.87</v>
      </c>
    </row>
    <row r="3244">
      <c r="A3244" s="1" t="s">
        <v>6480</v>
      </c>
      <c r="B3244" s="2">
        <v>1374.53</v>
      </c>
      <c r="C3244" s="2">
        <v>1374.53</v>
      </c>
      <c r="D3244" s="2">
        <v>2883.89</v>
      </c>
      <c r="E3244" s="2">
        <v>2883.89</v>
      </c>
      <c r="G3244" s="1" t="s">
        <v>6481</v>
      </c>
      <c r="H3244" s="2">
        <v>1889.7</v>
      </c>
      <c r="I3244" s="2">
        <v>1889.7</v>
      </c>
    </row>
    <row r="3245">
      <c r="A3245" s="1" t="s">
        <v>6482</v>
      </c>
      <c r="B3245" s="2">
        <v>1355.49</v>
      </c>
      <c r="C3245" s="2">
        <v>1355.49</v>
      </c>
      <c r="D3245" s="2">
        <v>2846.81</v>
      </c>
      <c r="E3245" s="2">
        <v>2846.81</v>
      </c>
      <c r="G3245" s="1" t="s">
        <v>6483</v>
      </c>
      <c r="H3245" s="2">
        <v>1894.04</v>
      </c>
      <c r="I3245" s="2">
        <v>1894.04</v>
      </c>
    </row>
    <row r="3246">
      <c r="A3246" s="1" t="s">
        <v>6484</v>
      </c>
      <c r="B3246" s="2">
        <v>1353.33</v>
      </c>
      <c r="C3246" s="2">
        <v>1353.33</v>
      </c>
      <c r="D3246" s="2">
        <v>2836.94</v>
      </c>
      <c r="E3246" s="2">
        <v>2836.94</v>
      </c>
      <c r="G3246" s="1" t="s">
        <v>6485</v>
      </c>
      <c r="H3246" s="2">
        <v>1870.72</v>
      </c>
      <c r="I3246" s="2">
        <v>1870.72</v>
      </c>
    </row>
    <row r="3247">
      <c r="A3247" s="1" t="s">
        <v>6486</v>
      </c>
      <c r="B3247" s="2">
        <v>1359.88</v>
      </c>
      <c r="C3247" s="2">
        <v>1359.88</v>
      </c>
      <c r="D3247" s="2">
        <v>2853.13</v>
      </c>
      <c r="E3247" s="2">
        <v>2853.13</v>
      </c>
      <c r="G3247" s="1" t="s">
        <v>6487</v>
      </c>
      <c r="H3247" s="2">
        <v>1860.83</v>
      </c>
      <c r="I3247" s="2">
        <v>1860.83</v>
      </c>
    </row>
    <row r="3248">
      <c r="A3248" s="1" t="s">
        <v>6488</v>
      </c>
      <c r="B3248" s="2" t="s">
        <v>0</v>
      </c>
      <c r="C3248" s="2">
        <v>1359.88</v>
      </c>
      <c r="D3248" s="2" t="s">
        <v>0</v>
      </c>
      <c r="E3248" s="2">
        <v>2853.13</v>
      </c>
      <c r="G3248" s="1" t="s">
        <v>6489</v>
      </c>
      <c r="H3248" s="2" t="s">
        <v>0</v>
      </c>
      <c r="I3248" s="2">
        <v>1860.83</v>
      </c>
    </row>
    <row r="3249">
      <c r="A3249" s="1" t="s">
        <v>6490</v>
      </c>
      <c r="B3249" s="2" t="s">
        <v>0</v>
      </c>
      <c r="C3249" s="2">
        <v>1359.88</v>
      </c>
      <c r="D3249" s="2" t="s">
        <v>0</v>
      </c>
      <c r="E3249" s="2">
        <v>2853.13</v>
      </c>
      <c r="G3249" s="1" t="s">
        <v>6491</v>
      </c>
      <c r="H3249" s="2" t="s">
        <v>0</v>
      </c>
      <c r="I3249" s="2">
        <v>1860.83</v>
      </c>
    </row>
    <row r="3250">
      <c r="A3250" s="1" t="s">
        <v>6492</v>
      </c>
      <c r="B3250" s="2">
        <v>1386.89</v>
      </c>
      <c r="C3250" s="2">
        <v>1386.89</v>
      </c>
      <c r="D3250" s="2">
        <v>2916.07</v>
      </c>
      <c r="E3250" s="2">
        <v>2916.07</v>
      </c>
      <c r="G3250" s="1" t="s">
        <v>6493</v>
      </c>
      <c r="H3250" s="2">
        <v>1878.1</v>
      </c>
      <c r="I3250" s="2">
        <v>1878.1</v>
      </c>
    </row>
    <row r="3251">
      <c r="A3251" s="1" t="s">
        <v>6494</v>
      </c>
      <c r="B3251" s="2">
        <v>1384.53</v>
      </c>
      <c r="C3251" s="2">
        <v>1384.53</v>
      </c>
      <c r="D3251" s="2">
        <v>2916.68</v>
      </c>
      <c r="E3251" s="2">
        <v>2916.68</v>
      </c>
      <c r="G3251" s="1" t="s">
        <v>6495</v>
      </c>
      <c r="H3251" s="2">
        <v>1890.18</v>
      </c>
      <c r="I3251" s="2">
        <v>1890.18</v>
      </c>
    </row>
    <row r="3252">
      <c r="A3252" s="1" t="s">
        <v>6496</v>
      </c>
      <c r="B3252" s="2">
        <v>1391.03</v>
      </c>
      <c r="C3252" s="2">
        <v>1391.03</v>
      </c>
      <c r="D3252" s="2">
        <v>2926.55</v>
      </c>
      <c r="E3252" s="2">
        <v>2926.55</v>
      </c>
      <c r="G3252" s="1" t="s">
        <v>6497</v>
      </c>
      <c r="H3252" s="2">
        <v>1884.04</v>
      </c>
      <c r="I3252" s="2">
        <v>1884.04</v>
      </c>
    </row>
    <row r="3253">
      <c r="A3253" s="1" t="s">
        <v>6498</v>
      </c>
      <c r="B3253" s="2">
        <v>1391.03</v>
      </c>
      <c r="C3253" s="2">
        <v>1391.03</v>
      </c>
      <c r="D3253" s="2" t="s">
        <v>0</v>
      </c>
      <c r="E3253" s="2">
        <v>2926.55</v>
      </c>
      <c r="G3253" s="1" t="s">
        <v>6499</v>
      </c>
      <c r="H3253" s="2">
        <v>1899.5</v>
      </c>
      <c r="I3253" s="2">
        <v>1899.5</v>
      </c>
    </row>
    <row r="3254">
      <c r="A3254" s="1" t="s">
        <v>6500</v>
      </c>
      <c r="B3254" s="2">
        <v>1409.15</v>
      </c>
      <c r="C3254" s="2">
        <v>1409.15</v>
      </c>
      <c r="D3254" s="2">
        <v>2966.85</v>
      </c>
      <c r="E3254" s="2">
        <v>2966.85</v>
      </c>
      <c r="G3254" s="1" t="s">
        <v>6501</v>
      </c>
      <c r="H3254" s="2">
        <v>1911.33</v>
      </c>
      <c r="I3254" s="2">
        <v>1911.33</v>
      </c>
    </row>
    <row r="3255">
      <c r="A3255" s="1" t="s">
        <v>6502</v>
      </c>
      <c r="B3255" s="2" t="s">
        <v>0</v>
      </c>
      <c r="C3255" s="2">
        <v>1409.15</v>
      </c>
      <c r="D3255" s="2" t="s">
        <v>0</v>
      </c>
      <c r="E3255" s="2">
        <v>2966.85</v>
      </c>
      <c r="G3255" s="1" t="s">
        <v>6503</v>
      </c>
      <c r="H3255" s="2" t="s">
        <v>0</v>
      </c>
      <c r="I3255" s="2">
        <v>1911.33</v>
      </c>
    </row>
    <row r="3256">
      <c r="A3256" s="1" t="s">
        <v>6504</v>
      </c>
      <c r="B3256" s="2" t="s">
        <v>0</v>
      </c>
      <c r="C3256" s="2">
        <v>1409.15</v>
      </c>
      <c r="D3256" s="2" t="s">
        <v>0</v>
      </c>
      <c r="E3256" s="2">
        <v>2966.85</v>
      </c>
      <c r="G3256" s="1" t="s">
        <v>6505</v>
      </c>
      <c r="H3256" s="2" t="s">
        <v>0</v>
      </c>
      <c r="I3256" s="2">
        <v>1911.33</v>
      </c>
    </row>
    <row r="3257">
      <c r="A3257" s="1" t="s">
        <v>6506</v>
      </c>
      <c r="B3257" s="2">
        <v>1406.29</v>
      </c>
      <c r="C3257" s="2">
        <v>1406.29</v>
      </c>
      <c r="D3257" s="2">
        <v>2976.78</v>
      </c>
      <c r="E3257" s="2">
        <v>2976.78</v>
      </c>
      <c r="G3257" s="1" t="s">
        <v>6507</v>
      </c>
      <c r="H3257" s="2">
        <v>1908.51</v>
      </c>
      <c r="I3257" s="2">
        <v>1908.51</v>
      </c>
    </row>
    <row r="3258">
      <c r="A3258" s="1" t="s">
        <v>6508</v>
      </c>
      <c r="B3258" s="2">
        <v>1398.94</v>
      </c>
      <c r="C3258" s="2">
        <v>1398.94</v>
      </c>
      <c r="D3258" s="2">
        <v>2967.79</v>
      </c>
      <c r="E3258" s="2">
        <v>2967.79</v>
      </c>
      <c r="G3258" s="1" t="s">
        <v>6509</v>
      </c>
      <c r="H3258" s="2">
        <v>1925.2</v>
      </c>
      <c r="I3258" s="2">
        <v>1925.2</v>
      </c>
    </row>
    <row r="3259">
      <c r="A3259" s="1" t="s">
        <v>6510</v>
      </c>
      <c r="B3259" s="2">
        <v>1409.93</v>
      </c>
      <c r="C3259" s="2">
        <v>1409.93</v>
      </c>
      <c r="D3259" s="2">
        <v>2991.78</v>
      </c>
      <c r="E3259" s="2">
        <v>2991.78</v>
      </c>
      <c r="G3259" s="1" t="s">
        <v>6511</v>
      </c>
      <c r="H3259" s="2">
        <v>1912.78</v>
      </c>
      <c r="I3259" s="2">
        <v>1912.78</v>
      </c>
    </row>
    <row r="3260">
      <c r="A3260" s="1" t="s">
        <v>6512</v>
      </c>
      <c r="B3260" s="2">
        <v>1415.95</v>
      </c>
      <c r="C3260" s="2">
        <v>1415.95</v>
      </c>
      <c r="D3260" s="2">
        <v>3012.03</v>
      </c>
      <c r="E3260" s="2">
        <v>3012.03</v>
      </c>
      <c r="G3260" s="1" t="s">
        <v>6513</v>
      </c>
      <c r="H3260" s="2">
        <v>1934.85</v>
      </c>
      <c r="I3260" s="2">
        <v>1934.85</v>
      </c>
    </row>
    <row r="3261">
      <c r="A3261" s="1" t="s">
        <v>6514</v>
      </c>
      <c r="B3261" s="2">
        <v>1416.18</v>
      </c>
      <c r="C3261" s="2">
        <v>1416.18</v>
      </c>
      <c r="D3261" s="2">
        <v>3010.24</v>
      </c>
      <c r="E3261" s="2">
        <v>3010.24</v>
      </c>
      <c r="G3261" s="1" t="s">
        <v>6515</v>
      </c>
      <c r="H3261" s="2">
        <v>1932.9</v>
      </c>
      <c r="I3261" s="2">
        <v>1932.9</v>
      </c>
    </row>
    <row r="3262">
      <c r="A3262" s="1" t="s">
        <v>6516</v>
      </c>
      <c r="B3262" s="2" t="s">
        <v>0</v>
      </c>
      <c r="C3262" s="2">
        <v>1416.18</v>
      </c>
      <c r="D3262" s="2" t="s">
        <v>0</v>
      </c>
      <c r="E3262" s="2">
        <v>3010.24</v>
      </c>
      <c r="G3262" s="1" t="s">
        <v>6517</v>
      </c>
      <c r="H3262" s="2" t="s">
        <v>0</v>
      </c>
      <c r="I3262" s="2">
        <v>1932.9</v>
      </c>
    </row>
    <row r="3263">
      <c r="A3263" s="1" t="s">
        <v>6518</v>
      </c>
      <c r="B3263" s="2" t="s">
        <v>0</v>
      </c>
      <c r="C3263" s="2">
        <v>1416.18</v>
      </c>
      <c r="D3263" s="2" t="s">
        <v>0</v>
      </c>
      <c r="E3263" s="2">
        <v>3010.24</v>
      </c>
      <c r="G3263" s="1" t="s">
        <v>6519</v>
      </c>
      <c r="H3263" s="2" t="s">
        <v>0</v>
      </c>
      <c r="I3263" s="2">
        <v>1932.9</v>
      </c>
    </row>
    <row r="3264">
      <c r="A3264" s="1" t="s">
        <v>6520</v>
      </c>
      <c r="B3264" s="2">
        <v>1409.46</v>
      </c>
      <c r="C3264" s="2">
        <v>1409.46</v>
      </c>
      <c r="D3264" s="2">
        <v>3002.2</v>
      </c>
      <c r="E3264" s="2">
        <v>3002.2</v>
      </c>
      <c r="G3264" s="1" t="s">
        <v>6521</v>
      </c>
      <c r="H3264" s="2">
        <v>1940.02</v>
      </c>
      <c r="I3264" s="2">
        <v>1940.02</v>
      </c>
    </row>
    <row r="3265">
      <c r="A3265" s="1" t="s">
        <v>6522</v>
      </c>
      <c r="B3265" s="2">
        <v>1407.05</v>
      </c>
      <c r="C3265" s="2">
        <v>1407.05</v>
      </c>
      <c r="D3265" s="2">
        <v>2996.69</v>
      </c>
      <c r="E3265" s="2">
        <v>2996.69</v>
      </c>
      <c r="G3265" s="1" t="s">
        <v>6523</v>
      </c>
      <c r="H3265" s="2">
        <v>1935.18</v>
      </c>
      <c r="I3265" s="2">
        <v>1935.18</v>
      </c>
    </row>
    <row r="3266">
      <c r="A3266" s="1" t="s">
        <v>6524</v>
      </c>
      <c r="B3266" s="2">
        <v>1409.28</v>
      </c>
      <c r="C3266" s="2">
        <v>1409.28</v>
      </c>
      <c r="D3266" s="2">
        <v>2973.7</v>
      </c>
      <c r="E3266" s="2">
        <v>2973.7</v>
      </c>
      <c r="G3266" s="1" t="s">
        <v>6525</v>
      </c>
      <c r="H3266" s="2">
        <v>1947.04</v>
      </c>
      <c r="I3266" s="2">
        <v>1947.04</v>
      </c>
    </row>
    <row r="3267">
      <c r="A3267" s="1" t="s">
        <v>6526</v>
      </c>
      <c r="B3267" s="2">
        <v>1413.94</v>
      </c>
      <c r="C3267" s="2">
        <v>1413.94</v>
      </c>
      <c r="D3267" s="2">
        <v>2989.27</v>
      </c>
      <c r="E3267" s="2">
        <v>2989.27</v>
      </c>
      <c r="G3267" s="1" t="s">
        <v>6527</v>
      </c>
      <c r="H3267" s="2">
        <v>1949.62</v>
      </c>
      <c r="I3267" s="2">
        <v>1949.62</v>
      </c>
    </row>
    <row r="3268">
      <c r="A3268" s="1" t="s">
        <v>6528</v>
      </c>
      <c r="B3268" s="2">
        <v>1418.07</v>
      </c>
      <c r="C3268" s="2">
        <v>1418.07</v>
      </c>
      <c r="D3268" s="2">
        <v>2978.04</v>
      </c>
      <c r="E3268" s="2">
        <v>2978.04</v>
      </c>
      <c r="G3268" s="1" t="s">
        <v>6529</v>
      </c>
      <c r="H3268" s="2">
        <v>1957.45</v>
      </c>
      <c r="I3268" s="2">
        <v>1957.45</v>
      </c>
    </row>
    <row r="3269">
      <c r="A3269" s="1" t="s">
        <v>6530</v>
      </c>
      <c r="B3269" s="2" t="s">
        <v>0</v>
      </c>
      <c r="C3269" s="2">
        <v>1418.07</v>
      </c>
      <c r="D3269" s="2" t="s">
        <v>0</v>
      </c>
      <c r="E3269" s="2">
        <v>2978.04</v>
      </c>
      <c r="G3269" s="1" t="s">
        <v>6531</v>
      </c>
      <c r="H3269" s="2" t="s">
        <v>0</v>
      </c>
      <c r="I3269" s="2">
        <v>1957.45</v>
      </c>
    </row>
    <row r="3270">
      <c r="A3270" s="1" t="s">
        <v>6532</v>
      </c>
      <c r="B3270" s="2" t="s">
        <v>0</v>
      </c>
      <c r="C3270" s="2">
        <v>1418.07</v>
      </c>
      <c r="D3270" s="2" t="s">
        <v>0</v>
      </c>
      <c r="E3270" s="2">
        <v>2978.04</v>
      </c>
      <c r="G3270" s="1" t="s">
        <v>6533</v>
      </c>
      <c r="H3270" s="2" t="s">
        <v>0</v>
      </c>
      <c r="I3270" s="2">
        <v>1957.45</v>
      </c>
    </row>
    <row r="3271">
      <c r="A3271" s="1" t="s">
        <v>6534</v>
      </c>
      <c r="B3271" s="2">
        <v>1418.55</v>
      </c>
      <c r="C3271" s="2">
        <v>1418.55</v>
      </c>
      <c r="D3271" s="2">
        <v>2986.96</v>
      </c>
      <c r="E3271" s="2">
        <v>2986.96</v>
      </c>
      <c r="G3271" s="1" t="s">
        <v>6535</v>
      </c>
      <c r="H3271" s="2">
        <v>1957.42</v>
      </c>
      <c r="I3271" s="2">
        <v>1957.42</v>
      </c>
    </row>
    <row r="3272">
      <c r="A3272" s="1" t="s">
        <v>6536</v>
      </c>
      <c r="B3272" s="2">
        <v>1427.84</v>
      </c>
      <c r="C3272" s="2">
        <v>1427.84</v>
      </c>
      <c r="D3272" s="2">
        <v>3022.3</v>
      </c>
      <c r="E3272" s="2">
        <v>3022.3</v>
      </c>
      <c r="G3272" s="1" t="s">
        <v>6537</v>
      </c>
      <c r="H3272" s="2">
        <v>1964.62</v>
      </c>
      <c r="I3272" s="2">
        <v>1964.62</v>
      </c>
    </row>
    <row r="3273">
      <c r="A3273" s="1" t="s">
        <v>6538</v>
      </c>
      <c r="B3273" s="2">
        <v>1428.48</v>
      </c>
      <c r="C3273" s="2">
        <v>1428.48</v>
      </c>
      <c r="D3273" s="2">
        <v>3013.81</v>
      </c>
      <c r="E3273" s="2">
        <v>3013.81</v>
      </c>
      <c r="G3273" s="1" t="s">
        <v>6539</v>
      </c>
      <c r="H3273" s="2">
        <v>1975.44</v>
      </c>
      <c r="I3273" s="2">
        <v>1975.44</v>
      </c>
    </row>
    <row r="3274">
      <c r="A3274" s="1" t="s">
        <v>6540</v>
      </c>
      <c r="B3274" s="2">
        <v>1419.45</v>
      </c>
      <c r="C3274" s="2">
        <v>1419.45</v>
      </c>
      <c r="D3274" s="2">
        <v>2992.16</v>
      </c>
      <c r="E3274" s="2">
        <v>2992.16</v>
      </c>
      <c r="G3274" s="1" t="s">
        <v>6541</v>
      </c>
      <c r="H3274" s="2">
        <v>2002.77</v>
      </c>
      <c r="I3274" s="2">
        <v>2002.77</v>
      </c>
    </row>
    <row r="3275">
      <c r="A3275" s="1" t="s">
        <v>6542</v>
      </c>
      <c r="B3275" s="2">
        <v>1413.58</v>
      </c>
      <c r="C3275" s="2">
        <v>1413.58</v>
      </c>
      <c r="D3275" s="2">
        <v>2971.33</v>
      </c>
      <c r="E3275" s="2">
        <v>2971.33</v>
      </c>
      <c r="G3275" s="1" t="s">
        <v>6543</v>
      </c>
      <c r="H3275" s="2">
        <v>1995.04</v>
      </c>
      <c r="I3275" s="2">
        <v>1995.04</v>
      </c>
    </row>
    <row r="3276">
      <c r="A3276" s="1" t="s">
        <v>6544</v>
      </c>
      <c r="B3276" s="2" t="s">
        <v>0</v>
      </c>
      <c r="C3276" s="2">
        <v>1413.58</v>
      </c>
      <c r="D3276" s="2" t="s">
        <v>0</v>
      </c>
      <c r="E3276" s="2">
        <v>2971.33</v>
      </c>
      <c r="G3276" s="1" t="s">
        <v>6545</v>
      </c>
      <c r="H3276" s="2" t="s">
        <v>0</v>
      </c>
      <c r="I3276" s="2">
        <v>1995.04</v>
      </c>
    </row>
    <row r="3277">
      <c r="A3277" s="1" t="s">
        <v>6546</v>
      </c>
      <c r="B3277" s="2" t="s">
        <v>0</v>
      </c>
      <c r="C3277" s="2">
        <v>1413.58</v>
      </c>
      <c r="D3277" s="2" t="s">
        <v>0</v>
      </c>
      <c r="E3277" s="2">
        <v>2971.33</v>
      </c>
      <c r="G3277" s="1" t="s">
        <v>6547</v>
      </c>
      <c r="H3277" s="2" t="s">
        <v>0</v>
      </c>
      <c r="I3277" s="2">
        <v>1995.04</v>
      </c>
    </row>
    <row r="3278">
      <c r="A3278" s="1" t="s">
        <v>6548</v>
      </c>
      <c r="B3278" s="2">
        <v>1430.36</v>
      </c>
      <c r="C3278" s="2">
        <v>1430.36</v>
      </c>
      <c r="D3278" s="2">
        <v>3010.6</v>
      </c>
      <c r="E3278" s="2">
        <v>3010.6</v>
      </c>
      <c r="G3278" s="1" t="s">
        <v>6549</v>
      </c>
      <c r="H3278" s="2">
        <v>1983.07</v>
      </c>
      <c r="I3278" s="2">
        <v>1983.07</v>
      </c>
    </row>
    <row r="3279">
      <c r="A3279" s="1" t="s">
        <v>6550</v>
      </c>
      <c r="B3279" s="2">
        <v>1446.79</v>
      </c>
      <c r="C3279" s="2">
        <v>1446.79</v>
      </c>
      <c r="D3279" s="2">
        <v>3054.53</v>
      </c>
      <c r="E3279" s="2">
        <v>3054.53</v>
      </c>
      <c r="G3279" s="1" t="s">
        <v>6551</v>
      </c>
      <c r="H3279" s="2">
        <v>1993.09</v>
      </c>
      <c r="I3279" s="2">
        <v>1993.09</v>
      </c>
    </row>
    <row r="3280">
      <c r="A3280" s="1" t="s">
        <v>6552</v>
      </c>
      <c r="B3280" s="2">
        <v>1435.81</v>
      </c>
      <c r="C3280" s="2">
        <v>1435.81</v>
      </c>
      <c r="D3280" s="2">
        <v>3044.36</v>
      </c>
      <c r="E3280" s="2">
        <v>3044.36</v>
      </c>
      <c r="G3280" s="1" t="s">
        <v>6553</v>
      </c>
      <c r="H3280" s="2" t="s">
        <v>0</v>
      </c>
      <c r="I3280" s="2">
        <v>1993.09</v>
      </c>
    </row>
    <row r="3281">
      <c r="A3281" s="1" t="s">
        <v>6554</v>
      </c>
      <c r="B3281" s="2">
        <v>1443.69</v>
      </c>
      <c r="C3281" s="2">
        <v>1443.69</v>
      </c>
      <c r="D3281" s="2">
        <v>3050.39</v>
      </c>
      <c r="E3281" s="2">
        <v>3050.39</v>
      </c>
      <c r="G3281" s="1" t="s">
        <v>6555</v>
      </c>
      <c r="H3281" s="2">
        <v>1999.5</v>
      </c>
      <c r="I3281" s="2">
        <v>1999.5</v>
      </c>
    </row>
    <row r="3282">
      <c r="A3282" s="1" t="s">
        <v>6556</v>
      </c>
      <c r="B3282" s="2">
        <v>1430.15</v>
      </c>
      <c r="C3282" s="2">
        <v>1430.15</v>
      </c>
      <c r="D3282" s="2">
        <v>3021.01</v>
      </c>
      <c r="E3282" s="2">
        <v>3021.01</v>
      </c>
      <c r="G3282" s="1" t="s">
        <v>6557</v>
      </c>
      <c r="H3282" s="2">
        <v>1980.42</v>
      </c>
      <c r="I3282" s="2">
        <v>1980.42</v>
      </c>
    </row>
    <row r="3283">
      <c r="A3283" s="1" t="s">
        <v>6558</v>
      </c>
      <c r="B3283" s="2" t="s">
        <v>0</v>
      </c>
      <c r="C3283" s="2">
        <v>1430.15</v>
      </c>
      <c r="D3283" s="2" t="s">
        <v>0</v>
      </c>
      <c r="E3283" s="2">
        <v>3021.01</v>
      </c>
      <c r="G3283" s="1" t="s">
        <v>6559</v>
      </c>
      <c r="H3283" s="2" t="s">
        <v>0</v>
      </c>
      <c r="I3283" s="2">
        <v>1980.42</v>
      </c>
    </row>
    <row r="3284">
      <c r="A3284" s="1" t="s">
        <v>6560</v>
      </c>
      <c r="B3284" s="2" t="s">
        <v>0</v>
      </c>
      <c r="C3284" s="2">
        <v>1430.15</v>
      </c>
      <c r="D3284" s="2" t="s">
        <v>0</v>
      </c>
      <c r="E3284" s="2">
        <v>3021.01</v>
      </c>
      <c r="G3284" s="1" t="s">
        <v>6561</v>
      </c>
      <c r="H3284" s="2" t="s">
        <v>0</v>
      </c>
      <c r="I3284" s="2">
        <v>1980.42</v>
      </c>
    </row>
    <row r="3285">
      <c r="A3285" s="1" t="s">
        <v>6562</v>
      </c>
      <c r="B3285" s="2">
        <v>1426.66</v>
      </c>
      <c r="C3285" s="2">
        <v>1426.66</v>
      </c>
      <c r="D3285" s="2">
        <v>3012.6</v>
      </c>
      <c r="E3285" s="2">
        <v>3012.6</v>
      </c>
      <c r="G3285" s="1" t="s">
        <v>6563</v>
      </c>
      <c r="H3285" s="2">
        <v>1981.82</v>
      </c>
      <c r="I3285" s="2">
        <v>1981.82</v>
      </c>
    </row>
    <row r="3286">
      <c r="A3286" s="1" t="s">
        <v>6564</v>
      </c>
      <c r="B3286" s="2">
        <v>1426.66</v>
      </c>
      <c r="C3286" s="2">
        <v>1426.66</v>
      </c>
      <c r="D3286" s="2" t="s">
        <v>0</v>
      </c>
      <c r="E3286" s="2">
        <v>3012.6</v>
      </c>
      <c r="G3286" s="1" t="s">
        <v>6565</v>
      </c>
      <c r="H3286" s="2" t="s">
        <v>0</v>
      </c>
      <c r="I3286" s="2">
        <v>1981.82</v>
      </c>
    </row>
    <row r="3287">
      <c r="A3287" s="1" t="s">
        <v>6566</v>
      </c>
      <c r="B3287" s="2">
        <v>1419.83</v>
      </c>
      <c r="C3287" s="2">
        <v>1419.83</v>
      </c>
      <c r="D3287" s="2">
        <v>2990.16</v>
      </c>
      <c r="E3287" s="2">
        <v>2990.16</v>
      </c>
      <c r="G3287" s="1" t="s">
        <v>6567</v>
      </c>
      <c r="H3287" s="2">
        <v>1982.25</v>
      </c>
      <c r="I3287" s="2">
        <v>1982.25</v>
      </c>
    </row>
    <row r="3288">
      <c r="A3288" s="1" t="s">
        <v>6568</v>
      </c>
      <c r="B3288" s="2">
        <v>1418.09</v>
      </c>
      <c r="C3288" s="2">
        <v>1418.09</v>
      </c>
      <c r="D3288" s="2">
        <v>2985.91</v>
      </c>
      <c r="E3288" s="2">
        <v>2985.91</v>
      </c>
      <c r="G3288" s="1" t="s">
        <v>6569</v>
      </c>
      <c r="H3288" s="2">
        <v>1987.35</v>
      </c>
      <c r="I3288" s="2">
        <v>1987.35</v>
      </c>
    </row>
    <row r="3289">
      <c r="A3289" s="1" t="s">
        <v>6570</v>
      </c>
      <c r="B3289" s="2">
        <v>1402.43</v>
      </c>
      <c r="C3289" s="2">
        <v>1402.43</v>
      </c>
      <c r="D3289" s="2">
        <v>2960.31</v>
      </c>
      <c r="E3289" s="2">
        <v>2960.31</v>
      </c>
      <c r="G3289" s="1" t="s">
        <v>6571</v>
      </c>
      <c r="H3289" s="2">
        <v>1997.05</v>
      </c>
      <c r="I3289" s="2">
        <v>1997.05</v>
      </c>
    </row>
    <row r="3290">
      <c r="A3290" s="1" t="s">
        <v>6572</v>
      </c>
      <c r="B3290" s="2" t="s">
        <v>0</v>
      </c>
      <c r="C3290" s="2">
        <v>1402.43</v>
      </c>
      <c r="D3290" s="2" t="s">
        <v>0</v>
      </c>
      <c r="E3290" s="2">
        <v>2960.31</v>
      </c>
      <c r="G3290" s="1" t="s">
        <v>6573</v>
      </c>
      <c r="H3290" s="2" t="s">
        <v>0</v>
      </c>
      <c r="I3290" s="2">
        <v>1997.05</v>
      </c>
    </row>
    <row r="3291">
      <c r="A3291" s="1" t="s">
        <v>6574</v>
      </c>
      <c r="B3291" s="2" t="s">
        <v>0</v>
      </c>
      <c r="C3291" s="2">
        <v>1402.43</v>
      </c>
      <c r="D3291" s="2" t="s">
        <v>0</v>
      </c>
      <c r="E3291" s="2">
        <v>2960.31</v>
      </c>
      <c r="G3291" s="1" t="s">
        <v>6575</v>
      </c>
      <c r="H3291" s="2" t="s">
        <v>0</v>
      </c>
      <c r="I3291" s="2">
        <v>1997.05</v>
      </c>
    </row>
    <row r="3292">
      <c r="A3292" s="1" t="s">
        <v>6576</v>
      </c>
      <c r="B3292" s="2">
        <v>1426.19</v>
      </c>
      <c r="C3292" s="2">
        <v>1426.19</v>
      </c>
      <c r="D3292" s="2">
        <v>3019.51</v>
      </c>
      <c r="E3292" s="2">
        <v>3019.51</v>
      </c>
      <c r="G3292" s="1" t="s">
        <v>6577</v>
      </c>
      <c r="H3292" s="2" t="s">
        <v>0</v>
      </c>
      <c r="I3292" s="2">
        <v>1997.05</v>
      </c>
    </row>
    <row r="3293">
      <c r="A3293" s="1" t="s">
        <v>6578</v>
      </c>
      <c r="B3293" s="2">
        <v>1426.19</v>
      </c>
      <c r="C3293" s="2">
        <v>1426.19</v>
      </c>
      <c r="D3293" s="2" t="s">
        <v>0</v>
      </c>
      <c r="E3293" s="2">
        <v>3019.51</v>
      </c>
      <c r="G3293" s="1" t="s">
        <v>6579</v>
      </c>
      <c r="H3293" s="2" t="s">
        <v>0</v>
      </c>
      <c r="I3293" s="2">
        <v>1997.05</v>
      </c>
    </row>
    <row r="3294">
      <c r="A3294" s="1" t="s">
        <v>6580</v>
      </c>
      <c r="B3294" s="2">
        <v>1462.42</v>
      </c>
      <c r="C3294" s="2">
        <v>1462.42</v>
      </c>
      <c r="D3294" s="2">
        <v>3112.26</v>
      </c>
      <c r="E3294" s="2">
        <v>3112.26</v>
      </c>
      <c r="G3294" s="1" t="s">
        <v>6581</v>
      </c>
      <c r="H3294" s="2">
        <v>2031.1</v>
      </c>
      <c r="I3294" s="2">
        <v>2031.1</v>
      </c>
    </row>
    <row r="3295">
      <c r="A3295" s="1" t="s">
        <v>6582</v>
      </c>
      <c r="B3295" s="2">
        <v>1459.37</v>
      </c>
      <c r="C3295" s="2">
        <v>1459.37</v>
      </c>
      <c r="D3295" s="2">
        <v>3100.57</v>
      </c>
      <c r="E3295" s="2">
        <v>3100.57</v>
      </c>
      <c r="G3295" s="1" t="s">
        <v>6583</v>
      </c>
      <c r="H3295" s="2">
        <v>2019.41</v>
      </c>
      <c r="I3295" s="2">
        <v>2019.41</v>
      </c>
    </row>
    <row r="3296">
      <c r="A3296" s="1" t="s">
        <v>6584</v>
      </c>
      <c r="B3296" s="2">
        <v>1466.47</v>
      </c>
      <c r="C3296" s="2">
        <v>1466.47</v>
      </c>
      <c r="D3296" s="2">
        <v>3101.66</v>
      </c>
      <c r="E3296" s="2">
        <v>3101.66</v>
      </c>
      <c r="G3296" s="1" t="s">
        <v>6585</v>
      </c>
      <c r="H3296" s="2">
        <v>2011.94</v>
      </c>
      <c r="I3296" s="2">
        <v>2011.94</v>
      </c>
    </row>
    <row r="3297">
      <c r="A3297" s="1" t="s">
        <v>6586</v>
      </c>
      <c r="B3297" s="2" t="s">
        <v>0</v>
      </c>
      <c r="C3297" s="2">
        <v>1466.47</v>
      </c>
      <c r="D3297" s="2" t="s">
        <v>0</v>
      </c>
      <c r="E3297" s="2">
        <v>3101.66</v>
      </c>
      <c r="G3297" s="1" t="s">
        <v>6587</v>
      </c>
      <c r="H3297" s="2" t="s">
        <v>0</v>
      </c>
      <c r="I3297" s="2">
        <v>2011.94</v>
      </c>
    </row>
    <row r="3298">
      <c r="A3298" s="1" t="s">
        <v>6588</v>
      </c>
      <c r="B3298" s="2" t="s">
        <v>0</v>
      </c>
      <c r="C3298" s="2">
        <v>1466.47</v>
      </c>
      <c r="D3298" s="2" t="s">
        <v>0</v>
      </c>
      <c r="E3298" s="2">
        <v>3101.66</v>
      </c>
      <c r="G3298" s="1" t="s">
        <v>6589</v>
      </c>
      <c r="H3298" s="2" t="s">
        <v>0</v>
      </c>
      <c r="I3298" s="2">
        <v>2011.94</v>
      </c>
    </row>
    <row r="3299">
      <c r="A3299" s="1" t="s">
        <v>6590</v>
      </c>
      <c r="B3299" s="2">
        <v>1461.89</v>
      </c>
      <c r="C3299" s="2">
        <v>1461.89</v>
      </c>
      <c r="D3299" s="2">
        <v>3098.81</v>
      </c>
      <c r="E3299" s="2">
        <v>3098.81</v>
      </c>
      <c r="G3299" s="1" t="s">
        <v>6591</v>
      </c>
      <c r="H3299" s="2">
        <v>2011.25</v>
      </c>
      <c r="I3299" s="2">
        <v>2011.25</v>
      </c>
    </row>
    <row r="3300">
      <c r="A3300" s="1" t="s">
        <v>6592</v>
      </c>
      <c r="B3300" s="2">
        <v>1457.15</v>
      </c>
      <c r="C3300" s="2">
        <v>1457.15</v>
      </c>
      <c r="D3300" s="2">
        <v>3091.81</v>
      </c>
      <c r="E3300" s="2">
        <v>3091.81</v>
      </c>
      <c r="G3300" s="1" t="s">
        <v>6593</v>
      </c>
      <c r="H3300" s="2">
        <v>1997.94</v>
      </c>
      <c r="I3300" s="2">
        <v>1997.94</v>
      </c>
    </row>
    <row r="3301">
      <c r="A3301" s="1" t="s">
        <v>6594</v>
      </c>
      <c r="B3301" s="2">
        <v>1461.02</v>
      </c>
      <c r="C3301" s="2">
        <v>1461.02</v>
      </c>
      <c r="D3301" s="2">
        <v>3105.81</v>
      </c>
      <c r="E3301" s="2">
        <v>3105.81</v>
      </c>
      <c r="G3301" s="1" t="s">
        <v>6595</v>
      </c>
      <c r="H3301" s="2">
        <v>1991.81</v>
      </c>
      <c r="I3301" s="2">
        <v>1991.81</v>
      </c>
    </row>
    <row r="3302">
      <c r="A3302" s="1" t="s">
        <v>6596</v>
      </c>
      <c r="B3302" s="2">
        <v>1472.12</v>
      </c>
      <c r="C3302" s="2">
        <v>1472.12</v>
      </c>
      <c r="D3302" s="2">
        <v>3121.76</v>
      </c>
      <c r="E3302" s="2">
        <v>3121.76</v>
      </c>
      <c r="G3302" s="1" t="s">
        <v>6597</v>
      </c>
      <c r="H3302" s="2">
        <v>2006.8</v>
      </c>
      <c r="I3302" s="2">
        <v>2006.8</v>
      </c>
    </row>
    <row r="3303">
      <c r="A3303" s="1" t="s">
        <v>6598</v>
      </c>
      <c r="B3303" s="2">
        <v>1472.05</v>
      </c>
      <c r="C3303" s="2">
        <v>1472.05</v>
      </c>
      <c r="D3303" s="2">
        <v>3125.63</v>
      </c>
      <c r="E3303" s="2">
        <v>3125.63</v>
      </c>
      <c r="G3303" s="1" t="s">
        <v>6599</v>
      </c>
      <c r="H3303" s="2">
        <v>1996.67</v>
      </c>
      <c r="I3303" s="2">
        <v>1996.67</v>
      </c>
    </row>
    <row r="3304">
      <c r="A3304" s="1" t="s">
        <v>6600</v>
      </c>
      <c r="B3304" s="2" t="s">
        <v>0</v>
      </c>
      <c r="C3304" s="2">
        <v>1472.05</v>
      </c>
      <c r="D3304" s="2" t="s">
        <v>0</v>
      </c>
      <c r="E3304" s="2">
        <v>3125.63</v>
      </c>
      <c r="G3304" s="1" t="s">
        <v>6601</v>
      </c>
      <c r="H3304" s="2" t="s">
        <v>0</v>
      </c>
      <c r="I3304" s="2">
        <v>1996.67</v>
      </c>
    </row>
    <row r="3305">
      <c r="A3305" s="1" t="s">
        <v>6602</v>
      </c>
      <c r="B3305" s="2" t="s">
        <v>0</v>
      </c>
      <c r="C3305" s="2">
        <v>1472.05</v>
      </c>
      <c r="D3305" s="2" t="s">
        <v>0</v>
      </c>
      <c r="E3305" s="2">
        <v>3125.63</v>
      </c>
      <c r="G3305" s="1" t="s">
        <v>6603</v>
      </c>
      <c r="H3305" s="2" t="s">
        <v>0</v>
      </c>
      <c r="I3305" s="2">
        <v>1996.67</v>
      </c>
    </row>
    <row r="3306">
      <c r="A3306" s="1" t="s">
        <v>6604</v>
      </c>
      <c r="B3306" s="2">
        <v>1470.68</v>
      </c>
      <c r="C3306" s="2">
        <v>1470.68</v>
      </c>
      <c r="D3306" s="2">
        <v>3117.5</v>
      </c>
      <c r="E3306" s="2">
        <v>3117.5</v>
      </c>
      <c r="G3306" s="1" t="s">
        <v>6605</v>
      </c>
      <c r="H3306" s="2">
        <v>2007.04</v>
      </c>
      <c r="I3306" s="2">
        <v>2007.04</v>
      </c>
    </row>
    <row r="3307">
      <c r="A3307" s="1" t="s">
        <v>6606</v>
      </c>
      <c r="B3307" s="2">
        <v>1472.34</v>
      </c>
      <c r="C3307" s="2">
        <v>1472.34</v>
      </c>
      <c r="D3307" s="2">
        <v>3110.78</v>
      </c>
      <c r="E3307" s="2">
        <v>3110.78</v>
      </c>
      <c r="G3307" s="1" t="s">
        <v>6607</v>
      </c>
      <c r="H3307" s="2">
        <v>1983.74</v>
      </c>
      <c r="I3307" s="2">
        <v>1983.74</v>
      </c>
    </row>
    <row r="3308">
      <c r="A3308" s="1" t="s">
        <v>6608</v>
      </c>
      <c r="B3308" s="2">
        <v>1472.63</v>
      </c>
      <c r="C3308" s="2">
        <v>1472.63</v>
      </c>
      <c r="D3308" s="2">
        <v>3117.54</v>
      </c>
      <c r="E3308" s="2">
        <v>3117.54</v>
      </c>
      <c r="G3308" s="1" t="s">
        <v>6609</v>
      </c>
      <c r="H3308" s="2">
        <v>1977.45</v>
      </c>
      <c r="I3308" s="2">
        <v>1977.45</v>
      </c>
    </row>
    <row r="3309">
      <c r="A3309" s="1" t="s">
        <v>6610</v>
      </c>
      <c r="B3309" s="2">
        <v>1480.94</v>
      </c>
      <c r="C3309" s="2">
        <v>1480.94</v>
      </c>
      <c r="D3309" s="2">
        <v>3136.0</v>
      </c>
      <c r="E3309" s="2">
        <v>3136.0</v>
      </c>
      <c r="G3309" s="1" t="s">
        <v>6611</v>
      </c>
      <c r="H3309" s="2">
        <v>1974.27</v>
      </c>
      <c r="I3309" s="2">
        <v>1974.27</v>
      </c>
    </row>
    <row r="3310">
      <c r="A3310" s="1" t="s">
        <v>6612</v>
      </c>
      <c r="B3310" s="2">
        <v>1485.98</v>
      </c>
      <c r="C3310" s="2">
        <v>1485.98</v>
      </c>
      <c r="D3310" s="2">
        <v>3134.71</v>
      </c>
      <c r="E3310" s="2">
        <v>3134.71</v>
      </c>
      <c r="G3310" s="1" t="s">
        <v>6613</v>
      </c>
      <c r="H3310" s="2">
        <v>1987.85</v>
      </c>
      <c r="I3310" s="2">
        <v>1987.85</v>
      </c>
    </row>
    <row r="3311">
      <c r="A3311" s="1" t="s">
        <v>6614</v>
      </c>
      <c r="B3311" s="2" t="s">
        <v>0</v>
      </c>
      <c r="C3311" s="2">
        <v>1485.98</v>
      </c>
      <c r="D3311" s="2" t="s">
        <v>0</v>
      </c>
      <c r="E3311" s="2">
        <v>3134.71</v>
      </c>
      <c r="G3311" s="1" t="s">
        <v>6615</v>
      </c>
      <c r="H3311" s="2" t="s">
        <v>0</v>
      </c>
      <c r="I3311" s="2">
        <v>1987.85</v>
      </c>
    </row>
    <row r="3312">
      <c r="A3312" s="1" t="s">
        <v>6616</v>
      </c>
      <c r="B3312" s="2" t="s">
        <v>0</v>
      </c>
      <c r="C3312" s="2">
        <v>1485.98</v>
      </c>
      <c r="D3312" s="2" t="s">
        <v>0</v>
      </c>
      <c r="E3312" s="2">
        <v>3134.71</v>
      </c>
      <c r="G3312" s="1" t="s">
        <v>6617</v>
      </c>
      <c r="H3312" s="2" t="s">
        <v>0</v>
      </c>
      <c r="I3312" s="2">
        <v>1987.85</v>
      </c>
    </row>
    <row r="3313">
      <c r="A3313" s="1" t="s">
        <v>6618</v>
      </c>
      <c r="B3313" s="2">
        <v>1485.98</v>
      </c>
      <c r="C3313" s="2">
        <v>1485.98</v>
      </c>
      <c r="D3313" s="2" t="s">
        <v>0</v>
      </c>
      <c r="E3313" s="2">
        <v>3134.71</v>
      </c>
      <c r="G3313" s="1" t="s">
        <v>6619</v>
      </c>
      <c r="H3313" s="2">
        <v>1986.86</v>
      </c>
      <c r="I3313" s="2">
        <v>1986.86</v>
      </c>
    </row>
    <row r="3314">
      <c r="A3314" s="1" t="s">
        <v>6620</v>
      </c>
      <c r="B3314" s="2">
        <v>1492.56</v>
      </c>
      <c r="C3314" s="2">
        <v>1492.56</v>
      </c>
      <c r="D3314" s="2">
        <v>3143.18</v>
      </c>
      <c r="E3314" s="2">
        <v>3143.18</v>
      </c>
      <c r="G3314" s="1" t="s">
        <v>6621</v>
      </c>
      <c r="H3314" s="2">
        <v>1996.52</v>
      </c>
      <c r="I3314" s="2">
        <v>1996.52</v>
      </c>
    </row>
    <row r="3315">
      <c r="A3315" s="1" t="s">
        <v>6622</v>
      </c>
      <c r="B3315" s="2">
        <v>1494.81</v>
      </c>
      <c r="C3315" s="2">
        <v>1494.81</v>
      </c>
      <c r="D3315" s="2">
        <v>3153.67</v>
      </c>
      <c r="E3315" s="2">
        <v>3153.67</v>
      </c>
      <c r="G3315" s="1" t="s">
        <v>6623</v>
      </c>
      <c r="H3315" s="2">
        <v>1980.41</v>
      </c>
      <c r="I3315" s="2">
        <v>1980.41</v>
      </c>
    </row>
    <row r="3316">
      <c r="A3316" s="1" t="s">
        <v>6624</v>
      </c>
      <c r="B3316" s="2">
        <v>1494.82</v>
      </c>
      <c r="C3316" s="2">
        <v>1494.82</v>
      </c>
      <c r="D3316" s="2">
        <v>3130.38</v>
      </c>
      <c r="E3316" s="2">
        <v>3130.38</v>
      </c>
      <c r="G3316" s="1" t="s">
        <v>6625</v>
      </c>
      <c r="H3316" s="2">
        <v>1964.48</v>
      </c>
      <c r="I3316" s="2">
        <v>1964.48</v>
      </c>
    </row>
    <row r="3317">
      <c r="A3317" s="1" t="s">
        <v>6626</v>
      </c>
      <c r="B3317" s="2">
        <v>1502.96</v>
      </c>
      <c r="C3317" s="2">
        <v>1502.96</v>
      </c>
      <c r="D3317" s="2">
        <v>3149.71</v>
      </c>
      <c r="E3317" s="2">
        <v>3149.71</v>
      </c>
      <c r="G3317" s="1" t="s">
        <v>6627</v>
      </c>
      <c r="H3317" s="2">
        <v>1946.69</v>
      </c>
      <c r="I3317" s="2">
        <v>1946.69</v>
      </c>
    </row>
    <row r="3318">
      <c r="A3318" s="1" t="s">
        <v>6628</v>
      </c>
      <c r="B3318" s="2" t="s">
        <v>0</v>
      </c>
      <c r="C3318" s="2">
        <v>1502.96</v>
      </c>
      <c r="D3318" s="2" t="s">
        <v>0</v>
      </c>
      <c r="E3318" s="2">
        <v>3149.71</v>
      </c>
      <c r="G3318" s="1" t="s">
        <v>6629</v>
      </c>
      <c r="H3318" s="2" t="s">
        <v>0</v>
      </c>
      <c r="I3318" s="2">
        <v>1946.69</v>
      </c>
    </row>
    <row r="3319">
      <c r="A3319" s="1" t="s">
        <v>6630</v>
      </c>
      <c r="B3319" s="2" t="s">
        <v>0</v>
      </c>
      <c r="C3319" s="2">
        <v>1502.96</v>
      </c>
      <c r="D3319" s="2" t="s">
        <v>0</v>
      </c>
      <c r="E3319" s="2">
        <v>3149.71</v>
      </c>
      <c r="G3319" s="1" t="s">
        <v>6631</v>
      </c>
      <c r="H3319" s="2" t="s">
        <v>0</v>
      </c>
      <c r="I3319" s="2">
        <v>1946.69</v>
      </c>
    </row>
    <row r="3320">
      <c r="A3320" s="1" t="s">
        <v>6632</v>
      </c>
      <c r="B3320" s="2">
        <v>1500.18</v>
      </c>
      <c r="C3320" s="2">
        <v>1500.18</v>
      </c>
      <c r="D3320" s="2">
        <v>3154.3</v>
      </c>
      <c r="E3320" s="2">
        <v>3154.3</v>
      </c>
      <c r="G3320" s="1" t="s">
        <v>6633</v>
      </c>
      <c r="H3320" s="2">
        <v>1939.71</v>
      </c>
      <c r="I3320" s="2">
        <v>1939.71</v>
      </c>
    </row>
    <row r="3321">
      <c r="A3321" s="1" t="s">
        <v>6634</v>
      </c>
      <c r="B3321" s="2">
        <v>1507.84</v>
      </c>
      <c r="C3321" s="2">
        <v>1507.84</v>
      </c>
      <c r="D3321" s="2">
        <v>3153.66</v>
      </c>
      <c r="E3321" s="2">
        <v>3153.66</v>
      </c>
      <c r="G3321" s="1" t="s">
        <v>6635</v>
      </c>
      <c r="H3321" s="2">
        <v>1955.96</v>
      </c>
      <c r="I3321" s="2">
        <v>1955.96</v>
      </c>
    </row>
    <row r="3322">
      <c r="A3322" s="1" t="s">
        <v>6636</v>
      </c>
      <c r="B3322" s="2">
        <v>1501.96</v>
      </c>
      <c r="C3322" s="2">
        <v>1501.96</v>
      </c>
      <c r="D3322" s="2">
        <v>3142.31</v>
      </c>
      <c r="E3322" s="2">
        <v>3142.31</v>
      </c>
      <c r="G3322" s="1" t="s">
        <v>6637</v>
      </c>
      <c r="H3322" s="2">
        <v>1964.43</v>
      </c>
      <c r="I3322" s="2">
        <v>1964.43</v>
      </c>
    </row>
    <row r="3323">
      <c r="A3323" s="1" t="s">
        <v>6638</v>
      </c>
      <c r="B3323" s="2">
        <v>1498.11</v>
      </c>
      <c r="C3323" s="2">
        <v>1498.11</v>
      </c>
      <c r="D3323" s="2">
        <v>3142.13</v>
      </c>
      <c r="E3323" s="2">
        <v>3142.13</v>
      </c>
      <c r="G3323" s="1" t="s">
        <v>6639</v>
      </c>
      <c r="H3323" s="2">
        <v>1961.94</v>
      </c>
      <c r="I3323" s="2">
        <v>1961.94</v>
      </c>
    </row>
    <row r="3324">
      <c r="A3324" s="1" t="s">
        <v>6640</v>
      </c>
      <c r="B3324" s="2">
        <v>1513.17</v>
      </c>
      <c r="C3324" s="2">
        <v>1513.17</v>
      </c>
      <c r="D3324" s="2">
        <v>3179.1</v>
      </c>
      <c r="E3324" s="2">
        <v>3179.1</v>
      </c>
      <c r="G3324" s="1" t="s">
        <v>6641</v>
      </c>
      <c r="H3324" s="2">
        <v>1957.79</v>
      </c>
      <c r="I3324" s="2">
        <v>1957.79</v>
      </c>
    </row>
    <row r="3325">
      <c r="A3325" s="1" t="s">
        <v>6642</v>
      </c>
      <c r="B3325" s="2" t="s">
        <v>0</v>
      </c>
      <c r="C3325" s="2">
        <v>1513.17</v>
      </c>
      <c r="D3325" s="2" t="s">
        <v>0</v>
      </c>
      <c r="E3325" s="2">
        <v>3179.1</v>
      </c>
      <c r="G3325" s="1" t="s">
        <v>6643</v>
      </c>
      <c r="H3325" s="2" t="s">
        <v>0</v>
      </c>
      <c r="I3325" s="2">
        <v>1957.79</v>
      </c>
    </row>
    <row r="3326">
      <c r="A3326" s="1" t="s">
        <v>6644</v>
      </c>
      <c r="B3326" s="2" t="s">
        <v>0</v>
      </c>
      <c r="C3326" s="2">
        <v>1513.17</v>
      </c>
      <c r="D3326" s="2" t="s">
        <v>0</v>
      </c>
      <c r="E3326" s="2">
        <v>3179.1</v>
      </c>
      <c r="G3326" s="1" t="s">
        <v>6645</v>
      </c>
      <c r="H3326" s="2" t="s">
        <v>0</v>
      </c>
      <c r="I3326" s="2">
        <v>1957.79</v>
      </c>
    </row>
    <row r="3327">
      <c r="A3327" s="1" t="s">
        <v>6646</v>
      </c>
      <c r="B3327" s="2">
        <v>1495.71</v>
      </c>
      <c r="C3327" s="2">
        <v>1495.71</v>
      </c>
      <c r="D3327" s="2">
        <v>3131.17</v>
      </c>
      <c r="E3327" s="2">
        <v>3131.17</v>
      </c>
      <c r="G3327" s="1" t="s">
        <v>6647</v>
      </c>
      <c r="H3327" s="2">
        <v>1953.21</v>
      </c>
      <c r="I3327" s="2">
        <v>1953.21</v>
      </c>
    </row>
    <row r="3328">
      <c r="A3328" s="1" t="s">
        <v>6648</v>
      </c>
      <c r="B3328" s="2">
        <v>1511.29</v>
      </c>
      <c r="C3328" s="2">
        <v>1511.29</v>
      </c>
      <c r="D3328" s="2">
        <v>3171.58</v>
      </c>
      <c r="E3328" s="2">
        <v>3171.58</v>
      </c>
      <c r="G3328" s="1" t="s">
        <v>6649</v>
      </c>
      <c r="H3328" s="2">
        <v>1938.18</v>
      </c>
      <c r="I3328" s="2">
        <v>1938.18</v>
      </c>
    </row>
    <row r="3329">
      <c r="A3329" s="1" t="s">
        <v>6650</v>
      </c>
      <c r="B3329" s="2">
        <v>1512.12</v>
      </c>
      <c r="C3329" s="2">
        <v>1512.12</v>
      </c>
      <c r="D3329" s="2">
        <v>3168.48</v>
      </c>
      <c r="E3329" s="2">
        <v>3168.48</v>
      </c>
      <c r="G3329" s="1" t="s">
        <v>6651</v>
      </c>
      <c r="H3329" s="2">
        <v>1936.19</v>
      </c>
      <c r="I3329" s="2">
        <v>1936.19</v>
      </c>
    </row>
    <row r="3330">
      <c r="A3330" s="1" t="s">
        <v>6652</v>
      </c>
      <c r="B3330" s="2">
        <v>1509.39</v>
      </c>
      <c r="C3330" s="2">
        <v>1509.39</v>
      </c>
      <c r="D3330" s="2">
        <v>3165.13</v>
      </c>
      <c r="E3330" s="2">
        <v>3165.13</v>
      </c>
      <c r="G3330" s="1" t="s">
        <v>6653</v>
      </c>
      <c r="H3330" s="2">
        <v>1931.77</v>
      </c>
      <c r="I3330" s="2">
        <v>1931.77</v>
      </c>
    </row>
    <row r="3331">
      <c r="A3331" s="1" t="s">
        <v>6654</v>
      </c>
      <c r="B3331" s="2">
        <v>1517.93</v>
      </c>
      <c r="C3331" s="2">
        <v>1517.93</v>
      </c>
      <c r="D3331" s="2">
        <v>3193.87</v>
      </c>
      <c r="E3331" s="2">
        <v>3193.87</v>
      </c>
      <c r="G3331" s="1" t="s">
        <v>6655</v>
      </c>
      <c r="H3331" s="2">
        <v>1950.9</v>
      </c>
      <c r="I3331" s="2">
        <v>1950.9</v>
      </c>
    </row>
    <row r="3332">
      <c r="A3332" s="1" t="s">
        <v>6656</v>
      </c>
      <c r="B3332" s="2" t="s">
        <v>0</v>
      </c>
      <c r="C3332" s="2">
        <v>1517.93</v>
      </c>
      <c r="D3332" s="2" t="s">
        <v>0</v>
      </c>
      <c r="E3332" s="2">
        <v>3193.87</v>
      </c>
      <c r="G3332" s="1" t="s">
        <v>6657</v>
      </c>
      <c r="H3332" s="2" t="s">
        <v>0</v>
      </c>
      <c r="I3332" s="2">
        <v>1950.9</v>
      </c>
    </row>
    <row r="3333">
      <c r="A3333" s="1" t="s">
        <v>6658</v>
      </c>
      <c r="B3333" s="2" t="s">
        <v>0</v>
      </c>
      <c r="C3333" s="2">
        <v>1517.93</v>
      </c>
      <c r="D3333" s="2" t="s">
        <v>0</v>
      </c>
      <c r="E3333" s="2">
        <v>3193.87</v>
      </c>
      <c r="G3333" s="1" t="s">
        <v>6659</v>
      </c>
      <c r="H3333" s="2" t="s">
        <v>0</v>
      </c>
      <c r="I3333" s="2">
        <v>1950.9</v>
      </c>
    </row>
    <row r="3334">
      <c r="A3334" s="1" t="s">
        <v>6660</v>
      </c>
      <c r="B3334" s="2">
        <v>1517.01</v>
      </c>
      <c r="C3334" s="2">
        <v>1517.01</v>
      </c>
      <c r="D3334" s="2">
        <v>3192.0</v>
      </c>
      <c r="E3334" s="2">
        <v>3192.0</v>
      </c>
      <c r="G3334" s="1" t="s">
        <v>6661</v>
      </c>
      <c r="H3334" s="2" t="s">
        <v>0</v>
      </c>
      <c r="I3334" s="2">
        <v>1950.9</v>
      </c>
    </row>
    <row r="3335">
      <c r="A3335" s="1" t="s">
        <v>6662</v>
      </c>
      <c r="B3335" s="2">
        <v>1519.43</v>
      </c>
      <c r="C3335" s="2">
        <v>1519.43</v>
      </c>
      <c r="D3335" s="2">
        <v>3186.49</v>
      </c>
      <c r="E3335" s="2">
        <v>3186.49</v>
      </c>
      <c r="G3335" s="1" t="s">
        <v>6663</v>
      </c>
      <c r="H3335" s="2">
        <v>1945.79</v>
      </c>
      <c r="I3335" s="2">
        <v>1945.79</v>
      </c>
    </row>
    <row r="3336">
      <c r="A3336" s="1" t="s">
        <v>6664</v>
      </c>
      <c r="B3336" s="2">
        <v>1520.33</v>
      </c>
      <c r="C3336" s="2">
        <v>1520.33</v>
      </c>
      <c r="D3336" s="2">
        <v>3196.88</v>
      </c>
      <c r="E3336" s="2">
        <v>3196.88</v>
      </c>
      <c r="G3336" s="1" t="s">
        <v>6665</v>
      </c>
      <c r="H3336" s="2">
        <v>1976.07</v>
      </c>
      <c r="I3336" s="2">
        <v>1976.07</v>
      </c>
    </row>
    <row r="3337">
      <c r="A3337" s="1" t="s">
        <v>6666</v>
      </c>
      <c r="B3337" s="2">
        <v>1521.38</v>
      </c>
      <c r="C3337" s="2">
        <v>1521.38</v>
      </c>
      <c r="D3337" s="2">
        <v>3198.66</v>
      </c>
      <c r="E3337" s="2">
        <v>3198.66</v>
      </c>
      <c r="G3337" s="1" t="s">
        <v>6667</v>
      </c>
      <c r="H3337" s="2">
        <v>1979.61</v>
      </c>
      <c r="I3337" s="2">
        <v>1979.61</v>
      </c>
    </row>
    <row r="3338">
      <c r="A3338" s="1" t="s">
        <v>6668</v>
      </c>
      <c r="B3338" s="2">
        <v>1519.79</v>
      </c>
      <c r="C3338" s="2">
        <v>1519.79</v>
      </c>
      <c r="D3338" s="2">
        <v>3192.03</v>
      </c>
      <c r="E3338" s="2">
        <v>3192.03</v>
      </c>
      <c r="G3338" s="1" t="s">
        <v>6669</v>
      </c>
      <c r="H3338" s="2">
        <v>1981.18</v>
      </c>
      <c r="I3338" s="2">
        <v>1981.18</v>
      </c>
    </row>
    <row r="3339">
      <c r="A3339" s="1" t="s">
        <v>6670</v>
      </c>
      <c r="B3339" s="2" t="s">
        <v>0</v>
      </c>
      <c r="C3339" s="2">
        <v>1519.79</v>
      </c>
      <c r="D3339" s="2" t="s">
        <v>0</v>
      </c>
      <c r="E3339" s="2">
        <v>3192.03</v>
      </c>
      <c r="G3339" s="1" t="s">
        <v>6671</v>
      </c>
      <c r="H3339" s="2" t="s">
        <v>0</v>
      </c>
      <c r="I3339" s="2">
        <v>1981.18</v>
      </c>
    </row>
    <row r="3340">
      <c r="A3340" s="1" t="s">
        <v>6672</v>
      </c>
      <c r="B3340" s="2" t="s">
        <v>0</v>
      </c>
      <c r="C3340" s="2">
        <v>1519.79</v>
      </c>
      <c r="D3340" s="2" t="s">
        <v>0</v>
      </c>
      <c r="E3340" s="2">
        <v>3192.03</v>
      </c>
      <c r="G3340" s="1" t="s">
        <v>6673</v>
      </c>
      <c r="H3340" s="2" t="s">
        <v>0</v>
      </c>
      <c r="I3340" s="2">
        <v>1981.18</v>
      </c>
    </row>
    <row r="3341">
      <c r="A3341" s="1" t="s">
        <v>6674</v>
      </c>
      <c r="B3341" s="2" t="s">
        <v>0</v>
      </c>
      <c r="C3341" s="2">
        <v>1519.79</v>
      </c>
      <c r="D3341" s="2" t="s">
        <v>0</v>
      </c>
      <c r="E3341" s="2">
        <v>3192.03</v>
      </c>
      <c r="G3341" s="1" t="s">
        <v>6675</v>
      </c>
      <c r="H3341" s="2">
        <v>1981.91</v>
      </c>
      <c r="I3341" s="2">
        <v>1981.91</v>
      </c>
    </row>
    <row r="3342">
      <c r="A3342" s="1" t="s">
        <v>6676</v>
      </c>
      <c r="B3342" s="2">
        <v>1530.94</v>
      </c>
      <c r="C3342" s="2">
        <v>1530.94</v>
      </c>
      <c r="D3342" s="2">
        <v>3213.6</v>
      </c>
      <c r="E3342" s="2">
        <v>3213.6</v>
      </c>
      <c r="G3342" s="1" t="s">
        <v>6677</v>
      </c>
      <c r="H3342" s="2">
        <v>1985.83</v>
      </c>
      <c r="I3342" s="2">
        <v>1985.83</v>
      </c>
    </row>
    <row r="3343">
      <c r="A3343" s="1" t="s">
        <v>6678</v>
      </c>
      <c r="B3343" s="2">
        <v>1511.95</v>
      </c>
      <c r="C3343" s="2">
        <v>1511.95</v>
      </c>
      <c r="D3343" s="2">
        <v>3164.41</v>
      </c>
      <c r="E3343" s="2">
        <v>3164.41</v>
      </c>
      <c r="G3343" s="1" t="s">
        <v>6679</v>
      </c>
      <c r="H3343" s="2">
        <v>2024.64</v>
      </c>
      <c r="I3343" s="2">
        <v>2024.64</v>
      </c>
    </row>
    <row r="3344">
      <c r="A3344" s="1" t="s">
        <v>6680</v>
      </c>
      <c r="B3344" s="2">
        <v>1502.42</v>
      </c>
      <c r="C3344" s="2">
        <v>1502.42</v>
      </c>
      <c r="D3344" s="2">
        <v>3131.49</v>
      </c>
      <c r="E3344" s="2">
        <v>3131.49</v>
      </c>
      <c r="G3344" s="1" t="s">
        <v>6681</v>
      </c>
      <c r="H3344" s="2">
        <v>2015.22</v>
      </c>
      <c r="I3344" s="2">
        <v>2015.22</v>
      </c>
    </row>
    <row r="3345">
      <c r="A3345" s="1" t="s">
        <v>6682</v>
      </c>
      <c r="B3345" s="2">
        <v>1515.6</v>
      </c>
      <c r="C3345" s="2">
        <v>1515.6</v>
      </c>
      <c r="D3345" s="2">
        <v>3161.82</v>
      </c>
      <c r="E3345" s="2">
        <v>3161.82</v>
      </c>
      <c r="G3345" s="1" t="s">
        <v>6683</v>
      </c>
      <c r="H3345" s="2">
        <v>2018.89</v>
      </c>
      <c r="I3345" s="2">
        <v>2018.89</v>
      </c>
    </row>
    <row r="3346">
      <c r="A3346" s="1" t="s">
        <v>6684</v>
      </c>
      <c r="B3346" s="2" t="s">
        <v>0</v>
      </c>
      <c r="C3346" s="2">
        <v>1515.6</v>
      </c>
      <c r="D3346" s="2" t="s">
        <v>0</v>
      </c>
      <c r="E3346" s="2">
        <v>3161.82</v>
      </c>
      <c r="G3346" s="1" t="s">
        <v>6685</v>
      </c>
      <c r="H3346" s="2" t="s">
        <v>0</v>
      </c>
      <c r="I3346" s="2">
        <v>2018.89</v>
      </c>
    </row>
    <row r="3347">
      <c r="A3347" s="1" t="s">
        <v>6686</v>
      </c>
      <c r="B3347" s="2" t="s">
        <v>0</v>
      </c>
      <c r="C3347" s="2">
        <v>1515.6</v>
      </c>
      <c r="D3347" s="2" t="s">
        <v>0</v>
      </c>
      <c r="E3347" s="2">
        <v>3161.82</v>
      </c>
      <c r="G3347" s="1" t="s">
        <v>6687</v>
      </c>
      <c r="H3347" s="2" t="s">
        <v>0</v>
      </c>
      <c r="I3347" s="2">
        <v>2018.89</v>
      </c>
    </row>
    <row r="3348">
      <c r="A3348" s="1" t="s">
        <v>6688</v>
      </c>
      <c r="B3348" s="2">
        <v>1487.85</v>
      </c>
      <c r="C3348" s="2">
        <v>1487.85</v>
      </c>
      <c r="D3348" s="2">
        <v>3116.25</v>
      </c>
      <c r="E3348" s="2">
        <v>3116.25</v>
      </c>
      <c r="G3348" s="1" t="s">
        <v>6689</v>
      </c>
      <c r="H3348" s="2">
        <v>2009.52</v>
      </c>
      <c r="I3348" s="2">
        <v>2009.52</v>
      </c>
    </row>
    <row r="3349">
      <c r="A3349" s="1" t="s">
        <v>6690</v>
      </c>
      <c r="B3349" s="2">
        <v>1496.94</v>
      </c>
      <c r="C3349" s="2">
        <v>1496.94</v>
      </c>
      <c r="D3349" s="2">
        <v>3129.65</v>
      </c>
      <c r="E3349" s="2">
        <v>3129.65</v>
      </c>
      <c r="G3349" s="1" t="s">
        <v>6691</v>
      </c>
      <c r="H3349" s="2">
        <v>2000.01</v>
      </c>
      <c r="I3349" s="2">
        <v>2000.01</v>
      </c>
    </row>
    <row r="3350">
      <c r="A3350" s="1" t="s">
        <v>6692</v>
      </c>
      <c r="B3350" s="2">
        <v>1515.99</v>
      </c>
      <c r="C3350" s="2">
        <v>1515.99</v>
      </c>
      <c r="D3350" s="2">
        <v>3162.26</v>
      </c>
      <c r="E3350" s="2">
        <v>3162.26</v>
      </c>
      <c r="G3350" s="1" t="s">
        <v>6693</v>
      </c>
      <c r="H3350" s="2">
        <v>2004.04</v>
      </c>
      <c r="I3350" s="2">
        <v>2004.04</v>
      </c>
    </row>
    <row r="3351">
      <c r="A3351" s="1" t="s">
        <v>6694</v>
      </c>
      <c r="B3351" s="2">
        <v>1514.68</v>
      </c>
      <c r="C3351" s="2">
        <v>1514.68</v>
      </c>
      <c r="D3351" s="2">
        <v>3160.19</v>
      </c>
      <c r="E3351" s="2">
        <v>3160.19</v>
      </c>
      <c r="G3351" s="1" t="s">
        <v>6695</v>
      </c>
      <c r="H3351" s="2">
        <v>2026.49</v>
      </c>
      <c r="I3351" s="2">
        <v>2026.49</v>
      </c>
    </row>
    <row r="3352">
      <c r="A3352" s="1" t="s">
        <v>6696</v>
      </c>
      <c r="B3352" s="2">
        <v>1518.2</v>
      </c>
      <c r="C3352" s="2">
        <v>1518.2</v>
      </c>
      <c r="D3352" s="2">
        <v>3169.74</v>
      </c>
      <c r="E3352" s="2">
        <v>3169.74</v>
      </c>
      <c r="G3352" s="1" t="s">
        <v>6697</v>
      </c>
      <c r="H3352" s="2" t="s">
        <v>0</v>
      </c>
      <c r="I3352" s="2">
        <v>2026.49</v>
      </c>
    </row>
    <row r="3353">
      <c r="A3353" s="1" t="s">
        <v>6698</v>
      </c>
      <c r="B3353" s="2" t="s">
        <v>0</v>
      </c>
      <c r="C3353" s="2">
        <v>1518.2</v>
      </c>
      <c r="D3353" s="2" t="s">
        <v>0</v>
      </c>
      <c r="E3353" s="2">
        <v>3169.74</v>
      </c>
      <c r="G3353" s="1" t="s">
        <v>6699</v>
      </c>
      <c r="H3353" s="2" t="s">
        <v>0</v>
      </c>
      <c r="I3353" s="2">
        <v>2026.49</v>
      </c>
    </row>
    <row r="3354">
      <c r="A3354" s="1" t="s">
        <v>6700</v>
      </c>
      <c r="B3354" s="2" t="s">
        <v>0</v>
      </c>
      <c r="C3354" s="2">
        <v>1518.2</v>
      </c>
      <c r="D3354" s="2" t="s">
        <v>0</v>
      </c>
      <c r="E3354" s="2">
        <v>3169.74</v>
      </c>
      <c r="G3354" s="1" t="s">
        <v>6701</v>
      </c>
      <c r="H3354" s="2" t="s">
        <v>0</v>
      </c>
      <c r="I3354" s="2">
        <v>2026.49</v>
      </c>
    </row>
    <row r="3355">
      <c r="A3355" s="1" t="s">
        <v>6702</v>
      </c>
      <c r="B3355" s="2">
        <v>1525.2</v>
      </c>
      <c r="C3355" s="2">
        <v>1525.2</v>
      </c>
      <c r="D3355" s="2">
        <v>3182.03</v>
      </c>
      <c r="E3355" s="2">
        <v>3182.03</v>
      </c>
      <c r="G3355" s="1" t="s">
        <v>6703</v>
      </c>
      <c r="H3355" s="2">
        <v>2013.15</v>
      </c>
      <c r="I3355" s="2">
        <v>2013.15</v>
      </c>
    </row>
    <row r="3356">
      <c r="A3356" s="1" t="s">
        <v>6704</v>
      </c>
      <c r="B3356" s="2">
        <v>1539.79</v>
      </c>
      <c r="C3356" s="2">
        <v>1539.79</v>
      </c>
      <c r="D3356" s="2">
        <v>3224.13</v>
      </c>
      <c r="E3356" s="2">
        <v>3224.13</v>
      </c>
      <c r="G3356" s="1" t="s">
        <v>6705</v>
      </c>
      <c r="H3356" s="2">
        <v>2016.61</v>
      </c>
      <c r="I3356" s="2">
        <v>2016.61</v>
      </c>
    </row>
    <row r="3357">
      <c r="A3357" s="1" t="s">
        <v>6706</v>
      </c>
      <c r="B3357" s="2">
        <v>1541.46</v>
      </c>
      <c r="C3357" s="2">
        <v>1541.46</v>
      </c>
      <c r="D3357" s="2">
        <v>3222.37</v>
      </c>
      <c r="E3357" s="2">
        <v>3222.37</v>
      </c>
      <c r="G3357" s="1" t="s">
        <v>6707</v>
      </c>
      <c r="H3357" s="2">
        <v>2020.74</v>
      </c>
      <c r="I3357" s="2">
        <v>2020.74</v>
      </c>
    </row>
    <row r="3358">
      <c r="A3358" s="1" t="s">
        <v>6708</v>
      </c>
      <c r="B3358" s="2">
        <v>1544.26</v>
      </c>
      <c r="C3358" s="2">
        <v>1544.26</v>
      </c>
      <c r="D3358" s="2">
        <v>3232.09</v>
      </c>
      <c r="E3358" s="2">
        <v>3232.09</v>
      </c>
      <c r="G3358" s="1" t="s">
        <v>6709</v>
      </c>
      <c r="H3358" s="2">
        <v>2004.4</v>
      </c>
      <c r="I3358" s="2">
        <v>2004.4</v>
      </c>
    </row>
    <row r="3359">
      <c r="A3359" s="1" t="s">
        <v>6710</v>
      </c>
      <c r="B3359" s="2">
        <v>1551.18</v>
      </c>
      <c r="C3359" s="2">
        <v>1551.18</v>
      </c>
      <c r="D3359" s="2">
        <v>3244.37</v>
      </c>
      <c r="E3359" s="2">
        <v>3244.37</v>
      </c>
      <c r="G3359" s="1" t="s">
        <v>6711</v>
      </c>
      <c r="H3359" s="2">
        <v>2006.01</v>
      </c>
      <c r="I3359" s="2">
        <v>2006.01</v>
      </c>
    </row>
    <row r="3360">
      <c r="A3360" s="1" t="s">
        <v>6712</v>
      </c>
      <c r="B3360" s="2" t="s">
        <v>0</v>
      </c>
      <c r="C3360" s="2">
        <v>1551.18</v>
      </c>
      <c r="D3360" s="2" t="s">
        <v>0</v>
      </c>
      <c r="E3360" s="2">
        <v>3244.37</v>
      </c>
      <c r="G3360" s="1" t="s">
        <v>6713</v>
      </c>
      <c r="H3360" s="2" t="s">
        <v>0</v>
      </c>
      <c r="I3360" s="2">
        <v>2006.01</v>
      </c>
    </row>
    <row r="3361">
      <c r="A3361" s="1" t="s">
        <v>6714</v>
      </c>
      <c r="B3361" s="2" t="s">
        <v>0</v>
      </c>
      <c r="C3361" s="2">
        <v>1551.18</v>
      </c>
      <c r="D3361" s="2" t="s">
        <v>0</v>
      </c>
      <c r="E3361" s="2">
        <v>3244.37</v>
      </c>
      <c r="G3361" s="1" t="s">
        <v>6715</v>
      </c>
      <c r="H3361" s="2" t="s">
        <v>0</v>
      </c>
      <c r="I3361" s="2">
        <v>2006.01</v>
      </c>
    </row>
    <row r="3362">
      <c r="A3362" s="1" t="s">
        <v>6716</v>
      </c>
      <c r="B3362" s="2">
        <v>1556.22</v>
      </c>
      <c r="C3362" s="2">
        <v>1556.22</v>
      </c>
      <c r="D3362" s="2">
        <v>3252.87</v>
      </c>
      <c r="E3362" s="2">
        <v>3252.87</v>
      </c>
      <c r="G3362" s="1" t="s">
        <v>6717</v>
      </c>
      <c r="H3362" s="2">
        <v>2003.35</v>
      </c>
      <c r="I3362" s="2">
        <v>2003.35</v>
      </c>
    </row>
    <row r="3363">
      <c r="A3363" s="1" t="s">
        <v>6718</v>
      </c>
      <c r="B3363" s="2">
        <v>1552.48</v>
      </c>
      <c r="C3363" s="2">
        <v>1552.48</v>
      </c>
      <c r="D3363" s="2">
        <v>3242.32</v>
      </c>
      <c r="E3363" s="2">
        <v>3242.32</v>
      </c>
      <c r="G3363" s="1" t="s">
        <v>6719</v>
      </c>
      <c r="H3363" s="2">
        <v>1993.34</v>
      </c>
      <c r="I3363" s="2">
        <v>1993.34</v>
      </c>
    </row>
    <row r="3364">
      <c r="A3364" s="1" t="s">
        <v>6720</v>
      </c>
      <c r="B3364" s="2">
        <v>1554.52</v>
      </c>
      <c r="C3364" s="2">
        <v>1554.52</v>
      </c>
      <c r="D3364" s="2">
        <v>3245.12</v>
      </c>
      <c r="E3364" s="2">
        <v>3245.12</v>
      </c>
      <c r="G3364" s="1" t="s">
        <v>6721</v>
      </c>
      <c r="H3364" s="2">
        <v>1999.73</v>
      </c>
      <c r="I3364" s="2">
        <v>1999.73</v>
      </c>
    </row>
    <row r="3365">
      <c r="A3365" s="1" t="s">
        <v>6722</v>
      </c>
      <c r="B3365" s="2">
        <v>1563.23</v>
      </c>
      <c r="C3365" s="2">
        <v>1563.23</v>
      </c>
      <c r="D3365" s="2">
        <v>3258.93</v>
      </c>
      <c r="E3365" s="2">
        <v>3258.93</v>
      </c>
      <c r="G3365" s="1" t="s">
        <v>6723</v>
      </c>
      <c r="H3365" s="2">
        <v>2002.13</v>
      </c>
      <c r="I3365" s="2">
        <v>2002.13</v>
      </c>
    </row>
    <row r="3366">
      <c r="A3366" s="1" t="s">
        <v>6724</v>
      </c>
      <c r="B3366" s="2">
        <v>1560.7</v>
      </c>
      <c r="C3366" s="2">
        <v>1560.7</v>
      </c>
      <c r="D3366" s="2">
        <v>3249.07</v>
      </c>
      <c r="E3366" s="2">
        <v>3249.07</v>
      </c>
      <c r="G3366" s="1" t="s">
        <v>6725</v>
      </c>
      <c r="H3366" s="2">
        <v>1986.5</v>
      </c>
      <c r="I3366" s="2">
        <v>1986.5</v>
      </c>
    </row>
    <row r="3367">
      <c r="A3367" s="1" t="s">
        <v>6726</v>
      </c>
      <c r="B3367" s="2" t="s">
        <v>0</v>
      </c>
      <c r="C3367" s="2">
        <v>1560.7</v>
      </c>
      <c r="D3367" s="2" t="s">
        <v>0</v>
      </c>
      <c r="E3367" s="2">
        <v>3249.07</v>
      </c>
      <c r="G3367" s="1" t="s">
        <v>6727</v>
      </c>
      <c r="H3367" s="2" t="s">
        <v>0</v>
      </c>
      <c r="I3367" s="2">
        <v>1986.5</v>
      </c>
    </row>
    <row r="3368">
      <c r="A3368" s="1" t="s">
        <v>6728</v>
      </c>
      <c r="B3368" s="2" t="s">
        <v>0</v>
      </c>
      <c r="C3368" s="2">
        <v>1560.7</v>
      </c>
      <c r="D3368" s="2" t="s">
        <v>0</v>
      </c>
      <c r="E3368" s="2">
        <v>3249.07</v>
      </c>
      <c r="G3368" s="1" t="s">
        <v>6729</v>
      </c>
      <c r="H3368" s="2" t="s">
        <v>0</v>
      </c>
      <c r="I3368" s="2">
        <v>1986.5</v>
      </c>
    </row>
    <row r="3369">
      <c r="A3369" s="1" t="s">
        <v>6730</v>
      </c>
      <c r="B3369" s="2">
        <v>1552.1</v>
      </c>
      <c r="C3369" s="2">
        <v>1552.1</v>
      </c>
      <c r="D3369" s="2">
        <v>3237.59</v>
      </c>
      <c r="E3369" s="2">
        <v>3237.59</v>
      </c>
      <c r="G3369" s="1" t="s">
        <v>6731</v>
      </c>
      <c r="H3369" s="2">
        <v>1968.18</v>
      </c>
      <c r="I3369" s="2">
        <v>1968.18</v>
      </c>
    </row>
    <row r="3370">
      <c r="A3370" s="1" t="s">
        <v>6732</v>
      </c>
      <c r="B3370" s="2">
        <v>1548.34</v>
      </c>
      <c r="C3370" s="2">
        <v>1548.34</v>
      </c>
      <c r="D3370" s="2">
        <v>3229.1</v>
      </c>
      <c r="E3370" s="2">
        <v>3229.1</v>
      </c>
      <c r="G3370" s="1" t="s">
        <v>6733</v>
      </c>
      <c r="H3370" s="2">
        <v>1978.56</v>
      </c>
      <c r="I3370" s="2">
        <v>1978.56</v>
      </c>
    </row>
    <row r="3371">
      <c r="A3371" s="1" t="s">
        <v>6734</v>
      </c>
      <c r="B3371" s="2">
        <v>1558.71</v>
      </c>
      <c r="C3371" s="2">
        <v>1558.71</v>
      </c>
      <c r="D3371" s="2">
        <v>3254.19</v>
      </c>
      <c r="E3371" s="2">
        <v>3254.19</v>
      </c>
      <c r="G3371" s="1" t="s">
        <v>6735</v>
      </c>
      <c r="H3371" s="2">
        <v>1959.41</v>
      </c>
      <c r="I3371" s="2">
        <v>1959.41</v>
      </c>
    </row>
    <row r="3372">
      <c r="A3372" s="1" t="s">
        <v>6736</v>
      </c>
      <c r="B3372" s="2">
        <v>1545.8</v>
      </c>
      <c r="C3372" s="2">
        <v>1545.8</v>
      </c>
      <c r="D3372" s="2">
        <v>3222.6</v>
      </c>
      <c r="E3372" s="2">
        <v>3222.6</v>
      </c>
      <c r="G3372" s="1" t="s">
        <v>6737</v>
      </c>
      <c r="H3372" s="2">
        <v>1950.82</v>
      </c>
      <c r="I3372" s="2">
        <v>1950.82</v>
      </c>
    </row>
    <row r="3373">
      <c r="A3373" s="1" t="s">
        <v>6738</v>
      </c>
      <c r="B3373" s="2">
        <v>1556.89</v>
      </c>
      <c r="C3373" s="2">
        <v>1556.89</v>
      </c>
      <c r="D3373" s="2">
        <v>3245.0</v>
      </c>
      <c r="E3373" s="2">
        <v>3245.0</v>
      </c>
      <c r="G3373" s="1" t="s">
        <v>6739</v>
      </c>
      <c r="H3373" s="2">
        <v>1948.71</v>
      </c>
      <c r="I3373" s="2">
        <v>1948.71</v>
      </c>
    </row>
    <row r="3374">
      <c r="A3374" s="1" t="s">
        <v>6740</v>
      </c>
      <c r="B3374" s="2" t="s">
        <v>0</v>
      </c>
      <c r="C3374" s="2">
        <v>1556.89</v>
      </c>
      <c r="D3374" s="2" t="s">
        <v>0</v>
      </c>
      <c r="E3374" s="2">
        <v>3245.0</v>
      </c>
      <c r="G3374" s="1" t="s">
        <v>6741</v>
      </c>
      <c r="H3374" s="2" t="s">
        <v>0</v>
      </c>
      <c r="I3374" s="2">
        <v>1948.71</v>
      </c>
    </row>
    <row r="3375">
      <c r="A3375" s="1" t="s">
        <v>6742</v>
      </c>
      <c r="B3375" s="2" t="s">
        <v>0</v>
      </c>
      <c r="C3375" s="2">
        <v>1556.89</v>
      </c>
      <c r="D3375" s="2" t="s">
        <v>0</v>
      </c>
      <c r="E3375" s="2">
        <v>3245.0</v>
      </c>
      <c r="G3375" s="1" t="s">
        <v>6743</v>
      </c>
      <c r="H3375" s="2" t="s">
        <v>0</v>
      </c>
      <c r="I3375" s="2">
        <v>1948.71</v>
      </c>
    </row>
    <row r="3376">
      <c r="A3376" s="1" t="s">
        <v>6744</v>
      </c>
      <c r="B3376" s="2">
        <v>1551.69</v>
      </c>
      <c r="C3376" s="2">
        <v>1551.69</v>
      </c>
      <c r="D3376" s="2">
        <v>3235.3</v>
      </c>
      <c r="E3376" s="2">
        <v>3235.3</v>
      </c>
      <c r="G3376" s="1" t="s">
        <v>6745</v>
      </c>
      <c r="H3376" s="2">
        <v>1977.67</v>
      </c>
      <c r="I3376" s="2">
        <v>1977.67</v>
      </c>
    </row>
    <row r="3377">
      <c r="A3377" s="1" t="s">
        <v>6746</v>
      </c>
      <c r="B3377" s="2">
        <v>1563.77</v>
      </c>
      <c r="C3377" s="2">
        <v>1563.77</v>
      </c>
      <c r="D3377" s="2">
        <v>3252.48</v>
      </c>
      <c r="E3377" s="2">
        <v>3252.48</v>
      </c>
      <c r="G3377" s="1" t="s">
        <v>6747</v>
      </c>
      <c r="H3377" s="2">
        <v>1983.7</v>
      </c>
      <c r="I3377" s="2">
        <v>1983.7</v>
      </c>
    </row>
    <row r="3378">
      <c r="A3378" s="1" t="s">
        <v>6748</v>
      </c>
      <c r="B3378" s="2">
        <v>1562.85</v>
      </c>
      <c r="C3378" s="2">
        <v>1562.85</v>
      </c>
      <c r="D3378" s="2">
        <v>3256.52</v>
      </c>
      <c r="E3378" s="2">
        <v>3256.52</v>
      </c>
      <c r="G3378" s="1" t="s">
        <v>6749</v>
      </c>
      <c r="H3378" s="2">
        <v>1993.44</v>
      </c>
      <c r="I3378" s="2">
        <v>1993.44</v>
      </c>
    </row>
    <row r="3379">
      <c r="A3379" s="1" t="s">
        <v>6750</v>
      </c>
      <c r="B3379" s="2">
        <v>1569.19</v>
      </c>
      <c r="C3379" s="2">
        <v>1569.19</v>
      </c>
      <c r="D3379" s="2">
        <v>3267.52</v>
      </c>
      <c r="E3379" s="2">
        <v>3267.52</v>
      </c>
      <c r="G3379" s="1" t="s">
        <v>6751</v>
      </c>
      <c r="H3379" s="2">
        <v>1993.52</v>
      </c>
      <c r="I3379" s="2">
        <v>1993.52</v>
      </c>
    </row>
    <row r="3380">
      <c r="A3380" s="1" t="s">
        <v>6752</v>
      </c>
      <c r="B3380" s="2" t="s">
        <v>0</v>
      </c>
      <c r="C3380" s="2">
        <v>1569.19</v>
      </c>
      <c r="D3380" s="2" t="s">
        <v>0</v>
      </c>
      <c r="E3380" s="2">
        <v>3267.52</v>
      </c>
      <c r="G3380" s="1" t="s">
        <v>6753</v>
      </c>
      <c r="H3380" s="2">
        <v>2004.89</v>
      </c>
      <c r="I3380" s="2">
        <v>2004.89</v>
      </c>
    </row>
    <row r="3381">
      <c r="A3381" s="1" t="s">
        <v>6754</v>
      </c>
      <c r="B3381" s="2" t="s">
        <v>0</v>
      </c>
      <c r="C3381" s="2">
        <v>1569.19</v>
      </c>
      <c r="D3381" s="2" t="s">
        <v>0</v>
      </c>
      <c r="E3381" s="2">
        <v>3267.52</v>
      </c>
      <c r="G3381" s="1" t="s">
        <v>6755</v>
      </c>
      <c r="H3381" s="2" t="s">
        <v>0</v>
      </c>
      <c r="I3381" s="2">
        <v>2004.89</v>
      </c>
    </row>
    <row r="3382">
      <c r="A3382" s="1" t="s">
        <v>6756</v>
      </c>
      <c r="B3382" s="2" t="s">
        <v>0</v>
      </c>
      <c r="C3382" s="2">
        <v>1569.19</v>
      </c>
      <c r="D3382" s="2" t="s">
        <v>0</v>
      </c>
      <c r="E3382" s="2">
        <v>3267.52</v>
      </c>
      <c r="G3382" s="1" t="s">
        <v>6757</v>
      </c>
      <c r="H3382" s="2" t="s">
        <v>0</v>
      </c>
      <c r="I3382" s="2">
        <v>2004.89</v>
      </c>
    </row>
    <row r="3383">
      <c r="A3383" s="1" t="s">
        <v>6758</v>
      </c>
      <c r="B3383" s="2">
        <v>1562.17</v>
      </c>
      <c r="C3383" s="2">
        <v>1562.17</v>
      </c>
      <c r="D3383" s="2">
        <v>3239.17</v>
      </c>
      <c r="E3383" s="2">
        <v>3239.17</v>
      </c>
      <c r="G3383" s="1" t="s">
        <v>6759</v>
      </c>
      <c r="H3383" s="2">
        <v>1995.99</v>
      </c>
      <c r="I3383" s="2">
        <v>1995.99</v>
      </c>
    </row>
    <row r="3384">
      <c r="A3384" s="1" t="s">
        <v>6760</v>
      </c>
      <c r="B3384" s="2">
        <v>1570.25</v>
      </c>
      <c r="C3384" s="2">
        <v>1570.25</v>
      </c>
      <c r="D3384" s="2">
        <v>3254.86</v>
      </c>
      <c r="E3384" s="2">
        <v>3254.86</v>
      </c>
      <c r="G3384" s="1" t="s">
        <v>6761</v>
      </c>
      <c r="H3384" s="2">
        <v>1986.15</v>
      </c>
      <c r="I3384" s="2">
        <v>1986.15</v>
      </c>
    </row>
    <row r="3385">
      <c r="A3385" s="1" t="s">
        <v>6762</v>
      </c>
      <c r="B3385" s="2">
        <v>1553.69</v>
      </c>
      <c r="C3385" s="2">
        <v>1553.69</v>
      </c>
      <c r="D3385" s="2">
        <v>3218.6</v>
      </c>
      <c r="E3385" s="2">
        <v>3218.6</v>
      </c>
      <c r="G3385" s="1" t="s">
        <v>6763</v>
      </c>
      <c r="H3385" s="2">
        <v>1983.22</v>
      </c>
      <c r="I3385" s="2">
        <v>1983.22</v>
      </c>
    </row>
    <row r="3386">
      <c r="A3386" s="1" t="s">
        <v>6764</v>
      </c>
      <c r="B3386" s="2">
        <v>1559.98</v>
      </c>
      <c r="C3386" s="2">
        <v>1559.98</v>
      </c>
      <c r="D3386" s="2">
        <v>3224.98</v>
      </c>
      <c r="E3386" s="2">
        <v>3224.98</v>
      </c>
      <c r="G3386" s="1" t="s">
        <v>6765</v>
      </c>
      <c r="H3386" s="2">
        <v>1959.45</v>
      </c>
      <c r="I3386" s="2">
        <v>1959.45</v>
      </c>
    </row>
    <row r="3387">
      <c r="A3387" s="1" t="s">
        <v>6766</v>
      </c>
      <c r="B3387" s="2">
        <v>1553.28</v>
      </c>
      <c r="C3387" s="2">
        <v>1553.28</v>
      </c>
      <c r="D3387" s="2">
        <v>3203.86</v>
      </c>
      <c r="E3387" s="2">
        <v>3203.86</v>
      </c>
      <c r="G3387" s="1" t="s">
        <v>6767</v>
      </c>
      <c r="H3387" s="2">
        <v>1927.23</v>
      </c>
      <c r="I3387" s="2">
        <v>1927.23</v>
      </c>
    </row>
    <row r="3388">
      <c r="A3388" s="1" t="s">
        <v>6768</v>
      </c>
      <c r="B3388" s="2" t="s">
        <v>0</v>
      </c>
      <c r="C3388" s="2">
        <v>1553.28</v>
      </c>
      <c r="D3388" s="2" t="s">
        <v>0</v>
      </c>
      <c r="E3388" s="2">
        <v>3203.86</v>
      </c>
      <c r="G3388" s="1" t="s">
        <v>6769</v>
      </c>
      <c r="H3388" s="2" t="s">
        <v>0</v>
      </c>
      <c r="I3388" s="2">
        <v>1927.23</v>
      </c>
    </row>
    <row r="3389">
      <c r="A3389" s="1" t="s">
        <v>6770</v>
      </c>
      <c r="B3389" s="2" t="s">
        <v>0</v>
      </c>
      <c r="C3389" s="2">
        <v>1553.28</v>
      </c>
      <c r="D3389" s="2" t="s">
        <v>0</v>
      </c>
      <c r="E3389" s="2">
        <v>3203.86</v>
      </c>
      <c r="G3389" s="1" t="s">
        <v>6771</v>
      </c>
      <c r="H3389" s="2" t="s">
        <v>0</v>
      </c>
      <c r="I3389" s="2">
        <v>1927.23</v>
      </c>
    </row>
    <row r="3390">
      <c r="A3390" s="1" t="s">
        <v>6772</v>
      </c>
      <c r="B3390" s="2">
        <v>1563.07</v>
      </c>
      <c r="C3390" s="2">
        <v>1563.07</v>
      </c>
      <c r="D3390" s="2">
        <v>3222.25</v>
      </c>
      <c r="E3390" s="2">
        <v>3222.25</v>
      </c>
      <c r="G3390" s="1" t="s">
        <v>6773</v>
      </c>
      <c r="H3390" s="2">
        <v>1918.69</v>
      </c>
      <c r="I3390" s="2">
        <v>1918.69</v>
      </c>
    </row>
    <row r="3391">
      <c r="A3391" s="1" t="s">
        <v>6774</v>
      </c>
      <c r="B3391" s="2">
        <v>1568.61</v>
      </c>
      <c r="C3391" s="2">
        <v>1568.61</v>
      </c>
      <c r="D3391" s="2">
        <v>3237.86</v>
      </c>
      <c r="E3391" s="2">
        <v>3237.86</v>
      </c>
      <c r="G3391" s="1" t="s">
        <v>6775</v>
      </c>
      <c r="H3391" s="2">
        <v>1920.74</v>
      </c>
      <c r="I3391" s="2">
        <v>1920.74</v>
      </c>
    </row>
    <row r="3392">
      <c r="A3392" s="1" t="s">
        <v>6776</v>
      </c>
      <c r="B3392" s="2">
        <v>1587.73</v>
      </c>
      <c r="C3392" s="2">
        <v>1587.73</v>
      </c>
      <c r="D3392" s="2">
        <v>3297.25</v>
      </c>
      <c r="E3392" s="2">
        <v>3297.25</v>
      </c>
      <c r="G3392" s="1" t="s">
        <v>6777</v>
      </c>
      <c r="H3392" s="2">
        <v>1935.58</v>
      </c>
      <c r="I3392" s="2">
        <v>1935.58</v>
      </c>
    </row>
    <row r="3393">
      <c r="A3393" s="1" t="s">
        <v>6778</v>
      </c>
      <c r="B3393" s="2">
        <v>1593.37</v>
      </c>
      <c r="C3393" s="2">
        <v>1593.37</v>
      </c>
      <c r="D3393" s="2">
        <v>3300.16</v>
      </c>
      <c r="E3393" s="2">
        <v>3300.16</v>
      </c>
      <c r="G3393" s="1" t="s">
        <v>6779</v>
      </c>
      <c r="H3393" s="2">
        <v>1949.8</v>
      </c>
      <c r="I3393" s="2">
        <v>1949.8</v>
      </c>
    </row>
    <row r="3394">
      <c r="A3394" s="1" t="s">
        <v>6780</v>
      </c>
      <c r="B3394" s="2">
        <v>1588.85</v>
      </c>
      <c r="C3394" s="2">
        <v>1588.85</v>
      </c>
      <c r="D3394" s="2">
        <v>3294.95</v>
      </c>
      <c r="E3394" s="2">
        <v>3294.95</v>
      </c>
      <c r="G3394" s="1" t="s">
        <v>6781</v>
      </c>
      <c r="H3394" s="2">
        <v>1924.23</v>
      </c>
      <c r="I3394" s="2">
        <v>1924.23</v>
      </c>
    </row>
    <row r="3395">
      <c r="A3395" s="1" t="s">
        <v>6782</v>
      </c>
      <c r="B3395" s="2" t="s">
        <v>0</v>
      </c>
      <c r="C3395" s="2">
        <v>1588.85</v>
      </c>
      <c r="D3395" s="2" t="s">
        <v>0</v>
      </c>
      <c r="E3395" s="2">
        <v>3294.95</v>
      </c>
      <c r="G3395" s="1" t="s">
        <v>6783</v>
      </c>
      <c r="H3395" s="2" t="s">
        <v>0</v>
      </c>
      <c r="I3395" s="2">
        <v>1924.23</v>
      </c>
    </row>
    <row r="3396">
      <c r="A3396" s="1" t="s">
        <v>6784</v>
      </c>
      <c r="B3396" s="2" t="s">
        <v>0</v>
      </c>
      <c r="C3396" s="2">
        <v>1588.85</v>
      </c>
      <c r="D3396" s="2" t="s">
        <v>0</v>
      </c>
      <c r="E3396" s="2">
        <v>3294.95</v>
      </c>
      <c r="G3396" s="1" t="s">
        <v>6785</v>
      </c>
      <c r="H3396" s="2" t="s">
        <v>0</v>
      </c>
      <c r="I3396" s="2">
        <v>1924.23</v>
      </c>
    </row>
    <row r="3397">
      <c r="A3397" s="1" t="s">
        <v>6786</v>
      </c>
      <c r="B3397" s="2">
        <v>1552.36</v>
      </c>
      <c r="C3397" s="2">
        <v>1552.36</v>
      </c>
      <c r="D3397" s="2">
        <v>3216.49</v>
      </c>
      <c r="E3397" s="2">
        <v>3216.49</v>
      </c>
      <c r="G3397" s="1" t="s">
        <v>6787</v>
      </c>
      <c r="H3397" s="2">
        <v>1920.45</v>
      </c>
      <c r="I3397" s="2">
        <v>1920.45</v>
      </c>
    </row>
    <row r="3398">
      <c r="A3398" s="1" t="s">
        <v>6788</v>
      </c>
      <c r="B3398" s="2">
        <v>1574.57</v>
      </c>
      <c r="C3398" s="2">
        <v>1574.57</v>
      </c>
      <c r="D3398" s="2">
        <v>3264.63</v>
      </c>
      <c r="E3398" s="2">
        <v>3264.63</v>
      </c>
      <c r="G3398" s="1" t="s">
        <v>6789</v>
      </c>
      <c r="H3398" s="2">
        <v>1922.21</v>
      </c>
      <c r="I3398" s="2">
        <v>1922.21</v>
      </c>
    </row>
    <row r="3399">
      <c r="A3399" s="1" t="s">
        <v>6790</v>
      </c>
      <c r="B3399" s="2">
        <v>1552.01</v>
      </c>
      <c r="C3399" s="2">
        <v>1552.01</v>
      </c>
      <c r="D3399" s="2">
        <v>3204.67</v>
      </c>
      <c r="E3399" s="2">
        <v>3204.67</v>
      </c>
      <c r="G3399" s="1" t="s">
        <v>6791</v>
      </c>
      <c r="H3399" s="2">
        <v>1923.84</v>
      </c>
      <c r="I3399" s="2">
        <v>1923.84</v>
      </c>
    </row>
    <row r="3400">
      <c r="A3400" s="1" t="s">
        <v>6792</v>
      </c>
      <c r="B3400" s="2">
        <v>1541.61</v>
      </c>
      <c r="C3400" s="2">
        <v>1541.61</v>
      </c>
      <c r="D3400" s="2">
        <v>3166.36</v>
      </c>
      <c r="E3400" s="2">
        <v>3166.36</v>
      </c>
      <c r="G3400" s="1" t="s">
        <v>6793</v>
      </c>
      <c r="H3400" s="2">
        <v>1900.06</v>
      </c>
      <c r="I3400" s="2">
        <v>1900.06</v>
      </c>
    </row>
    <row r="3401">
      <c r="A3401" s="1" t="s">
        <v>6794</v>
      </c>
      <c r="B3401" s="2">
        <v>1555.25</v>
      </c>
      <c r="C3401" s="2">
        <v>1555.25</v>
      </c>
      <c r="D3401" s="2">
        <v>3206.06</v>
      </c>
      <c r="E3401" s="2">
        <v>3206.06</v>
      </c>
      <c r="G3401" s="1" t="s">
        <v>6795</v>
      </c>
      <c r="H3401" s="2">
        <v>1906.75</v>
      </c>
      <c r="I3401" s="2">
        <v>1906.75</v>
      </c>
    </row>
    <row r="3402">
      <c r="A3402" s="1" t="s">
        <v>6796</v>
      </c>
      <c r="B3402" s="2" t="s">
        <v>0</v>
      </c>
      <c r="C3402" s="2">
        <v>1555.25</v>
      </c>
      <c r="D3402" s="2" t="s">
        <v>0</v>
      </c>
      <c r="E3402" s="2">
        <v>3206.06</v>
      </c>
      <c r="G3402" s="1" t="s">
        <v>6797</v>
      </c>
      <c r="H3402" s="2" t="s">
        <v>0</v>
      </c>
      <c r="I3402" s="2">
        <v>1906.75</v>
      </c>
    </row>
    <row r="3403">
      <c r="A3403" s="1" t="s">
        <v>6798</v>
      </c>
      <c r="B3403" s="2" t="s">
        <v>0</v>
      </c>
      <c r="C3403" s="2">
        <v>1555.25</v>
      </c>
      <c r="D3403" s="2" t="s">
        <v>0</v>
      </c>
      <c r="E3403" s="2">
        <v>3206.06</v>
      </c>
      <c r="G3403" s="1" t="s">
        <v>6799</v>
      </c>
      <c r="H3403" s="2" t="s">
        <v>0</v>
      </c>
      <c r="I3403" s="2">
        <v>1906.75</v>
      </c>
    </row>
    <row r="3404">
      <c r="A3404" s="1" t="s">
        <v>6800</v>
      </c>
      <c r="B3404" s="2">
        <v>1562.5</v>
      </c>
      <c r="C3404" s="2">
        <v>1562.5</v>
      </c>
      <c r="D3404" s="2">
        <v>3233.55</v>
      </c>
      <c r="E3404" s="2">
        <v>3233.55</v>
      </c>
      <c r="G3404" s="1" t="s">
        <v>6801</v>
      </c>
      <c r="H3404" s="2">
        <v>1926.31</v>
      </c>
      <c r="I3404" s="2">
        <v>1926.31</v>
      </c>
    </row>
    <row r="3405">
      <c r="A3405" s="1" t="s">
        <v>6802</v>
      </c>
      <c r="B3405" s="2">
        <v>1578.78</v>
      </c>
      <c r="C3405" s="2">
        <v>1578.78</v>
      </c>
      <c r="D3405" s="2">
        <v>3269.33</v>
      </c>
      <c r="E3405" s="2">
        <v>3269.33</v>
      </c>
      <c r="G3405" s="1" t="s">
        <v>6803</v>
      </c>
      <c r="H3405" s="2">
        <v>1918.63</v>
      </c>
      <c r="I3405" s="2">
        <v>1918.63</v>
      </c>
    </row>
    <row r="3406">
      <c r="A3406" s="1" t="s">
        <v>6804</v>
      </c>
      <c r="B3406" s="2">
        <v>1578.79</v>
      </c>
      <c r="C3406" s="2">
        <v>1578.79</v>
      </c>
      <c r="D3406" s="2">
        <v>3269.65</v>
      </c>
      <c r="E3406" s="2">
        <v>3269.65</v>
      </c>
      <c r="G3406" s="1" t="s">
        <v>6805</v>
      </c>
      <c r="H3406" s="2">
        <v>1935.31</v>
      </c>
      <c r="I3406" s="2">
        <v>1935.31</v>
      </c>
    </row>
    <row r="3407">
      <c r="A3407" s="1" t="s">
        <v>6806</v>
      </c>
      <c r="B3407" s="2">
        <v>1585.16</v>
      </c>
      <c r="C3407" s="2">
        <v>1585.16</v>
      </c>
      <c r="D3407" s="2">
        <v>3289.99</v>
      </c>
      <c r="E3407" s="2">
        <v>3289.99</v>
      </c>
      <c r="G3407" s="1" t="s">
        <v>6807</v>
      </c>
      <c r="H3407" s="2">
        <v>1951.6</v>
      </c>
      <c r="I3407" s="2">
        <v>1951.6</v>
      </c>
    </row>
    <row r="3408">
      <c r="A3408" s="1" t="s">
        <v>6808</v>
      </c>
      <c r="B3408" s="2">
        <v>1582.24</v>
      </c>
      <c r="C3408" s="2">
        <v>1582.24</v>
      </c>
      <c r="D3408" s="2">
        <v>3279.26</v>
      </c>
      <c r="E3408" s="2">
        <v>3279.26</v>
      </c>
      <c r="G3408" s="1" t="s">
        <v>6809</v>
      </c>
      <c r="H3408" s="2">
        <v>1944.56</v>
      </c>
      <c r="I3408" s="2">
        <v>1944.56</v>
      </c>
    </row>
    <row r="3409">
      <c r="A3409" s="1" t="s">
        <v>6810</v>
      </c>
      <c r="B3409" s="2" t="s">
        <v>0</v>
      </c>
      <c r="C3409" s="2">
        <v>1582.24</v>
      </c>
      <c r="D3409" s="2" t="s">
        <v>0</v>
      </c>
      <c r="E3409" s="2">
        <v>3279.26</v>
      </c>
      <c r="G3409" s="1" t="s">
        <v>6811</v>
      </c>
      <c r="H3409" s="2" t="s">
        <v>0</v>
      </c>
      <c r="I3409" s="2">
        <v>1944.56</v>
      </c>
    </row>
    <row r="3410">
      <c r="A3410" s="1" t="s">
        <v>6812</v>
      </c>
      <c r="B3410" s="2" t="s">
        <v>0</v>
      </c>
      <c r="C3410" s="2">
        <v>1582.24</v>
      </c>
      <c r="D3410" s="2" t="s">
        <v>0</v>
      </c>
      <c r="E3410" s="2">
        <v>3279.26</v>
      </c>
      <c r="G3410" s="1" t="s">
        <v>6813</v>
      </c>
      <c r="H3410" s="2" t="s">
        <v>0</v>
      </c>
      <c r="I3410" s="2">
        <v>1944.56</v>
      </c>
    </row>
    <row r="3411">
      <c r="A3411" s="1" t="s">
        <v>6814</v>
      </c>
      <c r="B3411" s="2">
        <v>1593.61</v>
      </c>
      <c r="C3411" s="2">
        <v>1593.61</v>
      </c>
      <c r="D3411" s="2">
        <v>3307.02</v>
      </c>
      <c r="E3411" s="2">
        <v>3307.02</v>
      </c>
      <c r="G3411" s="1" t="s">
        <v>6815</v>
      </c>
      <c r="H3411" s="2">
        <v>1940.7</v>
      </c>
      <c r="I3411" s="2">
        <v>1940.7</v>
      </c>
    </row>
    <row r="3412">
      <c r="A3412" s="1" t="s">
        <v>6816</v>
      </c>
      <c r="B3412" s="2">
        <v>1597.57</v>
      </c>
      <c r="C3412" s="2">
        <v>1597.57</v>
      </c>
      <c r="D3412" s="2">
        <v>3328.79</v>
      </c>
      <c r="E3412" s="2">
        <v>3328.79</v>
      </c>
      <c r="G3412" s="1" t="s">
        <v>6817</v>
      </c>
      <c r="H3412" s="2">
        <v>1963.95</v>
      </c>
      <c r="I3412" s="2">
        <v>1963.95</v>
      </c>
    </row>
    <row r="3413">
      <c r="A3413" s="1" t="s">
        <v>6818</v>
      </c>
      <c r="B3413" s="2">
        <v>1582.7</v>
      </c>
      <c r="C3413" s="2">
        <v>1582.7</v>
      </c>
      <c r="D3413" s="2">
        <v>3299.13</v>
      </c>
      <c r="E3413" s="2">
        <v>3299.13</v>
      </c>
      <c r="G3413" s="1" t="s">
        <v>6819</v>
      </c>
      <c r="H3413" s="2" t="s">
        <v>0</v>
      </c>
      <c r="I3413" s="2">
        <v>1963.95</v>
      </c>
    </row>
    <row r="3414">
      <c r="A3414" s="1" t="s">
        <v>6820</v>
      </c>
      <c r="B3414" s="2">
        <v>1597.59</v>
      </c>
      <c r="C3414" s="2">
        <v>1597.59</v>
      </c>
      <c r="D3414" s="2">
        <v>3340.62</v>
      </c>
      <c r="E3414" s="2">
        <v>3340.62</v>
      </c>
      <c r="G3414" s="1" t="s">
        <v>6821</v>
      </c>
      <c r="H3414" s="2">
        <v>1957.21</v>
      </c>
      <c r="I3414" s="2">
        <v>1957.21</v>
      </c>
    </row>
    <row r="3415">
      <c r="A3415" s="1" t="s">
        <v>6822</v>
      </c>
      <c r="B3415" s="2">
        <v>1614.42</v>
      </c>
      <c r="C3415" s="2">
        <v>1614.42</v>
      </c>
      <c r="D3415" s="2">
        <v>3378.63</v>
      </c>
      <c r="E3415" s="2">
        <v>3378.63</v>
      </c>
      <c r="G3415" s="1" t="s">
        <v>6823</v>
      </c>
      <c r="H3415" s="2">
        <v>1965.71</v>
      </c>
      <c r="I3415" s="2">
        <v>1965.71</v>
      </c>
    </row>
    <row r="3416">
      <c r="A3416" s="1" t="s">
        <v>6824</v>
      </c>
      <c r="B3416" s="2" t="s">
        <v>0</v>
      </c>
      <c r="C3416" s="2">
        <v>1614.42</v>
      </c>
      <c r="D3416" s="2" t="s">
        <v>0</v>
      </c>
      <c r="E3416" s="2">
        <v>3378.63</v>
      </c>
      <c r="G3416" s="1" t="s">
        <v>6825</v>
      </c>
      <c r="H3416" s="2" t="s">
        <v>0</v>
      </c>
      <c r="I3416" s="2">
        <v>1965.71</v>
      </c>
    </row>
    <row r="3417">
      <c r="A3417" s="1" t="s">
        <v>6826</v>
      </c>
      <c r="B3417" s="2" t="s">
        <v>0</v>
      </c>
      <c r="C3417" s="2">
        <v>1614.42</v>
      </c>
      <c r="D3417" s="2" t="s">
        <v>0</v>
      </c>
      <c r="E3417" s="2">
        <v>3378.63</v>
      </c>
      <c r="G3417" s="1" t="s">
        <v>6827</v>
      </c>
      <c r="H3417" s="2" t="s">
        <v>0</v>
      </c>
      <c r="I3417" s="2">
        <v>1965.71</v>
      </c>
    </row>
    <row r="3418">
      <c r="A3418" s="1" t="s">
        <v>6828</v>
      </c>
      <c r="B3418" s="2">
        <v>1617.5</v>
      </c>
      <c r="C3418" s="2">
        <v>1617.5</v>
      </c>
      <c r="D3418" s="2">
        <v>3392.97</v>
      </c>
      <c r="E3418" s="2">
        <v>3392.97</v>
      </c>
      <c r="G3418" s="1" t="s">
        <v>6829</v>
      </c>
      <c r="H3418" s="2">
        <v>1961.48</v>
      </c>
      <c r="I3418" s="2">
        <v>1961.48</v>
      </c>
    </row>
    <row r="3419">
      <c r="A3419" s="1" t="s">
        <v>6830</v>
      </c>
      <c r="B3419" s="2">
        <v>1625.96</v>
      </c>
      <c r="C3419" s="2">
        <v>1625.96</v>
      </c>
      <c r="D3419" s="2">
        <v>3396.63</v>
      </c>
      <c r="E3419" s="2">
        <v>3396.63</v>
      </c>
      <c r="G3419" s="1" t="s">
        <v>6831</v>
      </c>
      <c r="H3419" s="2">
        <v>1954.35</v>
      </c>
      <c r="I3419" s="2">
        <v>1954.35</v>
      </c>
    </row>
    <row r="3420">
      <c r="A3420" s="1" t="s">
        <v>6832</v>
      </c>
      <c r="B3420" s="2">
        <v>1632.69</v>
      </c>
      <c r="C3420" s="2">
        <v>1632.69</v>
      </c>
      <c r="D3420" s="2">
        <v>3413.27</v>
      </c>
      <c r="E3420" s="2">
        <v>3413.27</v>
      </c>
      <c r="G3420" s="1" t="s">
        <v>6833</v>
      </c>
      <c r="H3420" s="2">
        <v>1956.45</v>
      </c>
      <c r="I3420" s="2">
        <v>1956.45</v>
      </c>
    </row>
    <row r="3421">
      <c r="A3421" s="1" t="s">
        <v>6834</v>
      </c>
      <c r="B3421" s="2">
        <v>1626.67</v>
      </c>
      <c r="C3421" s="2">
        <v>1626.67</v>
      </c>
      <c r="D3421" s="2">
        <v>3409.17</v>
      </c>
      <c r="E3421" s="2">
        <v>3409.17</v>
      </c>
      <c r="G3421" s="1" t="s">
        <v>6835</v>
      </c>
      <c r="H3421" s="2">
        <v>1979.45</v>
      </c>
      <c r="I3421" s="2">
        <v>1979.45</v>
      </c>
    </row>
    <row r="3422">
      <c r="A3422" s="1" t="s">
        <v>6836</v>
      </c>
      <c r="B3422" s="2">
        <v>1633.7</v>
      </c>
      <c r="C3422" s="2">
        <v>1633.7</v>
      </c>
      <c r="D3422" s="2">
        <v>3436.58</v>
      </c>
      <c r="E3422" s="2">
        <v>3436.58</v>
      </c>
      <c r="G3422" s="1" t="s">
        <v>6837</v>
      </c>
      <c r="H3422" s="2">
        <v>1944.75</v>
      </c>
      <c r="I3422" s="2">
        <v>1944.75</v>
      </c>
    </row>
    <row r="3423">
      <c r="A3423" s="1" t="s">
        <v>6838</v>
      </c>
      <c r="B3423" s="2" t="s">
        <v>0</v>
      </c>
      <c r="C3423" s="2">
        <v>1633.7</v>
      </c>
      <c r="D3423" s="2" t="s">
        <v>0</v>
      </c>
      <c r="E3423" s="2">
        <v>3436.58</v>
      </c>
      <c r="G3423" s="1" t="s">
        <v>6839</v>
      </c>
      <c r="H3423" s="2" t="s">
        <v>0</v>
      </c>
      <c r="I3423" s="2">
        <v>1944.75</v>
      </c>
    </row>
    <row r="3424">
      <c r="A3424" s="1" t="s">
        <v>6840</v>
      </c>
      <c r="B3424" s="2" t="s">
        <v>0</v>
      </c>
      <c r="C3424" s="2">
        <v>1633.7</v>
      </c>
      <c r="D3424" s="2" t="s">
        <v>0</v>
      </c>
      <c r="E3424" s="2">
        <v>3436.58</v>
      </c>
      <c r="G3424" s="1" t="s">
        <v>6841</v>
      </c>
      <c r="H3424" s="2" t="s">
        <v>0</v>
      </c>
      <c r="I3424" s="2">
        <v>1944.75</v>
      </c>
    </row>
    <row r="3425">
      <c r="A3425" s="1" t="s">
        <v>6842</v>
      </c>
      <c r="B3425" s="2">
        <v>1633.77</v>
      </c>
      <c r="C3425" s="2">
        <v>1633.77</v>
      </c>
      <c r="D3425" s="2">
        <v>3438.79</v>
      </c>
      <c r="E3425" s="2">
        <v>3438.79</v>
      </c>
      <c r="G3425" s="1" t="s">
        <v>6843</v>
      </c>
      <c r="H3425" s="2">
        <v>1948.7</v>
      </c>
      <c r="I3425" s="2">
        <v>1948.7</v>
      </c>
    </row>
    <row r="3426">
      <c r="A3426" s="1" t="s">
        <v>6844</v>
      </c>
      <c r="B3426" s="2">
        <v>1650.34</v>
      </c>
      <c r="C3426" s="2">
        <v>1650.34</v>
      </c>
      <c r="D3426" s="2">
        <v>3462.61</v>
      </c>
      <c r="E3426" s="2">
        <v>3462.61</v>
      </c>
      <c r="G3426" s="1" t="s">
        <v>6845</v>
      </c>
      <c r="H3426" s="2">
        <v>1968.83</v>
      </c>
      <c r="I3426" s="2">
        <v>1968.83</v>
      </c>
    </row>
    <row r="3427">
      <c r="A3427" s="1" t="s">
        <v>6846</v>
      </c>
      <c r="B3427" s="2">
        <v>1658.78</v>
      </c>
      <c r="C3427" s="2">
        <v>1658.78</v>
      </c>
      <c r="D3427" s="2">
        <v>3471.62</v>
      </c>
      <c r="E3427" s="2">
        <v>3471.62</v>
      </c>
      <c r="G3427" s="1" t="s">
        <v>6847</v>
      </c>
      <c r="H3427" s="2">
        <v>1971.26</v>
      </c>
      <c r="I3427" s="2">
        <v>1971.26</v>
      </c>
    </row>
    <row r="3428">
      <c r="A3428" s="1" t="s">
        <v>6848</v>
      </c>
      <c r="B3428" s="2">
        <v>1650.47</v>
      </c>
      <c r="C3428" s="2">
        <v>1650.47</v>
      </c>
      <c r="D3428" s="2">
        <v>3465.24</v>
      </c>
      <c r="E3428" s="2">
        <v>3465.24</v>
      </c>
      <c r="G3428" s="1" t="s">
        <v>6849</v>
      </c>
      <c r="H3428" s="2">
        <v>1986.81</v>
      </c>
      <c r="I3428" s="2">
        <v>1986.81</v>
      </c>
    </row>
    <row r="3429">
      <c r="A3429" s="1" t="s">
        <v>6850</v>
      </c>
      <c r="B3429" s="2">
        <v>1666.12</v>
      </c>
      <c r="C3429" s="2">
        <v>1666.12</v>
      </c>
      <c r="D3429" s="2">
        <v>3498.97</v>
      </c>
      <c r="E3429" s="2">
        <v>3498.97</v>
      </c>
      <c r="G3429" s="1" t="s">
        <v>6851</v>
      </c>
      <c r="H3429" s="2" t="s">
        <v>0</v>
      </c>
      <c r="I3429" s="2">
        <v>1986.81</v>
      </c>
    </row>
    <row r="3430">
      <c r="A3430" s="1" t="s">
        <v>6852</v>
      </c>
      <c r="B3430" s="2" t="s">
        <v>0</v>
      </c>
      <c r="C3430" s="2">
        <v>1666.12</v>
      </c>
      <c r="D3430" s="2" t="s">
        <v>0</v>
      </c>
      <c r="E3430" s="2">
        <v>3498.97</v>
      </c>
      <c r="G3430" s="1" t="s">
        <v>6853</v>
      </c>
      <c r="H3430" s="2" t="s">
        <v>0</v>
      </c>
      <c r="I3430" s="2">
        <v>1986.81</v>
      </c>
    </row>
    <row r="3431">
      <c r="A3431" s="1" t="s">
        <v>6854</v>
      </c>
      <c r="B3431" s="2" t="s">
        <v>0</v>
      </c>
      <c r="C3431" s="2">
        <v>1666.12</v>
      </c>
      <c r="D3431" s="2" t="s">
        <v>0</v>
      </c>
      <c r="E3431" s="2">
        <v>3498.97</v>
      </c>
      <c r="G3431" s="1" t="s">
        <v>6855</v>
      </c>
      <c r="H3431" s="2" t="s">
        <v>0</v>
      </c>
      <c r="I3431" s="2">
        <v>1986.81</v>
      </c>
    </row>
    <row r="3432">
      <c r="A3432" s="1" t="s">
        <v>6856</v>
      </c>
      <c r="B3432" s="2">
        <v>1666.29</v>
      </c>
      <c r="C3432" s="2">
        <v>1666.29</v>
      </c>
      <c r="D3432" s="2">
        <v>3496.43</v>
      </c>
      <c r="E3432" s="2">
        <v>3496.43</v>
      </c>
      <c r="G3432" s="1" t="s">
        <v>6857</v>
      </c>
      <c r="H3432" s="2">
        <v>1982.43</v>
      </c>
      <c r="I3432" s="2">
        <v>1982.43</v>
      </c>
    </row>
    <row r="3433">
      <c r="A3433" s="1" t="s">
        <v>6858</v>
      </c>
      <c r="B3433" s="2">
        <v>1669.16</v>
      </c>
      <c r="C3433" s="2">
        <v>1669.16</v>
      </c>
      <c r="D3433" s="2">
        <v>3502.12</v>
      </c>
      <c r="E3433" s="2">
        <v>3502.12</v>
      </c>
      <c r="G3433" s="1" t="s">
        <v>6859</v>
      </c>
      <c r="H3433" s="2">
        <v>1981.09</v>
      </c>
      <c r="I3433" s="2">
        <v>1981.09</v>
      </c>
    </row>
    <row r="3434">
      <c r="A3434" s="1" t="s">
        <v>6860</v>
      </c>
      <c r="B3434" s="2">
        <v>1655.35</v>
      </c>
      <c r="C3434" s="2">
        <v>1655.35</v>
      </c>
      <c r="D3434" s="2">
        <v>3463.3</v>
      </c>
      <c r="E3434" s="2">
        <v>3463.3</v>
      </c>
      <c r="G3434" s="1" t="s">
        <v>6861</v>
      </c>
      <c r="H3434" s="2">
        <v>1993.83</v>
      </c>
      <c r="I3434" s="2">
        <v>1993.83</v>
      </c>
    </row>
    <row r="3435">
      <c r="A3435" s="1" t="s">
        <v>6862</v>
      </c>
      <c r="B3435" s="2">
        <v>1650.51</v>
      </c>
      <c r="C3435" s="2">
        <v>1650.51</v>
      </c>
      <c r="D3435" s="2">
        <v>3459.42</v>
      </c>
      <c r="E3435" s="2">
        <v>3459.42</v>
      </c>
      <c r="G3435" s="1" t="s">
        <v>6863</v>
      </c>
      <c r="H3435" s="2">
        <v>1969.19</v>
      </c>
      <c r="I3435" s="2">
        <v>1969.19</v>
      </c>
    </row>
    <row r="3436">
      <c r="A3436" s="1" t="s">
        <v>6864</v>
      </c>
      <c r="B3436" s="2">
        <v>1649.6</v>
      </c>
      <c r="C3436" s="2">
        <v>1649.6</v>
      </c>
      <c r="D3436" s="2">
        <v>3459.14</v>
      </c>
      <c r="E3436" s="2">
        <v>3459.14</v>
      </c>
      <c r="G3436" s="1" t="s">
        <v>6865</v>
      </c>
      <c r="H3436" s="2">
        <v>1973.45</v>
      </c>
      <c r="I3436" s="2">
        <v>1973.45</v>
      </c>
    </row>
    <row r="3437">
      <c r="A3437" s="1" t="s">
        <v>6866</v>
      </c>
      <c r="B3437" s="2" t="s">
        <v>0</v>
      </c>
      <c r="C3437" s="2">
        <v>1649.6</v>
      </c>
      <c r="D3437" s="2" t="s">
        <v>0</v>
      </c>
      <c r="E3437" s="2">
        <v>3459.14</v>
      </c>
      <c r="G3437" s="1" t="s">
        <v>6867</v>
      </c>
      <c r="H3437" s="2" t="s">
        <v>0</v>
      </c>
      <c r="I3437" s="2">
        <v>1973.45</v>
      </c>
    </row>
    <row r="3438">
      <c r="A3438" s="1" t="s">
        <v>6868</v>
      </c>
      <c r="B3438" s="2" t="s">
        <v>0</v>
      </c>
      <c r="C3438" s="2">
        <v>1649.6</v>
      </c>
      <c r="D3438" s="2" t="s">
        <v>0</v>
      </c>
      <c r="E3438" s="2">
        <v>3459.14</v>
      </c>
      <c r="G3438" s="1" t="s">
        <v>6869</v>
      </c>
      <c r="H3438" s="2" t="s">
        <v>0</v>
      </c>
      <c r="I3438" s="2">
        <v>1973.45</v>
      </c>
    </row>
    <row r="3439">
      <c r="A3439" s="1" t="s">
        <v>6870</v>
      </c>
      <c r="B3439" s="2" t="s">
        <v>0</v>
      </c>
      <c r="C3439" s="2">
        <v>1649.6</v>
      </c>
      <c r="D3439" s="2" t="s">
        <v>0</v>
      </c>
      <c r="E3439" s="2">
        <v>3459.14</v>
      </c>
      <c r="G3439" s="1" t="s">
        <v>6871</v>
      </c>
      <c r="H3439" s="2">
        <v>1979.97</v>
      </c>
      <c r="I3439" s="2">
        <v>1979.97</v>
      </c>
    </row>
    <row r="3440">
      <c r="A3440" s="1" t="s">
        <v>6872</v>
      </c>
      <c r="B3440" s="2">
        <v>1660.06</v>
      </c>
      <c r="C3440" s="2">
        <v>1660.06</v>
      </c>
      <c r="D3440" s="2">
        <v>3488.89</v>
      </c>
      <c r="E3440" s="2">
        <v>3488.89</v>
      </c>
      <c r="G3440" s="1" t="s">
        <v>6873</v>
      </c>
      <c r="H3440" s="2">
        <v>1986.22</v>
      </c>
      <c r="I3440" s="2">
        <v>1986.22</v>
      </c>
    </row>
    <row r="3441">
      <c r="A3441" s="1" t="s">
        <v>6874</v>
      </c>
      <c r="B3441" s="2">
        <v>1648.36</v>
      </c>
      <c r="C3441" s="2">
        <v>1648.36</v>
      </c>
      <c r="D3441" s="2">
        <v>3467.52</v>
      </c>
      <c r="E3441" s="2">
        <v>3467.52</v>
      </c>
      <c r="G3441" s="1" t="s">
        <v>6875</v>
      </c>
      <c r="H3441" s="2">
        <v>2001.2</v>
      </c>
      <c r="I3441" s="2">
        <v>2001.2</v>
      </c>
    </row>
    <row r="3442">
      <c r="A3442" s="1" t="s">
        <v>6876</v>
      </c>
      <c r="B3442" s="2">
        <v>1654.41</v>
      </c>
      <c r="C3442" s="2">
        <v>1654.41</v>
      </c>
      <c r="D3442" s="2">
        <v>3491.3</v>
      </c>
      <c r="E3442" s="2">
        <v>3491.3</v>
      </c>
      <c r="G3442" s="1" t="s">
        <v>6877</v>
      </c>
      <c r="H3442" s="2">
        <v>2000.1</v>
      </c>
      <c r="I3442" s="2">
        <v>2000.1</v>
      </c>
    </row>
    <row r="3443">
      <c r="A3443" s="1" t="s">
        <v>6878</v>
      </c>
      <c r="B3443" s="2">
        <v>1630.74</v>
      </c>
      <c r="C3443" s="2">
        <v>1630.74</v>
      </c>
      <c r="D3443" s="2">
        <v>3455.91</v>
      </c>
      <c r="E3443" s="2">
        <v>3455.91</v>
      </c>
      <c r="G3443" s="1" t="s">
        <v>6879</v>
      </c>
      <c r="H3443" s="2">
        <v>2001.05</v>
      </c>
      <c r="I3443" s="2">
        <v>2001.05</v>
      </c>
    </row>
    <row r="3444">
      <c r="A3444" s="1" t="s">
        <v>6880</v>
      </c>
      <c r="B3444" s="2" t="s">
        <v>0</v>
      </c>
      <c r="C3444" s="2">
        <v>1630.74</v>
      </c>
      <c r="D3444" s="2" t="s">
        <v>0</v>
      </c>
      <c r="E3444" s="2">
        <v>3455.91</v>
      </c>
      <c r="G3444" s="1" t="s">
        <v>6881</v>
      </c>
      <c r="H3444" s="2" t="s">
        <v>0</v>
      </c>
      <c r="I3444" s="2">
        <v>2001.05</v>
      </c>
    </row>
    <row r="3445">
      <c r="A3445" s="1" t="s">
        <v>6882</v>
      </c>
      <c r="B3445" s="2" t="s">
        <v>0</v>
      </c>
      <c r="C3445" s="2">
        <v>1630.74</v>
      </c>
      <c r="D3445" s="2" t="s">
        <v>0</v>
      </c>
      <c r="E3445" s="2">
        <v>3455.91</v>
      </c>
      <c r="G3445" s="1" t="s">
        <v>6883</v>
      </c>
      <c r="H3445" s="2" t="s">
        <v>0</v>
      </c>
      <c r="I3445" s="2">
        <v>2001.05</v>
      </c>
    </row>
    <row r="3446">
      <c r="A3446" s="1" t="s">
        <v>6884</v>
      </c>
      <c r="B3446" s="2">
        <v>1640.42</v>
      </c>
      <c r="C3446" s="2">
        <v>1640.42</v>
      </c>
      <c r="D3446" s="2">
        <v>3465.37</v>
      </c>
      <c r="E3446" s="2">
        <v>3465.37</v>
      </c>
      <c r="G3446" s="1" t="s">
        <v>6885</v>
      </c>
      <c r="H3446" s="2">
        <v>1989.57</v>
      </c>
      <c r="I3446" s="2">
        <v>1989.57</v>
      </c>
    </row>
    <row r="3447">
      <c r="A3447" s="1" t="s">
        <v>6886</v>
      </c>
      <c r="B3447" s="2">
        <v>1631.38</v>
      </c>
      <c r="C3447" s="2">
        <v>1631.38</v>
      </c>
      <c r="D3447" s="2">
        <v>3445.26</v>
      </c>
      <c r="E3447" s="2">
        <v>3445.26</v>
      </c>
      <c r="G3447" s="1" t="s">
        <v>6887</v>
      </c>
      <c r="H3447" s="2">
        <v>1989.51</v>
      </c>
      <c r="I3447" s="2">
        <v>1989.51</v>
      </c>
    </row>
    <row r="3448">
      <c r="A3448" s="1" t="s">
        <v>6888</v>
      </c>
      <c r="B3448" s="2">
        <v>1608.9</v>
      </c>
      <c r="C3448" s="2">
        <v>1608.9</v>
      </c>
      <c r="D3448" s="2">
        <v>3401.48</v>
      </c>
      <c r="E3448" s="2">
        <v>3401.48</v>
      </c>
      <c r="G3448" s="1" t="s">
        <v>6889</v>
      </c>
      <c r="H3448" s="2">
        <v>1959.19</v>
      </c>
      <c r="I3448" s="2">
        <v>1959.19</v>
      </c>
    </row>
    <row r="3449">
      <c r="A3449" s="1" t="s">
        <v>6890</v>
      </c>
      <c r="B3449" s="2">
        <v>1622.56</v>
      </c>
      <c r="C3449" s="2">
        <v>1622.56</v>
      </c>
      <c r="D3449" s="2">
        <v>3424.05</v>
      </c>
      <c r="E3449" s="2">
        <v>3424.05</v>
      </c>
      <c r="G3449" s="1" t="s">
        <v>6891</v>
      </c>
      <c r="H3449" s="2" t="s">
        <v>0</v>
      </c>
      <c r="I3449" s="2">
        <v>1959.19</v>
      </c>
    </row>
    <row r="3450">
      <c r="A3450" s="1" t="s">
        <v>6892</v>
      </c>
      <c r="B3450" s="2">
        <v>1643.38</v>
      </c>
      <c r="C3450" s="2">
        <v>1643.38</v>
      </c>
      <c r="D3450" s="2">
        <v>3469.22</v>
      </c>
      <c r="E3450" s="2">
        <v>3469.22</v>
      </c>
      <c r="G3450" s="1" t="s">
        <v>6893</v>
      </c>
      <c r="H3450" s="2">
        <v>1923.85</v>
      </c>
      <c r="I3450" s="2">
        <v>1923.85</v>
      </c>
    </row>
    <row r="3451">
      <c r="A3451" s="1" t="s">
        <v>6894</v>
      </c>
      <c r="B3451" s="2" t="s">
        <v>0</v>
      </c>
      <c r="C3451" s="2">
        <v>1643.38</v>
      </c>
      <c r="D3451" s="2" t="s">
        <v>0</v>
      </c>
      <c r="E3451" s="2">
        <v>3469.22</v>
      </c>
      <c r="G3451" s="1" t="s">
        <v>6895</v>
      </c>
      <c r="H3451" s="2" t="s">
        <v>0</v>
      </c>
      <c r="I3451" s="2">
        <v>1923.85</v>
      </c>
    </row>
    <row r="3452">
      <c r="A3452" s="1" t="s">
        <v>6896</v>
      </c>
      <c r="B3452" s="2" t="s">
        <v>0</v>
      </c>
      <c r="C3452" s="2">
        <v>1643.38</v>
      </c>
      <c r="D3452" s="2" t="s">
        <v>0</v>
      </c>
      <c r="E3452" s="2">
        <v>3469.22</v>
      </c>
      <c r="G3452" s="1" t="s">
        <v>6897</v>
      </c>
      <c r="H3452" s="2" t="s">
        <v>0</v>
      </c>
      <c r="I3452" s="2">
        <v>1923.85</v>
      </c>
    </row>
    <row r="3453">
      <c r="A3453" s="1" t="s">
        <v>6898</v>
      </c>
      <c r="B3453" s="2">
        <v>1642.81</v>
      </c>
      <c r="C3453" s="2">
        <v>1642.81</v>
      </c>
      <c r="D3453" s="2">
        <v>3473.77</v>
      </c>
      <c r="E3453" s="2">
        <v>3473.77</v>
      </c>
      <c r="G3453" s="1" t="s">
        <v>6899</v>
      </c>
      <c r="H3453" s="2">
        <v>1932.7</v>
      </c>
      <c r="I3453" s="2">
        <v>1932.7</v>
      </c>
    </row>
    <row r="3454">
      <c r="A3454" s="1" t="s">
        <v>6900</v>
      </c>
      <c r="B3454" s="2">
        <v>1626.13</v>
      </c>
      <c r="C3454" s="2">
        <v>1626.13</v>
      </c>
      <c r="D3454" s="2">
        <v>3436.95</v>
      </c>
      <c r="E3454" s="2">
        <v>3436.95</v>
      </c>
      <c r="G3454" s="1" t="s">
        <v>6901</v>
      </c>
      <c r="H3454" s="2">
        <v>1920.68</v>
      </c>
      <c r="I3454" s="2">
        <v>1920.68</v>
      </c>
    </row>
    <row r="3455">
      <c r="A3455" s="1" t="s">
        <v>6902</v>
      </c>
      <c r="B3455" s="2">
        <v>1612.52</v>
      </c>
      <c r="C3455" s="2">
        <v>1612.52</v>
      </c>
      <c r="D3455" s="2">
        <v>3400.43</v>
      </c>
      <c r="E3455" s="2">
        <v>3400.43</v>
      </c>
      <c r="G3455" s="1" t="s">
        <v>6903</v>
      </c>
      <c r="H3455" s="2">
        <v>1909.91</v>
      </c>
      <c r="I3455" s="2">
        <v>1909.91</v>
      </c>
    </row>
    <row r="3456">
      <c r="A3456" s="1" t="s">
        <v>6904</v>
      </c>
      <c r="B3456" s="2">
        <v>1636.36</v>
      </c>
      <c r="C3456" s="2">
        <v>1636.36</v>
      </c>
      <c r="D3456" s="2">
        <v>3445.37</v>
      </c>
      <c r="E3456" s="2">
        <v>3445.37</v>
      </c>
      <c r="G3456" s="1" t="s">
        <v>6905</v>
      </c>
      <c r="H3456" s="2">
        <v>1882.73</v>
      </c>
      <c r="I3456" s="2">
        <v>1882.73</v>
      </c>
    </row>
    <row r="3457">
      <c r="A3457" s="1" t="s">
        <v>6906</v>
      </c>
      <c r="B3457" s="2">
        <v>1626.73</v>
      </c>
      <c r="C3457" s="2">
        <v>1626.73</v>
      </c>
      <c r="D3457" s="2">
        <v>3423.56</v>
      </c>
      <c r="E3457" s="2">
        <v>3423.56</v>
      </c>
      <c r="G3457" s="1" t="s">
        <v>6907</v>
      </c>
      <c r="H3457" s="2">
        <v>1889.24</v>
      </c>
      <c r="I3457" s="2">
        <v>1889.24</v>
      </c>
    </row>
    <row r="3458">
      <c r="A3458" s="1" t="s">
        <v>6908</v>
      </c>
      <c r="B3458" s="2" t="s">
        <v>0</v>
      </c>
      <c r="C3458" s="2">
        <v>1626.73</v>
      </c>
      <c r="D3458" s="2" t="s">
        <v>0</v>
      </c>
      <c r="E3458" s="2">
        <v>3423.56</v>
      </c>
      <c r="G3458" s="1" t="s">
        <v>6909</v>
      </c>
      <c r="H3458" s="2" t="s">
        <v>0</v>
      </c>
      <c r="I3458" s="2">
        <v>1889.24</v>
      </c>
    </row>
    <row r="3459">
      <c r="A3459" s="1" t="s">
        <v>6910</v>
      </c>
      <c r="B3459" s="2" t="s">
        <v>0</v>
      </c>
      <c r="C3459" s="2">
        <v>1626.73</v>
      </c>
      <c r="D3459" s="2" t="s">
        <v>0</v>
      </c>
      <c r="E3459" s="2">
        <v>3423.56</v>
      </c>
      <c r="G3459" s="1" t="s">
        <v>6911</v>
      </c>
      <c r="H3459" s="2" t="s">
        <v>0</v>
      </c>
      <c r="I3459" s="2">
        <v>1889.24</v>
      </c>
    </row>
    <row r="3460">
      <c r="A3460" s="1" t="s">
        <v>6912</v>
      </c>
      <c r="B3460" s="2">
        <v>1639.04</v>
      </c>
      <c r="C3460" s="2">
        <v>1639.04</v>
      </c>
      <c r="D3460" s="2">
        <v>3452.13</v>
      </c>
      <c r="E3460" s="2">
        <v>3452.13</v>
      </c>
      <c r="G3460" s="1" t="s">
        <v>6913</v>
      </c>
      <c r="H3460" s="2">
        <v>1883.1</v>
      </c>
      <c r="I3460" s="2">
        <v>1883.1</v>
      </c>
    </row>
    <row r="3461">
      <c r="A3461" s="1" t="s">
        <v>6914</v>
      </c>
      <c r="B3461" s="2">
        <v>1651.81</v>
      </c>
      <c r="C3461" s="2">
        <v>1651.81</v>
      </c>
      <c r="D3461" s="2">
        <v>3482.18</v>
      </c>
      <c r="E3461" s="2">
        <v>3482.18</v>
      </c>
      <c r="G3461" s="1" t="s">
        <v>6915</v>
      </c>
      <c r="H3461" s="2">
        <v>1900.62</v>
      </c>
      <c r="I3461" s="2">
        <v>1900.62</v>
      </c>
    </row>
    <row r="3462">
      <c r="A3462" s="1" t="s">
        <v>6916</v>
      </c>
      <c r="B3462" s="2">
        <v>1628.93</v>
      </c>
      <c r="C3462" s="2">
        <v>1628.93</v>
      </c>
      <c r="D3462" s="2">
        <v>3443.2</v>
      </c>
      <c r="E3462" s="2">
        <v>3443.2</v>
      </c>
      <c r="G3462" s="1" t="s">
        <v>6917</v>
      </c>
      <c r="H3462" s="2">
        <v>1888.31</v>
      </c>
      <c r="I3462" s="2">
        <v>1888.31</v>
      </c>
    </row>
    <row r="3463">
      <c r="A3463" s="1" t="s">
        <v>6918</v>
      </c>
      <c r="B3463" s="2">
        <v>1588.19</v>
      </c>
      <c r="C3463" s="2">
        <v>1588.19</v>
      </c>
      <c r="D3463" s="2">
        <v>3364.64</v>
      </c>
      <c r="E3463" s="2">
        <v>3364.64</v>
      </c>
      <c r="G3463" s="1" t="s">
        <v>6919</v>
      </c>
      <c r="H3463" s="2">
        <v>1850.49</v>
      </c>
      <c r="I3463" s="2">
        <v>1850.49</v>
      </c>
    </row>
    <row r="3464">
      <c r="A3464" s="1" t="s">
        <v>6920</v>
      </c>
      <c r="B3464" s="2">
        <v>1592.43</v>
      </c>
      <c r="C3464" s="2">
        <v>1592.43</v>
      </c>
      <c r="D3464" s="2">
        <v>3357.25</v>
      </c>
      <c r="E3464" s="2">
        <v>3357.25</v>
      </c>
      <c r="G3464" s="1" t="s">
        <v>6921</v>
      </c>
      <c r="H3464" s="2">
        <v>1822.83</v>
      </c>
      <c r="I3464" s="2">
        <v>1822.83</v>
      </c>
    </row>
    <row r="3465">
      <c r="A3465" s="1" t="s">
        <v>6922</v>
      </c>
      <c r="B3465" s="2" t="s">
        <v>0</v>
      </c>
      <c r="C3465" s="2">
        <v>1592.43</v>
      </c>
      <c r="D3465" s="2" t="s">
        <v>0</v>
      </c>
      <c r="E3465" s="2">
        <v>3357.25</v>
      </c>
      <c r="G3465" s="1" t="s">
        <v>6923</v>
      </c>
      <c r="H3465" s="2" t="s">
        <v>0</v>
      </c>
      <c r="I3465" s="2">
        <v>1822.83</v>
      </c>
    </row>
    <row r="3466">
      <c r="A3466" s="1" t="s">
        <v>6924</v>
      </c>
      <c r="B3466" s="2" t="s">
        <v>0</v>
      </c>
      <c r="C3466" s="2">
        <v>1592.43</v>
      </c>
      <c r="D3466" s="2" t="s">
        <v>0</v>
      </c>
      <c r="E3466" s="2">
        <v>3357.25</v>
      </c>
      <c r="G3466" s="1" t="s">
        <v>6925</v>
      </c>
      <c r="H3466" s="2" t="s">
        <v>0</v>
      </c>
      <c r="I3466" s="2">
        <v>1822.83</v>
      </c>
    </row>
    <row r="3467">
      <c r="A3467" s="1" t="s">
        <v>6926</v>
      </c>
      <c r="B3467" s="2">
        <v>1573.09</v>
      </c>
      <c r="C3467" s="2">
        <v>1573.09</v>
      </c>
      <c r="D3467" s="2">
        <v>3320.76</v>
      </c>
      <c r="E3467" s="2">
        <v>3320.76</v>
      </c>
      <c r="G3467" s="1" t="s">
        <v>6927</v>
      </c>
      <c r="H3467" s="2">
        <v>1799.01</v>
      </c>
      <c r="I3467" s="2">
        <v>1799.01</v>
      </c>
    </row>
    <row r="3468">
      <c r="A3468" s="1" t="s">
        <v>6928</v>
      </c>
      <c r="B3468" s="2">
        <v>1588.03</v>
      </c>
      <c r="C3468" s="2">
        <v>1588.03</v>
      </c>
      <c r="D3468" s="2">
        <v>3347.89</v>
      </c>
      <c r="E3468" s="2">
        <v>3347.89</v>
      </c>
      <c r="G3468" s="1" t="s">
        <v>6929</v>
      </c>
      <c r="H3468" s="2">
        <v>1780.63</v>
      </c>
      <c r="I3468" s="2">
        <v>1780.63</v>
      </c>
    </row>
    <row r="3469">
      <c r="A3469" s="1" t="s">
        <v>6930</v>
      </c>
      <c r="B3469" s="2">
        <v>1603.26</v>
      </c>
      <c r="C3469" s="2">
        <v>1603.26</v>
      </c>
      <c r="D3469" s="2">
        <v>3376.22</v>
      </c>
      <c r="E3469" s="2">
        <v>3376.22</v>
      </c>
      <c r="G3469" s="1" t="s">
        <v>6931</v>
      </c>
      <c r="H3469" s="2">
        <v>1783.45</v>
      </c>
      <c r="I3469" s="2">
        <v>1783.45</v>
      </c>
    </row>
    <row r="3470">
      <c r="A3470" s="1" t="s">
        <v>6932</v>
      </c>
      <c r="B3470" s="2">
        <v>1613.2</v>
      </c>
      <c r="C3470" s="2">
        <v>1613.2</v>
      </c>
      <c r="D3470" s="2">
        <v>3401.86</v>
      </c>
      <c r="E3470" s="2">
        <v>3401.86</v>
      </c>
      <c r="G3470" s="1" t="s">
        <v>6933</v>
      </c>
      <c r="H3470" s="2">
        <v>1834.7</v>
      </c>
      <c r="I3470" s="2">
        <v>1834.7</v>
      </c>
    </row>
    <row r="3471">
      <c r="A3471" s="1" t="s">
        <v>6934</v>
      </c>
      <c r="B3471" s="2">
        <v>1606.28</v>
      </c>
      <c r="C3471" s="2">
        <v>1606.28</v>
      </c>
      <c r="D3471" s="2">
        <v>3403.25</v>
      </c>
      <c r="E3471" s="2">
        <v>3403.25</v>
      </c>
      <c r="G3471" s="1" t="s">
        <v>6935</v>
      </c>
      <c r="H3471" s="2">
        <v>1863.32</v>
      </c>
      <c r="I3471" s="2">
        <v>1863.32</v>
      </c>
    </row>
    <row r="3472">
      <c r="A3472" s="1" t="s">
        <v>6936</v>
      </c>
      <c r="B3472" s="2" t="s">
        <v>0</v>
      </c>
      <c r="C3472" s="2">
        <v>1606.28</v>
      </c>
      <c r="D3472" s="2" t="s">
        <v>0</v>
      </c>
      <c r="E3472" s="2">
        <v>3403.25</v>
      </c>
      <c r="G3472" s="1" t="s">
        <v>6937</v>
      </c>
      <c r="H3472" s="2" t="s">
        <v>0</v>
      </c>
      <c r="I3472" s="2">
        <v>1863.32</v>
      </c>
    </row>
    <row r="3473">
      <c r="A3473" s="1" t="s">
        <v>6938</v>
      </c>
      <c r="B3473" s="2" t="s">
        <v>0</v>
      </c>
      <c r="C3473" s="2">
        <v>1606.28</v>
      </c>
      <c r="D3473" s="2" t="s">
        <v>0</v>
      </c>
      <c r="E3473" s="2">
        <v>3403.25</v>
      </c>
      <c r="G3473" s="1" t="s">
        <v>6939</v>
      </c>
      <c r="H3473" s="2" t="s">
        <v>0</v>
      </c>
      <c r="I3473" s="2">
        <v>1863.32</v>
      </c>
    </row>
    <row r="3474">
      <c r="A3474" s="1" t="s">
        <v>6940</v>
      </c>
      <c r="B3474" s="2">
        <v>1614.96</v>
      </c>
      <c r="C3474" s="2">
        <v>1614.96</v>
      </c>
      <c r="D3474" s="2">
        <v>3434.49</v>
      </c>
      <c r="E3474" s="2">
        <v>3434.49</v>
      </c>
      <c r="G3474" s="1" t="s">
        <v>6941</v>
      </c>
      <c r="H3474" s="2">
        <v>1855.73</v>
      </c>
      <c r="I3474" s="2">
        <v>1855.73</v>
      </c>
    </row>
    <row r="3475">
      <c r="A3475" s="1" t="s">
        <v>6942</v>
      </c>
      <c r="B3475" s="2">
        <v>1614.08</v>
      </c>
      <c r="C3475" s="2">
        <v>1614.08</v>
      </c>
      <c r="D3475" s="2">
        <v>3433.4</v>
      </c>
      <c r="E3475" s="2">
        <v>3433.4</v>
      </c>
      <c r="G3475" s="1" t="s">
        <v>6943</v>
      </c>
      <c r="H3475" s="2">
        <v>1855.02</v>
      </c>
      <c r="I3475" s="2">
        <v>1855.02</v>
      </c>
    </row>
    <row r="3476">
      <c r="A3476" s="1" t="s">
        <v>6944</v>
      </c>
      <c r="B3476" s="2">
        <v>1615.41</v>
      </c>
      <c r="C3476" s="2">
        <v>1615.41</v>
      </c>
      <c r="D3476" s="2">
        <v>3443.67</v>
      </c>
      <c r="E3476" s="2">
        <v>3443.67</v>
      </c>
      <c r="G3476" s="1" t="s">
        <v>6945</v>
      </c>
      <c r="H3476" s="2">
        <v>1824.66</v>
      </c>
      <c r="I3476" s="2">
        <v>1824.66</v>
      </c>
    </row>
    <row r="3477">
      <c r="A3477" s="1" t="s">
        <v>6946</v>
      </c>
      <c r="B3477" s="2" t="s">
        <v>0</v>
      </c>
      <c r="C3477" s="2">
        <v>1615.41</v>
      </c>
      <c r="D3477" s="2" t="s">
        <v>0</v>
      </c>
      <c r="E3477" s="2">
        <v>3443.67</v>
      </c>
      <c r="G3477" s="1" t="s">
        <v>6947</v>
      </c>
      <c r="H3477" s="2">
        <v>1839.14</v>
      </c>
      <c r="I3477" s="2">
        <v>1839.14</v>
      </c>
    </row>
    <row r="3478">
      <c r="A3478" s="1" t="s">
        <v>6948</v>
      </c>
      <c r="B3478" s="2">
        <v>1631.89</v>
      </c>
      <c r="C3478" s="2">
        <v>1631.89</v>
      </c>
      <c r="D3478" s="2">
        <v>3479.38</v>
      </c>
      <c r="E3478" s="2">
        <v>3479.38</v>
      </c>
      <c r="G3478" s="1" t="s">
        <v>6949</v>
      </c>
      <c r="H3478" s="2">
        <v>1833.31</v>
      </c>
      <c r="I3478" s="2">
        <v>1833.31</v>
      </c>
    </row>
    <row r="3479">
      <c r="A3479" s="1" t="s">
        <v>6950</v>
      </c>
      <c r="B3479" s="2" t="s">
        <v>0</v>
      </c>
      <c r="C3479" s="2">
        <v>1631.89</v>
      </c>
      <c r="D3479" s="2" t="s">
        <v>0</v>
      </c>
      <c r="E3479" s="2">
        <v>3479.38</v>
      </c>
      <c r="G3479" s="1" t="s">
        <v>6951</v>
      </c>
      <c r="H3479" s="2" t="s">
        <v>0</v>
      </c>
      <c r="I3479" s="2">
        <v>1833.31</v>
      </c>
    </row>
    <row r="3480">
      <c r="A3480" s="1" t="s">
        <v>6952</v>
      </c>
      <c r="B3480" s="2" t="s">
        <v>0</v>
      </c>
      <c r="C3480" s="2">
        <v>1631.89</v>
      </c>
      <c r="D3480" s="2" t="s">
        <v>0</v>
      </c>
      <c r="E3480" s="2">
        <v>3479.38</v>
      </c>
      <c r="G3480" s="1" t="s">
        <v>6953</v>
      </c>
      <c r="H3480" s="2" t="s">
        <v>0</v>
      </c>
      <c r="I3480" s="2">
        <v>1833.31</v>
      </c>
    </row>
    <row r="3481">
      <c r="A3481" s="1" t="s">
        <v>6954</v>
      </c>
      <c r="B3481" s="2">
        <v>1640.46</v>
      </c>
      <c r="C3481" s="2">
        <v>1640.46</v>
      </c>
      <c r="D3481" s="2">
        <v>3484.83</v>
      </c>
      <c r="E3481" s="2">
        <v>3484.83</v>
      </c>
      <c r="G3481" s="1" t="s">
        <v>6955</v>
      </c>
      <c r="H3481" s="2">
        <v>1816.85</v>
      </c>
      <c r="I3481" s="2">
        <v>1816.85</v>
      </c>
    </row>
    <row r="3482">
      <c r="A3482" s="1" t="s">
        <v>6956</v>
      </c>
      <c r="B3482" s="2">
        <v>1652.32</v>
      </c>
      <c r="C3482" s="2">
        <v>1652.32</v>
      </c>
      <c r="D3482" s="2">
        <v>3504.26</v>
      </c>
      <c r="E3482" s="2">
        <v>3504.26</v>
      </c>
      <c r="G3482" s="1" t="s">
        <v>6957</v>
      </c>
      <c r="H3482" s="2">
        <v>1830.35</v>
      </c>
      <c r="I3482" s="2">
        <v>1830.35</v>
      </c>
    </row>
    <row r="3483">
      <c r="A3483" s="1" t="s">
        <v>6958</v>
      </c>
      <c r="B3483" s="2">
        <v>1652.62</v>
      </c>
      <c r="C3483" s="2">
        <v>1652.62</v>
      </c>
      <c r="D3483" s="2">
        <v>3520.76</v>
      </c>
      <c r="E3483" s="2">
        <v>3520.76</v>
      </c>
      <c r="G3483" s="1" t="s">
        <v>6959</v>
      </c>
      <c r="H3483" s="2">
        <v>1824.16</v>
      </c>
      <c r="I3483" s="2">
        <v>1824.16</v>
      </c>
    </row>
    <row r="3484">
      <c r="A3484" s="1" t="s">
        <v>6960</v>
      </c>
      <c r="B3484" s="2">
        <v>1675.02</v>
      </c>
      <c r="C3484" s="2">
        <v>1675.02</v>
      </c>
      <c r="D3484" s="2">
        <v>3578.3</v>
      </c>
      <c r="E3484" s="2">
        <v>3578.3</v>
      </c>
      <c r="G3484" s="1" t="s">
        <v>6961</v>
      </c>
      <c r="H3484" s="2">
        <v>1877.6</v>
      </c>
      <c r="I3484" s="2">
        <v>1877.6</v>
      </c>
    </row>
    <row r="3485">
      <c r="A3485" s="1" t="s">
        <v>6962</v>
      </c>
      <c r="B3485" s="2">
        <v>1680.19</v>
      </c>
      <c r="C3485" s="2">
        <v>1680.19</v>
      </c>
      <c r="D3485" s="2">
        <v>3600.08</v>
      </c>
      <c r="E3485" s="2">
        <v>3600.08</v>
      </c>
      <c r="G3485" s="1" t="s">
        <v>6963</v>
      </c>
      <c r="H3485" s="2">
        <v>1869.98</v>
      </c>
      <c r="I3485" s="2">
        <v>1869.98</v>
      </c>
    </row>
    <row r="3486">
      <c r="A3486" s="1" t="s">
        <v>6964</v>
      </c>
      <c r="B3486" s="2" t="s">
        <v>0</v>
      </c>
      <c r="C3486" s="2">
        <v>1680.19</v>
      </c>
      <c r="D3486" s="2" t="s">
        <v>0</v>
      </c>
      <c r="E3486" s="2">
        <v>3600.08</v>
      </c>
      <c r="G3486" s="1" t="s">
        <v>6965</v>
      </c>
      <c r="H3486" s="2" t="s">
        <v>0</v>
      </c>
      <c r="I3486" s="2">
        <v>1869.98</v>
      </c>
    </row>
    <row r="3487">
      <c r="A3487" s="1" t="s">
        <v>6966</v>
      </c>
      <c r="B3487" s="2" t="s">
        <v>0</v>
      </c>
      <c r="C3487" s="2">
        <v>1680.19</v>
      </c>
      <c r="D3487" s="2" t="s">
        <v>0</v>
      </c>
      <c r="E3487" s="2">
        <v>3600.08</v>
      </c>
      <c r="G3487" s="1" t="s">
        <v>6967</v>
      </c>
      <c r="H3487" s="2" t="s">
        <v>0</v>
      </c>
      <c r="I3487" s="2">
        <v>1869.98</v>
      </c>
    </row>
    <row r="3488">
      <c r="A3488" s="1" t="s">
        <v>6968</v>
      </c>
      <c r="B3488" s="2">
        <v>1682.5</v>
      </c>
      <c r="C3488" s="2">
        <v>1682.5</v>
      </c>
      <c r="D3488" s="2">
        <v>3607.49</v>
      </c>
      <c r="E3488" s="2">
        <v>3607.49</v>
      </c>
      <c r="G3488" s="1" t="s">
        <v>6969</v>
      </c>
      <c r="H3488" s="2">
        <v>1875.16</v>
      </c>
      <c r="I3488" s="2">
        <v>1875.16</v>
      </c>
    </row>
    <row r="3489">
      <c r="A3489" s="1" t="s">
        <v>6970</v>
      </c>
      <c r="B3489" s="2">
        <v>1676.26</v>
      </c>
      <c r="C3489" s="2">
        <v>1676.26</v>
      </c>
      <c r="D3489" s="2">
        <v>3598.5</v>
      </c>
      <c r="E3489" s="2">
        <v>3598.5</v>
      </c>
      <c r="G3489" s="1" t="s">
        <v>6971</v>
      </c>
      <c r="H3489" s="2">
        <v>1866.36</v>
      </c>
      <c r="I3489" s="2">
        <v>1866.36</v>
      </c>
    </row>
    <row r="3490">
      <c r="A3490" s="1" t="s">
        <v>6972</v>
      </c>
      <c r="B3490" s="2">
        <v>1680.91</v>
      </c>
      <c r="C3490" s="2">
        <v>1680.91</v>
      </c>
      <c r="D3490" s="2">
        <v>3610.0</v>
      </c>
      <c r="E3490" s="2">
        <v>3610.0</v>
      </c>
      <c r="G3490" s="1" t="s">
        <v>6973</v>
      </c>
      <c r="H3490" s="2">
        <v>1887.49</v>
      </c>
      <c r="I3490" s="2">
        <v>1887.49</v>
      </c>
    </row>
    <row r="3491">
      <c r="A3491" s="1" t="s">
        <v>6974</v>
      </c>
      <c r="B3491" s="2">
        <v>1689.37</v>
      </c>
      <c r="C3491" s="2">
        <v>1689.37</v>
      </c>
      <c r="D3491" s="2">
        <v>3611.28</v>
      </c>
      <c r="E3491" s="2">
        <v>3611.28</v>
      </c>
      <c r="G3491" s="1" t="s">
        <v>6975</v>
      </c>
      <c r="H3491" s="2">
        <v>1875.48</v>
      </c>
      <c r="I3491" s="2">
        <v>1875.48</v>
      </c>
    </row>
    <row r="3492">
      <c r="A3492" s="1" t="s">
        <v>6976</v>
      </c>
      <c r="B3492" s="2">
        <v>1692.09</v>
      </c>
      <c r="C3492" s="2">
        <v>1692.09</v>
      </c>
      <c r="D3492" s="2">
        <v>3587.61</v>
      </c>
      <c r="E3492" s="2">
        <v>3587.61</v>
      </c>
      <c r="G3492" s="1" t="s">
        <v>6977</v>
      </c>
      <c r="H3492" s="2">
        <v>1871.41</v>
      </c>
      <c r="I3492" s="2">
        <v>1871.41</v>
      </c>
    </row>
    <row r="3493">
      <c r="A3493" s="1" t="s">
        <v>6978</v>
      </c>
      <c r="B3493" s="2" t="s">
        <v>0</v>
      </c>
      <c r="C3493" s="2">
        <v>1692.09</v>
      </c>
      <c r="D3493" s="2" t="s">
        <v>0</v>
      </c>
      <c r="E3493" s="2">
        <v>3587.61</v>
      </c>
      <c r="G3493" s="1" t="s">
        <v>6979</v>
      </c>
      <c r="H3493" s="2" t="s">
        <v>0</v>
      </c>
      <c r="I3493" s="2">
        <v>1871.41</v>
      </c>
    </row>
    <row r="3494">
      <c r="A3494" s="1" t="s">
        <v>6980</v>
      </c>
      <c r="B3494" s="2" t="s">
        <v>0</v>
      </c>
      <c r="C3494" s="2">
        <v>1692.09</v>
      </c>
      <c r="D3494" s="2" t="s">
        <v>0</v>
      </c>
      <c r="E3494" s="2">
        <v>3587.61</v>
      </c>
      <c r="G3494" s="1" t="s">
        <v>6981</v>
      </c>
      <c r="H3494" s="2" t="s">
        <v>0</v>
      </c>
      <c r="I3494" s="2">
        <v>1871.41</v>
      </c>
    </row>
    <row r="3495">
      <c r="A3495" s="1" t="s">
        <v>6982</v>
      </c>
      <c r="B3495" s="2">
        <v>1695.53</v>
      </c>
      <c r="C3495" s="2">
        <v>1695.53</v>
      </c>
      <c r="D3495" s="2">
        <v>3600.39</v>
      </c>
      <c r="E3495" s="2">
        <v>3600.39</v>
      </c>
      <c r="G3495" s="1" t="s">
        <v>6983</v>
      </c>
      <c r="H3495" s="2">
        <v>1880.35</v>
      </c>
      <c r="I3495" s="2">
        <v>1880.35</v>
      </c>
    </row>
    <row r="3496">
      <c r="A3496" s="1" t="s">
        <v>6984</v>
      </c>
      <c r="B3496" s="2">
        <v>1692.39</v>
      </c>
      <c r="C3496" s="2">
        <v>1692.39</v>
      </c>
      <c r="D3496" s="2">
        <v>3579.27</v>
      </c>
      <c r="E3496" s="2">
        <v>3579.27</v>
      </c>
      <c r="G3496" s="1" t="s">
        <v>6985</v>
      </c>
      <c r="H3496" s="2">
        <v>1904.15</v>
      </c>
      <c r="I3496" s="2">
        <v>1904.15</v>
      </c>
    </row>
    <row r="3497">
      <c r="A3497" s="1" t="s">
        <v>6986</v>
      </c>
      <c r="B3497" s="2">
        <v>1685.94</v>
      </c>
      <c r="C3497" s="2">
        <v>1685.94</v>
      </c>
      <c r="D3497" s="2">
        <v>3579.6</v>
      </c>
      <c r="E3497" s="2">
        <v>3579.6</v>
      </c>
      <c r="G3497" s="1" t="s">
        <v>6987</v>
      </c>
      <c r="H3497" s="2">
        <v>1912.08</v>
      </c>
      <c r="I3497" s="2">
        <v>1912.08</v>
      </c>
    </row>
    <row r="3498">
      <c r="A3498" s="1" t="s">
        <v>6988</v>
      </c>
      <c r="B3498" s="2">
        <v>1690.25</v>
      </c>
      <c r="C3498" s="2">
        <v>1690.25</v>
      </c>
      <c r="D3498" s="2">
        <v>3605.19</v>
      </c>
      <c r="E3498" s="2">
        <v>3605.19</v>
      </c>
      <c r="G3498" s="1" t="s">
        <v>6989</v>
      </c>
      <c r="H3498" s="2">
        <v>1909.61</v>
      </c>
      <c r="I3498" s="2">
        <v>1909.61</v>
      </c>
    </row>
    <row r="3499">
      <c r="A3499" s="1" t="s">
        <v>6990</v>
      </c>
      <c r="B3499" s="2">
        <v>1691.65</v>
      </c>
      <c r="C3499" s="2">
        <v>1691.65</v>
      </c>
      <c r="D3499" s="2">
        <v>3613.16</v>
      </c>
      <c r="E3499" s="2">
        <v>3613.16</v>
      </c>
      <c r="G3499" s="1" t="s">
        <v>6991</v>
      </c>
      <c r="H3499" s="2">
        <v>1910.81</v>
      </c>
      <c r="I3499" s="2">
        <v>1910.81</v>
      </c>
    </row>
    <row r="3500">
      <c r="A3500" s="1" t="s">
        <v>6992</v>
      </c>
      <c r="B3500" s="2" t="s">
        <v>0</v>
      </c>
      <c r="C3500" s="2">
        <v>1691.65</v>
      </c>
      <c r="D3500" s="2" t="s">
        <v>0</v>
      </c>
      <c r="E3500" s="2">
        <v>3613.16</v>
      </c>
      <c r="G3500" s="1" t="s">
        <v>6993</v>
      </c>
      <c r="H3500" s="2" t="s">
        <v>0</v>
      </c>
      <c r="I3500" s="2">
        <v>1910.81</v>
      </c>
    </row>
    <row r="3501">
      <c r="A3501" s="1" t="s">
        <v>6994</v>
      </c>
      <c r="B3501" s="2" t="s">
        <v>0</v>
      </c>
      <c r="C3501" s="2">
        <v>1691.65</v>
      </c>
      <c r="D3501" s="2" t="s">
        <v>0</v>
      </c>
      <c r="E3501" s="2">
        <v>3613.16</v>
      </c>
      <c r="G3501" s="1" t="s">
        <v>6995</v>
      </c>
      <c r="H3501" s="2" t="s">
        <v>0</v>
      </c>
      <c r="I3501" s="2">
        <v>1910.81</v>
      </c>
    </row>
    <row r="3502">
      <c r="A3502" s="1" t="s">
        <v>6996</v>
      </c>
      <c r="B3502" s="2">
        <v>1685.33</v>
      </c>
      <c r="C3502" s="2">
        <v>1685.33</v>
      </c>
      <c r="D3502" s="2">
        <v>3599.14</v>
      </c>
      <c r="E3502" s="2">
        <v>3599.14</v>
      </c>
      <c r="G3502" s="1" t="s">
        <v>6997</v>
      </c>
      <c r="H3502" s="2">
        <v>1899.89</v>
      </c>
      <c r="I3502" s="2">
        <v>1899.89</v>
      </c>
    </row>
    <row r="3503">
      <c r="A3503" s="1" t="s">
        <v>6998</v>
      </c>
      <c r="B3503" s="2">
        <v>1685.96</v>
      </c>
      <c r="C3503" s="2">
        <v>1685.96</v>
      </c>
      <c r="D3503" s="2">
        <v>3616.47</v>
      </c>
      <c r="E3503" s="2">
        <v>3616.47</v>
      </c>
      <c r="G3503" s="1" t="s">
        <v>6999</v>
      </c>
      <c r="H3503" s="2">
        <v>1917.05</v>
      </c>
      <c r="I3503" s="2">
        <v>1917.05</v>
      </c>
    </row>
    <row r="3504">
      <c r="A3504" s="1" t="s">
        <v>7000</v>
      </c>
      <c r="B3504" s="2">
        <v>1685.73</v>
      </c>
      <c r="C3504" s="2">
        <v>1685.73</v>
      </c>
      <c r="D3504" s="2">
        <v>3626.37</v>
      </c>
      <c r="E3504" s="2">
        <v>3626.37</v>
      </c>
      <c r="G3504" s="1" t="s">
        <v>7001</v>
      </c>
      <c r="H3504" s="2">
        <v>1914.03</v>
      </c>
      <c r="I3504" s="2">
        <v>1914.03</v>
      </c>
    </row>
    <row r="3505">
      <c r="A3505" s="1" t="s">
        <v>7002</v>
      </c>
      <c r="B3505" s="2">
        <v>1706.87</v>
      </c>
      <c r="C3505" s="2">
        <v>1706.87</v>
      </c>
      <c r="D3505" s="2">
        <v>3675.74</v>
      </c>
      <c r="E3505" s="2">
        <v>3675.74</v>
      </c>
      <c r="G3505" s="1" t="s">
        <v>7003</v>
      </c>
      <c r="H3505" s="2">
        <v>1920.74</v>
      </c>
      <c r="I3505" s="2">
        <v>1920.74</v>
      </c>
    </row>
    <row r="3506">
      <c r="A3506" s="1" t="s">
        <v>7004</v>
      </c>
      <c r="B3506" s="2">
        <v>1709.67</v>
      </c>
      <c r="C3506" s="2">
        <v>1709.67</v>
      </c>
      <c r="D3506" s="2">
        <v>3689.59</v>
      </c>
      <c r="E3506" s="2">
        <v>3689.59</v>
      </c>
      <c r="G3506" s="1" t="s">
        <v>7005</v>
      </c>
      <c r="H3506" s="2">
        <v>1923.38</v>
      </c>
      <c r="I3506" s="2">
        <v>1923.38</v>
      </c>
    </row>
    <row r="3507">
      <c r="A3507" s="1" t="s">
        <v>7006</v>
      </c>
      <c r="B3507" s="2" t="s">
        <v>0</v>
      </c>
      <c r="C3507" s="2">
        <v>1709.67</v>
      </c>
      <c r="D3507" s="2" t="s">
        <v>0</v>
      </c>
      <c r="E3507" s="2">
        <v>3689.59</v>
      </c>
      <c r="G3507" s="1" t="s">
        <v>7007</v>
      </c>
      <c r="H3507" s="2" t="s">
        <v>0</v>
      </c>
      <c r="I3507" s="2">
        <v>1923.38</v>
      </c>
    </row>
    <row r="3508">
      <c r="A3508" s="1" t="s">
        <v>7008</v>
      </c>
      <c r="B3508" s="2" t="s">
        <v>0</v>
      </c>
      <c r="C3508" s="2">
        <v>1709.67</v>
      </c>
      <c r="D3508" s="2" t="s">
        <v>0</v>
      </c>
      <c r="E3508" s="2">
        <v>3689.59</v>
      </c>
      <c r="G3508" s="1" t="s">
        <v>7009</v>
      </c>
      <c r="H3508" s="2" t="s">
        <v>0</v>
      </c>
      <c r="I3508" s="2">
        <v>1923.38</v>
      </c>
    </row>
    <row r="3509">
      <c r="A3509" s="1" t="s">
        <v>7010</v>
      </c>
      <c r="B3509" s="2">
        <v>1707.14</v>
      </c>
      <c r="C3509" s="2">
        <v>1707.14</v>
      </c>
      <c r="D3509" s="2">
        <v>3692.95</v>
      </c>
      <c r="E3509" s="2">
        <v>3692.95</v>
      </c>
      <c r="G3509" s="1" t="s">
        <v>7011</v>
      </c>
      <c r="H3509" s="2">
        <v>1916.22</v>
      </c>
      <c r="I3509" s="2">
        <v>1916.22</v>
      </c>
    </row>
    <row r="3510">
      <c r="A3510" s="1" t="s">
        <v>7012</v>
      </c>
      <c r="B3510" s="2">
        <v>1697.37</v>
      </c>
      <c r="C3510" s="2">
        <v>1697.37</v>
      </c>
      <c r="D3510" s="2">
        <v>3665.77</v>
      </c>
      <c r="E3510" s="2">
        <v>3665.77</v>
      </c>
      <c r="G3510" s="1" t="s">
        <v>7013</v>
      </c>
      <c r="H3510" s="2">
        <v>1906.62</v>
      </c>
      <c r="I3510" s="2">
        <v>1906.62</v>
      </c>
    </row>
    <row r="3511">
      <c r="A3511" s="1" t="s">
        <v>7014</v>
      </c>
      <c r="B3511" s="2">
        <v>1690.91</v>
      </c>
      <c r="C3511" s="2">
        <v>1690.91</v>
      </c>
      <c r="D3511" s="2">
        <v>3654.01</v>
      </c>
      <c r="E3511" s="2">
        <v>3654.01</v>
      </c>
      <c r="G3511" s="1" t="s">
        <v>7015</v>
      </c>
      <c r="H3511" s="2">
        <v>1878.33</v>
      </c>
      <c r="I3511" s="2">
        <v>1878.33</v>
      </c>
    </row>
    <row r="3512">
      <c r="A3512" s="1" t="s">
        <v>7016</v>
      </c>
      <c r="B3512" s="2">
        <v>1697.48</v>
      </c>
      <c r="C3512" s="2">
        <v>1697.48</v>
      </c>
      <c r="D3512" s="2">
        <v>3669.12</v>
      </c>
      <c r="E3512" s="2">
        <v>3669.12</v>
      </c>
      <c r="G3512" s="1" t="s">
        <v>7017</v>
      </c>
      <c r="H3512" s="2">
        <v>1883.97</v>
      </c>
      <c r="I3512" s="2">
        <v>1883.97</v>
      </c>
    </row>
    <row r="3513">
      <c r="A3513" s="1" t="s">
        <v>7018</v>
      </c>
      <c r="B3513" s="2">
        <v>1691.42</v>
      </c>
      <c r="C3513" s="2">
        <v>1691.42</v>
      </c>
      <c r="D3513" s="2">
        <v>3660.11</v>
      </c>
      <c r="E3513" s="2">
        <v>3660.11</v>
      </c>
      <c r="G3513" s="1" t="s">
        <v>7019</v>
      </c>
      <c r="H3513" s="2">
        <v>1880.71</v>
      </c>
      <c r="I3513" s="2">
        <v>1880.71</v>
      </c>
    </row>
    <row r="3514">
      <c r="A3514" s="1" t="s">
        <v>7020</v>
      </c>
      <c r="B3514" s="2" t="s">
        <v>0</v>
      </c>
      <c r="C3514" s="2">
        <v>1691.42</v>
      </c>
      <c r="D3514" s="2" t="s">
        <v>0</v>
      </c>
      <c r="E3514" s="2">
        <v>3660.11</v>
      </c>
      <c r="G3514" s="1" t="s">
        <v>7021</v>
      </c>
      <c r="H3514" s="2" t="s">
        <v>0</v>
      </c>
      <c r="I3514" s="2">
        <v>1880.71</v>
      </c>
    </row>
    <row r="3515">
      <c r="A3515" s="1" t="s">
        <v>7022</v>
      </c>
      <c r="B3515" s="2" t="s">
        <v>0</v>
      </c>
      <c r="C3515" s="2">
        <v>1691.42</v>
      </c>
      <c r="D3515" s="2" t="s">
        <v>0</v>
      </c>
      <c r="E3515" s="2">
        <v>3660.11</v>
      </c>
      <c r="G3515" s="1" t="s">
        <v>7023</v>
      </c>
      <c r="H3515" s="2" t="s">
        <v>0</v>
      </c>
      <c r="I3515" s="2">
        <v>1880.71</v>
      </c>
    </row>
    <row r="3516">
      <c r="A3516" s="1" t="s">
        <v>7024</v>
      </c>
      <c r="B3516" s="2">
        <v>1689.47</v>
      </c>
      <c r="C3516" s="2">
        <v>1689.47</v>
      </c>
      <c r="D3516" s="2">
        <v>3669.95</v>
      </c>
      <c r="E3516" s="2">
        <v>3669.95</v>
      </c>
      <c r="G3516" s="1" t="s">
        <v>7025</v>
      </c>
      <c r="H3516" s="2">
        <v>1884.83</v>
      </c>
      <c r="I3516" s="2">
        <v>1884.83</v>
      </c>
    </row>
    <row r="3517">
      <c r="A3517" s="1" t="s">
        <v>7026</v>
      </c>
      <c r="B3517" s="2">
        <v>1694.16</v>
      </c>
      <c r="C3517" s="2">
        <v>1694.16</v>
      </c>
      <c r="D3517" s="2">
        <v>3684.44</v>
      </c>
      <c r="E3517" s="2">
        <v>3684.44</v>
      </c>
      <c r="G3517" s="1" t="s">
        <v>7027</v>
      </c>
      <c r="H3517" s="2">
        <v>1913.03</v>
      </c>
      <c r="I3517" s="2">
        <v>1913.03</v>
      </c>
    </row>
    <row r="3518">
      <c r="A3518" s="1" t="s">
        <v>7028</v>
      </c>
      <c r="B3518" s="2">
        <v>1685.39</v>
      </c>
      <c r="C3518" s="2">
        <v>1685.39</v>
      </c>
      <c r="D3518" s="2">
        <v>3669.27</v>
      </c>
      <c r="E3518" s="2">
        <v>3669.27</v>
      </c>
      <c r="G3518" s="1" t="s">
        <v>7029</v>
      </c>
      <c r="H3518" s="2">
        <v>1923.91</v>
      </c>
      <c r="I3518" s="2">
        <v>1923.91</v>
      </c>
    </row>
    <row r="3519">
      <c r="A3519" s="1" t="s">
        <v>7030</v>
      </c>
      <c r="B3519" s="2">
        <v>1661.32</v>
      </c>
      <c r="C3519" s="2">
        <v>1661.32</v>
      </c>
      <c r="D3519" s="2">
        <v>3606.12</v>
      </c>
      <c r="E3519" s="2">
        <v>3606.12</v>
      </c>
      <c r="G3519" s="1" t="s">
        <v>7031</v>
      </c>
      <c r="H3519" s="2" t="s">
        <v>0</v>
      </c>
      <c r="I3519" s="2">
        <v>1923.91</v>
      </c>
    </row>
    <row r="3520">
      <c r="A3520" s="1" t="s">
        <v>7032</v>
      </c>
      <c r="B3520" s="2">
        <v>1655.83</v>
      </c>
      <c r="C3520" s="2">
        <v>1655.83</v>
      </c>
      <c r="D3520" s="2">
        <v>3602.78</v>
      </c>
      <c r="E3520" s="2">
        <v>3602.78</v>
      </c>
      <c r="G3520" s="1" t="s">
        <v>7033</v>
      </c>
      <c r="H3520" s="2">
        <v>1920.11</v>
      </c>
      <c r="I3520" s="2">
        <v>1920.11</v>
      </c>
    </row>
    <row r="3521">
      <c r="A3521" s="1" t="s">
        <v>7034</v>
      </c>
      <c r="B3521" s="2" t="s">
        <v>0</v>
      </c>
      <c r="C3521" s="2">
        <v>1655.83</v>
      </c>
      <c r="D3521" s="2" t="s">
        <v>0</v>
      </c>
      <c r="E3521" s="2">
        <v>3602.78</v>
      </c>
      <c r="G3521" s="1" t="s">
        <v>7035</v>
      </c>
      <c r="H3521" s="2" t="s">
        <v>0</v>
      </c>
      <c r="I3521" s="2">
        <v>1920.11</v>
      </c>
    </row>
    <row r="3522">
      <c r="A3522" s="1" t="s">
        <v>7036</v>
      </c>
      <c r="B3522" s="2" t="s">
        <v>0</v>
      </c>
      <c r="C3522" s="2">
        <v>1655.83</v>
      </c>
      <c r="D3522" s="2" t="s">
        <v>0</v>
      </c>
      <c r="E3522" s="2">
        <v>3602.78</v>
      </c>
      <c r="G3522" s="1" t="s">
        <v>7037</v>
      </c>
      <c r="H3522" s="2" t="s">
        <v>0</v>
      </c>
      <c r="I3522" s="2">
        <v>1920.11</v>
      </c>
    </row>
    <row r="3523">
      <c r="A3523" s="1" t="s">
        <v>7038</v>
      </c>
      <c r="B3523" s="2">
        <v>1646.06</v>
      </c>
      <c r="C3523" s="2">
        <v>1646.06</v>
      </c>
      <c r="D3523" s="2">
        <v>3589.09</v>
      </c>
      <c r="E3523" s="2">
        <v>3589.09</v>
      </c>
      <c r="G3523" s="1" t="s">
        <v>7039</v>
      </c>
      <c r="H3523" s="2">
        <v>1917.64</v>
      </c>
      <c r="I3523" s="2">
        <v>1917.64</v>
      </c>
    </row>
    <row r="3524">
      <c r="A3524" s="1" t="s">
        <v>7040</v>
      </c>
      <c r="B3524" s="2">
        <v>1652.35</v>
      </c>
      <c r="C3524" s="2">
        <v>1652.35</v>
      </c>
      <c r="D3524" s="2">
        <v>3613.59</v>
      </c>
      <c r="E3524" s="2">
        <v>3613.59</v>
      </c>
      <c r="G3524" s="1" t="s">
        <v>7041</v>
      </c>
      <c r="H3524" s="2">
        <v>1887.85</v>
      </c>
      <c r="I3524" s="2">
        <v>1887.85</v>
      </c>
    </row>
    <row r="3525">
      <c r="A3525" s="1" t="s">
        <v>7042</v>
      </c>
      <c r="B3525" s="2">
        <v>1642.8</v>
      </c>
      <c r="C3525" s="2">
        <v>1642.8</v>
      </c>
      <c r="D3525" s="2">
        <v>3599.79</v>
      </c>
      <c r="E3525" s="2">
        <v>3599.79</v>
      </c>
      <c r="G3525" s="1" t="s">
        <v>7043</v>
      </c>
      <c r="H3525" s="2">
        <v>1867.46</v>
      </c>
      <c r="I3525" s="2">
        <v>1867.46</v>
      </c>
    </row>
    <row r="3526">
      <c r="A3526" s="1" t="s">
        <v>7044</v>
      </c>
      <c r="B3526" s="2">
        <v>1656.96</v>
      </c>
      <c r="C3526" s="2">
        <v>1656.96</v>
      </c>
      <c r="D3526" s="2">
        <v>3638.71</v>
      </c>
      <c r="E3526" s="2">
        <v>3638.71</v>
      </c>
      <c r="G3526" s="1" t="s">
        <v>7045</v>
      </c>
      <c r="H3526" s="2">
        <v>1849.12</v>
      </c>
      <c r="I3526" s="2">
        <v>1849.12</v>
      </c>
    </row>
    <row r="3527">
      <c r="A3527" s="1" t="s">
        <v>7046</v>
      </c>
      <c r="B3527" s="2">
        <v>1663.5</v>
      </c>
      <c r="C3527" s="2">
        <v>1663.5</v>
      </c>
      <c r="D3527" s="2">
        <v>3657.79</v>
      </c>
      <c r="E3527" s="2">
        <v>3657.79</v>
      </c>
      <c r="G3527" s="1" t="s">
        <v>7047</v>
      </c>
      <c r="H3527" s="2">
        <v>1870.16</v>
      </c>
      <c r="I3527" s="2">
        <v>1870.16</v>
      </c>
    </row>
    <row r="3528">
      <c r="A3528" s="1" t="s">
        <v>7048</v>
      </c>
      <c r="B3528" s="2" t="s">
        <v>0</v>
      </c>
      <c r="C3528" s="2">
        <v>1663.5</v>
      </c>
      <c r="D3528" s="2" t="s">
        <v>0</v>
      </c>
      <c r="E3528" s="2">
        <v>3657.79</v>
      </c>
      <c r="G3528" s="1" t="s">
        <v>7049</v>
      </c>
      <c r="H3528" s="2" t="s">
        <v>0</v>
      </c>
      <c r="I3528" s="2">
        <v>1870.16</v>
      </c>
    </row>
    <row r="3529">
      <c r="A3529" s="1" t="s">
        <v>7050</v>
      </c>
      <c r="B3529" s="2" t="s">
        <v>0</v>
      </c>
      <c r="C3529" s="2">
        <v>1663.5</v>
      </c>
      <c r="D3529" s="2" t="s">
        <v>0</v>
      </c>
      <c r="E3529" s="2">
        <v>3657.79</v>
      </c>
      <c r="G3529" s="1" t="s">
        <v>7051</v>
      </c>
      <c r="H3529" s="2" t="s">
        <v>0</v>
      </c>
      <c r="I3529" s="2">
        <v>1870.16</v>
      </c>
    </row>
    <row r="3530">
      <c r="A3530" s="1" t="s">
        <v>7052</v>
      </c>
      <c r="B3530" s="2">
        <v>1656.78</v>
      </c>
      <c r="C3530" s="2">
        <v>1656.78</v>
      </c>
      <c r="D3530" s="2">
        <v>3657.57</v>
      </c>
      <c r="E3530" s="2">
        <v>3657.57</v>
      </c>
      <c r="G3530" s="1" t="s">
        <v>7053</v>
      </c>
      <c r="H3530" s="2">
        <v>1887.86</v>
      </c>
      <c r="I3530" s="2">
        <v>1887.86</v>
      </c>
    </row>
    <row r="3531">
      <c r="A3531" s="1" t="s">
        <v>7054</v>
      </c>
      <c r="B3531" s="2">
        <v>1630.48</v>
      </c>
      <c r="C3531" s="2">
        <v>1630.48</v>
      </c>
      <c r="D3531" s="2">
        <v>3578.52</v>
      </c>
      <c r="E3531" s="2">
        <v>3578.52</v>
      </c>
      <c r="G3531" s="1" t="s">
        <v>7055</v>
      </c>
      <c r="H3531" s="2">
        <v>1885.84</v>
      </c>
      <c r="I3531" s="2">
        <v>1885.84</v>
      </c>
    </row>
    <row r="3532">
      <c r="A3532" s="1" t="s">
        <v>7056</v>
      </c>
      <c r="B3532" s="2">
        <v>1634.96</v>
      </c>
      <c r="C3532" s="2">
        <v>1634.96</v>
      </c>
      <c r="D3532" s="2">
        <v>3593.35</v>
      </c>
      <c r="E3532" s="2">
        <v>3593.35</v>
      </c>
      <c r="G3532" s="1" t="s">
        <v>7057</v>
      </c>
      <c r="H3532" s="2">
        <v>1884.52</v>
      </c>
      <c r="I3532" s="2">
        <v>1884.52</v>
      </c>
    </row>
    <row r="3533">
      <c r="A3533" s="1" t="s">
        <v>7058</v>
      </c>
      <c r="B3533" s="2">
        <v>1638.17</v>
      </c>
      <c r="C3533" s="2">
        <v>1638.17</v>
      </c>
      <c r="D3533" s="2">
        <v>3620.3</v>
      </c>
      <c r="E3533" s="2">
        <v>3620.3</v>
      </c>
      <c r="G3533" s="1" t="s">
        <v>7059</v>
      </c>
      <c r="H3533" s="2">
        <v>1907.54</v>
      </c>
      <c r="I3533" s="2">
        <v>1907.54</v>
      </c>
    </row>
    <row r="3534">
      <c r="A3534" s="1" t="s">
        <v>7060</v>
      </c>
      <c r="B3534" s="2">
        <v>1632.97</v>
      </c>
      <c r="C3534" s="2">
        <v>1632.97</v>
      </c>
      <c r="D3534" s="2">
        <v>3589.87</v>
      </c>
      <c r="E3534" s="2">
        <v>3589.87</v>
      </c>
      <c r="G3534" s="1" t="s">
        <v>7061</v>
      </c>
      <c r="H3534" s="2">
        <v>1926.36</v>
      </c>
      <c r="I3534" s="2">
        <v>1926.36</v>
      </c>
    </row>
    <row r="3535">
      <c r="A3535" s="1" t="s">
        <v>7062</v>
      </c>
      <c r="B3535" s="2" t="s">
        <v>0</v>
      </c>
      <c r="C3535" s="2">
        <v>1632.97</v>
      </c>
      <c r="D3535" s="2" t="s">
        <v>0</v>
      </c>
      <c r="E3535" s="2">
        <v>3589.87</v>
      </c>
      <c r="G3535" s="1" t="s">
        <v>7063</v>
      </c>
      <c r="H3535" s="2" t="s">
        <v>0</v>
      </c>
      <c r="I3535" s="2">
        <v>1926.36</v>
      </c>
    </row>
    <row r="3536">
      <c r="A3536" s="1" t="s">
        <v>7064</v>
      </c>
      <c r="B3536" s="2" t="s">
        <v>0</v>
      </c>
      <c r="C3536" s="2">
        <v>1632.97</v>
      </c>
      <c r="D3536" s="2" t="s">
        <v>0</v>
      </c>
      <c r="E3536" s="2">
        <v>3589.87</v>
      </c>
      <c r="G3536" s="1" t="s">
        <v>7065</v>
      </c>
      <c r="H3536" s="2" t="s">
        <v>0</v>
      </c>
      <c r="I3536" s="2">
        <v>1926.36</v>
      </c>
    </row>
    <row r="3537">
      <c r="A3537" s="1" t="s">
        <v>7066</v>
      </c>
      <c r="B3537" s="2" t="s">
        <v>0</v>
      </c>
      <c r="C3537" s="2">
        <v>1632.97</v>
      </c>
      <c r="D3537" s="2" t="s">
        <v>0</v>
      </c>
      <c r="E3537" s="2">
        <v>3589.87</v>
      </c>
      <c r="G3537" s="1" t="s">
        <v>7067</v>
      </c>
      <c r="H3537" s="2">
        <v>1924.81</v>
      </c>
      <c r="I3537" s="2">
        <v>1924.81</v>
      </c>
    </row>
    <row r="3538">
      <c r="A3538" s="1" t="s">
        <v>7068</v>
      </c>
      <c r="B3538" s="2">
        <v>1639.77</v>
      </c>
      <c r="C3538" s="2">
        <v>1639.77</v>
      </c>
      <c r="D3538" s="2">
        <v>3612.61</v>
      </c>
      <c r="E3538" s="2">
        <v>3612.61</v>
      </c>
      <c r="G3538" s="1" t="s">
        <v>7069</v>
      </c>
      <c r="H3538" s="2">
        <v>1933.74</v>
      </c>
      <c r="I3538" s="2">
        <v>1933.74</v>
      </c>
    </row>
    <row r="3539">
      <c r="A3539" s="1" t="s">
        <v>7070</v>
      </c>
      <c r="B3539" s="2">
        <v>1653.08</v>
      </c>
      <c r="C3539" s="2">
        <v>1653.08</v>
      </c>
      <c r="D3539" s="2">
        <v>3649.04</v>
      </c>
      <c r="E3539" s="2">
        <v>3649.04</v>
      </c>
      <c r="G3539" s="1" t="s">
        <v>7071</v>
      </c>
      <c r="H3539" s="2">
        <v>1933.03</v>
      </c>
      <c r="I3539" s="2">
        <v>1933.03</v>
      </c>
    </row>
    <row r="3540">
      <c r="A3540" s="1" t="s">
        <v>7072</v>
      </c>
      <c r="B3540" s="2">
        <v>1655.08</v>
      </c>
      <c r="C3540" s="2">
        <v>1655.08</v>
      </c>
      <c r="D3540" s="2">
        <v>3658.78</v>
      </c>
      <c r="E3540" s="2">
        <v>3658.78</v>
      </c>
      <c r="G3540" s="1" t="s">
        <v>7073</v>
      </c>
      <c r="H3540" s="2">
        <v>1951.65</v>
      </c>
      <c r="I3540" s="2">
        <v>1951.65</v>
      </c>
    </row>
    <row r="3541">
      <c r="A3541" s="1" t="s">
        <v>7074</v>
      </c>
      <c r="B3541" s="2">
        <v>1655.17</v>
      </c>
      <c r="C3541" s="2">
        <v>1655.17</v>
      </c>
      <c r="D3541" s="2">
        <v>3660.01</v>
      </c>
      <c r="E3541" s="2">
        <v>3660.01</v>
      </c>
      <c r="G3541" s="1" t="s">
        <v>7075</v>
      </c>
      <c r="H3541" s="2">
        <v>1955.31</v>
      </c>
      <c r="I3541" s="2">
        <v>1955.31</v>
      </c>
    </row>
    <row r="3542">
      <c r="A3542" s="1" t="s">
        <v>7076</v>
      </c>
      <c r="B3542" s="2" t="s">
        <v>0</v>
      </c>
      <c r="C3542" s="2">
        <v>1655.17</v>
      </c>
      <c r="D3542" s="2" t="s">
        <v>0</v>
      </c>
      <c r="E3542" s="2">
        <v>3660.01</v>
      </c>
      <c r="G3542" s="1" t="s">
        <v>7077</v>
      </c>
      <c r="H3542" s="2" t="s">
        <v>0</v>
      </c>
      <c r="I3542" s="2">
        <v>1955.31</v>
      </c>
    </row>
    <row r="3543">
      <c r="A3543" s="1" t="s">
        <v>7078</v>
      </c>
      <c r="B3543" s="2" t="s">
        <v>0</v>
      </c>
      <c r="C3543" s="2">
        <v>1655.17</v>
      </c>
      <c r="D3543" s="2" t="s">
        <v>0</v>
      </c>
      <c r="E3543" s="2">
        <v>3660.01</v>
      </c>
      <c r="G3543" s="1" t="s">
        <v>7079</v>
      </c>
      <c r="H3543" s="2" t="s">
        <v>0</v>
      </c>
      <c r="I3543" s="2">
        <v>1955.31</v>
      </c>
    </row>
    <row r="3544">
      <c r="A3544" s="1" t="s">
        <v>7080</v>
      </c>
      <c r="B3544" s="2">
        <v>1671.71</v>
      </c>
      <c r="C3544" s="2">
        <v>1671.71</v>
      </c>
      <c r="D3544" s="2">
        <v>3706.18</v>
      </c>
      <c r="E3544" s="2">
        <v>3706.18</v>
      </c>
      <c r="G3544" s="1" t="s">
        <v>7081</v>
      </c>
      <c r="H3544" s="2">
        <v>1974.67</v>
      </c>
      <c r="I3544" s="2">
        <v>1974.67</v>
      </c>
    </row>
    <row r="3545">
      <c r="A3545" s="1" t="s">
        <v>7082</v>
      </c>
      <c r="B3545" s="2">
        <v>1683.99</v>
      </c>
      <c r="C3545" s="2">
        <v>1683.99</v>
      </c>
      <c r="D3545" s="2">
        <v>3729.02</v>
      </c>
      <c r="E3545" s="2">
        <v>3729.02</v>
      </c>
      <c r="G3545" s="1" t="s">
        <v>7083</v>
      </c>
      <c r="H3545" s="2">
        <v>1994.06</v>
      </c>
      <c r="I3545" s="2">
        <v>1994.06</v>
      </c>
    </row>
    <row r="3546">
      <c r="A3546" s="1" t="s">
        <v>7084</v>
      </c>
      <c r="B3546" s="2">
        <v>1689.13</v>
      </c>
      <c r="C3546" s="2">
        <v>1689.13</v>
      </c>
      <c r="D3546" s="2">
        <v>3725.01</v>
      </c>
      <c r="E3546" s="2">
        <v>3725.01</v>
      </c>
      <c r="G3546" s="1" t="s">
        <v>7085</v>
      </c>
      <c r="H3546" s="2">
        <v>2003.85</v>
      </c>
      <c r="I3546" s="2">
        <v>2003.85</v>
      </c>
    </row>
    <row r="3547">
      <c r="A3547" s="1" t="s">
        <v>7086</v>
      </c>
      <c r="B3547" s="2">
        <v>1683.42</v>
      </c>
      <c r="C3547" s="2">
        <v>1683.42</v>
      </c>
      <c r="D3547" s="2">
        <v>3715.97</v>
      </c>
      <c r="E3547" s="2">
        <v>3715.97</v>
      </c>
      <c r="G3547" s="1" t="s">
        <v>7087</v>
      </c>
      <c r="H3547" s="2">
        <v>2004.06</v>
      </c>
      <c r="I3547" s="2">
        <v>2004.06</v>
      </c>
    </row>
    <row r="3548">
      <c r="A3548" s="1" t="s">
        <v>7088</v>
      </c>
      <c r="B3548" s="2">
        <v>1687.99</v>
      </c>
      <c r="C3548" s="2">
        <v>1687.99</v>
      </c>
      <c r="D3548" s="2">
        <v>3722.18</v>
      </c>
      <c r="E3548" s="2">
        <v>3722.18</v>
      </c>
      <c r="G3548" s="1" t="s">
        <v>7089</v>
      </c>
      <c r="H3548" s="2">
        <v>1994.32</v>
      </c>
      <c r="I3548" s="2">
        <v>1994.32</v>
      </c>
    </row>
    <row r="3549">
      <c r="A3549" s="1" t="s">
        <v>7090</v>
      </c>
      <c r="B3549" s="2" t="s">
        <v>0</v>
      </c>
      <c r="C3549" s="2">
        <v>1687.99</v>
      </c>
      <c r="D3549" s="2" t="s">
        <v>0</v>
      </c>
      <c r="E3549" s="2">
        <v>3722.18</v>
      </c>
      <c r="G3549" s="1" t="s">
        <v>7091</v>
      </c>
      <c r="H3549" s="2" t="s">
        <v>0</v>
      </c>
      <c r="I3549" s="2">
        <v>1994.32</v>
      </c>
    </row>
    <row r="3550">
      <c r="A3550" s="1" t="s">
        <v>7092</v>
      </c>
      <c r="B3550" s="2" t="s">
        <v>0</v>
      </c>
      <c r="C3550" s="2">
        <v>1687.99</v>
      </c>
      <c r="D3550" s="2" t="s">
        <v>0</v>
      </c>
      <c r="E3550" s="2">
        <v>3722.18</v>
      </c>
      <c r="G3550" s="1" t="s">
        <v>7093</v>
      </c>
      <c r="H3550" s="2" t="s">
        <v>0</v>
      </c>
      <c r="I3550" s="2">
        <v>1994.32</v>
      </c>
    </row>
    <row r="3551">
      <c r="A3551" s="1" t="s">
        <v>7094</v>
      </c>
      <c r="B3551" s="2">
        <v>1697.6</v>
      </c>
      <c r="C3551" s="2">
        <v>1697.6</v>
      </c>
      <c r="D3551" s="2">
        <v>3717.85</v>
      </c>
      <c r="E3551" s="2">
        <v>3717.85</v>
      </c>
      <c r="G3551" s="1" t="s">
        <v>7095</v>
      </c>
      <c r="H3551" s="2">
        <v>2013.37</v>
      </c>
      <c r="I3551" s="2">
        <v>2013.37</v>
      </c>
    </row>
    <row r="3552">
      <c r="A3552" s="1" t="s">
        <v>7096</v>
      </c>
      <c r="B3552" s="2">
        <v>1704.76</v>
      </c>
      <c r="C3552" s="2">
        <v>1704.76</v>
      </c>
      <c r="D3552" s="2">
        <v>3745.7</v>
      </c>
      <c r="E3552" s="2">
        <v>3745.7</v>
      </c>
      <c r="G3552" s="1" t="s">
        <v>7097</v>
      </c>
      <c r="H3552" s="2">
        <v>2005.58</v>
      </c>
      <c r="I3552" s="2">
        <v>2005.58</v>
      </c>
    </row>
    <row r="3553">
      <c r="A3553" s="1" t="s">
        <v>7098</v>
      </c>
      <c r="B3553" s="2">
        <v>1725.52</v>
      </c>
      <c r="C3553" s="2">
        <v>1725.52</v>
      </c>
      <c r="D3553" s="2">
        <v>3783.64</v>
      </c>
      <c r="E3553" s="2">
        <v>3783.64</v>
      </c>
      <c r="G3553" s="1" t="s">
        <v>7099</v>
      </c>
      <c r="H3553" s="2" t="s">
        <v>0</v>
      </c>
      <c r="I3553" s="2">
        <v>2005.58</v>
      </c>
    </row>
    <row r="3554">
      <c r="A3554" s="1" t="s">
        <v>7100</v>
      </c>
      <c r="B3554" s="2">
        <v>1722.34</v>
      </c>
      <c r="C3554" s="2">
        <v>1722.34</v>
      </c>
      <c r="D3554" s="2">
        <v>3789.38</v>
      </c>
      <c r="E3554" s="2">
        <v>3789.38</v>
      </c>
      <c r="G3554" s="1" t="s">
        <v>7101</v>
      </c>
      <c r="H3554" s="2" t="s">
        <v>0</v>
      </c>
      <c r="I3554" s="2">
        <v>2005.58</v>
      </c>
    </row>
    <row r="3555">
      <c r="A3555" s="1" t="s">
        <v>7102</v>
      </c>
      <c r="B3555" s="2">
        <v>1709.91</v>
      </c>
      <c r="C3555" s="2">
        <v>1709.91</v>
      </c>
      <c r="D3555" s="2">
        <v>3774.73</v>
      </c>
      <c r="E3555" s="2">
        <v>3774.73</v>
      </c>
      <c r="G3555" s="1" t="s">
        <v>7103</v>
      </c>
      <c r="H3555" s="2" t="s">
        <v>0</v>
      </c>
      <c r="I3555" s="2">
        <v>2005.58</v>
      </c>
    </row>
    <row r="3556">
      <c r="A3556" s="1" t="s">
        <v>7104</v>
      </c>
      <c r="B3556" s="2" t="s">
        <v>0</v>
      </c>
      <c r="C3556" s="2">
        <v>1709.91</v>
      </c>
      <c r="D3556" s="2" t="s">
        <v>0</v>
      </c>
      <c r="E3556" s="2">
        <v>3774.73</v>
      </c>
      <c r="G3556" s="1" t="s">
        <v>7105</v>
      </c>
      <c r="H3556" s="2" t="s">
        <v>0</v>
      </c>
      <c r="I3556" s="2">
        <v>2005.58</v>
      </c>
    </row>
    <row r="3557">
      <c r="A3557" s="1" t="s">
        <v>7106</v>
      </c>
      <c r="B3557" s="2" t="s">
        <v>0</v>
      </c>
      <c r="C3557" s="2">
        <v>1709.91</v>
      </c>
      <c r="D3557" s="2" t="s">
        <v>0</v>
      </c>
      <c r="E3557" s="2">
        <v>3774.73</v>
      </c>
      <c r="G3557" s="1" t="s">
        <v>7107</v>
      </c>
      <c r="H3557" s="2" t="s">
        <v>0</v>
      </c>
      <c r="I3557" s="2">
        <v>2005.58</v>
      </c>
    </row>
    <row r="3558">
      <c r="A3558" s="1" t="s">
        <v>7108</v>
      </c>
      <c r="B3558" s="2">
        <v>1701.84</v>
      </c>
      <c r="C3558" s="2">
        <v>1701.84</v>
      </c>
      <c r="D3558" s="2">
        <v>3765.29</v>
      </c>
      <c r="E3558" s="2">
        <v>3765.29</v>
      </c>
      <c r="G3558" s="1" t="s">
        <v>7109</v>
      </c>
      <c r="H3558" s="2">
        <v>2009.41</v>
      </c>
      <c r="I3558" s="2">
        <v>2009.41</v>
      </c>
    </row>
    <row r="3559">
      <c r="A3559" s="1" t="s">
        <v>7110</v>
      </c>
      <c r="B3559" s="2">
        <v>1697.42</v>
      </c>
      <c r="C3559" s="2">
        <v>1697.42</v>
      </c>
      <c r="D3559" s="2">
        <v>3768.25</v>
      </c>
      <c r="E3559" s="2">
        <v>3768.25</v>
      </c>
      <c r="G3559" s="1" t="s">
        <v>7111</v>
      </c>
      <c r="H3559" s="2">
        <v>2007.1</v>
      </c>
      <c r="I3559" s="2">
        <v>2007.1</v>
      </c>
    </row>
    <row r="3560">
      <c r="A3560" s="1" t="s">
        <v>7112</v>
      </c>
      <c r="B3560" s="2">
        <v>1692.77</v>
      </c>
      <c r="C3560" s="2">
        <v>1692.77</v>
      </c>
      <c r="D3560" s="2">
        <v>3761.1</v>
      </c>
      <c r="E3560" s="2">
        <v>3761.1</v>
      </c>
      <c r="G3560" s="1" t="s">
        <v>7113</v>
      </c>
      <c r="H3560" s="2">
        <v>1998.06</v>
      </c>
      <c r="I3560" s="2">
        <v>1998.06</v>
      </c>
    </row>
    <row r="3561">
      <c r="A3561" s="1" t="s">
        <v>7114</v>
      </c>
      <c r="B3561" s="2">
        <v>1698.67</v>
      </c>
      <c r="C3561" s="2">
        <v>1698.67</v>
      </c>
      <c r="D3561" s="2">
        <v>3787.43</v>
      </c>
      <c r="E3561" s="2">
        <v>3787.43</v>
      </c>
      <c r="G3561" s="1" t="s">
        <v>7115</v>
      </c>
      <c r="H3561" s="2">
        <v>2007.32</v>
      </c>
      <c r="I3561" s="2">
        <v>2007.32</v>
      </c>
    </row>
    <row r="3562">
      <c r="A3562" s="1" t="s">
        <v>7116</v>
      </c>
      <c r="B3562" s="2">
        <v>1691.75</v>
      </c>
      <c r="C3562" s="2">
        <v>1691.75</v>
      </c>
      <c r="D3562" s="2">
        <v>3781.59</v>
      </c>
      <c r="E3562" s="2">
        <v>3781.59</v>
      </c>
      <c r="G3562" s="1" t="s">
        <v>7117</v>
      </c>
      <c r="H3562" s="2">
        <v>2011.8</v>
      </c>
      <c r="I3562" s="2">
        <v>2011.8</v>
      </c>
    </row>
    <row r="3563">
      <c r="A3563" s="1" t="s">
        <v>7118</v>
      </c>
      <c r="B3563" s="2" t="s">
        <v>0</v>
      </c>
      <c r="C3563" s="2">
        <v>1691.75</v>
      </c>
      <c r="D3563" s="2" t="s">
        <v>0</v>
      </c>
      <c r="E3563" s="2">
        <v>3781.59</v>
      </c>
      <c r="G3563" s="1" t="s">
        <v>7119</v>
      </c>
      <c r="H3563" s="2" t="s">
        <v>0</v>
      </c>
      <c r="I3563" s="2">
        <v>2011.8</v>
      </c>
    </row>
    <row r="3564">
      <c r="A3564" s="1" t="s">
        <v>7120</v>
      </c>
      <c r="B3564" s="2" t="s">
        <v>0</v>
      </c>
      <c r="C3564" s="2">
        <v>1691.75</v>
      </c>
      <c r="D3564" s="2" t="s">
        <v>0</v>
      </c>
      <c r="E3564" s="2">
        <v>3781.59</v>
      </c>
      <c r="G3564" s="1" t="s">
        <v>7121</v>
      </c>
      <c r="H3564" s="2" t="s">
        <v>0</v>
      </c>
      <c r="I3564" s="2">
        <v>2011.8</v>
      </c>
    </row>
    <row r="3565">
      <c r="A3565" s="1" t="s">
        <v>7122</v>
      </c>
      <c r="B3565" s="2">
        <v>1681.55</v>
      </c>
      <c r="C3565" s="2">
        <v>1681.55</v>
      </c>
      <c r="D3565" s="2">
        <v>3771.48</v>
      </c>
      <c r="E3565" s="2">
        <v>3771.48</v>
      </c>
      <c r="G3565" s="1" t="s">
        <v>7123</v>
      </c>
      <c r="H3565" s="2">
        <v>1996.96</v>
      </c>
      <c r="I3565" s="2">
        <v>1996.96</v>
      </c>
    </row>
    <row r="3566">
      <c r="A3566" s="1" t="s">
        <v>7124</v>
      </c>
      <c r="B3566" s="2">
        <v>1695.0</v>
      </c>
      <c r="C3566" s="2">
        <v>1695.0</v>
      </c>
      <c r="D3566" s="2">
        <v>3817.98</v>
      </c>
      <c r="E3566" s="2">
        <v>3817.98</v>
      </c>
      <c r="G3566" s="1" t="s">
        <v>7125</v>
      </c>
      <c r="H3566" s="2">
        <v>1998.87</v>
      </c>
      <c r="I3566" s="2">
        <v>1998.87</v>
      </c>
    </row>
    <row r="3567">
      <c r="A3567" s="1" t="s">
        <v>7126</v>
      </c>
      <c r="B3567" s="2">
        <v>1693.87</v>
      </c>
      <c r="C3567" s="2">
        <v>1693.87</v>
      </c>
      <c r="D3567" s="2">
        <v>3815.02</v>
      </c>
      <c r="E3567" s="2">
        <v>3815.02</v>
      </c>
      <c r="G3567" s="1" t="s">
        <v>7127</v>
      </c>
      <c r="H3567" s="2">
        <v>1999.47</v>
      </c>
      <c r="I3567" s="2">
        <v>1999.47</v>
      </c>
    </row>
    <row r="3568">
      <c r="A3568" s="1" t="s">
        <v>7128</v>
      </c>
      <c r="B3568" s="2">
        <v>1678.66</v>
      </c>
      <c r="C3568" s="2">
        <v>1678.66</v>
      </c>
      <c r="D3568" s="2">
        <v>3774.34</v>
      </c>
      <c r="E3568" s="2">
        <v>3774.34</v>
      </c>
      <c r="G3568" s="1" t="s">
        <v>7129</v>
      </c>
      <c r="H3568" s="2" t="s">
        <v>0</v>
      </c>
      <c r="I3568" s="2">
        <v>1999.47</v>
      </c>
    </row>
    <row r="3569">
      <c r="A3569" s="1" t="s">
        <v>7130</v>
      </c>
      <c r="B3569" s="2">
        <v>1690.5</v>
      </c>
      <c r="C3569" s="2">
        <v>1690.5</v>
      </c>
      <c r="D3569" s="2">
        <v>3807.75</v>
      </c>
      <c r="E3569" s="2">
        <v>3807.75</v>
      </c>
      <c r="G3569" s="1" t="s">
        <v>7131</v>
      </c>
      <c r="H3569" s="2">
        <v>1996.98</v>
      </c>
      <c r="I3569" s="2">
        <v>1996.98</v>
      </c>
    </row>
    <row r="3570">
      <c r="A3570" s="1" t="s">
        <v>7132</v>
      </c>
      <c r="B3570" s="2" t="s">
        <v>0</v>
      </c>
      <c r="C3570" s="2">
        <v>1690.5</v>
      </c>
      <c r="D3570" s="2" t="s">
        <v>0</v>
      </c>
      <c r="E3570" s="2">
        <v>3807.75</v>
      </c>
      <c r="G3570" s="1" t="s">
        <v>7133</v>
      </c>
      <c r="H3570" s="2" t="s">
        <v>0</v>
      </c>
      <c r="I3570" s="2">
        <v>1996.98</v>
      </c>
    </row>
    <row r="3571">
      <c r="A3571" s="1" t="s">
        <v>7134</v>
      </c>
      <c r="B3571" s="2" t="s">
        <v>0</v>
      </c>
      <c r="C3571" s="2">
        <v>1690.5</v>
      </c>
      <c r="D3571" s="2" t="s">
        <v>0</v>
      </c>
      <c r="E3571" s="2">
        <v>3807.75</v>
      </c>
      <c r="G3571" s="1" t="s">
        <v>7135</v>
      </c>
      <c r="H3571" s="2" t="s">
        <v>0</v>
      </c>
      <c r="I3571" s="2">
        <v>1996.98</v>
      </c>
    </row>
    <row r="3572">
      <c r="A3572" s="1" t="s">
        <v>7136</v>
      </c>
      <c r="B3572" s="2">
        <v>1676.12</v>
      </c>
      <c r="C3572" s="2">
        <v>1676.12</v>
      </c>
      <c r="D3572" s="2">
        <v>3770.38</v>
      </c>
      <c r="E3572" s="2">
        <v>3770.38</v>
      </c>
      <c r="G3572" s="1" t="s">
        <v>7137</v>
      </c>
      <c r="H3572" s="2">
        <v>1994.42</v>
      </c>
      <c r="I3572" s="2">
        <v>1994.42</v>
      </c>
    </row>
    <row r="3573">
      <c r="A3573" s="1" t="s">
        <v>7138</v>
      </c>
      <c r="B3573" s="2">
        <v>1655.45</v>
      </c>
      <c r="C3573" s="2">
        <v>1655.45</v>
      </c>
      <c r="D3573" s="2">
        <v>3694.83</v>
      </c>
      <c r="E3573" s="2">
        <v>3694.83</v>
      </c>
      <c r="G3573" s="1" t="s">
        <v>7139</v>
      </c>
      <c r="H3573" s="2">
        <v>2002.76</v>
      </c>
      <c r="I3573" s="2">
        <v>2002.76</v>
      </c>
    </row>
    <row r="3574">
      <c r="A3574" s="1" t="s">
        <v>7140</v>
      </c>
      <c r="B3574" s="2">
        <v>1656.4</v>
      </c>
      <c r="C3574" s="2">
        <v>1656.4</v>
      </c>
      <c r="D3574" s="2">
        <v>3677.78</v>
      </c>
      <c r="E3574" s="2">
        <v>3677.78</v>
      </c>
      <c r="G3574" s="1" t="s">
        <v>7141</v>
      </c>
      <c r="H3574" s="2" t="s">
        <v>0</v>
      </c>
      <c r="I3574" s="2">
        <v>2002.76</v>
      </c>
    </row>
    <row r="3575">
      <c r="A3575" s="1" t="s">
        <v>7142</v>
      </c>
      <c r="B3575" s="2">
        <v>1692.56</v>
      </c>
      <c r="C3575" s="2">
        <v>1692.56</v>
      </c>
      <c r="D3575" s="2">
        <v>3760.75</v>
      </c>
      <c r="E3575" s="2">
        <v>3760.75</v>
      </c>
      <c r="G3575" s="1" t="s">
        <v>7143</v>
      </c>
      <c r="H3575" s="2">
        <v>2001.4</v>
      </c>
      <c r="I3575" s="2">
        <v>2001.4</v>
      </c>
    </row>
    <row r="3576">
      <c r="A3576" s="1" t="s">
        <v>7144</v>
      </c>
      <c r="B3576" s="2">
        <v>1703.2</v>
      </c>
      <c r="C3576" s="2">
        <v>1703.2</v>
      </c>
      <c r="D3576" s="2">
        <v>3791.87</v>
      </c>
      <c r="E3576" s="2">
        <v>3791.87</v>
      </c>
      <c r="G3576" s="1" t="s">
        <v>7145</v>
      </c>
      <c r="H3576" s="2">
        <v>2024.9</v>
      </c>
      <c r="I3576" s="2">
        <v>2024.9</v>
      </c>
    </row>
    <row r="3577">
      <c r="A3577" s="1" t="s">
        <v>7146</v>
      </c>
      <c r="B3577" s="2" t="s">
        <v>0</v>
      </c>
      <c r="C3577" s="2">
        <v>1703.2</v>
      </c>
      <c r="D3577" s="2" t="s">
        <v>0</v>
      </c>
      <c r="E3577" s="2">
        <v>3791.87</v>
      </c>
      <c r="G3577" s="1" t="s">
        <v>7147</v>
      </c>
      <c r="H3577" s="2" t="s">
        <v>0</v>
      </c>
      <c r="I3577" s="2">
        <v>2024.9</v>
      </c>
    </row>
    <row r="3578">
      <c r="A3578" s="1" t="s">
        <v>7148</v>
      </c>
      <c r="B3578" s="2" t="s">
        <v>0</v>
      </c>
      <c r="C3578" s="2">
        <v>1703.2</v>
      </c>
      <c r="D3578" s="2" t="s">
        <v>0</v>
      </c>
      <c r="E3578" s="2">
        <v>3791.87</v>
      </c>
      <c r="G3578" s="1" t="s">
        <v>7149</v>
      </c>
      <c r="H3578" s="2" t="s">
        <v>0</v>
      </c>
      <c r="I3578" s="2">
        <v>2024.9</v>
      </c>
    </row>
    <row r="3579">
      <c r="A3579" s="1" t="s">
        <v>7150</v>
      </c>
      <c r="B3579" s="2">
        <v>1710.14</v>
      </c>
      <c r="C3579" s="2">
        <v>1710.14</v>
      </c>
      <c r="D3579" s="2">
        <v>3815.27</v>
      </c>
      <c r="E3579" s="2">
        <v>3815.27</v>
      </c>
      <c r="G3579" s="1" t="s">
        <v>7151</v>
      </c>
      <c r="H3579" s="2">
        <v>2020.27</v>
      </c>
      <c r="I3579" s="2">
        <v>2020.27</v>
      </c>
    </row>
    <row r="3580">
      <c r="A3580" s="1" t="s">
        <v>7152</v>
      </c>
      <c r="B3580" s="2">
        <v>1698.06</v>
      </c>
      <c r="C3580" s="2">
        <v>1698.06</v>
      </c>
      <c r="D3580" s="2">
        <v>3794.01</v>
      </c>
      <c r="E3580" s="2">
        <v>3794.01</v>
      </c>
      <c r="G3580" s="1" t="s">
        <v>7153</v>
      </c>
      <c r="H3580" s="2">
        <v>2040.96</v>
      </c>
      <c r="I3580" s="2">
        <v>2040.96</v>
      </c>
    </row>
    <row r="3581">
      <c r="A3581" s="1" t="s">
        <v>7154</v>
      </c>
      <c r="B3581" s="2">
        <v>1721.54</v>
      </c>
      <c r="C3581" s="2">
        <v>1721.54</v>
      </c>
      <c r="D3581" s="2">
        <v>3839.43</v>
      </c>
      <c r="E3581" s="2">
        <v>3839.43</v>
      </c>
      <c r="G3581" s="1" t="s">
        <v>7155</v>
      </c>
      <c r="H3581" s="2">
        <v>2034.61</v>
      </c>
      <c r="I3581" s="2">
        <v>2034.61</v>
      </c>
    </row>
    <row r="3582">
      <c r="A3582" s="1" t="s">
        <v>7156</v>
      </c>
      <c r="B3582" s="2">
        <v>1733.15</v>
      </c>
      <c r="C3582" s="2">
        <v>1733.15</v>
      </c>
      <c r="D3582" s="2">
        <v>3863.15</v>
      </c>
      <c r="E3582" s="2">
        <v>3863.15</v>
      </c>
      <c r="G3582" s="1" t="s">
        <v>7157</v>
      </c>
      <c r="H3582" s="2">
        <v>2040.61</v>
      </c>
      <c r="I3582" s="2">
        <v>2040.61</v>
      </c>
    </row>
    <row r="3583">
      <c r="A3583" s="1" t="s">
        <v>7158</v>
      </c>
      <c r="B3583" s="2">
        <v>1744.5</v>
      </c>
      <c r="C3583" s="2">
        <v>1744.5</v>
      </c>
      <c r="D3583" s="2">
        <v>3914.28</v>
      </c>
      <c r="E3583" s="2">
        <v>3914.28</v>
      </c>
      <c r="G3583" s="1" t="s">
        <v>7159</v>
      </c>
      <c r="H3583" s="2">
        <v>2052.4</v>
      </c>
      <c r="I3583" s="2">
        <v>2052.4</v>
      </c>
    </row>
    <row r="3584">
      <c r="A3584" s="1" t="s">
        <v>7160</v>
      </c>
      <c r="B3584" s="2" t="s">
        <v>0</v>
      </c>
      <c r="C3584" s="2">
        <v>1744.5</v>
      </c>
      <c r="D3584" s="2" t="s">
        <v>0</v>
      </c>
      <c r="E3584" s="2">
        <v>3914.28</v>
      </c>
      <c r="G3584" s="1" t="s">
        <v>7161</v>
      </c>
      <c r="H3584" s="2" t="s">
        <v>0</v>
      </c>
      <c r="I3584" s="2">
        <v>2052.4</v>
      </c>
    </row>
    <row r="3585">
      <c r="A3585" s="1" t="s">
        <v>7162</v>
      </c>
      <c r="B3585" s="2" t="s">
        <v>0</v>
      </c>
      <c r="C3585" s="2">
        <v>1744.5</v>
      </c>
      <c r="D3585" s="2" t="s">
        <v>0</v>
      </c>
      <c r="E3585" s="2">
        <v>3914.28</v>
      </c>
      <c r="G3585" s="1" t="s">
        <v>7163</v>
      </c>
      <c r="H3585" s="2" t="s">
        <v>0</v>
      </c>
      <c r="I3585" s="2">
        <v>2052.4</v>
      </c>
    </row>
    <row r="3586">
      <c r="A3586" s="1" t="s">
        <v>7164</v>
      </c>
      <c r="B3586" s="2">
        <v>1744.66</v>
      </c>
      <c r="C3586" s="2">
        <v>1744.66</v>
      </c>
      <c r="D3586" s="2">
        <v>3920.05</v>
      </c>
      <c r="E3586" s="2">
        <v>3920.05</v>
      </c>
      <c r="G3586" s="1" t="s">
        <v>7165</v>
      </c>
      <c r="H3586" s="2">
        <v>2053.01</v>
      </c>
      <c r="I3586" s="2">
        <v>2053.01</v>
      </c>
    </row>
    <row r="3587">
      <c r="A3587" s="1" t="s">
        <v>7166</v>
      </c>
      <c r="B3587" s="2">
        <v>1754.67</v>
      </c>
      <c r="C3587" s="2">
        <v>1754.67</v>
      </c>
      <c r="D3587" s="2">
        <v>3929.57</v>
      </c>
      <c r="E3587" s="2">
        <v>3929.57</v>
      </c>
      <c r="G3587" s="1" t="s">
        <v>7167</v>
      </c>
      <c r="H3587" s="2">
        <v>2056.12</v>
      </c>
      <c r="I3587" s="2">
        <v>2056.12</v>
      </c>
    </row>
    <row r="3588">
      <c r="A3588" s="1" t="s">
        <v>7168</v>
      </c>
      <c r="B3588" s="2">
        <v>1746.38</v>
      </c>
      <c r="C3588" s="2">
        <v>1746.38</v>
      </c>
      <c r="D3588" s="2">
        <v>3907.07</v>
      </c>
      <c r="E3588" s="2">
        <v>3907.07</v>
      </c>
      <c r="G3588" s="1" t="s">
        <v>7169</v>
      </c>
      <c r="H3588" s="2">
        <v>2035.75</v>
      </c>
      <c r="I3588" s="2">
        <v>2035.75</v>
      </c>
    </row>
    <row r="3589">
      <c r="A3589" s="1" t="s">
        <v>7170</v>
      </c>
      <c r="B3589" s="2">
        <v>1752.07</v>
      </c>
      <c r="C3589" s="2">
        <v>1752.07</v>
      </c>
      <c r="D3589" s="2">
        <v>3928.96</v>
      </c>
      <c r="E3589" s="2">
        <v>3928.96</v>
      </c>
      <c r="G3589" s="1" t="s">
        <v>7171</v>
      </c>
      <c r="H3589" s="2">
        <v>2046.69</v>
      </c>
      <c r="I3589" s="2">
        <v>2046.69</v>
      </c>
    </row>
    <row r="3590">
      <c r="A3590" s="1" t="s">
        <v>7172</v>
      </c>
      <c r="B3590" s="2">
        <v>1759.77</v>
      </c>
      <c r="C3590" s="2">
        <v>1759.77</v>
      </c>
      <c r="D3590" s="2">
        <v>3943.36</v>
      </c>
      <c r="E3590" s="2">
        <v>3943.36</v>
      </c>
      <c r="G3590" s="1" t="s">
        <v>7173</v>
      </c>
      <c r="H3590" s="2">
        <v>2034.39</v>
      </c>
      <c r="I3590" s="2">
        <v>2034.39</v>
      </c>
    </row>
    <row r="3591">
      <c r="A3591" s="1" t="s">
        <v>7174</v>
      </c>
      <c r="B3591" s="2" t="s">
        <v>0</v>
      </c>
      <c r="C3591" s="2">
        <v>1759.77</v>
      </c>
      <c r="D3591" s="2" t="s">
        <v>0</v>
      </c>
      <c r="E3591" s="2">
        <v>3943.36</v>
      </c>
      <c r="G3591" s="1" t="s">
        <v>7175</v>
      </c>
      <c r="H3591" s="2" t="s">
        <v>0</v>
      </c>
      <c r="I3591" s="2">
        <v>2034.39</v>
      </c>
    </row>
    <row r="3592">
      <c r="A3592" s="1" t="s">
        <v>7176</v>
      </c>
      <c r="B3592" s="2" t="s">
        <v>0</v>
      </c>
      <c r="C3592" s="2">
        <v>1759.77</v>
      </c>
      <c r="D3592" s="2" t="s">
        <v>0</v>
      </c>
      <c r="E3592" s="2">
        <v>3943.36</v>
      </c>
      <c r="G3592" s="1" t="s">
        <v>7177</v>
      </c>
      <c r="H3592" s="2" t="s">
        <v>0</v>
      </c>
      <c r="I3592" s="2">
        <v>2034.39</v>
      </c>
    </row>
    <row r="3593">
      <c r="A3593" s="1" t="s">
        <v>7178</v>
      </c>
      <c r="B3593" s="2">
        <v>1762.11</v>
      </c>
      <c r="C3593" s="2">
        <v>1762.11</v>
      </c>
      <c r="D3593" s="2">
        <v>3940.13</v>
      </c>
      <c r="E3593" s="2">
        <v>3940.13</v>
      </c>
      <c r="G3593" s="1" t="s">
        <v>7179</v>
      </c>
      <c r="H3593" s="2">
        <v>2048.14</v>
      </c>
      <c r="I3593" s="2">
        <v>2048.14</v>
      </c>
    </row>
    <row r="3594">
      <c r="A3594" s="1" t="s">
        <v>7180</v>
      </c>
      <c r="B3594" s="2">
        <v>1771.95</v>
      </c>
      <c r="C3594" s="2">
        <v>1771.95</v>
      </c>
      <c r="D3594" s="2">
        <v>3952.34</v>
      </c>
      <c r="E3594" s="2">
        <v>3952.34</v>
      </c>
      <c r="G3594" s="1" t="s">
        <v>7181</v>
      </c>
      <c r="H3594" s="2">
        <v>2051.76</v>
      </c>
      <c r="I3594" s="2">
        <v>2051.76</v>
      </c>
    </row>
    <row r="3595">
      <c r="A3595" s="1" t="s">
        <v>7182</v>
      </c>
      <c r="B3595" s="2">
        <v>1763.31</v>
      </c>
      <c r="C3595" s="2">
        <v>1763.31</v>
      </c>
      <c r="D3595" s="2">
        <v>3930.62</v>
      </c>
      <c r="E3595" s="2">
        <v>3930.62</v>
      </c>
      <c r="G3595" s="1" t="s">
        <v>7183</v>
      </c>
      <c r="H3595" s="2">
        <v>2059.58</v>
      </c>
      <c r="I3595" s="2">
        <v>2059.58</v>
      </c>
    </row>
    <row r="3596">
      <c r="A3596" s="1" t="s">
        <v>7184</v>
      </c>
      <c r="B3596" s="2">
        <v>1756.54</v>
      </c>
      <c r="C3596" s="2">
        <v>1756.54</v>
      </c>
      <c r="D3596" s="2">
        <v>3919.71</v>
      </c>
      <c r="E3596" s="2">
        <v>3919.71</v>
      </c>
      <c r="G3596" s="1" t="s">
        <v>7185</v>
      </c>
      <c r="H3596" s="2">
        <v>2030.09</v>
      </c>
      <c r="I3596" s="2">
        <v>2030.09</v>
      </c>
    </row>
    <row r="3597">
      <c r="A3597" s="1" t="s">
        <v>7186</v>
      </c>
      <c r="B3597" s="2">
        <v>1761.64</v>
      </c>
      <c r="C3597" s="2">
        <v>1761.64</v>
      </c>
      <c r="D3597" s="2">
        <v>3922.04</v>
      </c>
      <c r="E3597" s="2">
        <v>3922.04</v>
      </c>
      <c r="G3597" s="1" t="s">
        <v>7187</v>
      </c>
      <c r="H3597" s="2">
        <v>2039.42</v>
      </c>
      <c r="I3597" s="2">
        <v>2039.42</v>
      </c>
    </row>
    <row r="3598">
      <c r="A3598" s="1" t="s">
        <v>7188</v>
      </c>
      <c r="B3598" s="2" t="s">
        <v>0</v>
      </c>
      <c r="C3598" s="2">
        <v>1761.64</v>
      </c>
      <c r="D3598" s="2" t="s">
        <v>0</v>
      </c>
      <c r="E3598" s="2">
        <v>3922.04</v>
      </c>
      <c r="G3598" s="1" t="s">
        <v>7189</v>
      </c>
      <c r="H3598" s="2" t="s">
        <v>0</v>
      </c>
      <c r="I3598" s="2">
        <v>2039.42</v>
      </c>
    </row>
    <row r="3599">
      <c r="A3599" s="1" t="s">
        <v>7190</v>
      </c>
      <c r="B3599" s="2" t="s">
        <v>0</v>
      </c>
      <c r="C3599" s="2">
        <v>1761.64</v>
      </c>
      <c r="D3599" s="2" t="s">
        <v>0</v>
      </c>
      <c r="E3599" s="2">
        <v>3922.04</v>
      </c>
      <c r="G3599" s="1" t="s">
        <v>7191</v>
      </c>
      <c r="H3599" s="2" t="s">
        <v>0</v>
      </c>
      <c r="I3599" s="2">
        <v>2039.42</v>
      </c>
    </row>
    <row r="3600">
      <c r="A3600" s="1" t="s">
        <v>7192</v>
      </c>
      <c r="B3600" s="2">
        <v>1767.93</v>
      </c>
      <c r="C3600" s="2">
        <v>1767.93</v>
      </c>
      <c r="D3600" s="2">
        <v>3936.59</v>
      </c>
      <c r="E3600" s="2">
        <v>3936.59</v>
      </c>
      <c r="G3600" s="1" t="s">
        <v>7193</v>
      </c>
      <c r="H3600" s="2">
        <v>2025.17</v>
      </c>
      <c r="I3600" s="2">
        <v>2025.17</v>
      </c>
    </row>
    <row r="3601">
      <c r="A3601" s="1" t="s">
        <v>7194</v>
      </c>
      <c r="B3601" s="2">
        <v>1762.97</v>
      </c>
      <c r="C3601" s="2">
        <v>1762.97</v>
      </c>
      <c r="D3601" s="2">
        <v>3939.86</v>
      </c>
      <c r="E3601" s="2">
        <v>3939.86</v>
      </c>
      <c r="G3601" s="1" t="s">
        <v>7195</v>
      </c>
      <c r="H3601" s="2">
        <v>2013.93</v>
      </c>
      <c r="I3601" s="2">
        <v>2013.93</v>
      </c>
    </row>
    <row r="3602">
      <c r="A3602" s="1" t="s">
        <v>7196</v>
      </c>
      <c r="B3602" s="2">
        <v>1770.49</v>
      </c>
      <c r="C3602" s="2">
        <v>1770.49</v>
      </c>
      <c r="D3602" s="2">
        <v>3931.95</v>
      </c>
      <c r="E3602" s="2">
        <v>3931.95</v>
      </c>
      <c r="G3602" s="1" t="s">
        <v>7197</v>
      </c>
      <c r="H3602" s="2">
        <v>2013.67</v>
      </c>
      <c r="I3602" s="2">
        <v>2013.67</v>
      </c>
    </row>
    <row r="3603">
      <c r="A3603" s="1" t="s">
        <v>7198</v>
      </c>
      <c r="B3603" s="2">
        <v>1747.15</v>
      </c>
      <c r="C3603" s="2">
        <v>1747.15</v>
      </c>
      <c r="D3603" s="2">
        <v>3857.33</v>
      </c>
      <c r="E3603" s="2">
        <v>3857.33</v>
      </c>
      <c r="G3603" s="1" t="s">
        <v>7199</v>
      </c>
      <c r="H3603" s="2">
        <v>2004.04</v>
      </c>
      <c r="I3603" s="2">
        <v>2004.04</v>
      </c>
    </row>
    <row r="3604">
      <c r="A3604" s="1" t="s">
        <v>7200</v>
      </c>
      <c r="B3604" s="2">
        <v>1770.61</v>
      </c>
      <c r="C3604" s="2">
        <v>1770.61</v>
      </c>
      <c r="D3604" s="2">
        <v>3919.23</v>
      </c>
      <c r="E3604" s="2">
        <v>3919.23</v>
      </c>
      <c r="G3604" s="1" t="s">
        <v>7201</v>
      </c>
      <c r="H3604" s="2">
        <v>1984.87</v>
      </c>
      <c r="I3604" s="2">
        <v>1984.87</v>
      </c>
    </row>
    <row r="3605">
      <c r="A3605" s="1" t="s">
        <v>7202</v>
      </c>
      <c r="B3605" s="2" t="s">
        <v>0</v>
      </c>
      <c r="C3605" s="2">
        <v>1770.61</v>
      </c>
      <c r="D3605" s="2" t="s">
        <v>0</v>
      </c>
      <c r="E3605" s="2">
        <v>3919.23</v>
      </c>
      <c r="G3605" s="1" t="s">
        <v>7203</v>
      </c>
      <c r="H3605" s="2" t="s">
        <v>0</v>
      </c>
      <c r="I3605" s="2">
        <v>1984.87</v>
      </c>
    </row>
    <row r="3606">
      <c r="A3606" s="1" t="s">
        <v>7204</v>
      </c>
      <c r="B3606" s="2" t="s">
        <v>0</v>
      </c>
      <c r="C3606" s="2">
        <v>1770.61</v>
      </c>
      <c r="D3606" s="2" t="s">
        <v>0</v>
      </c>
      <c r="E3606" s="2">
        <v>3919.23</v>
      </c>
      <c r="G3606" s="1" t="s">
        <v>7205</v>
      </c>
      <c r="H3606" s="2" t="s">
        <v>0</v>
      </c>
      <c r="I3606" s="2">
        <v>1984.87</v>
      </c>
    </row>
    <row r="3607">
      <c r="A3607" s="1" t="s">
        <v>7206</v>
      </c>
      <c r="B3607" s="2">
        <v>1771.89</v>
      </c>
      <c r="C3607" s="2">
        <v>1771.89</v>
      </c>
      <c r="D3607" s="2">
        <v>3919.79</v>
      </c>
      <c r="E3607" s="2">
        <v>3919.79</v>
      </c>
      <c r="G3607" s="1" t="s">
        <v>7207</v>
      </c>
      <c r="H3607" s="2">
        <v>1977.3</v>
      </c>
      <c r="I3607" s="2">
        <v>1977.3</v>
      </c>
    </row>
    <row r="3608">
      <c r="A3608" s="1" t="s">
        <v>7208</v>
      </c>
      <c r="B3608" s="2">
        <v>1767.69</v>
      </c>
      <c r="C3608" s="2">
        <v>1767.69</v>
      </c>
      <c r="D3608" s="2">
        <v>3919.92</v>
      </c>
      <c r="E3608" s="2">
        <v>3919.92</v>
      </c>
      <c r="G3608" s="1" t="s">
        <v>7209</v>
      </c>
      <c r="H3608" s="2">
        <v>1995.48</v>
      </c>
      <c r="I3608" s="2">
        <v>1995.48</v>
      </c>
    </row>
    <row r="3609">
      <c r="A3609" s="1" t="s">
        <v>7210</v>
      </c>
      <c r="B3609" s="2">
        <v>1782.0</v>
      </c>
      <c r="C3609" s="2">
        <v>1782.0</v>
      </c>
      <c r="D3609" s="2">
        <v>3965.58</v>
      </c>
      <c r="E3609" s="2">
        <v>3965.58</v>
      </c>
      <c r="G3609" s="1" t="s">
        <v>7211</v>
      </c>
      <c r="H3609" s="2">
        <v>1963.56</v>
      </c>
      <c r="I3609" s="2">
        <v>1963.56</v>
      </c>
    </row>
    <row r="3610">
      <c r="A3610" s="1" t="s">
        <v>7212</v>
      </c>
      <c r="B3610" s="2">
        <v>1790.62</v>
      </c>
      <c r="C3610" s="2">
        <v>1790.62</v>
      </c>
      <c r="D3610" s="2">
        <v>3972.74</v>
      </c>
      <c r="E3610" s="2">
        <v>3972.74</v>
      </c>
      <c r="G3610" s="1" t="s">
        <v>7213</v>
      </c>
      <c r="H3610" s="2">
        <v>1967.56</v>
      </c>
      <c r="I3610" s="2">
        <v>1967.56</v>
      </c>
    </row>
    <row r="3611">
      <c r="A3611" s="1" t="s">
        <v>7214</v>
      </c>
      <c r="B3611" s="2">
        <v>1798.18</v>
      </c>
      <c r="C3611" s="2">
        <v>1798.18</v>
      </c>
      <c r="D3611" s="2">
        <v>3985.97</v>
      </c>
      <c r="E3611" s="2">
        <v>3985.97</v>
      </c>
      <c r="G3611" s="1" t="s">
        <v>7215</v>
      </c>
      <c r="H3611" s="2">
        <v>2005.64</v>
      </c>
      <c r="I3611" s="2">
        <v>2005.64</v>
      </c>
    </row>
    <row r="3612">
      <c r="A3612" s="1" t="s">
        <v>7216</v>
      </c>
      <c r="B3612" s="2" t="s">
        <v>0</v>
      </c>
      <c r="C3612" s="2">
        <v>1798.18</v>
      </c>
      <c r="D3612" s="2" t="s">
        <v>0</v>
      </c>
      <c r="E3612" s="2">
        <v>3985.97</v>
      </c>
      <c r="G3612" s="1" t="s">
        <v>7217</v>
      </c>
      <c r="H3612" s="2" t="s">
        <v>0</v>
      </c>
      <c r="I3612" s="2">
        <v>2005.64</v>
      </c>
    </row>
    <row r="3613">
      <c r="A3613" s="1" t="s">
        <v>7218</v>
      </c>
      <c r="B3613" s="2" t="s">
        <v>0</v>
      </c>
      <c r="C3613" s="2">
        <v>1798.18</v>
      </c>
      <c r="D3613" s="2" t="s">
        <v>0</v>
      </c>
      <c r="E3613" s="2">
        <v>3985.97</v>
      </c>
      <c r="G3613" s="1" t="s">
        <v>7219</v>
      </c>
      <c r="H3613" s="2" t="s">
        <v>0</v>
      </c>
      <c r="I3613" s="2">
        <v>2005.64</v>
      </c>
    </row>
    <row r="3614">
      <c r="A3614" s="1" t="s">
        <v>7220</v>
      </c>
      <c r="B3614" s="2">
        <v>1791.53</v>
      </c>
      <c r="C3614" s="2">
        <v>1791.53</v>
      </c>
      <c r="D3614" s="2">
        <v>3949.07</v>
      </c>
      <c r="E3614" s="2">
        <v>3949.07</v>
      </c>
      <c r="G3614" s="1" t="s">
        <v>7221</v>
      </c>
      <c r="H3614" s="2">
        <v>2010.81</v>
      </c>
      <c r="I3614" s="2">
        <v>2010.81</v>
      </c>
    </row>
    <row r="3615">
      <c r="A3615" s="1" t="s">
        <v>7222</v>
      </c>
      <c r="B3615" s="2">
        <v>1787.87</v>
      </c>
      <c r="C3615" s="2">
        <v>1787.87</v>
      </c>
      <c r="D3615" s="2">
        <v>3931.55</v>
      </c>
      <c r="E3615" s="2">
        <v>3931.55</v>
      </c>
      <c r="G3615" s="1" t="s">
        <v>7223</v>
      </c>
      <c r="H3615" s="2">
        <v>2031.64</v>
      </c>
      <c r="I3615" s="2">
        <v>2031.64</v>
      </c>
    </row>
    <row r="3616">
      <c r="A3616" s="1" t="s">
        <v>7224</v>
      </c>
      <c r="B3616" s="2">
        <v>1781.37</v>
      </c>
      <c r="C3616" s="2">
        <v>1781.37</v>
      </c>
      <c r="D3616" s="2">
        <v>3921.27</v>
      </c>
      <c r="E3616" s="2">
        <v>3921.27</v>
      </c>
      <c r="G3616" s="1" t="s">
        <v>7225</v>
      </c>
      <c r="H3616" s="2">
        <v>2017.24</v>
      </c>
      <c r="I3616" s="2">
        <v>2017.24</v>
      </c>
    </row>
    <row r="3617">
      <c r="A3617" s="1" t="s">
        <v>7226</v>
      </c>
      <c r="B3617" s="2">
        <v>1795.85</v>
      </c>
      <c r="C3617" s="2">
        <v>1795.85</v>
      </c>
      <c r="D3617" s="2">
        <v>3969.15</v>
      </c>
      <c r="E3617" s="2">
        <v>3969.15</v>
      </c>
      <c r="G3617" s="1" t="s">
        <v>7227</v>
      </c>
      <c r="H3617" s="2">
        <v>1993.78</v>
      </c>
      <c r="I3617" s="2">
        <v>1993.78</v>
      </c>
    </row>
    <row r="3618">
      <c r="A3618" s="1" t="s">
        <v>7228</v>
      </c>
      <c r="B3618" s="2">
        <v>1804.76</v>
      </c>
      <c r="C3618" s="2">
        <v>1804.76</v>
      </c>
      <c r="D3618" s="2">
        <v>3991.65</v>
      </c>
      <c r="E3618" s="2">
        <v>3991.65</v>
      </c>
      <c r="G3618" s="1" t="s">
        <v>7229</v>
      </c>
      <c r="H3618" s="2">
        <v>2006.23</v>
      </c>
      <c r="I3618" s="2">
        <v>2006.23</v>
      </c>
    </row>
    <row r="3619">
      <c r="A3619" s="1" t="s">
        <v>7230</v>
      </c>
      <c r="B3619" s="2" t="s">
        <v>0</v>
      </c>
      <c r="C3619" s="2">
        <v>1804.76</v>
      </c>
      <c r="D3619" s="2" t="s">
        <v>0</v>
      </c>
      <c r="E3619" s="2">
        <v>3991.65</v>
      </c>
      <c r="G3619" s="1" t="s">
        <v>7231</v>
      </c>
      <c r="H3619" s="2" t="s">
        <v>0</v>
      </c>
      <c r="I3619" s="2">
        <v>2006.23</v>
      </c>
    </row>
    <row r="3620">
      <c r="A3620" s="1" t="s">
        <v>7232</v>
      </c>
      <c r="B3620" s="2" t="s">
        <v>0</v>
      </c>
      <c r="C3620" s="2">
        <v>1804.76</v>
      </c>
      <c r="D3620" s="2" t="s">
        <v>0</v>
      </c>
      <c r="E3620" s="2">
        <v>3991.65</v>
      </c>
      <c r="G3620" s="1" t="s">
        <v>7233</v>
      </c>
      <c r="H3620" s="2" t="s">
        <v>0</v>
      </c>
      <c r="I3620" s="2">
        <v>2006.23</v>
      </c>
    </row>
    <row r="3621">
      <c r="A3621" s="1" t="s">
        <v>7234</v>
      </c>
      <c r="B3621" s="2">
        <v>1802.48</v>
      </c>
      <c r="C3621" s="2">
        <v>1802.48</v>
      </c>
      <c r="D3621" s="2">
        <v>3994.57</v>
      </c>
      <c r="E3621" s="2">
        <v>3994.57</v>
      </c>
      <c r="G3621" s="1" t="s">
        <v>7235</v>
      </c>
      <c r="H3621" s="2">
        <v>2015.98</v>
      </c>
      <c r="I3621" s="2">
        <v>2015.98</v>
      </c>
    </row>
    <row r="3622">
      <c r="A3622" s="1" t="s">
        <v>7236</v>
      </c>
      <c r="B3622" s="2">
        <v>1802.75</v>
      </c>
      <c r="C3622" s="2">
        <v>1802.75</v>
      </c>
      <c r="D3622" s="2">
        <v>4017.75</v>
      </c>
      <c r="E3622" s="2">
        <v>4017.75</v>
      </c>
      <c r="G3622" s="1" t="s">
        <v>7237</v>
      </c>
      <c r="H3622" s="2">
        <v>2022.64</v>
      </c>
      <c r="I3622" s="2">
        <v>2022.64</v>
      </c>
    </row>
    <row r="3623">
      <c r="A3623" s="1" t="s">
        <v>7238</v>
      </c>
      <c r="B3623" s="2">
        <v>1807.23</v>
      </c>
      <c r="C3623" s="2">
        <v>1807.23</v>
      </c>
      <c r="D3623" s="2">
        <v>4044.75</v>
      </c>
      <c r="E3623" s="2">
        <v>4044.75</v>
      </c>
      <c r="G3623" s="1" t="s">
        <v>7239</v>
      </c>
      <c r="H3623" s="2">
        <v>2028.81</v>
      </c>
      <c r="I3623" s="2">
        <v>2028.81</v>
      </c>
    </row>
    <row r="3624">
      <c r="A3624" s="1" t="s">
        <v>7240</v>
      </c>
      <c r="B3624" s="2" t="s">
        <v>0</v>
      </c>
      <c r="C3624" s="2">
        <v>1807.23</v>
      </c>
      <c r="D3624" s="2" t="s">
        <v>0</v>
      </c>
      <c r="E3624" s="2">
        <v>4044.75</v>
      </c>
      <c r="G3624" s="1" t="s">
        <v>7241</v>
      </c>
      <c r="H3624" s="2">
        <v>2045.77</v>
      </c>
      <c r="I3624" s="2">
        <v>2045.77</v>
      </c>
    </row>
    <row r="3625">
      <c r="A3625" s="1" t="s">
        <v>7242</v>
      </c>
      <c r="B3625" s="2">
        <v>1805.81</v>
      </c>
      <c r="C3625" s="2">
        <v>1805.81</v>
      </c>
      <c r="D3625" s="2">
        <v>4059.89</v>
      </c>
      <c r="E3625" s="2">
        <v>4059.89</v>
      </c>
      <c r="G3625" s="1" t="s">
        <v>7243</v>
      </c>
      <c r="H3625" s="2">
        <v>2044.87</v>
      </c>
      <c r="I3625" s="2">
        <v>2044.87</v>
      </c>
    </row>
    <row r="3626">
      <c r="A3626" s="1" t="s">
        <v>7244</v>
      </c>
      <c r="B3626" s="2" t="s">
        <v>0</v>
      </c>
      <c r="C3626" s="2">
        <v>1805.81</v>
      </c>
      <c r="D3626" s="2" t="s">
        <v>0</v>
      </c>
      <c r="E3626" s="2">
        <v>4059.89</v>
      </c>
      <c r="G3626" s="1" t="s">
        <v>7245</v>
      </c>
      <c r="H3626" s="2" t="s">
        <v>0</v>
      </c>
      <c r="I3626" s="2">
        <v>2044.87</v>
      </c>
    </row>
    <row r="3627">
      <c r="A3627" s="1" t="s">
        <v>7246</v>
      </c>
      <c r="B3627" s="2" t="s">
        <v>0</v>
      </c>
      <c r="C3627" s="2">
        <v>1805.81</v>
      </c>
      <c r="D3627" s="2" t="s">
        <v>0</v>
      </c>
      <c r="E3627" s="2">
        <v>4059.89</v>
      </c>
      <c r="G3627" s="1" t="s">
        <v>7247</v>
      </c>
      <c r="H3627" s="2" t="s">
        <v>0</v>
      </c>
      <c r="I3627" s="2">
        <v>2044.87</v>
      </c>
    </row>
    <row r="3628">
      <c r="A3628" s="1" t="s">
        <v>7248</v>
      </c>
      <c r="B3628" s="2">
        <v>1800.9</v>
      </c>
      <c r="C3628" s="2">
        <v>1800.9</v>
      </c>
      <c r="D3628" s="2">
        <v>4045.26</v>
      </c>
      <c r="E3628" s="2">
        <v>4045.26</v>
      </c>
      <c r="G3628" s="1" t="s">
        <v>7249</v>
      </c>
      <c r="H3628" s="2">
        <v>2030.78</v>
      </c>
      <c r="I3628" s="2">
        <v>2030.78</v>
      </c>
    </row>
    <row r="3629">
      <c r="A3629" s="1" t="s">
        <v>7250</v>
      </c>
      <c r="B3629" s="2">
        <v>1795.15</v>
      </c>
      <c r="C3629" s="2">
        <v>1795.15</v>
      </c>
      <c r="D3629" s="2">
        <v>4037.2</v>
      </c>
      <c r="E3629" s="2">
        <v>4037.2</v>
      </c>
      <c r="G3629" s="1" t="s">
        <v>7251</v>
      </c>
      <c r="H3629" s="2">
        <v>2009.36</v>
      </c>
      <c r="I3629" s="2">
        <v>2009.36</v>
      </c>
    </row>
    <row r="3630">
      <c r="A3630" s="1" t="s">
        <v>7252</v>
      </c>
      <c r="B3630" s="2">
        <v>1792.81</v>
      </c>
      <c r="C3630" s="2">
        <v>1792.81</v>
      </c>
      <c r="D3630" s="2">
        <v>4038.0</v>
      </c>
      <c r="E3630" s="2">
        <v>4038.0</v>
      </c>
      <c r="G3630" s="1" t="s">
        <v>7253</v>
      </c>
      <c r="H3630" s="2">
        <v>1986.8</v>
      </c>
      <c r="I3630" s="2">
        <v>1986.8</v>
      </c>
    </row>
    <row r="3631">
      <c r="A3631" s="1" t="s">
        <v>7254</v>
      </c>
      <c r="B3631" s="2">
        <v>1785.03</v>
      </c>
      <c r="C3631" s="2">
        <v>1785.03</v>
      </c>
      <c r="D3631" s="2">
        <v>4033.16</v>
      </c>
      <c r="E3631" s="2">
        <v>4033.16</v>
      </c>
      <c r="G3631" s="1" t="s">
        <v>7255</v>
      </c>
      <c r="H3631" s="2">
        <v>1984.77</v>
      </c>
      <c r="I3631" s="2">
        <v>1984.77</v>
      </c>
    </row>
    <row r="3632">
      <c r="A3632" s="1" t="s">
        <v>7256</v>
      </c>
      <c r="B3632" s="2">
        <v>1805.09</v>
      </c>
      <c r="C3632" s="2">
        <v>1805.09</v>
      </c>
      <c r="D3632" s="2">
        <v>4062.52</v>
      </c>
      <c r="E3632" s="2">
        <v>4062.52</v>
      </c>
      <c r="G3632" s="1" t="s">
        <v>7257</v>
      </c>
      <c r="H3632" s="2">
        <v>1980.41</v>
      </c>
      <c r="I3632" s="2">
        <v>1980.41</v>
      </c>
    </row>
    <row r="3633">
      <c r="A3633" s="1" t="s">
        <v>7258</v>
      </c>
      <c r="B3633" s="2" t="s">
        <v>0</v>
      </c>
      <c r="C3633" s="2">
        <v>1805.09</v>
      </c>
      <c r="D3633" s="2" t="s">
        <v>0</v>
      </c>
      <c r="E3633" s="2">
        <v>4062.52</v>
      </c>
      <c r="G3633" s="1" t="s">
        <v>7259</v>
      </c>
      <c r="H3633" s="2" t="s">
        <v>0</v>
      </c>
      <c r="I3633" s="2">
        <v>1980.41</v>
      </c>
    </row>
    <row r="3634">
      <c r="A3634" s="1" t="s">
        <v>7260</v>
      </c>
      <c r="B3634" s="2" t="s">
        <v>0</v>
      </c>
      <c r="C3634" s="2">
        <v>1805.09</v>
      </c>
      <c r="D3634" s="2" t="s">
        <v>0</v>
      </c>
      <c r="E3634" s="2">
        <v>4062.52</v>
      </c>
      <c r="G3634" s="1" t="s">
        <v>7261</v>
      </c>
      <c r="H3634" s="2" t="s">
        <v>0</v>
      </c>
      <c r="I3634" s="2">
        <v>1980.41</v>
      </c>
    </row>
    <row r="3635">
      <c r="A3635" s="1" t="s">
        <v>7262</v>
      </c>
      <c r="B3635" s="2">
        <v>1808.37</v>
      </c>
      <c r="C3635" s="2">
        <v>1808.37</v>
      </c>
      <c r="D3635" s="2">
        <v>4068.75</v>
      </c>
      <c r="E3635" s="2">
        <v>4068.75</v>
      </c>
      <c r="G3635" s="1" t="s">
        <v>7263</v>
      </c>
      <c r="H3635" s="2">
        <v>2000.38</v>
      </c>
      <c r="I3635" s="2">
        <v>2000.38</v>
      </c>
    </row>
    <row r="3636">
      <c r="A3636" s="1" t="s">
        <v>7264</v>
      </c>
      <c r="B3636" s="2">
        <v>1802.62</v>
      </c>
      <c r="C3636" s="2">
        <v>1802.62</v>
      </c>
      <c r="D3636" s="2">
        <v>4060.49</v>
      </c>
      <c r="E3636" s="2">
        <v>4060.49</v>
      </c>
      <c r="G3636" s="1" t="s">
        <v>7265</v>
      </c>
      <c r="H3636" s="2">
        <v>1993.45</v>
      </c>
      <c r="I3636" s="2">
        <v>1993.45</v>
      </c>
    </row>
    <row r="3637">
      <c r="A3637" s="1" t="s">
        <v>7266</v>
      </c>
      <c r="B3637" s="2">
        <v>1782.22</v>
      </c>
      <c r="C3637" s="2">
        <v>1782.22</v>
      </c>
      <c r="D3637" s="2">
        <v>4003.81</v>
      </c>
      <c r="E3637" s="2">
        <v>4003.81</v>
      </c>
      <c r="G3637" s="1" t="s">
        <v>7267</v>
      </c>
      <c r="H3637" s="2">
        <v>1977.97</v>
      </c>
      <c r="I3637" s="2">
        <v>1977.97</v>
      </c>
    </row>
    <row r="3638">
      <c r="A3638" s="1" t="s">
        <v>7268</v>
      </c>
      <c r="B3638" s="2">
        <v>1775.5</v>
      </c>
      <c r="C3638" s="2">
        <v>1775.5</v>
      </c>
      <c r="D3638" s="2">
        <v>3998.4</v>
      </c>
      <c r="E3638" s="2">
        <v>3998.4</v>
      </c>
      <c r="G3638" s="1" t="s">
        <v>7269</v>
      </c>
      <c r="H3638" s="2">
        <v>1967.93</v>
      </c>
      <c r="I3638" s="2">
        <v>1967.93</v>
      </c>
    </row>
    <row r="3639">
      <c r="A3639" s="1" t="s">
        <v>7270</v>
      </c>
      <c r="B3639" s="2">
        <v>1775.32</v>
      </c>
      <c r="C3639" s="2">
        <v>1775.32</v>
      </c>
      <c r="D3639" s="2">
        <v>4000.98</v>
      </c>
      <c r="E3639" s="2">
        <v>4000.98</v>
      </c>
      <c r="G3639" s="1" t="s">
        <v>7271</v>
      </c>
      <c r="H3639" s="2">
        <v>1962.91</v>
      </c>
      <c r="I3639" s="2">
        <v>1962.91</v>
      </c>
    </row>
    <row r="3640">
      <c r="A3640" s="1" t="s">
        <v>7272</v>
      </c>
      <c r="B3640" s="2" t="s">
        <v>0</v>
      </c>
      <c r="C3640" s="2">
        <v>1775.32</v>
      </c>
      <c r="D3640" s="2" t="s">
        <v>0</v>
      </c>
      <c r="E3640" s="2">
        <v>4000.98</v>
      </c>
      <c r="G3640" s="1" t="s">
        <v>7273</v>
      </c>
      <c r="H3640" s="2" t="s">
        <v>0</v>
      </c>
      <c r="I3640" s="2">
        <v>1962.91</v>
      </c>
    </row>
    <row r="3641">
      <c r="A3641" s="1" t="s">
        <v>7274</v>
      </c>
      <c r="B3641" s="2" t="s">
        <v>0</v>
      </c>
      <c r="C3641" s="2">
        <v>1775.32</v>
      </c>
      <c r="D3641" s="2" t="s">
        <v>0</v>
      </c>
      <c r="E3641" s="2">
        <v>4000.98</v>
      </c>
      <c r="G3641" s="1" t="s">
        <v>7275</v>
      </c>
      <c r="H3641" s="2" t="s">
        <v>0</v>
      </c>
      <c r="I3641" s="2">
        <v>1962.91</v>
      </c>
    </row>
    <row r="3642">
      <c r="A3642" s="1" t="s">
        <v>7276</v>
      </c>
      <c r="B3642" s="2">
        <v>1786.54</v>
      </c>
      <c r="C3642" s="2">
        <v>1786.54</v>
      </c>
      <c r="D3642" s="2">
        <v>4029.52</v>
      </c>
      <c r="E3642" s="2">
        <v>4029.52</v>
      </c>
      <c r="G3642" s="1" t="s">
        <v>7277</v>
      </c>
      <c r="H3642" s="2">
        <v>1961.15</v>
      </c>
      <c r="I3642" s="2">
        <v>1961.15</v>
      </c>
    </row>
    <row r="3643">
      <c r="A3643" s="1" t="s">
        <v>7278</v>
      </c>
      <c r="B3643" s="2">
        <v>1781.0</v>
      </c>
      <c r="C3643" s="2">
        <v>1781.0</v>
      </c>
      <c r="D3643" s="2">
        <v>4023.68</v>
      </c>
      <c r="E3643" s="2">
        <v>4023.68</v>
      </c>
      <c r="G3643" s="1" t="s">
        <v>7279</v>
      </c>
      <c r="H3643" s="2">
        <v>1965.74</v>
      </c>
      <c r="I3643" s="2">
        <v>1965.74</v>
      </c>
    </row>
    <row r="3644">
      <c r="A3644" s="1" t="s">
        <v>7280</v>
      </c>
      <c r="B3644" s="2">
        <v>1810.65</v>
      </c>
      <c r="C3644" s="2">
        <v>1810.65</v>
      </c>
      <c r="D3644" s="2">
        <v>4070.06</v>
      </c>
      <c r="E3644" s="2">
        <v>4070.06</v>
      </c>
      <c r="G3644" s="1" t="s">
        <v>7281</v>
      </c>
      <c r="H3644" s="2">
        <v>1974.63</v>
      </c>
      <c r="I3644" s="2">
        <v>1974.63</v>
      </c>
    </row>
    <row r="3645">
      <c r="A3645" s="1" t="s">
        <v>7282</v>
      </c>
      <c r="B3645" s="2">
        <v>1809.6</v>
      </c>
      <c r="C3645" s="2">
        <v>1809.6</v>
      </c>
      <c r="D3645" s="2">
        <v>4058.13</v>
      </c>
      <c r="E3645" s="2">
        <v>4058.13</v>
      </c>
      <c r="G3645" s="1" t="s">
        <v>7283</v>
      </c>
      <c r="H3645" s="2">
        <v>1975.65</v>
      </c>
      <c r="I3645" s="2">
        <v>1975.65</v>
      </c>
    </row>
    <row r="3646">
      <c r="A3646" s="1" t="s">
        <v>7284</v>
      </c>
      <c r="B3646" s="2">
        <v>1818.31</v>
      </c>
      <c r="C3646" s="2">
        <v>1818.31</v>
      </c>
      <c r="D3646" s="2">
        <v>4104.74</v>
      </c>
      <c r="E3646" s="2">
        <v>4104.74</v>
      </c>
      <c r="G3646" s="1" t="s">
        <v>7285</v>
      </c>
      <c r="H3646" s="2">
        <v>1983.35</v>
      </c>
      <c r="I3646" s="2">
        <v>1983.35</v>
      </c>
    </row>
    <row r="3647">
      <c r="A3647" s="1" t="s">
        <v>7286</v>
      </c>
      <c r="B3647" s="2" t="s">
        <v>0</v>
      </c>
      <c r="C3647" s="2">
        <v>1818.31</v>
      </c>
      <c r="D3647" s="2" t="s">
        <v>0</v>
      </c>
      <c r="E3647" s="2">
        <v>4104.74</v>
      </c>
      <c r="G3647" s="1" t="s">
        <v>7287</v>
      </c>
      <c r="H3647" s="2" t="s">
        <v>0</v>
      </c>
      <c r="I3647" s="2">
        <v>1983.35</v>
      </c>
    </row>
    <row r="3648">
      <c r="A3648" s="1" t="s">
        <v>7288</v>
      </c>
      <c r="B3648" s="2" t="s">
        <v>0</v>
      </c>
      <c r="C3648" s="2">
        <v>1818.31</v>
      </c>
      <c r="D3648" s="2" t="s">
        <v>0</v>
      </c>
      <c r="E3648" s="2">
        <v>4104.74</v>
      </c>
      <c r="G3648" s="1" t="s">
        <v>7289</v>
      </c>
      <c r="H3648" s="2" t="s">
        <v>0</v>
      </c>
      <c r="I3648" s="2">
        <v>1983.35</v>
      </c>
    </row>
    <row r="3649">
      <c r="A3649" s="1" t="s">
        <v>7290</v>
      </c>
      <c r="B3649" s="2">
        <v>1827.99</v>
      </c>
      <c r="C3649" s="2">
        <v>1827.99</v>
      </c>
      <c r="D3649" s="2">
        <v>4148.9</v>
      </c>
      <c r="E3649" s="2">
        <v>4148.9</v>
      </c>
      <c r="G3649" s="1" t="s">
        <v>7291</v>
      </c>
      <c r="H3649" s="2">
        <v>1996.89</v>
      </c>
      <c r="I3649" s="2">
        <v>1996.89</v>
      </c>
    </row>
    <row r="3650">
      <c r="A3650" s="1" t="s">
        <v>7292</v>
      </c>
      <c r="B3650" s="2">
        <v>1833.32</v>
      </c>
      <c r="C3650" s="2">
        <v>1833.32</v>
      </c>
      <c r="D3650" s="2">
        <v>4155.42</v>
      </c>
      <c r="E3650" s="2">
        <v>4155.42</v>
      </c>
      <c r="G3650" s="1" t="s">
        <v>7293</v>
      </c>
      <c r="H3650" s="2">
        <v>2001.59</v>
      </c>
      <c r="I3650" s="2">
        <v>2001.59</v>
      </c>
    </row>
    <row r="3651">
      <c r="A3651" s="1" t="s">
        <v>7294</v>
      </c>
      <c r="B3651" s="2" t="s">
        <v>0</v>
      </c>
      <c r="C3651" s="2">
        <v>1833.32</v>
      </c>
      <c r="D3651" s="2" t="s">
        <v>0</v>
      </c>
      <c r="E3651" s="2">
        <v>4155.42</v>
      </c>
      <c r="G3651" s="1" t="s">
        <v>7295</v>
      </c>
      <c r="H3651" s="2" t="s">
        <v>0</v>
      </c>
      <c r="I3651" s="2">
        <v>2001.59</v>
      </c>
    </row>
    <row r="3652">
      <c r="A3652" s="1" t="s">
        <v>7296</v>
      </c>
      <c r="B3652" s="2">
        <v>1842.02</v>
      </c>
      <c r="C3652" s="2">
        <v>1842.02</v>
      </c>
      <c r="D3652" s="2">
        <v>4167.18</v>
      </c>
      <c r="E3652" s="2">
        <v>4167.18</v>
      </c>
      <c r="G3652" s="1" t="s">
        <v>7297</v>
      </c>
      <c r="H3652" s="2">
        <v>1999.3</v>
      </c>
      <c r="I3652" s="2">
        <v>1999.3</v>
      </c>
    </row>
    <row r="3653">
      <c r="A3653" s="1" t="s">
        <v>7298</v>
      </c>
      <c r="B3653" s="2">
        <v>1841.4</v>
      </c>
      <c r="C3653" s="2">
        <v>1841.4</v>
      </c>
      <c r="D3653" s="2">
        <v>4156.59</v>
      </c>
      <c r="E3653" s="2">
        <v>4156.59</v>
      </c>
      <c r="G3653" s="1" t="s">
        <v>7299</v>
      </c>
      <c r="H3653" s="2">
        <v>2002.28</v>
      </c>
      <c r="I3653" s="2">
        <v>2002.28</v>
      </c>
    </row>
    <row r="3654">
      <c r="A3654" s="1" t="s">
        <v>7300</v>
      </c>
      <c r="B3654" s="2" t="s">
        <v>0</v>
      </c>
      <c r="C3654" s="2">
        <v>1841.4</v>
      </c>
      <c r="D3654" s="2" t="s">
        <v>0</v>
      </c>
      <c r="E3654" s="2">
        <v>4156.59</v>
      </c>
      <c r="G3654" s="1" t="s">
        <v>7301</v>
      </c>
      <c r="H3654" s="2" t="s">
        <v>0</v>
      </c>
      <c r="I3654" s="2">
        <v>2002.28</v>
      </c>
    </row>
    <row r="3655">
      <c r="A3655" s="1" t="s">
        <v>7302</v>
      </c>
      <c r="B3655" s="2" t="s">
        <v>0</v>
      </c>
      <c r="C3655" s="2">
        <v>1841.4</v>
      </c>
      <c r="D3655" s="2" t="s">
        <v>0</v>
      </c>
      <c r="E3655" s="2">
        <v>4156.59</v>
      </c>
      <c r="G3655" s="1" t="s">
        <v>7303</v>
      </c>
      <c r="H3655" s="2" t="s">
        <v>0</v>
      </c>
      <c r="I3655" s="2">
        <v>2002.28</v>
      </c>
    </row>
    <row r="3656">
      <c r="A3656" s="1" t="s">
        <v>7304</v>
      </c>
      <c r="B3656" s="2">
        <v>1841.07</v>
      </c>
      <c r="C3656" s="2">
        <v>1841.07</v>
      </c>
      <c r="D3656" s="2">
        <v>4154.2</v>
      </c>
      <c r="E3656" s="2">
        <v>4154.2</v>
      </c>
      <c r="G3656" s="1" t="s">
        <v>7305</v>
      </c>
      <c r="H3656" s="2">
        <v>2011.34</v>
      </c>
      <c r="I3656" s="2">
        <v>2011.34</v>
      </c>
    </row>
    <row r="3657">
      <c r="A3657" s="1" t="s">
        <v>7306</v>
      </c>
      <c r="B3657" s="2">
        <v>1848.36</v>
      </c>
      <c r="C3657" s="2">
        <v>1848.36</v>
      </c>
      <c r="D3657" s="2">
        <v>4176.59</v>
      </c>
      <c r="E3657" s="2">
        <v>4176.59</v>
      </c>
      <c r="G3657" s="1" t="s">
        <v>7307</v>
      </c>
      <c r="H3657" s="2" t="s">
        <v>0</v>
      </c>
      <c r="I3657" s="2">
        <v>2011.34</v>
      </c>
    </row>
    <row r="3658">
      <c r="A3658" s="1" t="s">
        <v>7308</v>
      </c>
      <c r="B3658" s="2" t="s">
        <v>0</v>
      </c>
      <c r="C3658" s="2">
        <v>1848.36</v>
      </c>
      <c r="D3658" s="2" t="s">
        <v>0</v>
      </c>
      <c r="E3658" s="2">
        <v>4176.59</v>
      </c>
      <c r="G3658" s="1" t="s">
        <v>7309</v>
      </c>
      <c r="H3658" s="2" t="s">
        <v>0</v>
      </c>
      <c r="I3658" s="2">
        <v>2011.34</v>
      </c>
    </row>
    <row r="3659">
      <c r="A3659" s="1" t="s">
        <v>7310</v>
      </c>
      <c r="B3659" s="2">
        <v>1831.98</v>
      </c>
      <c r="C3659" s="2">
        <v>1831.98</v>
      </c>
      <c r="D3659" s="2">
        <v>4143.07</v>
      </c>
      <c r="E3659" s="2">
        <v>4143.07</v>
      </c>
      <c r="G3659" s="1" t="s">
        <v>7311</v>
      </c>
      <c r="H3659" s="2">
        <v>1967.19</v>
      </c>
      <c r="I3659" s="2">
        <v>1967.19</v>
      </c>
    </row>
    <row r="3660">
      <c r="A3660" s="1" t="s">
        <v>7312</v>
      </c>
      <c r="B3660" s="2">
        <v>1831.37</v>
      </c>
      <c r="C3660" s="2">
        <v>1831.37</v>
      </c>
      <c r="D3660" s="2">
        <v>4131.91</v>
      </c>
      <c r="E3660" s="2">
        <v>4131.91</v>
      </c>
      <c r="G3660" s="1" t="s">
        <v>7313</v>
      </c>
      <c r="H3660" s="2">
        <v>1946.14</v>
      </c>
      <c r="I3660" s="2">
        <v>1946.14</v>
      </c>
    </row>
    <row r="3661">
      <c r="A3661" s="1" t="s">
        <v>7314</v>
      </c>
      <c r="B3661" s="2" t="s">
        <v>0</v>
      </c>
      <c r="C3661" s="2">
        <v>1831.37</v>
      </c>
      <c r="D3661" s="2" t="s">
        <v>0</v>
      </c>
      <c r="E3661" s="2">
        <v>4131.91</v>
      </c>
      <c r="G3661" s="1" t="s">
        <v>7315</v>
      </c>
      <c r="H3661" s="2" t="s">
        <v>0</v>
      </c>
      <c r="I3661" s="2">
        <v>1946.14</v>
      </c>
    </row>
    <row r="3662">
      <c r="A3662" s="1" t="s">
        <v>7316</v>
      </c>
      <c r="B3662" s="2" t="s">
        <v>0</v>
      </c>
      <c r="C3662" s="2">
        <v>1831.37</v>
      </c>
      <c r="D3662" s="2" t="s">
        <v>0</v>
      </c>
      <c r="E3662" s="2">
        <v>4131.91</v>
      </c>
      <c r="G3662" s="1" t="s">
        <v>7317</v>
      </c>
      <c r="H3662" s="2" t="s">
        <v>0</v>
      </c>
      <c r="I3662" s="2">
        <v>1946.14</v>
      </c>
    </row>
    <row r="3663">
      <c r="A3663" s="1" t="s">
        <v>7318</v>
      </c>
      <c r="B3663" s="2">
        <v>1826.77</v>
      </c>
      <c r="C3663" s="2">
        <v>1826.77</v>
      </c>
      <c r="D3663" s="2">
        <v>4113.68</v>
      </c>
      <c r="E3663" s="2">
        <v>4113.68</v>
      </c>
      <c r="G3663" s="1" t="s">
        <v>7319</v>
      </c>
      <c r="H3663" s="2">
        <v>1953.28</v>
      </c>
      <c r="I3663" s="2">
        <v>1953.28</v>
      </c>
    </row>
    <row r="3664">
      <c r="A3664" s="1" t="s">
        <v>7320</v>
      </c>
      <c r="B3664" s="2">
        <v>1837.88</v>
      </c>
      <c r="C3664" s="2">
        <v>1837.88</v>
      </c>
      <c r="D3664" s="2">
        <v>4153.18</v>
      </c>
      <c r="E3664" s="2">
        <v>4153.18</v>
      </c>
      <c r="G3664" s="1" t="s">
        <v>7321</v>
      </c>
      <c r="H3664" s="2">
        <v>1959.44</v>
      </c>
      <c r="I3664" s="2">
        <v>1959.44</v>
      </c>
    </row>
    <row r="3665">
      <c r="A3665" s="1" t="s">
        <v>7322</v>
      </c>
      <c r="B3665" s="2">
        <v>1837.49</v>
      </c>
      <c r="C3665" s="2">
        <v>1837.49</v>
      </c>
      <c r="D3665" s="2">
        <v>4165.61</v>
      </c>
      <c r="E3665" s="2">
        <v>4165.61</v>
      </c>
      <c r="G3665" s="1" t="s">
        <v>7323</v>
      </c>
      <c r="H3665" s="2">
        <v>1958.96</v>
      </c>
      <c r="I3665" s="2">
        <v>1958.96</v>
      </c>
    </row>
    <row r="3666">
      <c r="A3666" s="1" t="s">
        <v>7324</v>
      </c>
      <c r="B3666" s="2">
        <v>1838.13</v>
      </c>
      <c r="C3666" s="2">
        <v>1838.13</v>
      </c>
      <c r="D3666" s="2">
        <v>4156.19</v>
      </c>
      <c r="E3666" s="2">
        <v>4156.19</v>
      </c>
      <c r="G3666" s="1" t="s">
        <v>7325</v>
      </c>
      <c r="H3666" s="2">
        <v>1946.11</v>
      </c>
      <c r="I3666" s="2">
        <v>1946.11</v>
      </c>
    </row>
    <row r="3667">
      <c r="A3667" s="1" t="s">
        <v>7326</v>
      </c>
      <c r="B3667" s="2">
        <v>1842.37</v>
      </c>
      <c r="C3667" s="2">
        <v>1842.37</v>
      </c>
      <c r="D3667" s="2">
        <v>4174.66</v>
      </c>
      <c r="E3667" s="2">
        <v>4174.66</v>
      </c>
      <c r="G3667" s="1" t="s">
        <v>7327</v>
      </c>
      <c r="H3667" s="2">
        <v>1938.54</v>
      </c>
      <c r="I3667" s="2">
        <v>1938.54</v>
      </c>
    </row>
    <row r="3668">
      <c r="A3668" s="1" t="s">
        <v>7328</v>
      </c>
      <c r="B3668" s="2" t="s">
        <v>0</v>
      </c>
      <c r="C3668" s="2">
        <v>1842.37</v>
      </c>
      <c r="D3668" s="2" t="s">
        <v>0</v>
      </c>
      <c r="E3668" s="2">
        <v>4174.66</v>
      </c>
      <c r="G3668" s="1" t="s">
        <v>7329</v>
      </c>
      <c r="H3668" s="2" t="s">
        <v>0</v>
      </c>
      <c r="I3668" s="2">
        <v>1938.54</v>
      </c>
    </row>
    <row r="3669">
      <c r="A3669" s="1" t="s">
        <v>7330</v>
      </c>
      <c r="B3669" s="2" t="s">
        <v>0</v>
      </c>
      <c r="C3669" s="2">
        <v>1842.37</v>
      </c>
      <c r="D3669" s="2" t="s">
        <v>0</v>
      </c>
      <c r="E3669" s="2">
        <v>4174.66</v>
      </c>
      <c r="G3669" s="1" t="s">
        <v>7331</v>
      </c>
      <c r="H3669" s="2" t="s">
        <v>0</v>
      </c>
      <c r="I3669" s="2">
        <v>1938.54</v>
      </c>
    </row>
    <row r="3670">
      <c r="A3670" s="1" t="s">
        <v>7332</v>
      </c>
      <c r="B3670" s="2">
        <v>1819.2</v>
      </c>
      <c r="C3670" s="2">
        <v>1819.2</v>
      </c>
      <c r="D3670" s="2">
        <v>4113.3</v>
      </c>
      <c r="E3670" s="2">
        <v>4113.3</v>
      </c>
      <c r="G3670" s="1" t="s">
        <v>7333</v>
      </c>
      <c r="H3670" s="2">
        <v>1948.92</v>
      </c>
      <c r="I3670" s="2">
        <v>1948.92</v>
      </c>
    </row>
    <row r="3671">
      <c r="A3671" s="1" t="s">
        <v>7334</v>
      </c>
      <c r="B3671" s="2">
        <v>1838.88</v>
      </c>
      <c r="C3671" s="2">
        <v>1838.88</v>
      </c>
      <c r="D3671" s="2">
        <v>4183.02</v>
      </c>
      <c r="E3671" s="2">
        <v>4183.02</v>
      </c>
      <c r="G3671" s="1" t="s">
        <v>7335</v>
      </c>
      <c r="H3671" s="2">
        <v>1946.07</v>
      </c>
      <c r="I3671" s="2">
        <v>1946.07</v>
      </c>
    </row>
    <row r="3672">
      <c r="A3672" s="1" t="s">
        <v>7336</v>
      </c>
      <c r="B3672" s="2">
        <v>1848.38</v>
      </c>
      <c r="C3672" s="2">
        <v>1848.38</v>
      </c>
      <c r="D3672" s="2">
        <v>4214.88</v>
      </c>
      <c r="E3672" s="2">
        <v>4214.88</v>
      </c>
      <c r="G3672" s="1" t="s">
        <v>7337</v>
      </c>
      <c r="H3672" s="2">
        <v>1953.28</v>
      </c>
      <c r="I3672" s="2">
        <v>1953.28</v>
      </c>
    </row>
    <row r="3673">
      <c r="A3673" s="1" t="s">
        <v>7338</v>
      </c>
      <c r="B3673" s="2">
        <v>1845.89</v>
      </c>
      <c r="C3673" s="2">
        <v>1845.89</v>
      </c>
      <c r="D3673" s="2">
        <v>4218.69</v>
      </c>
      <c r="E3673" s="2">
        <v>4218.69</v>
      </c>
      <c r="G3673" s="1" t="s">
        <v>7339</v>
      </c>
      <c r="H3673" s="2">
        <v>1957.32</v>
      </c>
      <c r="I3673" s="2">
        <v>1957.32</v>
      </c>
    </row>
    <row r="3674">
      <c r="A3674" s="1" t="s">
        <v>7340</v>
      </c>
      <c r="B3674" s="2">
        <v>1838.7</v>
      </c>
      <c r="C3674" s="2">
        <v>1838.7</v>
      </c>
      <c r="D3674" s="2">
        <v>4197.58</v>
      </c>
      <c r="E3674" s="2">
        <v>4197.58</v>
      </c>
      <c r="G3674" s="1" t="s">
        <v>7341</v>
      </c>
      <c r="H3674" s="2">
        <v>1944.48</v>
      </c>
      <c r="I3674" s="2">
        <v>1944.48</v>
      </c>
    </row>
    <row r="3675">
      <c r="A3675" s="1" t="s">
        <v>7342</v>
      </c>
      <c r="B3675" s="2" t="s">
        <v>0</v>
      </c>
      <c r="C3675" s="2">
        <v>1838.7</v>
      </c>
      <c r="D3675" s="2" t="s">
        <v>0</v>
      </c>
      <c r="E3675" s="2">
        <v>4197.58</v>
      </c>
      <c r="G3675" s="1" t="s">
        <v>7343</v>
      </c>
      <c r="H3675" s="2" t="s">
        <v>0</v>
      </c>
      <c r="I3675" s="2">
        <v>1944.48</v>
      </c>
    </row>
    <row r="3676">
      <c r="A3676" s="1" t="s">
        <v>7344</v>
      </c>
      <c r="B3676" s="2" t="s">
        <v>0</v>
      </c>
      <c r="C3676" s="2">
        <v>1838.7</v>
      </c>
      <c r="D3676" s="2" t="s">
        <v>0</v>
      </c>
      <c r="E3676" s="2">
        <v>4197.58</v>
      </c>
      <c r="G3676" s="1" t="s">
        <v>7345</v>
      </c>
      <c r="H3676" s="2" t="s">
        <v>0</v>
      </c>
      <c r="I3676" s="2">
        <v>1944.48</v>
      </c>
    </row>
    <row r="3677">
      <c r="A3677" s="1" t="s">
        <v>7346</v>
      </c>
      <c r="B3677" s="2" t="s">
        <v>0</v>
      </c>
      <c r="C3677" s="2">
        <v>1838.7</v>
      </c>
      <c r="D3677" s="2" t="s">
        <v>0</v>
      </c>
      <c r="E3677" s="2">
        <v>4197.58</v>
      </c>
      <c r="G3677" s="1" t="s">
        <v>7347</v>
      </c>
      <c r="H3677" s="2">
        <v>1953.78</v>
      </c>
      <c r="I3677" s="2">
        <v>1953.78</v>
      </c>
    </row>
    <row r="3678">
      <c r="A3678" s="1" t="s">
        <v>7348</v>
      </c>
      <c r="B3678" s="2">
        <v>1843.8</v>
      </c>
      <c r="C3678" s="2">
        <v>1843.8</v>
      </c>
      <c r="D3678" s="2">
        <v>4225.76</v>
      </c>
      <c r="E3678" s="2">
        <v>4225.76</v>
      </c>
      <c r="G3678" s="1" t="s">
        <v>7349</v>
      </c>
      <c r="H3678" s="2">
        <v>1963.89</v>
      </c>
      <c r="I3678" s="2">
        <v>1963.89</v>
      </c>
    </row>
    <row r="3679">
      <c r="A3679" s="1" t="s">
        <v>7350</v>
      </c>
      <c r="B3679" s="2">
        <v>1844.86</v>
      </c>
      <c r="C3679" s="2">
        <v>1844.86</v>
      </c>
      <c r="D3679" s="2">
        <v>4243.0</v>
      </c>
      <c r="E3679" s="2">
        <v>4243.0</v>
      </c>
      <c r="G3679" s="1" t="s">
        <v>7351</v>
      </c>
      <c r="H3679" s="2">
        <v>1970.42</v>
      </c>
      <c r="I3679" s="2">
        <v>1970.42</v>
      </c>
    </row>
    <row r="3680">
      <c r="A3680" s="1" t="s">
        <v>7352</v>
      </c>
      <c r="B3680" s="2">
        <v>1828.46</v>
      </c>
      <c r="C3680" s="2">
        <v>1828.46</v>
      </c>
      <c r="D3680" s="2">
        <v>4218.87</v>
      </c>
      <c r="E3680" s="2">
        <v>4218.87</v>
      </c>
      <c r="G3680" s="1" t="s">
        <v>7353</v>
      </c>
      <c r="H3680" s="2">
        <v>1947.59</v>
      </c>
      <c r="I3680" s="2">
        <v>1947.59</v>
      </c>
    </row>
    <row r="3681">
      <c r="A3681" s="1" t="s">
        <v>7354</v>
      </c>
      <c r="B3681" s="2">
        <v>1790.29</v>
      </c>
      <c r="C3681" s="2">
        <v>1790.29</v>
      </c>
      <c r="D3681" s="2">
        <v>4128.17</v>
      </c>
      <c r="E3681" s="2">
        <v>4128.17</v>
      </c>
      <c r="G3681" s="1" t="s">
        <v>7355</v>
      </c>
      <c r="H3681" s="2">
        <v>1940.56</v>
      </c>
      <c r="I3681" s="2">
        <v>1940.56</v>
      </c>
    </row>
    <row r="3682">
      <c r="A3682" s="1" t="s">
        <v>7356</v>
      </c>
      <c r="B3682" s="2" t="s">
        <v>0</v>
      </c>
      <c r="C3682" s="2">
        <v>1790.29</v>
      </c>
      <c r="D3682" s="2" t="s">
        <v>0</v>
      </c>
      <c r="E3682" s="2">
        <v>4128.17</v>
      </c>
      <c r="G3682" s="1" t="s">
        <v>7357</v>
      </c>
      <c r="H3682" s="2" t="s">
        <v>0</v>
      </c>
      <c r="I3682" s="2">
        <v>1940.56</v>
      </c>
    </row>
    <row r="3683">
      <c r="A3683" s="1" t="s">
        <v>7358</v>
      </c>
      <c r="B3683" s="2" t="s">
        <v>0</v>
      </c>
      <c r="C3683" s="2">
        <v>1790.29</v>
      </c>
      <c r="D3683" s="2" t="s">
        <v>0</v>
      </c>
      <c r="E3683" s="2">
        <v>4128.17</v>
      </c>
      <c r="G3683" s="1" t="s">
        <v>7359</v>
      </c>
      <c r="H3683" s="2" t="s">
        <v>0</v>
      </c>
      <c r="I3683" s="2">
        <v>1940.56</v>
      </c>
    </row>
    <row r="3684">
      <c r="A3684" s="1" t="s">
        <v>7360</v>
      </c>
      <c r="B3684" s="2">
        <v>1781.56</v>
      </c>
      <c r="C3684" s="2">
        <v>1781.56</v>
      </c>
      <c r="D3684" s="2">
        <v>4083.61</v>
      </c>
      <c r="E3684" s="2">
        <v>4083.61</v>
      </c>
      <c r="G3684" s="1" t="s">
        <v>7361</v>
      </c>
      <c r="H3684" s="2">
        <v>1910.34</v>
      </c>
      <c r="I3684" s="2">
        <v>1910.34</v>
      </c>
    </row>
    <row r="3685">
      <c r="A3685" s="1" t="s">
        <v>7362</v>
      </c>
      <c r="B3685" s="2">
        <v>1792.5</v>
      </c>
      <c r="C3685" s="2">
        <v>1792.5</v>
      </c>
      <c r="D3685" s="2">
        <v>4097.96</v>
      </c>
      <c r="E3685" s="2">
        <v>4097.96</v>
      </c>
      <c r="G3685" s="1" t="s">
        <v>7363</v>
      </c>
      <c r="H3685" s="2">
        <v>1916.93</v>
      </c>
      <c r="I3685" s="2">
        <v>1916.93</v>
      </c>
    </row>
    <row r="3686">
      <c r="A3686" s="1" t="s">
        <v>7364</v>
      </c>
      <c r="B3686" s="2">
        <v>1774.2</v>
      </c>
      <c r="C3686" s="2">
        <v>1774.2</v>
      </c>
      <c r="D3686" s="2">
        <v>4051.43</v>
      </c>
      <c r="E3686" s="2">
        <v>4051.43</v>
      </c>
      <c r="G3686" s="1" t="s">
        <v>7365</v>
      </c>
      <c r="H3686" s="2">
        <v>1941.15</v>
      </c>
      <c r="I3686" s="2">
        <v>1941.15</v>
      </c>
    </row>
    <row r="3687">
      <c r="A3687" s="1" t="s">
        <v>7366</v>
      </c>
      <c r="B3687" s="2">
        <v>1794.19</v>
      </c>
      <c r="C3687" s="2">
        <v>1794.19</v>
      </c>
      <c r="D3687" s="2">
        <v>4123.13</v>
      </c>
      <c r="E3687" s="2">
        <v>4123.13</v>
      </c>
      <c r="G3687" s="1" t="s">
        <v>7367</v>
      </c>
      <c r="H3687" s="2" t="s">
        <v>0</v>
      </c>
      <c r="I3687" s="2">
        <v>1941.15</v>
      </c>
    </row>
    <row r="3688">
      <c r="A3688" s="1" t="s">
        <v>7368</v>
      </c>
      <c r="B3688" s="2">
        <v>1782.59</v>
      </c>
      <c r="C3688" s="2">
        <v>1782.59</v>
      </c>
      <c r="D3688" s="2">
        <v>4103.88</v>
      </c>
      <c r="E3688" s="2">
        <v>4103.88</v>
      </c>
      <c r="G3688" s="1" t="s">
        <v>7369</v>
      </c>
      <c r="H3688" s="2" t="s">
        <v>0</v>
      </c>
      <c r="I3688" s="2">
        <v>1941.15</v>
      </c>
    </row>
    <row r="3689">
      <c r="A3689" s="1" t="s">
        <v>7370</v>
      </c>
      <c r="B3689" s="2" t="s">
        <v>0</v>
      </c>
      <c r="C3689" s="2">
        <v>1782.59</v>
      </c>
      <c r="D3689" s="2" t="s">
        <v>0</v>
      </c>
      <c r="E3689" s="2">
        <v>4103.88</v>
      </c>
      <c r="G3689" s="1" t="s">
        <v>7371</v>
      </c>
      <c r="H3689" s="2" t="s">
        <v>0</v>
      </c>
      <c r="I3689" s="2">
        <v>1941.15</v>
      </c>
    </row>
    <row r="3690">
      <c r="A3690" s="1" t="s">
        <v>7372</v>
      </c>
      <c r="B3690" s="2" t="s">
        <v>0</v>
      </c>
      <c r="C3690" s="2">
        <v>1782.59</v>
      </c>
      <c r="D3690" s="2" t="s">
        <v>0</v>
      </c>
      <c r="E3690" s="2">
        <v>4103.88</v>
      </c>
      <c r="G3690" s="1" t="s">
        <v>7373</v>
      </c>
      <c r="H3690" s="2" t="s">
        <v>0</v>
      </c>
      <c r="I3690" s="2">
        <v>1941.15</v>
      </c>
    </row>
    <row r="3691">
      <c r="A3691" s="1" t="s">
        <v>7374</v>
      </c>
      <c r="B3691" s="2">
        <v>1741.89</v>
      </c>
      <c r="C3691" s="2">
        <v>1741.89</v>
      </c>
      <c r="D3691" s="2">
        <v>3996.96</v>
      </c>
      <c r="E3691" s="2">
        <v>3996.96</v>
      </c>
      <c r="G3691" s="1" t="s">
        <v>7375</v>
      </c>
      <c r="H3691" s="2">
        <v>1919.96</v>
      </c>
      <c r="I3691" s="2">
        <v>1919.96</v>
      </c>
    </row>
    <row r="3692">
      <c r="A3692" s="1" t="s">
        <v>7376</v>
      </c>
      <c r="B3692" s="2">
        <v>1755.2</v>
      </c>
      <c r="C3692" s="2">
        <v>1755.2</v>
      </c>
      <c r="D3692" s="2">
        <v>4031.52</v>
      </c>
      <c r="E3692" s="2">
        <v>4031.52</v>
      </c>
      <c r="G3692" s="1" t="s">
        <v>7377</v>
      </c>
      <c r="H3692" s="2">
        <v>1886.85</v>
      </c>
      <c r="I3692" s="2">
        <v>1886.85</v>
      </c>
    </row>
    <row r="3693">
      <c r="A3693" s="1" t="s">
        <v>7378</v>
      </c>
      <c r="B3693" s="2">
        <v>1751.64</v>
      </c>
      <c r="C3693" s="2">
        <v>1751.64</v>
      </c>
      <c r="D3693" s="2">
        <v>4011.55</v>
      </c>
      <c r="E3693" s="2">
        <v>4011.55</v>
      </c>
      <c r="G3693" s="1" t="s">
        <v>7379</v>
      </c>
      <c r="H3693" s="2">
        <v>1891.32</v>
      </c>
      <c r="I3693" s="2">
        <v>1891.32</v>
      </c>
    </row>
    <row r="3694">
      <c r="A3694" s="1" t="s">
        <v>7380</v>
      </c>
      <c r="B3694" s="2">
        <v>1773.43</v>
      </c>
      <c r="C3694" s="2">
        <v>1773.43</v>
      </c>
      <c r="D3694" s="2">
        <v>4057.12</v>
      </c>
      <c r="E3694" s="2">
        <v>4057.12</v>
      </c>
      <c r="G3694" s="1" t="s">
        <v>7381</v>
      </c>
      <c r="H3694" s="2">
        <v>1907.89</v>
      </c>
      <c r="I3694" s="2">
        <v>1907.89</v>
      </c>
    </row>
    <row r="3695">
      <c r="A3695" s="1" t="s">
        <v>7382</v>
      </c>
      <c r="B3695" s="2">
        <v>1797.02</v>
      </c>
      <c r="C3695" s="2">
        <v>1797.02</v>
      </c>
      <c r="D3695" s="2">
        <v>4125.86</v>
      </c>
      <c r="E3695" s="2">
        <v>4125.86</v>
      </c>
      <c r="G3695" s="1" t="s">
        <v>7383</v>
      </c>
      <c r="H3695" s="2">
        <v>1922.5</v>
      </c>
      <c r="I3695" s="2">
        <v>1922.5</v>
      </c>
    </row>
    <row r="3696">
      <c r="A3696" s="1" t="s">
        <v>7384</v>
      </c>
      <c r="B3696" s="2" t="s">
        <v>0</v>
      </c>
      <c r="C3696" s="2">
        <v>1797.02</v>
      </c>
      <c r="D3696" s="2" t="s">
        <v>0</v>
      </c>
      <c r="E3696" s="2">
        <v>4125.86</v>
      </c>
      <c r="G3696" s="1" t="s">
        <v>7385</v>
      </c>
      <c r="H3696" s="2" t="s">
        <v>0</v>
      </c>
      <c r="I3696" s="2">
        <v>1922.5</v>
      </c>
    </row>
    <row r="3697">
      <c r="A3697" s="1" t="s">
        <v>7386</v>
      </c>
      <c r="B3697" s="2" t="s">
        <v>0</v>
      </c>
      <c r="C3697" s="2">
        <v>1797.02</v>
      </c>
      <c r="D3697" s="2" t="s">
        <v>0</v>
      </c>
      <c r="E3697" s="2">
        <v>4125.86</v>
      </c>
      <c r="G3697" s="1" t="s">
        <v>7387</v>
      </c>
      <c r="H3697" s="2" t="s">
        <v>0</v>
      </c>
      <c r="I3697" s="2">
        <v>1922.5</v>
      </c>
    </row>
    <row r="3698">
      <c r="A3698" s="1" t="s">
        <v>7388</v>
      </c>
      <c r="B3698" s="2">
        <v>1799.84</v>
      </c>
      <c r="C3698" s="2">
        <v>1799.84</v>
      </c>
      <c r="D3698" s="2">
        <v>4148.17</v>
      </c>
      <c r="E3698" s="2">
        <v>4148.17</v>
      </c>
      <c r="G3698" s="1" t="s">
        <v>7389</v>
      </c>
      <c r="H3698" s="2">
        <v>1923.3</v>
      </c>
      <c r="I3698" s="2">
        <v>1923.3</v>
      </c>
    </row>
    <row r="3699">
      <c r="A3699" s="1" t="s">
        <v>7390</v>
      </c>
      <c r="B3699" s="2">
        <v>1819.75</v>
      </c>
      <c r="C3699" s="2">
        <v>1819.75</v>
      </c>
      <c r="D3699" s="2">
        <v>4191.04</v>
      </c>
      <c r="E3699" s="2">
        <v>4191.04</v>
      </c>
      <c r="G3699" s="1" t="s">
        <v>7391</v>
      </c>
      <c r="H3699" s="2">
        <v>1932.06</v>
      </c>
      <c r="I3699" s="2">
        <v>1932.06</v>
      </c>
    </row>
    <row r="3700">
      <c r="A3700" s="1" t="s">
        <v>7392</v>
      </c>
      <c r="B3700" s="2">
        <v>1819.26</v>
      </c>
      <c r="C3700" s="2">
        <v>1819.26</v>
      </c>
      <c r="D3700" s="2">
        <v>4201.29</v>
      </c>
      <c r="E3700" s="2">
        <v>4201.29</v>
      </c>
      <c r="G3700" s="1" t="s">
        <v>7393</v>
      </c>
      <c r="H3700" s="2">
        <v>1935.84</v>
      </c>
      <c r="I3700" s="2">
        <v>1935.84</v>
      </c>
    </row>
    <row r="3701">
      <c r="A3701" s="1" t="s">
        <v>7394</v>
      </c>
      <c r="B3701" s="2">
        <v>1829.83</v>
      </c>
      <c r="C3701" s="2">
        <v>1829.83</v>
      </c>
      <c r="D3701" s="2">
        <v>4240.67</v>
      </c>
      <c r="E3701" s="2">
        <v>4240.67</v>
      </c>
      <c r="G3701" s="1" t="s">
        <v>7395</v>
      </c>
      <c r="H3701" s="2">
        <v>1926.96</v>
      </c>
      <c r="I3701" s="2">
        <v>1926.96</v>
      </c>
    </row>
    <row r="3702">
      <c r="A3702" s="1" t="s">
        <v>7396</v>
      </c>
      <c r="B3702" s="2">
        <v>1838.63</v>
      </c>
      <c r="C3702" s="2">
        <v>1838.63</v>
      </c>
      <c r="D3702" s="2">
        <v>4244.03</v>
      </c>
      <c r="E3702" s="2">
        <v>4244.03</v>
      </c>
      <c r="G3702" s="1" t="s">
        <v>7397</v>
      </c>
      <c r="H3702" s="2">
        <v>1940.28</v>
      </c>
      <c r="I3702" s="2">
        <v>1940.28</v>
      </c>
    </row>
    <row r="3703">
      <c r="A3703" s="1" t="s">
        <v>7398</v>
      </c>
      <c r="B3703" s="2" t="s">
        <v>0</v>
      </c>
      <c r="C3703" s="2">
        <v>1838.63</v>
      </c>
      <c r="D3703" s="2" t="s">
        <v>0</v>
      </c>
      <c r="E3703" s="2">
        <v>4244.03</v>
      </c>
      <c r="G3703" s="1" t="s">
        <v>7399</v>
      </c>
      <c r="H3703" s="2" t="s">
        <v>0</v>
      </c>
      <c r="I3703" s="2">
        <v>1940.28</v>
      </c>
    </row>
    <row r="3704">
      <c r="A3704" s="1" t="s">
        <v>7400</v>
      </c>
      <c r="B3704" s="2" t="s">
        <v>0</v>
      </c>
      <c r="C3704" s="2">
        <v>1838.63</v>
      </c>
      <c r="D3704" s="2" t="s">
        <v>0</v>
      </c>
      <c r="E3704" s="2">
        <v>4244.03</v>
      </c>
      <c r="G3704" s="1" t="s">
        <v>7401</v>
      </c>
      <c r="H3704" s="2" t="s">
        <v>0</v>
      </c>
      <c r="I3704" s="2">
        <v>1940.28</v>
      </c>
    </row>
    <row r="3705">
      <c r="A3705" s="1" t="s">
        <v>7402</v>
      </c>
      <c r="B3705" s="2" t="s">
        <v>0</v>
      </c>
      <c r="C3705" s="2">
        <v>1838.63</v>
      </c>
      <c r="D3705" s="2" t="s">
        <v>0</v>
      </c>
      <c r="E3705" s="2">
        <v>4244.03</v>
      </c>
      <c r="G3705" s="1" t="s">
        <v>7403</v>
      </c>
      <c r="H3705" s="2">
        <v>1946.36</v>
      </c>
      <c r="I3705" s="2">
        <v>1946.36</v>
      </c>
    </row>
    <row r="3706">
      <c r="A3706" s="1" t="s">
        <v>7404</v>
      </c>
      <c r="B3706" s="2">
        <v>1840.76</v>
      </c>
      <c r="C3706" s="2">
        <v>1840.76</v>
      </c>
      <c r="D3706" s="2">
        <v>4272.78</v>
      </c>
      <c r="E3706" s="2">
        <v>4272.78</v>
      </c>
      <c r="G3706" s="1" t="s">
        <v>7405</v>
      </c>
      <c r="H3706" s="2">
        <v>1946.91</v>
      </c>
      <c r="I3706" s="2">
        <v>1946.91</v>
      </c>
    </row>
    <row r="3707">
      <c r="A3707" s="1" t="s">
        <v>7406</v>
      </c>
      <c r="B3707" s="2" t="s">
        <v>0</v>
      </c>
      <c r="C3707" s="2">
        <v>1840.76</v>
      </c>
      <c r="D3707" s="2">
        <v>4237.95</v>
      </c>
      <c r="E3707" s="2">
        <v>4237.95</v>
      </c>
      <c r="G3707" s="1" t="s">
        <v>7407</v>
      </c>
      <c r="H3707" s="2" t="s">
        <v>0</v>
      </c>
      <c r="I3707" s="2">
        <v>1946.91</v>
      </c>
    </row>
    <row r="3708">
      <c r="A3708" s="1" t="s">
        <v>7408</v>
      </c>
      <c r="B3708" s="2">
        <v>1839.78</v>
      </c>
      <c r="C3708" s="2">
        <v>1839.78</v>
      </c>
      <c r="D3708" s="2">
        <v>4267.55</v>
      </c>
      <c r="E3708" s="2">
        <v>4267.55</v>
      </c>
      <c r="G3708" s="1" t="s">
        <v>7409</v>
      </c>
      <c r="H3708" s="2">
        <v>1930.57</v>
      </c>
      <c r="I3708" s="2">
        <v>1930.57</v>
      </c>
    </row>
    <row r="3709">
      <c r="A3709" s="1" t="s">
        <v>7410</v>
      </c>
      <c r="B3709" s="2">
        <v>1836.25</v>
      </c>
      <c r="C3709" s="2">
        <v>1836.25</v>
      </c>
      <c r="D3709" s="2">
        <v>4263.41</v>
      </c>
      <c r="E3709" s="2">
        <v>4263.41</v>
      </c>
      <c r="G3709" s="1" t="s">
        <v>7411</v>
      </c>
      <c r="H3709" s="2">
        <v>1957.83</v>
      </c>
      <c r="I3709" s="2">
        <v>1957.83</v>
      </c>
    </row>
    <row r="3710">
      <c r="A3710" s="1" t="s">
        <v>7412</v>
      </c>
      <c r="B3710" s="2" t="s">
        <v>0</v>
      </c>
      <c r="C3710" s="2">
        <v>1836.25</v>
      </c>
      <c r="D3710" s="2" t="s">
        <v>0</v>
      </c>
      <c r="E3710" s="2">
        <v>4263.41</v>
      </c>
      <c r="G3710" s="1" t="s">
        <v>7413</v>
      </c>
      <c r="H3710" s="2" t="s">
        <v>0</v>
      </c>
      <c r="I3710" s="2">
        <v>1957.83</v>
      </c>
    </row>
    <row r="3711">
      <c r="A3711" s="1" t="s">
        <v>7414</v>
      </c>
      <c r="B3711" s="2" t="s">
        <v>0</v>
      </c>
      <c r="C3711" s="2">
        <v>1836.25</v>
      </c>
      <c r="D3711" s="2" t="s">
        <v>0</v>
      </c>
      <c r="E3711" s="2">
        <v>4263.41</v>
      </c>
      <c r="G3711" s="1" t="s">
        <v>7415</v>
      </c>
      <c r="H3711" s="2" t="s">
        <v>0</v>
      </c>
      <c r="I3711" s="2">
        <v>1957.83</v>
      </c>
    </row>
    <row r="3712">
      <c r="A3712" s="1" t="s">
        <v>7416</v>
      </c>
      <c r="B3712" s="2">
        <v>1847.61</v>
      </c>
      <c r="C3712" s="2">
        <v>1847.61</v>
      </c>
      <c r="D3712" s="2">
        <v>4292.97</v>
      </c>
      <c r="E3712" s="2">
        <v>4292.97</v>
      </c>
      <c r="G3712" s="1" t="s">
        <v>7417</v>
      </c>
      <c r="H3712" s="2">
        <v>1949.05</v>
      </c>
      <c r="I3712" s="2">
        <v>1949.05</v>
      </c>
    </row>
    <row r="3713">
      <c r="A3713" s="1" t="s">
        <v>7418</v>
      </c>
      <c r="B3713" s="2">
        <v>1845.12</v>
      </c>
      <c r="C3713" s="2">
        <v>1845.12</v>
      </c>
      <c r="D3713" s="2">
        <v>4287.59</v>
      </c>
      <c r="E3713" s="2">
        <v>4287.59</v>
      </c>
      <c r="G3713" s="1" t="s">
        <v>7419</v>
      </c>
      <c r="H3713" s="2">
        <v>1964.86</v>
      </c>
      <c r="I3713" s="2">
        <v>1964.86</v>
      </c>
    </row>
    <row r="3714">
      <c r="A3714" s="1" t="s">
        <v>7420</v>
      </c>
      <c r="B3714" s="2">
        <v>1845.16</v>
      </c>
      <c r="C3714" s="2">
        <v>1845.16</v>
      </c>
      <c r="D3714" s="2">
        <v>4292.06</v>
      </c>
      <c r="E3714" s="2">
        <v>4292.06</v>
      </c>
      <c r="G3714" s="1" t="s">
        <v>7421</v>
      </c>
      <c r="H3714" s="2">
        <v>1970.77</v>
      </c>
      <c r="I3714" s="2">
        <v>1970.77</v>
      </c>
    </row>
    <row r="3715">
      <c r="A3715" s="1" t="s">
        <v>7422</v>
      </c>
      <c r="B3715" s="2">
        <v>1854.29</v>
      </c>
      <c r="C3715" s="2">
        <v>1854.29</v>
      </c>
      <c r="D3715" s="2">
        <v>4318.93</v>
      </c>
      <c r="E3715" s="2">
        <v>4318.93</v>
      </c>
      <c r="G3715" s="1" t="s">
        <v>7423</v>
      </c>
      <c r="H3715" s="2">
        <v>1978.43</v>
      </c>
      <c r="I3715" s="2">
        <v>1978.43</v>
      </c>
    </row>
    <row r="3716">
      <c r="A3716" s="1" t="s">
        <v>7424</v>
      </c>
      <c r="B3716" s="2">
        <v>1859.45</v>
      </c>
      <c r="C3716" s="2">
        <v>1859.45</v>
      </c>
      <c r="D3716" s="2">
        <v>4308.12</v>
      </c>
      <c r="E3716" s="2">
        <v>4308.12</v>
      </c>
      <c r="G3716" s="1" t="s">
        <v>7425</v>
      </c>
      <c r="H3716" s="2">
        <v>1979.99</v>
      </c>
      <c r="I3716" s="2">
        <v>1979.99</v>
      </c>
    </row>
    <row r="3717">
      <c r="A3717" s="1" t="s">
        <v>7426</v>
      </c>
      <c r="B3717" s="2" t="s">
        <v>0</v>
      </c>
      <c r="C3717" s="2">
        <v>1859.45</v>
      </c>
      <c r="D3717" s="2" t="s">
        <v>0</v>
      </c>
      <c r="E3717" s="2">
        <v>4308.12</v>
      </c>
      <c r="G3717" s="1" t="s">
        <v>7427</v>
      </c>
      <c r="H3717" s="2" t="s">
        <v>0</v>
      </c>
      <c r="I3717" s="2">
        <v>1979.99</v>
      </c>
    </row>
    <row r="3718">
      <c r="A3718" s="1" t="s">
        <v>7428</v>
      </c>
      <c r="B3718" s="2" t="s">
        <v>0</v>
      </c>
      <c r="C3718" s="2">
        <v>1859.45</v>
      </c>
      <c r="D3718" s="2" t="s">
        <v>0</v>
      </c>
      <c r="E3718" s="2">
        <v>4308.12</v>
      </c>
      <c r="G3718" s="1" t="s">
        <v>7429</v>
      </c>
      <c r="H3718" s="2" t="s">
        <v>0</v>
      </c>
      <c r="I3718" s="2">
        <v>1979.99</v>
      </c>
    </row>
    <row r="3719">
      <c r="A3719" s="1" t="s">
        <v>7430</v>
      </c>
      <c r="B3719" s="2">
        <v>1845.73</v>
      </c>
      <c r="C3719" s="2">
        <v>1845.73</v>
      </c>
      <c r="D3719" s="2">
        <v>4277.3</v>
      </c>
      <c r="E3719" s="2">
        <v>4277.3</v>
      </c>
      <c r="G3719" s="1" t="s">
        <v>7431</v>
      </c>
      <c r="H3719" s="2">
        <v>1964.69</v>
      </c>
      <c r="I3719" s="2">
        <v>1964.69</v>
      </c>
    </row>
    <row r="3720">
      <c r="A3720" s="1" t="s">
        <v>7432</v>
      </c>
      <c r="B3720" s="2">
        <v>1873.91</v>
      </c>
      <c r="C3720" s="2">
        <v>1873.91</v>
      </c>
      <c r="D3720" s="2">
        <v>4351.97</v>
      </c>
      <c r="E3720" s="2">
        <v>4351.97</v>
      </c>
      <c r="G3720" s="1" t="s">
        <v>7433</v>
      </c>
      <c r="H3720" s="2">
        <v>1954.11</v>
      </c>
      <c r="I3720" s="2">
        <v>1954.11</v>
      </c>
    </row>
    <row r="3721">
      <c r="A3721" s="1" t="s">
        <v>7434</v>
      </c>
      <c r="B3721" s="2">
        <v>1873.81</v>
      </c>
      <c r="C3721" s="2">
        <v>1873.81</v>
      </c>
      <c r="D3721" s="2">
        <v>4357.97</v>
      </c>
      <c r="E3721" s="2">
        <v>4357.97</v>
      </c>
      <c r="G3721" s="1" t="s">
        <v>7435</v>
      </c>
      <c r="H3721" s="2">
        <v>1971.24</v>
      </c>
      <c r="I3721" s="2">
        <v>1971.24</v>
      </c>
    </row>
    <row r="3722">
      <c r="A3722" s="1" t="s">
        <v>7436</v>
      </c>
      <c r="B3722" s="2">
        <v>1877.03</v>
      </c>
      <c r="C3722" s="2">
        <v>1877.03</v>
      </c>
      <c r="D3722" s="2">
        <v>4352.13</v>
      </c>
      <c r="E3722" s="2">
        <v>4352.13</v>
      </c>
      <c r="G3722" s="1" t="s">
        <v>7437</v>
      </c>
      <c r="H3722" s="2">
        <v>1975.62</v>
      </c>
      <c r="I3722" s="2">
        <v>1975.62</v>
      </c>
    </row>
    <row r="3723">
      <c r="A3723" s="1" t="s">
        <v>7438</v>
      </c>
      <c r="B3723" s="2">
        <v>1878.04</v>
      </c>
      <c r="C3723" s="2">
        <v>1878.04</v>
      </c>
      <c r="D3723" s="2">
        <v>4336.22</v>
      </c>
      <c r="E3723" s="2">
        <v>4336.22</v>
      </c>
      <c r="G3723" s="1" t="s">
        <v>7439</v>
      </c>
      <c r="H3723" s="2">
        <v>1974.68</v>
      </c>
      <c r="I3723" s="2">
        <v>1974.68</v>
      </c>
    </row>
    <row r="3724">
      <c r="A3724" s="1" t="s">
        <v>7440</v>
      </c>
      <c r="B3724" s="2" t="s">
        <v>0</v>
      </c>
      <c r="C3724" s="2">
        <v>1878.04</v>
      </c>
      <c r="D3724" s="2" t="s">
        <v>0</v>
      </c>
      <c r="E3724" s="2">
        <v>4336.22</v>
      </c>
      <c r="G3724" s="1" t="s">
        <v>7441</v>
      </c>
      <c r="H3724" s="2" t="s">
        <v>0</v>
      </c>
      <c r="I3724" s="2">
        <v>1974.68</v>
      </c>
    </row>
    <row r="3725">
      <c r="A3725" s="1" t="s">
        <v>7442</v>
      </c>
      <c r="B3725" s="2" t="s">
        <v>0</v>
      </c>
      <c r="C3725" s="2">
        <v>1878.04</v>
      </c>
      <c r="D3725" s="2" t="s">
        <v>0</v>
      </c>
      <c r="E3725" s="2">
        <v>4336.22</v>
      </c>
      <c r="G3725" s="1" t="s">
        <v>7443</v>
      </c>
      <c r="H3725" s="2" t="s">
        <v>0</v>
      </c>
      <c r="I3725" s="2">
        <v>1974.68</v>
      </c>
    </row>
    <row r="3726">
      <c r="A3726" s="1" t="s">
        <v>7444</v>
      </c>
      <c r="B3726" s="2">
        <v>1877.17</v>
      </c>
      <c r="C3726" s="2">
        <v>1877.17</v>
      </c>
      <c r="D3726" s="2">
        <v>4334.45</v>
      </c>
      <c r="E3726" s="2">
        <v>4334.45</v>
      </c>
      <c r="G3726" s="1" t="s">
        <v>7445</v>
      </c>
      <c r="H3726" s="2">
        <v>1954.42</v>
      </c>
      <c r="I3726" s="2">
        <v>1954.42</v>
      </c>
    </row>
    <row r="3727">
      <c r="A3727" s="1" t="s">
        <v>7446</v>
      </c>
      <c r="B3727" s="2">
        <v>1867.63</v>
      </c>
      <c r="C3727" s="2">
        <v>1867.63</v>
      </c>
      <c r="D3727" s="2">
        <v>4307.19</v>
      </c>
      <c r="E3727" s="2">
        <v>4307.19</v>
      </c>
      <c r="G3727" s="1" t="s">
        <v>7447</v>
      </c>
      <c r="H3727" s="2">
        <v>1963.87</v>
      </c>
      <c r="I3727" s="2">
        <v>1963.87</v>
      </c>
    </row>
    <row r="3728">
      <c r="A3728" s="1" t="s">
        <v>7448</v>
      </c>
      <c r="B3728" s="2">
        <v>1868.2</v>
      </c>
      <c r="C3728" s="2">
        <v>1868.2</v>
      </c>
      <c r="D3728" s="2">
        <v>4323.33</v>
      </c>
      <c r="E3728" s="2">
        <v>4323.33</v>
      </c>
      <c r="G3728" s="1" t="s">
        <v>7449</v>
      </c>
      <c r="H3728" s="2">
        <v>1932.54</v>
      </c>
      <c r="I3728" s="2">
        <v>1932.54</v>
      </c>
    </row>
    <row r="3729">
      <c r="A3729" s="1" t="s">
        <v>7450</v>
      </c>
      <c r="B3729" s="2">
        <v>1846.34</v>
      </c>
      <c r="C3729" s="2">
        <v>1846.34</v>
      </c>
      <c r="D3729" s="2">
        <v>4260.42</v>
      </c>
      <c r="E3729" s="2">
        <v>4260.42</v>
      </c>
      <c r="G3729" s="1" t="s">
        <v>7451</v>
      </c>
      <c r="H3729" s="2">
        <v>1934.38</v>
      </c>
      <c r="I3729" s="2">
        <v>1934.38</v>
      </c>
    </row>
    <row r="3730">
      <c r="A3730" s="1" t="s">
        <v>7452</v>
      </c>
      <c r="B3730" s="2">
        <v>1841.13</v>
      </c>
      <c r="C3730" s="2">
        <v>1841.13</v>
      </c>
      <c r="D3730" s="2">
        <v>4245.4</v>
      </c>
      <c r="E3730" s="2">
        <v>4245.4</v>
      </c>
      <c r="G3730" s="1" t="s">
        <v>7453</v>
      </c>
      <c r="H3730" s="2">
        <v>1919.9</v>
      </c>
      <c r="I3730" s="2">
        <v>1919.9</v>
      </c>
    </row>
    <row r="3731">
      <c r="A3731" s="1" t="s">
        <v>7454</v>
      </c>
      <c r="B3731" s="2" t="s">
        <v>0</v>
      </c>
      <c r="C3731" s="2">
        <v>1841.13</v>
      </c>
      <c r="D3731" s="2" t="s">
        <v>0</v>
      </c>
      <c r="E3731" s="2">
        <v>4245.4</v>
      </c>
      <c r="G3731" s="1" t="s">
        <v>7455</v>
      </c>
      <c r="H3731" s="2" t="s">
        <v>0</v>
      </c>
      <c r="I3731" s="2">
        <v>1919.9</v>
      </c>
    </row>
    <row r="3732">
      <c r="A3732" s="1" t="s">
        <v>7456</v>
      </c>
      <c r="B3732" s="2" t="s">
        <v>0</v>
      </c>
      <c r="C3732" s="2">
        <v>1841.13</v>
      </c>
      <c r="D3732" s="2" t="s">
        <v>0</v>
      </c>
      <c r="E3732" s="2">
        <v>4245.4</v>
      </c>
      <c r="G3732" s="1" t="s">
        <v>7457</v>
      </c>
      <c r="H3732" s="2" t="s">
        <v>0</v>
      </c>
      <c r="I3732" s="2">
        <v>1919.9</v>
      </c>
    </row>
    <row r="3733">
      <c r="A3733" s="1" t="s">
        <v>7458</v>
      </c>
      <c r="B3733" s="2">
        <v>1858.83</v>
      </c>
      <c r="C3733" s="2">
        <v>1858.83</v>
      </c>
      <c r="D3733" s="2">
        <v>4279.95</v>
      </c>
      <c r="E3733" s="2">
        <v>4279.95</v>
      </c>
      <c r="G3733" s="1" t="s">
        <v>7459</v>
      </c>
      <c r="H3733" s="2">
        <v>1927.53</v>
      </c>
      <c r="I3733" s="2">
        <v>1927.53</v>
      </c>
    </row>
    <row r="3734">
      <c r="A3734" s="1" t="s">
        <v>7460</v>
      </c>
      <c r="B3734" s="2">
        <v>1872.25</v>
      </c>
      <c r="C3734" s="2">
        <v>1872.25</v>
      </c>
      <c r="D3734" s="2">
        <v>4333.31</v>
      </c>
      <c r="E3734" s="2">
        <v>4333.31</v>
      </c>
      <c r="G3734" s="1" t="s">
        <v>7461</v>
      </c>
      <c r="H3734" s="2">
        <v>1940.21</v>
      </c>
      <c r="I3734" s="2">
        <v>1940.21</v>
      </c>
    </row>
    <row r="3735">
      <c r="A3735" s="1" t="s">
        <v>7462</v>
      </c>
      <c r="B3735" s="2">
        <v>1860.77</v>
      </c>
      <c r="C3735" s="2">
        <v>1860.77</v>
      </c>
      <c r="D3735" s="2">
        <v>4307.6</v>
      </c>
      <c r="E3735" s="2">
        <v>4307.6</v>
      </c>
      <c r="G3735" s="1" t="s">
        <v>7463</v>
      </c>
      <c r="H3735" s="2">
        <v>1937.68</v>
      </c>
      <c r="I3735" s="2">
        <v>1937.68</v>
      </c>
    </row>
    <row r="3736">
      <c r="A3736" s="1" t="s">
        <v>7464</v>
      </c>
      <c r="B3736" s="2">
        <v>1872.01</v>
      </c>
      <c r="C3736" s="2">
        <v>1872.01</v>
      </c>
      <c r="D3736" s="2">
        <v>4319.29</v>
      </c>
      <c r="E3736" s="2">
        <v>4319.29</v>
      </c>
      <c r="G3736" s="1" t="s">
        <v>7465</v>
      </c>
      <c r="H3736" s="2">
        <v>1919.52</v>
      </c>
      <c r="I3736" s="2">
        <v>1919.52</v>
      </c>
    </row>
    <row r="3737">
      <c r="A3737" s="1" t="s">
        <v>7466</v>
      </c>
      <c r="B3737" s="2">
        <v>1866.4</v>
      </c>
      <c r="C3737" s="2">
        <v>1866.4</v>
      </c>
      <c r="D3737" s="2">
        <v>4276.79</v>
      </c>
      <c r="E3737" s="2">
        <v>4276.79</v>
      </c>
      <c r="G3737" s="1" t="s">
        <v>7467</v>
      </c>
      <c r="H3737" s="2">
        <v>1934.94</v>
      </c>
      <c r="I3737" s="2">
        <v>1934.94</v>
      </c>
    </row>
    <row r="3738">
      <c r="A3738" s="1" t="s">
        <v>7468</v>
      </c>
      <c r="B3738" s="2" t="s">
        <v>0</v>
      </c>
      <c r="C3738" s="2">
        <v>1866.4</v>
      </c>
      <c r="D3738" s="2" t="s">
        <v>0</v>
      </c>
      <c r="E3738" s="2">
        <v>4276.79</v>
      </c>
      <c r="G3738" s="1" t="s">
        <v>7469</v>
      </c>
      <c r="H3738" s="2" t="s">
        <v>0</v>
      </c>
      <c r="I3738" s="2">
        <v>1934.94</v>
      </c>
    </row>
    <row r="3739">
      <c r="A3739" s="1" t="s">
        <v>7470</v>
      </c>
      <c r="B3739" s="2" t="s">
        <v>0</v>
      </c>
      <c r="C3739" s="2">
        <v>1866.4</v>
      </c>
      <c r="D3739" s="2" t="s">
        <v>0</v>
      </c>
      <c r="E3739" s="2">
        <v>4276.79</v>
      </c>
      <c r="G3739" s="1" t="s">
        <v>7471</v>
      </c>
      <c r="H3739" s="2" t="s">
        <v>0</v>
      </c>
      <c r="I3739" s="2">
        <v>1934.94</v>
      </c>
    </row>
    <row r="3740">
      <c r="A3740" s="1" t="s">
        <v>7472</v>
      </c>
      <c r="B3740" s="2">
        <v>1857.44</v>
      </c>
      <c r="C3740" s="2">
        <v>1857.44</v>
      </c>
      <c r="D3740" s="2">
        <v>4226.38</v>
      </c>
      <c r="E3740" s="2">
        <v>4226.38</v>
      </c>
      <c r="G3740" s="1" t="s">
        <v>7473</v>
      </c>
      <c r="H3740" s="2">
        <v>1945.55</v>
      </c>
      <c r="I3740" s="2">
        <v>1945.55</v>
      </c>
    </row>
    <row r="3741">
      <c r="A3741" s="1" t="s">
        <v>7474</v>
      </c>
      <c r="B3741" s="2">
        <v>1865.62</v>
      </c>
      <c r="C3741" s="2">
        <v>1865.62</v>
      </c>
      <c r="D3741" s="2">
        <v>4234.27</v>
      </c>
      <c r="E3741" s="2">
        <v>4234.27</v>
      </c>
      <c r="G3741" s="1" t="s">
        <v>7475</v>
      </c>
      <c r="H3741" s="2">
        <v>1941.25</v>
      </c>
      <c r="I3741" s="2">
        <v>1941.25</v>
      </c>
    </row>
    <row r="3742">
      <c r="A3742" s="1" t="s">
        <v>7476</v>
      </c>
      <c r="B3742" s="2">
        <v>1852.56</v>
      </c>
      <c r="C3742" s="2">
        <v>1852.56</v>
      </c>
      <c r="D3742" s="2">
        <v>4173.58</v>
      </c>
      <c r="E3742" s="2">
        <v>4173.58</v>
      </c>
      <c r="G3742" s="1" t="s">
        <v>7477</v>
      </c>
      <c r="H3742" s="2">
        <v>1964.31</v>
      </c>
      <c r="I3742" s="2">
        <v>1964.31</v>
      </c>
    </row>
    <row r="3743">
      <c r="A3743" s="1" t="s">
        <v>7478</v>
      </c>
      <c r="B3743" s="2">
        <v>1849.04</v>
      </c>
      <c r="C3743" s="2">
        <v>1849.04</v>
      </c>
      <c r="D3743" s="2">
        <v>4151.23</v>
      </c>
      <c r="E3743" s="2">
        <v>4151.23</v>
      </c>
      <c r="G3743" s="1" t="s">
        <v>7479</v>
      </c>
      <c r="H3743" s="2">
        <v>1977.97</v>
      </c>
      <c r="I3743" s="2">
        <v>1977.97</v>
      </c>
    </row>
    <row r="3744">
      <c r="A3744" s="1" t="s">
        <v>7480</v>
      </c>
      <c r="B3744" s="2">
        <v>1857.62</v>
      </c>
      <c r="C3744" s="2">
        <v>1857.62</v>
      </c>
      <c r="D3744" s="2">
        <v>4155.76</v>
      </c>
      <c r="E3744" s="2">
        <v>4155.76</v>
      </c>
      <c r="G3744" s="1" t="s">
        <v>7481</v>
      </c>
      <c r="H3744" s="2">
        <v>1981.0</v>
      </c>
      <c r="I3744" s="2">
        <v>1981.0</v>
      </c>
    </row>
    <row r="3745">
      <c r="A3745" s="1" t="s">
        <v>7482</v>
      </c>
      <c r="B3745" s="2" t="s">
        <v>0</v>
      </c>
      <c r="C3745" s="2">
        <v>1857.62</v>
      </c>
      <c r="D3745" s="2" t="s">
        <v>0</v>
      </c>
      <c r="E3745" s="2">
        <v>4155.76</v>
      </c>
      <c r="G3745" s="1" t="s">
        <v>7483</v>
      </c>
      <c r="H3745" s="2" t="s">
        <v>0</v>
      </c>
      <c r="I3745" s="2">
        <v>1981.0</v>
      </c>
    </row>
    <row r="3746">
      <c r="A3746" s="1" t="s">
        <v>7484</v>
      </c>
      <c r="B3746" s="2" t="s">
        <v>0</v>
      </c>
      <c r="C3746" s="2">
        <v>1857.62</v>
      </c>
      <c r="D3746" s="2" t="s">
        <v>0</v>
      </c>
      <c r="E3746" s="2">
        <v>4155.76</v>
      </c>
      <c r="G3746" s="1" t="s">
        <v>7485</v>
      </c>
      <c r="H3746" s="2" t="s">
        <v>0</v>
      </c>
      <c r="I3746" s="2">
        <v>1981.0</v>
      </c>
    </row>
    <row r="3747">
      <c r="A3747" s="1" t="s">
        <v>7486</v>
      </c>
      <c r="B3747" s="2">
        <v>1872.34</v>
      </c>
      <c r="C3747" s="2">
        <v>1872.34</v>
      </c>
      <c r="D3747" s="2">
        <v>4198.99</v>
      </c>
      <c r="E3747" s="2">
        <v>4198.99</v>
      </c>
      <c r="G3747" s="1" t="s">
        <v>7487</v>
      </c>
      <c r="H3747" s="2">
        <v>1985.61</v>
      </c>
      <c r="I3747" s="2">
        <v>1985.61</v>
      </c>
    </row>
    <row r="3748">
      <c r="A3748" s="1" t="s">
        <v>7488</v>
      </c>
      <c r="B3748" s="2">
        <v>1885.52</v>
      </c>
      <c r="C3748" s="2">
        <v>1885.52</v>
      </c>
      <c r="D3748" s="2">
        <v>4268.04</v>
      </c>
      <c r="E3748" s="2">
        <v>4268.04</v>
      </c>
      <c r="G3748" s="1" t="s">
        <v>7489</v>
      </c>
      <c r="H3748" s="2">
        <v>1991.98</v>
      </c>
      <c r="I3748" s="2">
        <v>1991.98</v>
      </c>
    </row>
    <row r="3749">
      <c r="A3749" s="1" t="s">
        <v>7490</v>
      </c>
      <c r="B3749" s="2">
        <v>1890.9</v>
      </c>
      <c r="C3749" s="2">
        <v>1890.9</v>
      </c>
      <c r="D3749" s="2">
        <v>4276.46</v>
      </c>
      <c r="E3749" s="2">
        <v>4276.46</v>
      </c>
      <c r="G3749" s="1" t="s">
        <v>7491</v>
      </c>
      <c r="H3749" s="2">
        <v>1997.25</v>
      </c>
      <c r="I3749" s="2">
        <v>1997.25</v>
      </c>
    </row>
    <row r="3750">
      <c r="A3750" s="1" t="s">
        <v>7492</v>
      </c>
      <c r="B3750" s="2">
        <v>1888.77</v>
      </c>
      <c r="C3750" s="2">
        <v>1888.77</v>
      </c>
      <c r="D3750" s="2">
        <v>4237.74</v>
      </c>
      <c r="E3750" s="2">
        <v>4237.74</v>
      </c>
      <c r="G3750" s="1" t="s">
        <v>7493</v>
      </c>
      <c r="H3750" s="2">
        <v>1993.7</v>
      </c>
      <c r="I3750" s="2">
        <v>1993.7</v>
      </c>
    </row>
    <row r="3751">
      <c r="A3751" s="1" t="s">
        <v>7494</v>
      </c>
      <c r="B3751" s="2">
        <v>1865.09</v>
      </c>
      <c r="C3751" s="2">
        <v>1865.09</v>
      </c>
      <c r="D3751" s="2">
        <v>4127.73</v>
      </c>
      <c r="E3751" s="2">
        <v>4127.73</v>
      </c>
      <c r="G3751" s="1" t="s">
        <v>7495</v>
      </c>
      <c r="H3751" s="2">
        <v>1988.09</v>
      </c>
      <c r="I3751" s="2">
        <v>1988.09</v>
      </c>
    </row>
    <row r="3752">
      <c r="A3752" s="1" t="s">
        <v>7496</v>
      </c>
      <c r="B3752" s="2" t="s">
        <v>0</v>
      </c>
      <c r="C3752" s="2">
        <v>1865.09</v>
      </c>
      <c r="D3752" s="2" t="s">
        <v>0</v>
      </c>
      <c r="E3752" s="2">
        <v>4127.73</v>
      </c>
      <c r="G3752" s="1" t="s">
        <v>7497</v>
      </c>
      <c r="H3752" s="2" t="s">
        <v>0</v>
      </c>
      <c r="I3752" s="2">
        <v>1988.09</v>
      </c>
    </row>
    <row r="3753">
      <c r="A3753" s="1" t="s">
        <v>7498</v>
      </c>
      <c r="B3753" s="2" t="s">
        <v>0</v>
      </c>
      <c r="C3753" s="2">
        <v>1865.09</v>
      </c>
      <c r="D3753" s="2" t="s">
        <v>0</v>
      </c>
      <c r="E3753" s="2">
        <v>4127.73</v>
      </c>
      <c r="G3753" s="1" t="s">
        <v>7499</v>
      </c>
      <c r="H3753" s="2" t="s">
        <v>0</v>
      </c>
      <c r="I3753" s="2">
        <v>1988.09</v>
      </c>
    </row>
    <row r="3754">
      <c r="A3754" s="1" t="s">
        <v>7500</v>
      </c>
      <c r="B3754" s="2">
        <v>1845.04</v>
      </c>
      <c r="C3754" s="2">
        <v>1845.04</v>
      </c>
      <c r="D3754" s="2">
        <v>4079.75</v>
      </c>
      <c r="E3754" s="2">
        <v>4079.75</v>
      </c>
      <c r="G3754" s="1" t="s">
        <v>7501</v>
      </c>
      <c r="H3754" s="2">
        <v>1989.7</v>
      </c>
      <c r="I3754" s="2">
        <v>1989.7</v>
      </c>
    </row>
    <row r="3755">
      <c r="A3755" s="1" t="s">
        <v>7502</v>
      </c>
      <c r="B3755" s="2">
        <v>1851.96</v>
      </c>
      <c r="C3755" s="2">
        <v>1851.96</v>
      </c>
      <c r="D3755" s="2">
        <v>4112.99</v>
      </c>
      <c r="E3755" s="2">
        <v>4112.99</v>
      </c>
      <c r="G3755" s="1" t="s">
        <v>7503</v>
      </c>
      <c r="H3755" s="2">
        <v>1993.03</v>
      </c>
      <c r="I3755" s="2">
        <v>1993.03</v>
      </c>
    </row>
    <row r="3756">
      <c r="A3756" s="1" t="s">
        <v>7504</v>
      </c>
      <c r="B3756" s="2">
        <v>1872.18</v>
      </c>
      <c r="C3756" s="2">
        <v>1872.18</v>
      </c>
      <c r="D3756" s="2">
        <v>4183.9</v>
      </c>
      <c r="E3756" s="2">
        <v>4183.9</v>
      </c>
      <c r="G3756" s="1" t="s">
        <v>7505</v>
      </c>
      <c r="H3756" s="2">
        <v>1998.95</v>
      </c>
      <c r="I3756" s="2">
        <v>1998.95</v>
      </c>
    </row>
    <row r="3757">
      <c r="A3757" s="1" t="s">
        <v>7506</v>
      </c>
      <c r="B3757" s="2">
        <v>1833.08</v>
      </c>
      <c r="C3757" s="2">
        <v>1833.08</v>
      </c>
      <c r="D3757" s="2">
        <v>4054.11</v>
      </c>
      <c r="E3757" s="2">
        <v>4054.11</v>
      </c>
      <c r="G3757" s="1" t="s">
        <v>7507</v>
      </c>
      <c r="H3757" s="2">
        <v>2008.61</v>
      </c>
      <c r="I3757" s="2">
        <v>2008.61</v>
      </c>
    </row>
    <row r="3758">
      <c r="A3758" s="1" t="s">
        <v>7508</v>
      </c>
      <c r="B3758" s="2">
        <v>1815.69</v>
      </c>
      <c r="C3758" s="2">
        <v>1815.69</v>
      </c>
      <c r="D3758" s="2">
        <v>3999.73</v>
      </c>
      <c r="E3758" s="2">
        <v>3999.73</v>
      </c>
      <c r="G3758" s="1" t="s">
        <v>7509</v>
      </c>
      <c r="H3758" s="2">
        <v>1997.44</v>
      </c>
      <c r="I3758" s="2">
        <v>1997.44</v>
      </c>
    </row>
    <row r="3759">
      <c r="A3759" s="1" t="s">
        <v>7510</v>
      </c>
      <c r="B3759" s="2" t="s">
        <v>0</v>
      </c>
      <c r="C3759" s="2">
        <v>1815.69</v>
      </c>
      <c r="D3759" s="2" t="s">
        <v>0</v>
      </c>
      <c r="E3759" s="2">
        <v>3999.73</v>
      </c>
      <c r="G3759" s="1" t="s">
        <v>7511</v>
      </c>
      <c r="H3759" s="2" t="s">
        <v>0</v>
      </c>
      <c r="I3759" s="2">
        <v>1997.44</v>
      </c>
    </row>
    <row r="3760">
      <c r="A3760" s="1" t="s">
        <v>7512</v>
      </c>
      <c r="B3760" s="2" t="s">
        <v>0</v>
      </c>
      <c r="C3760" s="2">
        <v>1815.69</v>
      </c>
      <c r="D3760" s="2" t="s">
        <v>0</v>
      </c>
      <c r="E3760" s="2">
        <v>3999.73</v>
      </c>
      <c r="G3760" s="1" t="s">
        <v>7513</v>
      </c>
      <c r="H3760" s="2" t="s">
        <v>0</v>
      </c>
      <c r="I3760" s="2">
        <v>1997.44</v>
      </c>
    </row>
    <row r="3761">
      <c r="A3761" s="1" t="s">
        <v>7514</v>
      </c>
      <c r="B3761" s="2">
        <v>1830.61</v>
      </c>
      <c r="C3761" s="2">
        <v>1830.61</v>
      </c>
      <c r="D3761" s="2">
        <v>4022.69</v>
      </c>
      <c r="E3761" s="2">
        <v>4022.69</v>
      </c>
      <c r="G3761" s="1" t="s">
        <v>7515</v>
      </c>
      <c r="H3761" s="2">
        <v>1997.02</v>
      </c>
      <c r="I3761" s="2">
        <v>1997.02</v>
      </c>
    </row>
    <row r="3762">
      <c r="A3762" s="1" t="s">
        <v>7516</v>
      </c>
      <c r="B3762" s="2">
        <v>1842.98</v>
      </c>
      <c r="C3762" s="2">
        <v>1842.98</v>
      </c>
      <c r="D3762" s="2">
        <v>4034.16</v>
      </c>
      <c r="E3762" s="2">
        <v>4034.16</v>
      </c>
      <c r="G3762" s="1" t="s">
        <v>7517</v>
      </c>
      <c r="H3762" s="2">
        <v>1992.27</v>
      </c>
      <c r="I3762" s="2">
        <v>1992.27</v>
      </c>
    </row>
    <row r="3763">
      <c r="A3763" s="1" t="s">
        <v>7518</v>
      </c>
      <c r="B3763" s="2">
        <v>1862.31</v>
      </c>
      <c r="C3763" s="2">
        <v>1862.31</v>
      </c>
      <c r="D3763" s="2">
        <v>4086.23</v>
      </c>
      <c r="E3763" s="2">
        <v>4086.23</v>
      </c>
      <c r="G3763" s="1" t="s">
        <v>7519</v>
      </c>
      <c r="H3763" s="2">
        <v>1992.21</v>
      </c>
      <c r="I3763" s="2">
        <v>1992.21</v>
      </c>
    </row>
    <row r="3764">
      <c r="A3764" s="1" t="s">
        <v>7520</v>
      </c>
      <c r="B3764" s="2">
        <v>1864.85</v>
      </c>
      <c r="C3764" s="2">
        <v>1864.85</v>
      </c>
      <c r="D3764" s="2">
        <v>4095.52</v>
      </c>
      <c r="E3764" s="2">
        <v>4095.52</v>
      </c>
      <c r="G3764" s="1" t="s">
        <v>7521</v>
      </c>
      <c r="H3764" s="2">
        <v>1992.05</v>
      </c>
      <c r="I3764" s="2">
        <v>1992.05</v>
      </c>
    </row>
    <row r="3765">
      <c r="A3765" s="1" t="s">
        <v>7522</v>
      </c>
      <c r="B3765" s="2" t="s">
        <v>0</v>
      </c>
      <c r="C3765" s="2">
        <v>1864.85</v>
      </c>
      <c r="D3765" s="2" t="s">
        <v>0</v>
      </c>
      <c r="E3765" s="2">
        <v>4095.52</v>
      </c>
      <c r="G3765" s="1" t="s">
        <v>7523</v>
      </c>
      <c r="H3765" s="2">
        <v>2004.28</v>
      </c>
      <c r="I3765" s="2">
        <v>2004.28</v>
      </c>
    </row>
    <row r="3766">
      <c r="A3766" s="1" t="s">
        <v>7524</v>
      </c>
      <c r="B3766" s="2" t="s">
        <v>0</v>
      </c>
      <c r="C3766" s="2">
        <v>1864.85</v>
      </c>
      <c r="D3766" s="2" t="s">
        <v>0</v>
      </c>
      <c r="E3766" s="2">
        <v>4095.52</v>
      </c>
      <c r="G3766" s="1" t="s">
        <v>7525</v>
      </c>
      <c r="H3766" s="2" t="s">
        <v>0</v>
      </c>
      <c r="I3766" s="2">
        <v>2004.28</v>
      </c>
    </row>
    <row r="3767">
      <c r="A3767" s="1" t="s">
        <v>7526</v>
      </c>
      <c r="B3767" s="2" t="s">
        <v>0</v>
      </c>
      <c r="C3767" s="2">
        <v>1864.85</v>
      </c>
      <c r="D3767" s="2" t="s">
        <v>0</v>
      </c>
      <c r="E3767" s="2">
        <v>4095.52</v>
      </c>
      <c r="G3767" s="1" t="s">
        <v>7527</v>
      </c>
      <c r="H3767" s="2" t="s">
        <v>0</v>
      </c>
      <c r="I3767" s="2">
        <v>2004.28</v>
      </c>
    </row>
    <row r="3768">
      <c r="A3768" s="1" t="s">
        <v>7528</v>
      </c>
      <c r="B3768" s="2">
        <v>1871.89</v>
      </c>
      <c r="C3768" s="2">
        <v>1871.89</v>
      </c>
      <c r="D3768" s="2">
        <v>4121.55</v>
      </c>
      <c r="E3768" s="2">
        <v>4121.55</v>
      </c>
      <c r="G3768" s="1" t="s">
        <v>7529</v>
      </c>
      <c r="H3768" s="2">
        <v>1999.22</v>
      </c>
      <c r="I3768" s="2">
        <v>1999.22</v>
      </c>
    </row>
    <row r="3769">
      <c r="A3769" s="1" t="s">
        <v>7530</v>
      </c>
      <c r="B3769" s="2">
        <v>1879.55</v>
      </c>
      <c r="C3769" s="2">
        <v>1879.55</v>
      </c>
      <c r="D3769" s="2">
        <v>4161.46</v>
      </c>
      <c r="E3769" s="2">
        <v>4161.46</v>
      </c>
      <c r="G3769" s="1" t="s">
        <v>7531</v>
      </c>
      <c r="H3769" s="2">
        <v>2004.22</v>
      </c>
      <c r="I3769" s="2">
        <v>2004.22</v>
      </c>
    </row>
    <row r="3770">
      <c r="A3770" s="1" t="s">
        <v>7532</v>
      </c>
      <c r="B3770" s="2">
        <v>1875.39</v>
      </c>
      <c r="C3770" s="2">
        <v>1875.39</v>
      </c>
      <c r="D3770" s="2">
        <v>4126.97</v>
      </c>
      <c r="E3770" s="2">
        <v>4126.97</v>
      </c>
      <c r="G3770" s="1" t="s">
        <v>7533</v>
      </c>
      <c r="H3770" s="2">
        <v>2000.37</v>
      </c>
      <c r="I3770" s="2">
        <v>2000.37</v>
      </c>
    </row>
    <row r="3771">
      <c r="A3771" s="1" t="s">
        <v>7534</v>
      </c>
      <c r="B3771" s="2">
        <v>1878.61</v>
      </c>
      <c r="C3771" s="2">
        <v>1878.61</v>
      </c>
      <c r="D3771" s="2">
        <v>4148.34</v>
      </c>
      <c r="E3771" s="2">
        <v>4148.34</v>
      </c>
      <c r="G3771" s="1" t="s">
        <v>7535</v>
      </c>
      <c r="H3771" s="2">
        <v>1998.34</v>
      </c>
      <c r="I3771" s="2">
        <v>1998.34</v>
      </c>
    </row>
    <row r="3772">
      <c r="A3772" s="1" t="s">
        <v>7536</v>
      </c>
      <c r="B3772" s="2">
        <v>1863.4</v>
      </c>
      <c r="C3772" s="2">
        <v>1863.4</v>
      </c>
      <c r="D3772" s="2">
        <v>4075.56</v>
      </c>
      <c r="E3772" s="2">
        <v>4075.56</v>
      </c>
      <c r="G3772" s="1" t="s">
        <v>7537</v>
      </c>
      <c r="H3772" s="2">
        <v>1971.66</v>
      </c>
      <c r="I3772" s="2">
        <v>1971.66</v>
      </c>
    </row>
    <row r="3773">
      <c r="A3773" s="1" t="s">
        <v>7538</v>
      </c>
      <c r="B3773" s="2" t="s">
        <v>0</v>
      </c>
      <c r="C3773" s="2">
        <v>1863.4</v>
      </c>
      <c r="D3773" s="2" t="s">
        <v>0</v>
      </c>
      <c r="E3773" s="2">
        <v>4075.56</v>
      </c>
      <c r="G3773" s="1" t="s">
        <v>7539</v>
      </c>
      <c r="H3773" s="2" t="s">
        <v>0</v>
      </c>
      <c r="I3773" s="2">
        <v>1971.66</v>
      </c>
    </row>
    <row r="3774">
      <c r="A3774" s="1" t="s">
        <v>7540</v>
      </c>
      <c r="B3774" s="2" t="s">
        <v>0</v>
      </c>
      <c r="C3774" s="2">
        <v>1863.4</v>
      </c>
      <c r="D3774" s="2" t="s">
        <v>0</v>
      </c>
      <c r="E3774" s="2">
        <v>4075.56</v>
      </c>
      <c r="G3774" s="1" t="s">
        <v>7541</v>
      </c>
      <c r="H3774" s="2" t="s">
        <v>0</v>
      </c>
      <c r="I3774" s="2">
        <v>1971.66</v>
      </c>
    </row>
    <row r="3775">
      <c r="A3775" s="1" t="s">
        <v>7542</v>
      </c>
      <c r="B3775" s="2">
        <v>1869.43</v>
      </c>
      <c r="C3775" s="2">
        <v>1869.43</v>
      </c>
      <c r="D3775" s="2">
        <v>4074.4</v>
      </c>
      <c r="E3775" s="2">
        <v>4074.4</v>
      </c>
      <c r="G3775" s="1" t="s">
        <v>7543</v>
      </c>
      <c r="H3775" s="2">
        <v>1969.26</v>
      </c>
      <c r="I3775" s="2">
        <v>1969.26</v>
      </c>
    </row>
    <row r="3776">
      <c r="A3776" s="1" t="s">
        <v>7544</v>
      </c>
      <c r="B3776" s="2">
        <v>1878.33</v>
      </c>
      <c r="C3776" s="2">
        <v>1878.33</v>
      </c>
      <c r="D3776" s="2">
        <v>4103.54</v>
      </c>
      <c r="E3776" s="2">
        <v>4103.54</v>
      </c>
      <c r="G3776" s="1" t="s">
        <v>7545</v>
      </c>
      <c r="H3776" s="2">
        <v>1964.77</v>
      </c>
      <c r="I3776" s="2">
        <v>1964.77</v>
      </c>
    </row>
    <row r="3777">
      <c r="A3777" s="1" t="s">
        <v>7546</v>
      </c>
      <c r="B3777" s="2">
        <v>1883.95</v>
      </c>
      <c r="C3777" s="2">
        <v>1883.95</v>
      </c>
      <c r="D3777" s="2">
        <v>4114.56</v>
      </c>
      <c r="E3777" s="2">
        <v>4114.56</v>
      </c>
      <c r="G3777" s="1" t="s">
        <v>7547</v>
      </c>
      <c r="H3777" s="2">
        <v>1961.79</v>
      </c>
      <c r="I3777" s="2">
        <v>1961.79</v>
      </c>
    </row>
    <row r="3778">
      <c r="A3778" s="1" t="s">
        <v>7548</v>
      </c>
      <c r="B3778" s="2">
        <v>1883.68</v>
      </c>
      <c r="C3778" s="2">
        <v>1883.68</v>
      </c>
      <c r="D3778" s="2">
        <v>4127.45</v>
      </c>
      <c r="E3778" s="2">
        <v>4127.45</v>
      </c>
      <c r="G3778" s="1" t="s">
        <v>7549</v>
      </c>
      <c r="H3778" s="2" t="s">
        <v>0</v>
      </c>
      <c r="I3778" s="2">
        <v>1961.79</v>
      </c>
    </row>
    <row r="3779">
      <c r="A3779" s="1" t="s">
        <v>7550</v>
      </c>
      <c r="B3779" s="2">
        <v>1881.14</v>
      </c>
      <c r="C3779" s="2">
        <v>1881.14</v>
      </c>
      <c r="D3779" s="2">
        <v>4123.9</v>
      </c>
      <c r="E3779" s="2">
        <v>4123.9</v>
      </c>
      <c r="G3779" s="1" t="s">
        <v>7551</v>
      </c>
      <c r="H3779" s="2">
        <v>1959.44</v>
      </c>
      <c r="I3779" s="2">
        <v>1959.44</v>
      </c>
    </row>
    <row r="3780">
      <c r="A3780" s="1" t="s">
        <v>7552</v>
      </c>
      <c r="B3780" s="2" t="s">
        <v>0</v>
      </c>
      <c r="C3780" s="2">
        <v>1881.14</v>
      </c>
      <c r="D3780" s="2" t="s">
        <v>0</v>
      </c>
      <c r="E3780" s="2">
        <v>4123.9</v>
      </c>
      <c r="G3780" s="1" t="s">
        <v>7553</v>
      </c>
      <c r="H3780" s="2" t="s">
        <v>0</v>
      </c>
      <c r="I3780" s="2">
        <v>1959.44</v>
      </c>
    </row>
    <row r="3781">
      <c r="A3781" s="1" t="s">
        <v>7554</v>
      </c>
      <c r="B3781" s="2" t="s">
        <v>0</v>
      </c>
      <c r="C3781" s="2">
        <v>1881.14</v>
      </c>
      <c r="D3781" s="2" t="s">
        <v>0</v>
      </c>
      <c r="E3781" s="2">
        <v>4123.9</v>
      </c>
      <c r="G3781" s="1" t="s">
        <v>7555</v>
      </c>
      <c r="H3781" s="2" t="s">
        <v>0</v>
      </c>
      <c r="I3781" s="2">
        <v>1959.44</v>
      </c>
    </row>
    <row r="3782">
      <c r="A3782" s="1" t="s">
        <v>7556</v>
      </c>
      <c r="B3782" s="2">
        <v>1884.66</v>
      </c>
      <c r="C3782" s="2">
        <v>1884.66</v>
      </c>
      <c r="D3782" s="2">
        <v>4138.06</v>
      </c>
      <c r="E3782" s="2">
        <v>4138.06</v>
      </c>
      <c r="G3782" s="1" t="s">
        <v>7557</v>
      </c>
      <c r="H3782" s="2" t="s">
        <v>0</v>
      </c>
      <c r="I3782" s="2">
        <v>1959.44</v>
      </c>
    </row>
    <row r="3783">
      <c r="A3783" s="1" t="s">
        <v>7558</v>
      </c>
      <c r="B3783" s="2">
        <v>1867.72</v>
      </c>
      <c r="C3783" s="2">
        <v>1867.72</v>
      </c>
      <c r="D3783" s="2">
        <v>4080.76</v>
      </c>
      <c r="E3783" s="2">
        <v>4080.76</v>
      </c>
      <c r="G3783" s="1" t="s">
        <v>7559</v>
      </c>
      <c r="H3783" s="2" t="s">
        <v>0</v>
      </c>
      <c r="I3783" s="2">
        <v>1959.44</v>
      </c>
    </row>
    <row r="3784">
      <c r="A3784" s="1" t="s">
        <v>7560</v>
      </c>
      <c r="B3784" s="2">
        <v>1878.21</v>
      </c>
      <c r="C3784" s="2">
        <v>1878.21</v>
      </c>
      <c r="D3784" s="2">
        <v>4067.67</v>
      </c>
      <c r="E3784" s="2">
        <v>4067.67</v>
      </c>
      <c r="G3784" s="1" t="s">
        <v>7561</v>
      </c>
      <c r="H3784" s="2">
        <v>1939.88</v>
      </c>
      <c r="I3784" s="2">
        <v>1939.88</v>
      </c>
    </row>
    <row r="3785">
      <c r="A3785" s="1" t="s">
        <v>7562</v>
      </c>
      <c r="B3785" s="2">
        <v>1875.63</v>
      </c>
      <c r="C3785" s="2">
        <v>1875.63</v>
      </c>
      <c r="D3785" s="2">
        <v>4051.5</v>
      </c>
      <c r="E3785" s="2">
        <v>4051.5</v>
      </c>
      <c r="G3785" s="1" t="s">
        <v>7563</v>
      </c>
      <c r="H3785" s="2">
        <v>1950.6</v>
      </c>
      <c r="I3785" s="2">
        <v>1950.6</v>
      </c>
    </row>
    <row r="3786">
      <c r="A3786" s="1" t="s">
        <v>7564</v>
      </c>
      <c r="B3786" s="2">
        <v>1878.48</v>
      </c>
      <c r="C3786" s="2">
        <v>1878.48</v>
      </c>
      <c r="D3786" s="2">
        <v>4071.87</v>
      </c>
      <c r="E3786" s="2">
        <v>4071.87</v>
      </c>
      <c r="G3786" s="1" t="s">
        <v>7565</v>
      </c>
      <c r="H3786" s="2">
        <v>1956.55</v>
      </c>
      <c r="I3786" s="2">
        <v>1956.55</v>
      </c>
    </row>
    <row r="3787">
      <c r="A3787" s="1" t="s">
        <v>7566</v>
      </c>
      <c r="B3787" s="2" t="s">
        <v>0</v>
      </c>
      <c r="C3787" s="2">
        <v>1878.48</v>
      </c>
      <c r="D3787" s="2" t="s">
        <v>0</v>
      </c>
      <c r="E3787" s="2">
        <v>4071.87</v>
      </c>
      <c r="G3787" s="1" t="s">
        <v>7567</v>
      </c>
      <c r="H3787" s="2" t="s">
        <v>0</v>
      </c>
      <c r="I3787" s="2">
        <v>1956.55</v>
      </c>
    </row>
    <row r="3788">
      <c r="A3788" s="1" t="s">
        <v>7568</v>
      </c>
      <c r="B3788" s="2" t="s">
        <v>0</v>
      </c>
      <c r="C3788" s="2">
        <v>1878.48</v>
      </c>
      <c r="D3788" s="2" t="s">
        <v>0</v>
      </c>
      <c r="E3788" s="2">
        <v>4071.87</v>
      </c>
      <c r="G3788" s="1" t="s">
        <v>7569</v>
      </c>
      <c r="H3788" s="2" t="s">
        <v>0</v>
      </c>
      <c r="I3788" s="2">
        <v>1956.55</v>
      </c>
    </row>
    <row r="3789">
      <c r="A3789" s="1" t="s">
        <v>7570</v>
      </c>
      <c r="B3789" s="2">
        <v>1896.65</v>
      </c>
      <c r="C3789" s="2">
        <v>1896.65</v>
      </c>
      <c r="D3789" s="2">
        <v>4143.86</v>
      </c>
      <c r="E3789" s="2">
        <v>4143.86</v>
      </c>
      <c r="G3789" s="1" t="s">
        <v>7571</v>
      </c>
      <c r="H3789" s="2">
        <v>1964.94</v>
      </c>
      <c r="I3789" s="2">
        <v>1964.94</v>
      </c>
    </row>
    <row r="3790">
      <c r="A3790" s="1" t="s">
        <v>7572</v>
      </c>
      <c r="B3790" s="2">
        <v>1897.45</v>
      </c>
      <c r="C3790" s="2">
        <v>1897.45</v>
      </c>
      <c r="D3790" s="2">
        <v>4130.17</v>
      </c>
      <c r="E3790" s="2">
        <v>4130.17</v>
      </c>
      <c r="G3790" s="1" t="s">
        <v>7573</v>
      </c>
      <c r="H3790" s="2">
        <v>1982.93</v>
      </c>
      <c r="I3790" s="2">
        <v>1982.93</v>
      </c>
    </row>
    <row r="3791">
      <c r="A3791" s="1" t="s">
        <v>7574</v>
      </c>
      <c r="B3791" s="2">
        <v>1888.53</v>
      </c>
      <c r="C3791" s="2">
        <v>1888.53</v>
      </c>
      <c r="D3791" s="2">
        <v>4100.63</v>
      </c>
      <c r="E3791" s="2">
        <v>4100.63</v>
      </c>
      <c r="G3791" s="1" t="s">
        <v>7575</v>
      </c>
      <c r="H3791" s="2">
        <v>2010.83</v>
      </c>
      <c r="I3791" s="2">
        <v>2010.83</v>
      </c>
    </row>
    <row r="3792">
      <c r="A3792" s="1" t="s">
        <v>7576</v>
      </c>
      <c r="B3792" s="2">
        <v>1870.85</v>
      </c>
      <c r="C3792" s="2">
        <v>1870.85</v>
      </c>
      <c r="D3792" s="2">
        <v>4069.29</v>
      </c>
      <c r="E3792" s="2">
        <v>4069.29</v>
      </c>
      <c r="G3792" s="1" t="s">
        <v>7577</v>
      </c>
      <c r="H3792" s="2">
        <v>2010.2</v>
      </c>
      <c r="I3792" s="2">
        <v>2010.2</v>
      </c>
    </row>
    <row r="3793">
      <c r="A3793" s="1" t="s">
        <v>7578</v>
      </c>
      <c r="B3793" s="2">
        <v>1877.86</v>
      </c>
      <c r="C3793" s="2">
        <v>1877.86</v>
      </c>
      <c r="D3793" s="2">
        <v>4090.59</v>
      </c>
      <c r="E3793" s="2">
        <v>4090.59</v>
      </c>
      <c r="G3793" s="1" t="s">
        <v>7579</v>
      </c>
      <c r="H3793" s="2">
        <v>2013.44</v>
      </c>
      <c r="I3793" s="2">
        <v>2013.44</v>
      </c>
    </row>
    <row r="3794">
      <c r="A3794" s="1" t="s">
        <v>7580</v>
      </c>
      <c r="B3794" s="2" t="s">
        <v>0</v>
      </c>
      <c r="C3794" s="2">
        <v>1877.86</v>
      </c>
      <c r="D3794" s="2" t="s">
        <v>0</v>
      </c>
      <c r="E3794" s="2">
        <v>4090.59</v>
      </c>
      <c r="G3794" s="1" t="s">
        <v>7581</v>
      </c>
      <c r="H3794" s="2" t="s">
        <v>0</v>
      </c>
      <c r="I3794" s="2">
        <v>2013.44</v>
      </c>
    </row>
    <row r="3795">
      <c r="A3795" s="1" t="s">
        <v>7582</v>
      </c>
      <c r="B3795" s="2" t="s">
        <v>0</v>
      </c>
      <c r="C3795" s="2">
        <v>1877.86</v>
      </c>
      <c r="D3795" s="2" t="s">
        <v>0</v>
      </c>
      <c r="E3795" s="2">
        <v>4090.59</v>
      </c>
      <c r="G3795" s="1" t="s">
        <v>7583</v>
      </c>
      <c r="H3795" s="2" t="s">
        <v>0</v>
      </c>
      <c r="I3795" s="2">
        <v>2013.44</v>
      </c>
    </row>
    <row r="3796">
      <c r="A3796" s="1" t="s">
        <v>7584</v>
      </c>
      <c r="B3796" s="2">
        <v>1885.08</v>
      </c>
      <c r="C3796" s="2">
        <v>1885.08</v>
      </c>
      <c r="D3796" s="2">
        <v>4125.81</v>
      </c>
      <c r="E3796" s="2">
        <v>4125.81</v>
      </c>
      <c r="G3796" s="1" t="s">
        <v>7585</v>
      </c>
      <c r="H3796" s="2">
        <v>2015.14</v>
      </c>
      <c r="I3796" s="2">
        <v>2015.14</v>
      </c>
    </row>
    <row r="3797">
      <c r="A3797" s="1" t="s">
        <v>7586</v>
      </c>
      <c r="B3797" s="2">
        <v>1872.83</v>
      </c>
      <c r="C3797" s="2">
        <v>1872.83</v>
      </c>
      <c r="D3797" s="2">
        <v>4096.89</v>
      </c>
      <c r="E3797" s="2">
        <v>4096.89</v>
      </c>
      <c r="G3797" s="1" t="s">
        <v>7587</v>
      </c>
      <c r="H3797" s="2">
        <v>2011.26</v>
      </c>
      <c r="I3797" s="2">
        <v>2011.26</v>
      </c>
    </row>
    <row r="3798">
      <c r="A3798" s="1" t="s">
        <v>7588</v>
      </c>
      <c r="B3798" s="2">
        <v>1888.03</v>
      </c>
      <c r="C3798" s="2">
        <v>1888.03</v>
      </c>
      <c r="D3798" s="2">
        <v>4131.54</v>
      </c>
      <c r="E3798" s="2">
        <v>4131.54</v>
      </c>
      <c r="G3798" s="1" t="s">
        <v>7589</v>
      </c>
      <c r="H3798" s="2">
        <v>2008.33</v>
      </c>
      <c r="I3798" s="2">
        <v>2008.33</v>
      </c>
    </row>
    <row r="3799">
      <c r="A3799" s="1" t="s">
        <v>7590</v>
      </c>
      <c r="B3799" s="2">
        <v>1892.49</v>
      </c>
      <c r="C3799" s="2">
        <v>1892.49</v>
      </c>
      <c r="D3799" s="2">
        <v>4154.34</v>
      </c>
      <c r="E3799" s="2">
        <v>4154.34</v>
      </c>
      <c r="G3799" s="1" t="s">
        <v>7591</v>
      </c>
      <c r="H3799" s="2">
        <v>2015.59</v>
      </c>
      <c r="I3799" s="2">
        <v>2015.59</v>
      </c>
    </row>
    <row r="3800">
      <c r="A3800" s="1" t="s">
        <v>7592</v>
      </c>
      <c r="B3800" s="2">
        <v>1900.53</v>
      </c>
      <c r="C3800" s="2">
        <v>1900.53</v>
      </c>
      <c r="D3800" s="2">
        <v>4185.81</v>
      </c>
      <c r="E3800" s="2">
        <v>4185.81</v>
      </c>
      <c r="G3800" s="1" t="s">
        <v>7593</v>
      </c>
      <c r="H3800" s="2">
        <v>2017.17</v>
      </c>
      <c r="I3800" s="2">
        <v>2017.17</v>
      </c>
    </row>
    <row r="3801">
      <c r="A3801" s="1" t="s">
        <v>7594</v>
      </c>
      <c r="B3801" s="2" t="s">
        <v>0</v>
      </c>
      <c r="C3801" s="2">
        <v>1900.53</v>
      </c>
      <c r="D3801" s="2" t="s">
        <v>0</v>
      </c>
      <c r="E3801" s="2">
        <v>4185.81</v>
      </c>
      <c r="G3801" s="1" t="s">
        <v>7595</v>
      </c>
      <c r="H3801" s="2" t="s">
        <v>0</v>
      </c>
      <c r="I3801" s="2">
        <v>2017.17</v>
      </c>
    </row>
    <row r="3802">
      <c r="A3802" s="1" t="s">
        <v>7596</v>
      </c>
      <c r="B3802" s="2" t="s">
        <v>0</v>
      </c>
      <c r="C3802" s="2">
        <v>1900.53</v>
      </c>
      <c r="D3802" s="2" t="s">
        <v>0</v>
      </c>
      <c r="E3802" s="2">
        <v>4185.81</v>
      </c>
      <c r="G3802" s="1" t="s">
        <v>7597</v>
      </c>
      <c r="H3802" s="2" t="s">
        <v>0</v>
      </c>
      <c r="I3802" s="2">
        <v>2017.17</v>
      </c>
    </row>
    <row r="3803">
      <c r="A3803" s="1" t="s">
        <v>7598</v>
      </c>
      <c r="B3803" s="2" t="s">
        <v>0</v>
      </c>
      <c r="C3803" s="2">
        <v>1900.53</v>
      </c>
      <c r="D3803" s="2" t="s">
        <v>0</v>
      </c>
      <c r="E3803" s="2">
        <v>4185.81</v>
      </c>
      <c r="G3803" s="1" t="s">
        <v>7599</v>
      </c>
      <c r="H3803" s="2">
        <v>2010.35</v>
      </c>
      <c r="I3803" s="2">
        <v>2010.35</v>
      </c>
    </row>
    <row r="3804">
      <c r="A3804" s="1" t="s">
        <v>7600</v>
      </c>
      <c r="B3804" s="2">
        <v>1911.91</v>
      </c>
      <c r="C3804" s="2">
        <v>1911.91</v>
      </c>
      <c r="D3804" s="2">
        <v>4237.07</v>
      </c>
      <c r="E3804" s="2">
        <v>4237.07</v>
      </c>
      <c r="G3804" s="1" t="s">
        <v>7601</v>
      </c>
      <c r="H3804" s="2">
        <v>1997.63</v>
      </c>
      <c r="I3804" s="2">
        <v>1997.63</v>
      </c>
    </row>
    <row r="3805">
      <c r="A3805" s="1" t="s">
        <v>7602</v>
      </c>
      <c r="B3805" s="2">
        <v>1909.78</v>
      </c>
      <c r="C3805" s="2">
        <v>1909.78</v>
      </c>
      <c r="D3805" s="2">
        <v>4225.07</v>
      </c>
      <c r="E3805" s="2">
        <v>4225.07</v>
      </c>
      <c r="G3805" s="1" t="s">
        <v>7603</v>
      </c>
      <c r="H3805" s="2">
        <v>2017.06</v>
      </c>
      <c r="I3805" s="2">
        <v>2017.06</v>
      </c>
    </row>
    <row r="3806">
      <c r="A3806" s="1" t="s">
        <v>7604</v>
      </c>
      <c r="B3806" s="2">
        <v>1920.03</v>
      </c>
      <c r="C3806" s="2">
        <v>1920.03</v>
      </c>
      <c r="D3806" s="2">
        <v>4247.95</v>
      </c>
      <c r="E3806" s="2">
        <v>4247.95</v>
      </c>
      <c r="G3806" s="1" t="s">
        <v>7605</v>
      </c>
      <c r="H3806" s="2">
        <v>2012.26</v>
      </c>
      <c r="I3806" s="2">
        <v>2012.26</v>
      </c>
    </row>
    <row r="3807">
      <c r="A3807" s="1" t="s">
        <v>7606</v>
      </c>
      <c r="B3807" s="2">
        <v>1923.57</v>
      </c>
      <c r="C3807" s="2">
        <v>1923.57</v>
      </c>
      <c r="D3807" s="2">
        <v>4242.62</v>
      </c>
      <c r="E3807" s="2">
        <v>4242.62</v>
      </c>
      <c r="G3807" s="1" t="s">
        <v>7607</v>
      </c>
      <c r="H3807" s="2">
        <v>1994.96</v>
      </c>
      <c r="I3807" s="2">
        <v>1994.96</v>
      </c>
    </row>
    <row r="3808">
      <c r="A3808" s="1" t="s">
        <v>7608</v>
      </c>
      <c r="B3808" s="2" t="s">
        <v>0</v>
      </c>
      <c r="C3808" s="2">
        <v>1923.57</v>
      </c>
      <c r="D3808" s="2" t="s">
        <v>0</v>
      </c>
      <c r="E3808" s="2">
        <v>4242.62</v>
      </c>
      <c r="G3808" s="1" t="s">
        <v>7609</v>
      </c>
      <c r="H3808" s="2" t="s">
        <v>0</v>
      </c>
      <c r="I3808" s="2">
        <v>1994.96</v>
      </c>
    </row>
    <row r="3809">
      <c r="A3809" s="1" t="s">
        <v>7610</v>
      </c>
      <c r="B3809" s="2" t="s">
        <v>0</v>
      </c>
      <c r="C3809" s="2">
        <v>1923.57</v>
      </c>
      <c r="D3809" s="2" t="s">
        <v>0</v>
      </c>
      <c r="E3809" s="2">
        <v>4242.62</v>
      </c>
      <c r="G3809" s="1" t="s">
        <v>7611</v>
      </c>
      <c r="H3809" s="2" t="s">
        <v>0</v>
      </c>
      <c r="I3809" s="2">
        <v>1994.96</v>
      </c>
    </row>
    <row r="3810">
      <c r="A3810" s="1" t="s">
        <v>7612</v>
      </c>
      <c r="B3810" s="2">
        <v>1924.97</v>
      </c>
      <c r="C3810" s="2">
        <v>1924.97</v>
      </c>
      <c r="D3810" s="2">
        <v>4237.2</v>
      </c>
      <c r="E3810" s="2">
        <v>4237.2</v>
      </c>
      <c r="G3810" s="1" t="s">
        <v>7613</v>
      </c>
      <c r="H3810" s="2">
        <v>2002.0</v>
      </c>
      <c r="I3810" s="2">
        <v>2002.0</v>
      </c>
    </row>
    <row r="3811">
      <c r="A3811" s="1" t="s">
        <v>7614</v>
      </c>
      <c r="B3811" s="2">
        <v>1924.24</v>
      </c>
      <c r="C3811" s="2">
        <v>1924.24</v>
      </c>
      <c r="D3811" s="2">
        <v>4234.08</v>
      </c>
      <c r="E3811" s="2">
        <v>4234.08</v>
      </c>
      <c r="G3811" s="1" t="s">
        <v>7615</v>
      </c>
      <c r="H3811" s="2">
        <v>2008.56</v>
      </c>
      <c r="I3811" s="2">
        <v>2008.56</v>
      </c>
    </row>
    <row r="3812">
      <c r="A3812" s="1" t="s">
        <v>7616</v>
      </c>
      <c r="B3812" s="2">
        <v>1927.88</v>
      </c>
      <c r="C3812" s="2">
        <v>1927.88</v>
      </c>
      <c r="D3812" s="2">
        <v>4251.64</v>
      </c>
      <c r="E3812" s="2">
        <v>4251.64</v>
      </c>
      <c r="G3812" s="1" t="s">
        <v>7617</v>
      </c>
      <c r="H3812" s="2" t="s">
        <v>0</v>
      </c>
      <c r="I3812" s="2">
        <v>2008.56</v>
      </c>
    </row>
    <row r="3813">
      <c r="A3813" s="1" t="s">
        <v>7618</v>
      </c>
      <c r="B3813" s="2">
        <v>1940.46</v>
      </c>
      <c r="C3813" s="2">
        <v>1940.46</v>
      </c>
      <c r="D3813" s="2">
        <v>4296.23</v>
      </c>
      <c r="E3813" s="2">
        <v>4296.23</v>
      </c>
      <c r="G3813" s="1" t="s">
        <v>7619</v>
      </c>
      <c r="H3813" s="2">
        <v>1995.48</v>
      </c>
      <c r="I3813" s="2">
        <v>1995.48</v>
      </c>
    </row>
    <row r="3814">
      <c r="A3814" s="1" t="s">
        <v>7620</v>
      </c>
      <c r="B3814" s="2">
        <v>1949.44</v>
      </c>
      <c r="C3814" s="2">
        <v>1949.44</v>
      </c>
      <c r="D3814" s="2">
        <v>4321.4</v>
      </c>
      <c r="E3814" s="2">
        <v>4321.4</v>
      </c>
      <c r="G3814" s="1" t="s">
        <v>7621</v>
      </c>
      <c r="H3814" s="2" t="s">
        <v>0</v>
      </c>
      <c r="I3814" s="2">
        <v>1995.48</v>
      </c>
    </row>
    <row r="3815">
      <c r="A3815" s="1" t="s">
        <v>7622</v>
      </c>
      <c r="B3815" s="2" t="s">
        <v>0</v>
      </c>
      <c r="C3815" s="2">
        <v>1949.44</v>
      </c>
      <c r="D3815" s="2" t="s">
        <v>0</v>
      </c>
      <c r="E3815" s="2">
        <v>4321.4</v>
      </c>
      <c r="G3815" s="1" t="s">
        <v>7623</v>
      </c>
      <c r="H3815" s="2" t="s">
        <v>0</v>
      </c>
      <c r="I3815" s="2">
        <v>1995.48</v>
      </c>
    </row>
    <row r="3816">
      <c r="A3816" s="1" t="s">
        <v>7624</v>
      </c>
      <c r="B3816" s="2" t="s">
        <v>0</v>
      </c>
      <c r="C3816" s="2">
        <v>1949.44</v>
      </c>
      <c r="D3816" s="2" t="s">
        <v>0</v>
      </c>
      <c r="E3816" s="2">
        <v>4321.4</v>
      </c>
      <c r="G3816" s="1" t="s">
        <v>7625</v>
      </c>
      <c r="H3816" s="2" t="s">
        <v>0</v>
      </c>
      <c r="I3816" s="2">
        <v>1995.48</v>
      </c>
    </row>
    <row r="3817">
      <c r="A3817" s="1" t="s">
        <v>7626</v>
      </c>
      <c r="B3817" s="2">
        <v>1951.27</v>
      </c>
      <c r="C3817" s="2">
        <v>1951.27</v>
      </c>
      <c r="D3817" s="2">
        <v>4336.24</v>
      </c>
      <c r="E3817" s="2">
        <v>4336.24</v>
      </c>
      <c r="G3817" s="1" t="s">
        <v>7627</v>
      </c>
      <c r="H3817" s="2">
        <v>1990.04</v>
      </c>
      <c r="I3817" s="2">
        <v>1990.04</v>
      </c>
    </row>
    <row r="3818">
      <c r="A3818" s="1" t="s">
        <v>7628</v>
      </c>
      <c r="B3818" s="2">
        <v>1950.79</v>
      </c>
      <c r="C3818" s="2">
        <v>1950.79</v>
      </c>
      <c r="D3818" s="2">
        <v>4338.0</v>
      </c>
      <c r="E3818" s="2">
        <v>4338.0</v>
      </c>
      <c r="G3818" s="1" t="s">
        <v>7629</v>
      </c>
      <c r="H3818" s="2">
        <v>2011.8</v>
      </c>
      <c r="I3818" s="2">
        <v>2011.8</v>
      </c>
    </row>
    <row r="3819">
      <c r="A3819" s="1" t="s">
        <v>7630</v>
      </c>
      <c r="B3819" s="2">
        <v>1943.89</v>
      </c>
      <c r="C3819" s="2">
        <v>1943.89</v>
      </c>
      <c r="D3819" s="2">
        <v>4331.93</v>
      </c>
      <c r="E3819" s="2">
        <v>4331.93</v>
      </c>
      <c r="G3819" s="1" t="s">
        <v>7631</v>
      </c>
      <c r="H3819" s="2">
        <v>2014.67</v>
      </c>
      <c r="I3819" s="2">
        <v>2014.67</v>
      </c>
    </row>
    <row r="3820">
      <c r="A3820" s="1" t="s">
        <v>7632</v>
      </c>
      <c r="B3820" s="2">
        <v>1930.11</v>
      </c>
      <c r="C3820" s="2">
        <v>1930.11</v>
      </c>
      <c r="D3820" s="2">
        <v>4297.63</v>
      </c>
      <c r="E3820" s="2">
        <v>4297.63</v>
      </c>
      <c r="G3820" s="1" t="s">
        <v>7633</v>
      </c>
      <c r="H3820" s="2">
        <v>2011.65</v>
      </c>
      <c r="I3820" s="2">
        <v>2011.65</v>
      </c>
    </row>
    <row r="3821">
      <c r="A3821" s="1" t="s">
        <v>7634</v>
      </c>
      <c r="B3821" s="2">
        <v>1936.16</v>
      </c>
      <c r="C3821" s="2">
        <v>1936.16</v>
      </c>
      <c r="D3821" s="2">
        <v>4310.65</v>
      </c>
      <c r="E3821" s="2">
        <v>4310.65</v>
      </c>
      <c r="G3821" s="1" t="s">
        <v>7635</v>
      </c>
      <c r="H3821" s="2">
        <v>1990.85</v>
      </c>
      <c r="I3821" s="2">
        <v>1990.85</v>
      </c>
    </row>
    <row r="3822">
      <c r="A3822" s="1" t="s">
        <v>7636</v>
      </c>
      <c r="B3822" s="2" t="s">
        <v>0</v>
      </c>
      <c r="C3822" s="2">
        <v>1936.16</v>
      </c>
      <c r="D3822" s="2" t="s">
        <v>0</v>
      </c>
      <c r="E3822" s="2">
        <v>4310.65</v>
      </c>
      <c r="G3822" s="1" t="s">
        <v>7637</v>
      </c>
      <c r="H3822" s="2" t="s">
        <v>0</v>
      </c>
      <c r="I3822" s="2">
        <v>1990.85</v>
      </c>
    </row>
    <row r="3823">
      <c r="A3823" s="1" t="s">
        <v>7638</v>
      </c>
      <c r="B3823" s="2" t="s">
        <v>0</v>
      </c>
      <c r="C3823" s="2">
        <v>1936.16</v>
      </c>
      <c r="D3823" s="2" t="s">
        <v>0</v>
      </c>
      <c r="E3823" s="2">
        <v>4310.65</v>
      </c>
      <c r="G3823" s="1" t="s">
        <v>7639</v>
      </c>
      <c r="H3823" s="2" t="s">
        <v>0</v>
      </c>
      <c r="I3823" s="2">
        <v>1990.85</v>
      </c>
    </row>
    <row r="3824">
      <c r="A3824" s="1" t="s">
        <v>7640</v>
      </c>
      <c r="B3824" s="2">
        <v>1937.78</v>
      </c>
      <c r="C3824" s="2">
        <v>1937.78</v>
      </c>
      <c r="D3824" s="2">
        <v>4321.11</v>
      </c>
      <c r="E3824" s="2">
        <v>4321.11</v>
      </c>
      <c r="G3824" s="1" t="s">
        <v>7641</v>
      </c>
      <c r="H3824" s="2">
        <v>1993.59</v>
      </c>
      <c r="I3824" s="2">
        <v>1993.59</v>
      </c>
    </row>
    <row r="3825">
      <c r="A3825" s="1" t="s">
        <v>7642</v>
      </c>
      <c r="B3825" s="2">
        <v>1941.99</v>
      </c>
      <c r="C3825" s="2">
        <v>1941.99</v>
      </c>
      <c r="D3825" s="2">
        <v>4337.23</v>
      </c>
      <c r="E3825" s="2">
        <v>4337.23</v>
      </c>
      <c r="G3825" s="1" t="s">
        <v>7643</v>
      </c>
      <c r="H3825" s="2">
        <v>2001.55</v>
      </c>
      <c r="I3825" s="2">
        <v>2001.55</v>
      </c>
    </row>
    <row r="3826">
      <c r="A3826" s="1" t="s">
        <v>7644</v>
      </c>
      <c r="B3826" s="2">
        <v>1956.98</v>
      </c>
      <c r="C3826" s="2">
        <v>1956.98</v>
      </c>
      <c r="D3826" s="2">
        <v>4362.84</v>
      </c>
      <c r="E3826" s="2">
        <v>4362.84</v>
      </c>
      <c r="G3826" s="1" t="s">
        <v>7645</v>
      </c>
      <c r="H3826" s="2">
        <v>1989.49</v>
      </c>
      <c r="I3826" s="2">
        <v>1989.49</v>
      </c>
    </row>
    <row r="3827">
      <c r="A3827" s="1" t="s">
        <v>7646</v>
      </c>
      <c r="B3827" s="2">
        <v>1959.48</v>
      </c>
      <c r="C3827" s="2">
        <v>1959.48</v>
      </c>
      <c r="D3827" s="2">
        <v>4359.33</v>
      </c>
      <c r="E3827" s="2">
        <v>4359.33</v>
      </c>
      <c r="G3827" s="1" t="s">
        <v>7647</v>
      </c>
      <c r="H3827" s="2">
        <v>1992.03</v>
      </c>
      <c r="I3827" s="2">
        <v>1992.03</v>
      </c>
    </row>
    <row r="3828">
      <c r="A3828" s="1" t="s">
        <v>7648</v>
      </c>
      <c r="B3828" s="2">
        <v>1962.87</v>
      </c>
      <c r="C3828" s="2">
        <v>1962.87</v>
      </c>
      <c r="D3828" s="2">
        <v>4368.04</v>
      </c>
      <c r="E3828" s="2">
        <v>4368.04</v>
      </c>
      <c r="G3828" s="1" t="s">
        <v>7649</v>
      </c>
      <c r="H3828" s="2">
        <v>1968.07</v>
      </c>
      <c r="I3828" s="2">
        <v>1968.07</v>
      </c>
    </row>
    <row r="3829">
      <c r="A3829" s="1" t="s">
        <v>7650</v>
      </c>
      <c r="B3829" s="2" t="s">
        <v>0</v>
      </c>
      <c r="C3829" s="2">
        <v>1962.87</v>
      </c>
      <c r="D3829" s="2" t="s">
        <v>0</v>
      </c>
      <c r="E3829" s="2">
        <v>4368.04</v>
      </c>
      <c r="G3829" s="1" t="s">
        <v>7651</v>
      </c>
      <c r="H3829" s="2" t="s">
        <v>0</v>
      </c>
      <c r="I3829" s="2">
        <v>1968.07</v>
      </c>
    </row>
    <row r="3830">
      <c r="A3830" s="1" t="s">
        <v>7652</v>
      </c>
      <c r="B3830" s="2" t="s">
        <v>0</v>
      </c>
      <c r="C3830" s="2">
        <v>1962.87</v>
      </c>
      <c r="D3830" s="2" t="s">
        <v>0</v>
      </c>
      <c r="E3830" s="2">
        <v>4368.04</v>
      </c>
      <c r="G3830" s="1" t="s">
        <v>7653</v>
      </c>
      <c r="H3830" s="2" t="s">
        <v>0</v>
      </c>
      <c r="I3830" s="2">
        <v>1968.07</v>
      </c>
    </row>
    <row r="3831">
      <c r="A3831" s="1" t="s">
        <v>7654</v>
      </c>
      <c r="B3831" s="2">
        <v>1962.61</v>
      </c>
      <c r="C3831" s="2">
        <v>1962.61</v>
      </c>
      <c r="D3831" s="2">
        <v>4368.68</v>
      </c>
      <c r="E3831" s="2">
        <v>4368.68</v>
      </c>
      <c r="G3831" s="1" t="s">
        <v>7655</v>
      </c>
      <c r="H3831" s="2">
        <v>1974.92</v>
      </c>
      <c r="I3831" s="2">
        <v>1974.92</v>
      </c>
    </row>
    <row r="3832">
      <c r="A3832" s="1" t="s">
        <v>7656</v>
      </c>
      <c r="B3832" s="2">
        <v>1949.98</v>
      </c>
      <c r="C3832" s="2">
        <v>1949.98</v>
      </c>
      <c r="D3832" s="2">
        <v>4350.36</v>
      </c>
      <c r="E3832" s="2">
        <v>4350.36</v>
      </c>
      <c r="G3832" s="1" t="s">
        <v>7657</v>
      </c>
      <c r="H3832" s="2">
        <v>1994.35</v>
      </c>
      <c r="I3832" s="2">
        <v>1994.35</v>
      </c>
    </row>
    <row r="3833">
      <c r="A3833" s="1" t="s">
        <v>7658</v>
      </c>
      <c r="B3833" s="2">
        <v>1959.53</v>
      </c>
      <c r="C3833" s="2">
        <v>1959.53</v>
      </c>
      <c r="D3833" s="2">
        <v>4379.76</v>
      </c>
      <c r="E3833" s="2">
        <v>4379.76</v>
      </c>
      <c r="G3833" s="1" t="s">
        <v>7659</v>
      </c>
      <c r="H3833" s="2">
        <v>1981.77</v>
      </c>
      <c r="I3833" s="2">
        <v>1981.77</v>
      </c>
    </row>
    <row r="3834">
      <c r="A3834" s="1" t="s">
        <v>7660</v>
      </c>
      <c r="B3834" s="2">
        <v>1957.22</v>
      </c>
      <c r="C3834" s="2">
        <v>1957.22</v>
      </c>
      <c r="D3834" s="2">
        <v>4379.05</v>
      </c>
      <c r="E3834" s="2">
        <v>4379.05</v>
      </c>
      <c r="G3834" s="1" t="s">
        <v>7661</v>
      </c>
      <c r="H3834" s="2">
        <v>1995.05</v>
      </c>
      <c r="I3834" s="2">
        <v>1995.05</v>
      </c>
    </row>
    <row r="3835">
      <c r="A3835" s="1" t="s">
        <v>7662</v>
      </c>
      <c r="B3835" s="2">
        <v>1960.96</v>
      </c>
      <c r="C3835" s="2">
        <v>1960.96</v>
      </c>
      <c r="D3835" s="2">
        <v>4397.93</v>
      </c>
      <c r="E3835" s="2">
        <v>4397.93</v>
      </c>
      <c r="G3835" s="1" t="s">
        <v>7663</v>
      </c>
      <c r="H3835" s="2">
        <v>1988.51</v>
      </c>
      <c r="I3835" s="2">
        <v>1988.51</v>
      </c>
    </row>
    <row r="3836">
      <c r="A3836" s="1" t="s">
        <v>7664</v>
      </c>
      <c r="B3836" s="2" t="s">
        <v>0</v>
      </c>
      <c r="C3836" s="2">
        <v>1960.96</v>
      </c>
      <c r="D3836" s="2" t="s">
        <v>0</v>
      </c>
      <c r="E3836" s="2">
        <v>4397.93</v>
      </c>
      <c r="G3836" s="1" t="s">
        <v>7665</v>
      </c>
      <c r="H3836" s="2" t="s">
        <v>0</v>
      </c>
      <c r="I3836" s="2">
        <v>1988.51</v>
      </c>
    </row>
    <row r="3837">
      <c r="A3837" s="1" t="s">
        <v>7666</v>
      </c>
      <c r="B3837" s="2" t="s">
        <v>0</v>
      </c>
      <c r="C3837" s="2">
        <v>1960.96</v>
      </c>
      <c r="D3837" s="2" t="s">
        <v>0</v>
      </c>
      <c r="E3837" s="2">
        <v>4397.93</v>
      </c>
      <c r="G3837" s="1" t="s">
        <v>7667</v>
      </c>
      <c r="H3837" s="2" t="s">
        <v>0</v>
      </c>
      <c r="I3837" s="2">
        <v>1988.51</v>
      </c>
    </row>
    <row r="3838">
      <c r="A3838" s="1" t="s">
        <v>7668</v>
      </c>
      <c r="B3838" s="2">
        <v>1960.23</v>
      </c>
      <c r="C3838" s="2">
        <v>1960.23</v>
      </c>
      <c r="D3838" s="2">
        <v>4408.18</v>
      </c>
      <c r="E3838" s="2">
        <v>4408.18</v>
      </c>
      <c r="G3838" s="1" t="s">
        <v>7669</v>
      </c>
      <c r="H3838" s="2">
        <v>2002.21</v>
      </c>
      <c r="I3838" s="2">
        <v>2002.21</v>
      </c>
    </row>
    <row r="3839">
      <c r="A3839" s="1" t="s">
        <v>7670</v>
      </c>
      <c r="B3839" s="2">
        <v>1973.32</v>
      </c>
      <c r="C3839" s="2">
        <v>1973.32</v>
      </c>
      <c r="D3839" s="2">
        <v>4458.65</v>
      </c>
      <c r="E3839" s="2">
        <v>4458.65</v>
      </c>
      <c r="G3839" s="1" t="s">
        <v>7671</v>
      </c>
      <c r="H3839" s="2">
        <v>1999.0</v>
      </c>
      <c r="I3839" s="2">
        <v>1999.0</v>
      </c>
    </row>
    <row r="3840">
      <c r="A3840" s="1" t="s">
        <v>7672</v>
      </c>
      <c r="B3840" s="2">
        <v>1974.62</v>
      </c>
      <c r="C3840" s="2">
        <v>1974.62</v>
      </c>
      <c r="D3840" s="2">
        <v>4457.73</v>
      </c>
      <c r="E3840" s="2">
        <v>4457.73</v>
      </c>
      <c r="G3840" s="1" t="s">
        <v>7673</v>
      </c>
      <c r="H3840" s="2">
        <v>2015.28</v>
      </c>
      <c r="I3840" s="2">
        <v>2015.28</v>
      </c>
    </row>
    <row r="3841">
      <c r="A3841" s="1" t="s">
        <v>7674</v>
      </c>
      <c r="B3841" s="2">
        <v>1985.44</v>
      </c>
      <c r="C3841" s="2">
        <v>1985.44</v>
      </c>
      <c r="D3841" s="2">
        <v>4485.93</v>
      </c>
      <c r="E3841" s="2">
        <v>4485.93</v>
      </c>
      <c r="G3841" s="1" t="s">
        <v>7675</v>
      </c>
      <c r="H3841" s="2">
        <v>2010.97</v>
      </c>
      <c r="I3841" s="2">
        <v>2010.97</v>
      </c>
    </row>
    <row r="3842">
      <c r="A3842" s="1" t="s">
        <v>7676</v>
      </c>
      <c r="B3842" s="2" t="s">
        <v>0</v>
      </c>
      <c r="C3842" s="2">
        <v>1985.44</v>
      </c>
      <c r="D3842" s="2" t="s">
        <v>0</v>
      </c>
      <c r="E3842" s="2">
        <v>4485.93</v>
      </c>
      <c r="G3842" s="1" t="s">
        <v>7677</v>
      </c>
      <c r="H3842" s="2">
        <v>2009.66</v>
      </c>
      <c r="I3842" s="2">
        <v>2009.66</v>
      </c>
    </row>
    <row r="3843">
      <c r="A3843" s="1" t="s">
        <v>7678</v>
      </c>
      <c r="B3843" s="2" t="s">
        <v>0</v>
      </c>
      <c r="C3843" s="2">
        <v>1985.44</v>
      </c>
      <c r="D3843" s="2" t="s">
        <v>0</v>
      </c>
      <c r="E3843" s="2">
        <v>4485.93</v>
      </c>
      <c r="G3843" s="1" t="s">
        <v>7679</v>
      </c>
      <c r="H3843" s="2" t="s">
        <v>0</v>
      </c>
      <c r="I3843" s="2">
        <v>2009.66</v>
      </c>
    </row>
    <row r="3844">
      <c r="A3844" s="1" t="s">
        <v>7680</v>
      </c>
      <c r="B3844" s="2" t="s">
        <v>0</v>
      </c>
      <c r="C3844" s="2">
        <v>1985.44</v>
      </c>
      <c r="D3844" s="2" t="s">
        <v>0</v>
      </c>
      <c r="E3844" s="2">
        <v>4485.93</v>
      </c>
      <c r="G3844" s="1" t="s">
        <v>7681</v>
      </c>
      <c r="H3844" s="2" t="s">
        <v>0</v>
      </c>
      <c r="I3844" s="2">
        <v>2009.66</v>
      </c>
    </row>
    <row r="3845">
      <c r="A3845" s="1" t="s">
        <v>7682</v>
      </c>
      <c r="B3845" s="2">
        <v>1977.65</v>
      </c>
      <c r="C3845" s="2">
        <v>1977.65</v>
      </c>
      <c r="D3845" s="2">
        <v>4451.53</v>
      </c>
      <c r="E3845" s="2">
        <v>4451.53</v>
      </c>
      <c r="G3845" s="1" t="s">
        <v>7683</v>
      </c>
      <c r="H3845" s="2">
        <v>2005.12</v>
      </c>
      <c r="I3845" s="2">
        <v>2005.12</v>
      </c>
    </row>
    <row r="3846">
      <c r="A3846" s="1" t="s">
        <v>7684</v>
      </c>
      <c r="B3846" s="2">
        <v>1963.71</v>
      </c>
      <c r="C3846" s="2">
        <v>1963.71</v>
      </c>
      <c r="D3846" s="2">
        <v>4391.46</v>
      </c>
      <c r="E3846" s="2">
        <v>4391.46</v>
      </c>
      <c r="G3846" s="1" t="s">
        <v>7685</v>
      </c>
      <c r="H3846" s="2">
        <v>2006.66</v>
      </c>
      <c r="I3846" s="2">
        <v>2006.66</v>
      </c>
    </row>
    <row r="3847">
      <c r="A3847" s="1" t="s">
        <v>7686</v>
      </c>
      <c r="B3847" s="2">
        <v>1972.83</v>
      </c>
      <c r="C3847" s="2">
        <v>1972.83</v>
      </c>
      <c r="D3847" s="2">
        <v>4419.03</v>
      </c>
      <c r="E3847" s="2">
        <v>4419.03</v>
      </c>
      <c r="G3847" s="1" t="s">
        <v>7687</v>
      </c>
      <c r="H3847" s="2">
        <v>2000.5</v>
      </c>
      <c r="I3847" s="2">
        <v>2000.5</v>
      </c>
    </row>
    <row r="3848">
      <c r="A3848" s="1" t="s">
        <v>7688</v>
      </c>
      <c r="B3848" s="2">
        <v>1964.68</v>
      </c>
      <c r="C3848" s="2">
        <v>1964.68</v>
      </c>
      <c r="D3848" s="2">
        <v>4396.2</v>
      </c>
      <c r="E3848" s="2">
        <v>4396.2</v>
      </c>
      <c r="G3848" s="1" t="s">
        <v>7689</v>
      </c>
      <c r="H3848" s="2">
        <v>2002.84</v>
      </c>
      <c r="I3848" s="2">
        <v>2002.84</v>
      </c>
    </row>
    <row r="3849">
      <c r="A3849" s="1" t="s">
        <v>7690</v>
      </c>
      <c r="B3849" s="2">
        <v>1967.57</v>
      </c>
      <c r="C3849" s="2">
        <v>1967.57</v>
      </c>
      <c r="D3849" s="2">
        <v>4415.49</v>
      </c>
      <c r="E3849" s="2">
        <v>4415.49</v>
      </c>
      <c r="G3849" s="1" t="s">
        <v>7691</v>
      </c>
      <c r="H3849" s="2">
        <v>1988.74</v>
      </c>
      <c r="I3849" s="2">
        <v>1988.74</v>
      </c>
    </row>
    <row r="3850">
      <c r="A3850" s="1" t="s">
        <v>7692</v>
      </c>
      <c r="B3850" s="2" t="s">
        <v>0</v>
      </c>
      <c r="C3850" s="2">
        <v>1967.57</v>
      </c>
      <c r="D3850" s="2" t="s">
        <v>0</v>
      </c>
      <c r="E3850" s="2">
        <v>4415.49</v>
      </c>
      <c r="G3850" s="1" t="s">
        <v>7693</v>
      </c>
      <c r="H3850" s="2" t="s">
        <v>0</v>
      </c>
      <c r="I3850" s="2">
        <v>1988.74</v>
      </c>
    </row>
    <row r="3851">
      <c r="A3851" s="1" t="s">
        <v>7694</v>
      </c>
      <c r="B3851" s="2" t="s">
        <v>0</v>
      </c>
      <c r="C3851" s="2">
        <v>1967.57</v>
      </c>
      <c r="D3851" s="2" t="s">
        <v>0</v>
      </c>
      <c r="E3851" s="2">
        <v>4415.49</v>
      </c>
      <c r="G3851" s="1" t="s">
        <v>7695</v>
      </c>
      <c r="H3851" s="2" t="s">
        <v>0</v>
      </c>
      <c r="I3851" s="2">
        <v>1988.74</v>
      </c>
    </row>
    <row r="3852">
      <c r="A3852" s="1" t="s">
        <v>7696</v>
      </c>
      <c r="B3852" s="2">
        <v>1977.1</v>
      </c>
      <c r="C3852" s="2">
        <v>1977.1</v>
      </c>
      <c r="D3852" s="2">
        <v>4440.42</v>
      </c>
      <c r="E3852" s="2">
        <v>4440.42</v>
      </c>
      <c r="G3852" s="1" t="s">
        <v>7697</v>
      </c>
      <c r="H3852" s="2">
        <v>1993.88</v>
      </c>
      <c r="I3852" s="2">
        <v>1993.88</v>
      </c>
    </row>
    <row r="3853">
      <c r="A3853" s="1" t="s">
        <v>7698</v>
      </c>
      <c r="B3853" s="2">
        <v>1973.28</v>
      </c>
      <c r="C3853" s="2">
        <v>1973.28</v>
      </c>
      <c r="D3853" s="2">
        <v>4416.39</v>
      </c>
      <c r="E3853" s="2">
        <v>4416.39</v>
      </c>
      <c r="G3853" s="1" t="s">
        <v>7699</v>
      </c>
      <c r="H3853" s="2">
        <v>2012.72</v>
      </c>
      <c r="I3853" s="2">
        <v>2012.72</v>
      </c>
    </row>
    <row r="3854">
      <c r="A3854" s="1" t="s">
        <v>7700</v>
      </c>
      <c r="B3854" s="2">
        <v>1981.57</v>
      </c>
      <c r="C3854" s="2">
        <v>1981.57</v>
      </c>
      <c r="D3854" s="2">
        <v>4425.97</v>
      </c>
      <c r="E3854" s="2">
        <v>4425.97</v>
      </c>
      <c r="G3854" s="1" t="s">
        <v>7701</v>
      </c>
      <c r="H3854" s="2">
        <v>2013.48</v>
      </c>
      <c r="I3854" s="2">
        <v>2013.48</v>
      </c>
    </row>
    <row r="3855">
      <c r="A3855" s="1" t="s">
        <v>7702</v>
      </c>
      <c r="B3855" s="2">
        <v>1958.12</v>
      </c>
      <c r="C3855" s="2">
        <v>1958.12</v>
      </c>
      <c r="D3855" s="2">
        <v>4363.45</v>
      </c>
      <c r="E3855" s="2">
        <v>4363.45</v>
      </c>
      <c r="G3855" s="1" t="s">
        <v>7703</v>
      </c>
      <c r="H3855" s="2">
        <v>2020.9</v>
      </c>
      <c r="I3855" s="2">
        <v>2020.9</v>
      </c>
    </row>
    <row r="3856">
      <c r="A3856" s="1" t="s">
        <v>7704</v>
      </c>
      <c r="B3856" s="2">
        <v>1978.22</v>
      </c>
      <c r="C3856" s="2">
        <v>1978.22</v>
      </c>
      <c r="D3856" s="2">
        <v>4432.15</v>
      </c>
      <c r="E3856" s="2">
        <v>4432.15</v>
      </c>
      <c r="G3856" s="1" t="s">
        <v>7705</v>
      </c>
      <c r="H3856" s="2">
        <v>2019.42</v>
      </c>
      <c r="I3856" s="2">
        <v>2019.42</v>
      </c>
    </row>
    <row r="3857">
      <c r="A3857" s="1" t="s">
        <v>7706</v>
      </c>
      <c r="B3857" s="2" t="s">
        <v>0</v>
      </c>
      <c r="C3857" s="2">
        <v>1978.22</v>
      </c>
      <c r="D3857" s="2" t="s">
        <v>0</v>
      </c>
      <c r="E3857" s="2">
        <v>4432.15</v>
      </c>
      <c r="G3857" s="1" t="s">
        <v>7707</v>
      </c>
      <c r="H3857" s="2" t="s">
        <v>0</v>
      </c>
      <c r="I3857" s="2">
        <v>2019.42</v>
      </c>
    </row>
    <row r="3858">
      <c r="A3858" s="1" t="s">
        <v>7708</v>
      </c>
      <c r="B3858" s="2" t="s">
        <v>0</v>
      </c>
      <c r="C3858" s="2">
        <v>1978.22</v>
      </c>
      <c r="D3858" s="2" t="s">
        <v>0</v>
      </c>
      <c r="E3858" s="2">
        <v>4432.15</v>
      </c>
      <c r="G3858" s="1" t="s">
        <v>7709</v>
      </c>
      <c r="H3858" s="2" t="s">
        <v>0</v>
      </c>
      <c r="I3858" s="2">
        <v>2019.42</v>
      </c>
    </row>
    <row r="3859">
      <c r="A3859" s="1" t="s">
        <v>7710</v>
      </c>
      <c r="B3859" s="2">
        <v>1973.63</v>
      </c>
      <c r="C3859" s="2">
        <v>1973.63</v>
      </c>
      <c r="D3859" s="2">
        <v>4424.7</v>
      </c>
      <c r="E3859" s="2">
        <v>4424.7</v>
      </c>
      <c r="G3859" s="1" t="s">
        <v>7711</v>
      </c>
      <c r="H3859" s="2">
        <v>2018.5</v>
      </c>
      <c r="I3859" s="2">
        <v>2018.5</v>
      </c>
    </row>
    <row r="3860">
      <c r="A3860" s="1" t="s">
        <v>7712</v>
      </c>
      <c r="B3860" s="2">
        <v>1983.53</v>
      </c>
      <c r="C3860" s="2">
        <v>1983.53</v>
      </c>
      <c r="D3860" s="2">
        <v>4456.02</v>
      </c>
      <c r="E3860" s="2">
        <v>4456.02</v>
      </c>
      <c r="G3860" s="1" t="s">
        <v>7713</v>
      </c>
      <c r="H3860" s="2">
        <v>2028.93</v>
      </c>
      <c r="I3860" s="2">
        <v>2028.93</v>
      </c>
    </row>
    <row r="3861">
      <c r="A3861" s="1" t="s">
        <v>7714</v>
      </c>
      <c r="B3861" s="2">
        <v>1987.01</v>
      </c>
      <c r="C3861" s="2">
        <v>1987.01</v>
      </c>
      <c r="D3861" s="2">
        <v>4473.7</v>
      </c>
      <c r="E3861" s="2">
        <v>4473.7</v>
      </c>
      <c r="G3861" s="1" t="s">
        <v>7715</v>
      </c>
      <c r="H3861" s="2">
        <v>2028.32</v>
      </c>
      <c r="I3861" s="2">
        <v>2028.32</v>
      </c>
    </row>
    <row r="3862">
      <c r="A3862" s="1" t="s">
        <v>7716</v>
      </c>
      <c r="B3862" s="2">
        <v>1987.98</v>
      </c>
      <c r="C3862" s="2">
        <v>1987.98</v>
      </c>
      <c r="D3862" s="2">
        <v>4472.11</v>
      </c>
      <c r="E3862" s="2">
        <v>4472.11</v>
      </c>
      <c r="G3862" s="1" t="s">
        <v>7717</v>
      </c>
      <c r="H3862" s="2">
        <v>2026.62</v>
      </c>
      <c r="I3862" s="2">
        <v>2026.62</v>
      </c>
    </row>
    <row r="3863">
      <c r="A3863" s="1" t="s">
        <v>7718</v>
      </c>
      <c r="B3863" s="2">
        <v>1978.34</v>
      </c>
      <c r="C3863" s="2">
        <v>1978.34</v>
      </c>
      <c r="D3863" s="2">
        <v>4449.56</v>
      </c>
      <c r="E3863" s="2">
        <v>4449.56</v>
      </c>
      <c r="G3863" s="1" t="s">
        <v>7719</v>
      </c>
      <c r="H3863" s="2">
        <v>2033.85</v>
      </c>
      <c r="I3863" s="2">
        <v>2033.85</v>
      </c>
    </row>
    <row r="3864">
      <c r="A3864" s="1" t="s">
        <v>7720</v>
      </c>
      <c r="B3864" s="2" t="s">
        <v>0</v>
      </c>
      <c r="C3864" s="2">
        <v>1978.34</v>
      </c>
      <c r="D3864" s="2" t="s">
        <v>0</v>
      </c>
      <c r="E3864" s="2">
        <v>4449.56</v>
      </c>
      <c r="G3864" s="1" t="s">
        <v>7721</v>
      </c>
      <c r="H3864" s="2" t="s">
        <v>0</v>
      </c>
      <c r="I3864" s="2">
        <v>2033.85</v>
      </c>
    </row>
    <row r="3865">
      <c r="A3865" s="1" t="s">
        <v>7722</v>
      </c>
      <c r="B3865" s="2" t="s">
        <v>0</v>
      </c>
      <c r="C3865" s="2">
        <v>1978.34</v>
      </c>
      <c r="D3865" s="2" t="s">
        <v>0</v>
      </c>
      <c r="E3865" s="2">
        <v>4449.56</v>
      </c>
      <c r="G3865" s="1" t="s">
        <v>7723</v>
      </c>
      <c r="H3865" s="2" t="s">
        <v>0</v>
      </c>
      <c r="I3865" s="2">
        <v>2033.85</v>
      </c>
    </row>
    <row r="3866">
      <c r="A3866" s="1" t="s">
        <v>7724</v>
      </c>
      <c r="B3866" s="2">
        <v>1978.91</v>
      </c>
      <c r="C3866" s="2">
        <v>1978.91</v>
      </c>
      <c r="D3866" s="2">
        <v>4444.91</v>
      </c>
      <c r="E3866" s="2">
        <v>4444.91</v>
      </c>
      <c r="G3866" s="1" t="s">
        <v>7725</v>
      </c>
      <c r="H3866" s="2">
        <v>2048.81</v>
      </c>
      <c r="I3866" s="2">
        <v>2048.81</v>
      </c>
    </row>
    <row r="3867">
      <c r="A3867" s="1" t="s">
        <v>7726</v>
      </c>
      <c r="B3867" s="2">
        <v>1969.95</v>
      </c>
      <c r="C3867" s="2">
        <v>1969.95</v>
      </c>
      <c r="D3867" s="2">
        <v>4442.7</v>
      </c>
      <c r="E3867" s="2">
        <v>4442.7</v>
      </c>
      <c r="G3867" s="1" t="s">
        <v>7727</v>
      </c>
      <c r="H3867" s="2">
        <v>2061.97</v>
      </c>
      <c r="I3867" s="2">
        <v>2061.97</v>
      </c>
    </row>
    <row r="3868">
      <c r="A3868" s="1" t="s">
        <v>7728</v>
      </c>
      <c r="B3868" s="2">
        <v>1970.07</v>
      </c>
      <c r="C3868" s="2">
        <v>1970.07</v>
      </c>
      <c r="D3868" s="2">
        <v>4462.9</v>
      </c>
      <c r="E3868" s="2">
        <v>4462.9</v>
      </c>
      <c r="G3868" s="1" t="s">
        <v>7729</v>
      </c>
      <c r="H3868" s="2">
        <v>2082.61</v>
      </c>
      <c r="I3868" s="2">
        <v>2082.61</v>
      </c>
    </row>
    <row r="3869">
      <c r="A3869" s="1" t="s">
        <v>7730</v>
      </c>
      <c r="B3869" s="2">
        <v>1930.67</v>
      </c>
      <c r="C3869" s="2">
        <v>1930.67</v>
      </c>
      <c r="D3869" s="2">
        <v>4369.77</v>
      </c>
      <c r="E3869" s="2">
        <v>4369.77</v>
      </c>
      <c r="G3869" s="1" t="s">
        <v>7731</v>
      </c>
      <c r="H3869" s="2">
        <v>2076.12</v>
      </c>
      <c r="I3869" s="2">
        <v>2076.12</v>
      </c>
    </row>
    <row r="3870">
      <c r="A3870" s="1" t="s">
        <v>7732</v>
      </c>
      <c r="B3870" s="2">
        <v>1925.15</v>
      </c>
      <c r="C3870" s="2">
        <v>1925.15</v>
      </c>
      <c r="D3870" s="2">
        <v>4352.64</v>
      </c>
      <c r="E3870" s="2">
        <v>4352.64</v>
      </c>
      <c r="G3870" s="1" t="s">
        <v>7733</v>
      </c>
      <c r="H3870" s="2">
        <v>2073.1</v>
      </c>
      <c r="I3870" s="2">
        <v>2073.1</v>
      </c>
    </row>
    <row r="3871">
      <c r="A3871" s="1" t="s">
        <v>7734</v>
      </c>
      <c r="B3871" s="2" t="s">
        <v>0</v>
      </c>
      <c r="C3871" s="2">
        <v>1925.15</v>
      </c>
      <c r="D3871" s="2" t="s">
        <v>0</v>
      </c>
      <c r="E3871" s="2">
        <v>4352.64</v>
      </c>
      <c r="G3871" s="1" t="s">
        <v>7735</v>
      </c>
      <c r="H3871" s="2" t="s">
        <v>0</v>
      </c>
      <c r="I3871" s="2">
        <v>2073.1</v>
      </c>
    </row>
    <row r="3872">
      <c r="A3872" s="1" t="s">
        <v>7736</v>
      </c>
      <c r="B3872" s="2" t="s">
        <v>0</v>
      </c>
      <c r="C3872" s="2">
        <v>1925.15</v>
      </c>
      <c r="D3872" s="2" t="s">
        <v>0</v>
      </c>
      <c r="E3872" s="2">
        <v>4352.64</v>
      </c>
      <c r="G3872" s="1" t="s">
        <v>7737</v>
      </c>
      <c r="H3872" s="2" t="s">
        <v>0</v>
      </c>
      <c r="I3872" s="2">
        <v>2073.1</v>
      </c>
    </row>
    <row r="3873">
      <c r="A3873" s="1" t="s">
        <v>7738</v>
      </c>
      <c r="B3873" s="2">
        <v>1938.99</v>
      </c>
      <c r="C3873" s="2">
        <v>1938.99</v>
      </c>
      <c r="D3873" s="2">
        <v>4383.89</v>
      </c>
      <c r="E3873" s="2">
        <v>4383.89</v>
      </c>
      <c r="G3873" s="1" t="s">
        <v>7739</v>
      </c>
      <c r="H3873" s="2">
        <v>2080.42</v>
      </c>
      <c r="I3873" s="2">
        <v>2080.42</v>
      </c>
    </row>
    <row r="3874">
      <c r="A3874" s="1" t="s">
        <v>7740</v>
      </c>
      <c r="B3874" s="2">
        <v>1920.21</v>
      </c>
      <c r="C3874" s="2">
        <v>1920.21</v>
      </c>
      <c r="D3874" s="2">
        <v>4352.84</v>
      </c>
      <c r="E3874" s="2">
        <v>4352.84</v>
      </c>
      <c r="G3874" s="1" t="s">
        <v>7741</v>
      </c>
      <c r="H3874" s="2">
        <v>2066.26</v>
      </c>
      <c r="I3874" s="2">
        <v>2066.26</v>
      </c>
    </row>
    <row r="3875">
      <c r="A3875" s="1" t="s">
        <v>7742</v>
      </c>
      <c r="B3875" s="2">
        <v>1920.24</v>
      </c>
      <c r="C3875" s="2">
        <v>1920.24</v>
      </c>
      <c r="D3875" s="2">
        <v>4355.05</v>
      </c>
      <c r="E3875" s="2">
        <v>4355.05</v>
      </c>
      <c r="G3875" s="1" t="s">
        <v>7743</v>
      </c>
      <c r="H3875" s="2">
        <v>2060.73</v>
      </c>
      <c r="I3875" s="2">
        <v>2060.73</v>
      </c>
    </row>
    <row r="3876">
      <c r="A3876" s="1" t="s">
        <v>7744</v>
      </c>
      <c r="B3876" s="2">
        <v>1909.57</v>
      </c>
      <c r="C3876" s="2">
        <v>1909.57</v>
      </c>
      <c r="D3876" s="2">
        <v>4334.97</v>
      </c>
      <c r="E3876" s="2">
        <v>4334.97</v>
      </c>
      <c r="G3876" s="1" t="s">
        <v>7745</v>
      </c>
      <c r="H3876" s="2">
        <v>2054.51</v>
      </c>
      <c r="I3876" s="2">
        <v>2054.51</v>
      </c>
    </row>
    <row r="3877">
      <c r="A3877" s="1" t="s">
        <v>7746</v>
      </c>
      <c r="B3877" s="2">
        <v>1931.59</v>
      </c>
      <c r="C3877" s="2">
        <v>1931.59</v>
      </c>
      <c r="D3877" s="2">
        <v>4370.9</v>
      </c>
      <c r="E3877" s="2">
        <v>4370.9</v>
      </c>
      <c r="G3877" s="1" t="s">
        <v>7747</v>
      </c>
      <c r="H3877" s="2">
        <v>2031.1</v>
      </c>
      <c r="I3877" s="2">
        <v>2031.1</v>
      </c>
    </row>
    <row r="3878">
      <c r="A3878" s="1" t="s">
        <v>7748</v>
      </c>
      <c r="B3878" s="2" t="s">
        <v>0</v>
      </c>
      <c r="C3878" s="2">
        <v>1931.59</v>
      </c>
      <c r="D3878" s="2" t="s">
        <v>0</v>
      </c>
      <c r="E3878" s="2">
        <v>4370.9</v>
      </c>
      <c r="G3878" s="1" t="s">
        <v>7749</v>
      </c>
      <c r="H3878" s="2" t="s">
        <v>0</v>
      </c>
      <c r="I3878" s="2">
        <v>2031.1</v>
      </c>
    </row>
    <row r="3879">
      <c r="A3879" s="1" t="s">
        <v>7750</v>
      </c>
      <c r="B3879" s="2" t="s">
        <v>0</v>
      </c>
      <c r="C3879" s="2">
        <v>1931.59</v>
      </c>
      <c r="D3879" s="2" t="s">
        <v>0</v>
      </c>
      <c r="E3879" s="2">
        <v>4370.9</v>
      </c>
      <c r="G3879" s="1" t="s">
        <v>7751</v>
      </c>
      <c r="H3879" s="2" t="s">
        <v>0</v>
      </c>
      <c r="I3879" s="2">
        <v>2031.1</v>
      </c>
    </row>
    <row r="3880">
      <c r="A3880" s="1" t="s">
        <v>7752</v>
      </c>
      <c r="B3880" s="2">
        <v>1936.92</v>
      </c>
      <c r="C3880" s="2">
        <v>1936.92</v>
      </c>
      <c r="D3880" s="2">
        <v>4401.33</v>
      </c>
      <c r="E3880" s="2">
        <v>4401.33</v>
      </c>
      <c r="G3880" s="1" t="s">
        <v>7753</v>
      </c>
      <c r="H3880" s="2">
        <v>2039.37</v>
      </c>
      <c r="I3880" s="2">
        <v>2039.37</v>
      </c>
    </row>
    <row r="3881">
      <c r="A3881" s="1" t="s">
        <v>7754</v>
      </c>
      <c r="B3881" s="2">
        <v>1933.75</v>
      </c>
      <c r="C3881" s="2">
        <v>1933.75</v>
      </c>
      <c r="D3881" s="2">
        <v>4389.25</v>
      </c>
      <c r="E3881" s="2">
        <v>4389.25</v>
      </c>
      <c r="G3881" s="1" t="s">
        <v>7755</v>
      </c>
      <c r="H3881" s="2">
        <v>2041.47</v>
      </c>
      <c r="I3881" s="2">
        <v>2041.47</v>
      </c>
    </row>
    <row r="3882">
      <c r="A3882" s="1" t="s">
        <v>7756</v>
      </c>
      <c r="B3882" s="2">
        <v>1946.72</v>
      </c>
      <c r="C3882" s="2">
        <v>1946.72</v>
      </c>
      <c r="D3882" s="2">
        <v>4434.13</v>
      </c>
      <c r="E3882" s="2">
        <v>4434.13</v>
      </c>
      <c r="G3882" s="1" t="s">
        <v>7757</v>
      </c>
      <c r="H3882" s="2">
        <v>2062.36</v>
      </c>
      <c r="I3882" s="2">
        <v>2062.36</v>
      </c>
    </row>
    <row r="3883">
      <c r="A3883" s="1" t="s">
        <v>7758</v>
      </c>
      <c r="B3883" s="2">
        <v>1955.18</v>
      </c>
      <c r="C3883" s="2">
        <v>1955.18</v>
      </c>
      <c r="D3883" s="2">
        <v>4453.0</v>
      </c>
      <c r="E3883" s="2">
        <v>4453.0</v>
      </c>
      <c r="G3883" s="1" t="s">
        <v>7759</v>
      </c>
      <c r="H3883" s="2">
        <v>2063.22</v>
      </c>
      <c r="I3883" s="2">
        <v>2063.22</v>
      </c>
    </row>
    <row r="3884">
      <c r="A3884" s="1" t="s">
        <v>7760</v>
      </c>
      <c r="B3884" s="2">
        <v>1955.06</v>
      </c>
      <c r="C3884" s="2">
        <v>1955.06</v>
      </c>
      <c r="D3884" s="2">
        <v>4464.93</v>
      </c>
      <c r="E3884" s="2">
        <v>4464.93</v>
      </c>
      <c r="G3884" s="1" t="s">
        <v>7761</v>
      </c>
      <c r="H3884" s="2" t="s">
        <v>0</v>
      </c>
      <c r="I3884" s="2">
        <v>2063.22</v>
      </c>
    </row>
    <row r="3885">
      <c r="A3885" s="1" t="s">
        <v>7762</v>
      </c>
      <c r="B3885" s="2" t="s">
        <v>0</v>
      </c>
      <c r="C3885" s="2">
        <v>1955.06</v>
      </c>
      <c r="D3885" s="2" t="s">
        <v>0</v>
      </c>
      <c r="E3885" s="2">
        <v>4464.93</v>
      </c>
      <c r="G3885" s="1" t="s">
        <v>7763</v>
      </c>
      <c r="H3885" s="2" t="s">
        <v>0</v>
      </c>
      <c r="I3885" s="2">
        <v>2063.22</v>
      </c>
    </row>
    <row r="3886">
      <c r="A3886" s="1" t="s">
        <v>7764</v>
      </c>
      <c r="B3886" s="2" t="s">
        <v>0</v>
      </c>
      <c r="C3886" s="2">
        <v>1955.06</v>
      </c>
      <c r="D3886" s="2" t="s">
        <v>0</v>
      </c>
      <c r="E3886" s="2">
        <v>4464.93</v>
      </c>
      <c r="G3886" s="1" t="s">
        <v>7765</v>
      </c>
      <c r="H3886" s="2" t="s">
        <v>0</v>
      </c>
      <c r="I3886" s="2">
        <v>2063.22</v>
      </c>
    </row>
    <row r="3887">
      <c r="A3887" s="1" t="s">
        <v>7766</v>
      </c>
      <c r="B3887" s="2">
        <v>1971.74</v>
      </c>
      <c r="C3887" s="2">
        <v>1971.74</v>
      </c>
      <c r="D3887" s="2">
        <v>4508.31</v>
      </c>
      <c r="E3887" s="2">
        <v>4508.31</v>
      </c>
      <c r="G3887" s="1" t="s">
        <v>7767</v>
      </c>
      <c r="H3887" s="2">
        <v>2053.13</v>
      </c>
      <c r="I3887" s="2">
        <v>2053.13</v>
      </c>
    </row>
    <row r="3888">
      <c r="A3888" s="1" t="s">
        <v>7768</v>
      </c>
      <c r="B3888" s="2">
        <v>1981.6</v>
      </c>
      <c r="C3888" s="2">
        <v>1981.6</v>
      </c>
      <c r="D3888" s="2">
        <v>4527.51</v>
      </c>
      <c r="E3888" s="2">
        <v>4527.51</v>
      </c>
      <c r="G3888" s="1" t="s">
        <v>7769</v>
      </c>
      <c r="H3888" s="2">
        <v>2071.14</v>
      </c>
      <c r="I3888" s="2">
        <v>2071.14</v>
      </c>
    </row>
    <row r="3889">
      <c r="A3889" s="1" t="s">
        <v>7770</v>
      </c>
      <c r="B3889" s="2">
        <v>1986.51</v>
      </c>
      <c r="C3889" s="2">
        <v>1986.51</v>
      </c>
      <c r="D3889" s="2">
        <v>4526.48</v>
      </c>
      <c r="E3889" s="2">
        <v>4526.48</v>
      </c>
      <c r="G3889" s="1" t="s">
        <v>7771</v>
      </c>
      <c r="H3889" s="2">
        <v>2072.78</v>
      </c>
      <c r="I3889" s="2">
        <v>2072.78</v>
      </c>
    </row>
    <row r="3890">
      <c r="A3890" s="1" t="s">
        <v>7772</v>
      </c>
      <c r="B3890" s="2">
        <v>1992.37</v>
      </c>
      <c r="C3890" s="2">
        <v>1992.37</v>
      </c>
      <c r="D3890" s="2">
        <v>4532.1</v>
      </c>
      <c r="E3890" s="2">
        <v>4532.1</v>
      </c>
      <c r="G3890" s="1" t="s">
        <v>7773</v>
      </c>
      <c r="H3890" s="2">
        <v>2044.21</v>
      </c>
      <c r="I3890" s="2">
        <v>2044.21</v>
      </c>
    </row>
    <row r="3891">
      <c r="A3891" s="1" t="s">
        <v>7774</v>
      </c>
      <c r="B3891" s="2">
        <v>1988.4</v>
      </c>
      <c r="C3891" s="2">
        <v>1988.4</v>
      </c>
      <c r="D3891" s="2">
        <v>4538.55</v>
      </c>
      <c r="E3891" s="2">
        <v>4538.55</v>
      </c>
      <c r="G3891" s="1" t="s">
        <v>7775</v>
      </c>
      <c r="H3891" s="2">
        <v>2056.7</v>
      </c>
      <c r="I3891" s="2">
        <v>2056.7</v>
      </c>
    </row>
    <row r="3892">
      <c r="A3892" s="1" t="s">
        <v>7776</v>
      </c>
      <c r="B3892" s="2" t="s">
        <v>0</v>
      </c>
      <c r="C3892" s="2">
        <v>1988.4</v>
      </c>
      <c r="D3892" s="2" t="s">
        <v>0</v>
      </c>
      <c r="E3892" s="2">
        <v>4538.55</v>
      </c>
      <c r="G3892" s="1" t="s">
        <v>7777</v>
      </c>
      <c r="H3892" s="2" t="s">
        <v>0</v>
      </c>
      <c r="I3892" s="2">
        <v>2056.7</v>
      </c>
    </row>
    <row r="3893">
      <c r="A3893" s="1" t="s">
        <v>7778</v>
      </c>
      <c r="B3893" s="2" t="s">
        <v>0</v>
      </c>
      <c r="C3893" s="2">
        <v>1988.4</v>
      </c>
      <c r="D3893" s="2" t="s">
        <v>0</v>
      </c>
      <c r="E3893" s="2">
        <v>4538.55</v>
      </c>
      <c r="G3893" s="1" t="s">
        <v>7779</v>
      </c>
      <c r="H3893" s="2" t="s">
        <v>0</v>
      </c>
      <c r="I3893" s="2">
        <v>2056.7</v>
      </c>
    </row>
    <row r="3894">
      <c r="A3894" s="1" t="s">
        <v>7780</v>
      </c>
      <c r="B3894" s="2">
        <v>1997.92</v>
      </c>
      <c r="C3894" s="2">
        <v>1997.92</v>
      </c>
      <c r="D3894" s="2">
        <v>4557.35</v>
      </c>
      <c r="E3894" s="2">
        <v>4557.35</v>
      </c>
      <c r="G3894" s="1" t="s">
        <v>7781</v>
      </c>
      <c r="H3894" s="2">
        <v>2060.89</v>
      </c>
      <c r="I3894" s="2">
        <v>2060.89</v>
      </c>
    </row>
    <row r="3895">
      <c r="A3895" s="1" t="s">
        <v>7782</v>
      </c>
      <c r="B3895" s="2">
        <v>2000.02</v>
      </c>
      <c r="C3895" s="2">
        <v>2000.02</v>
      </c>
      <c r="D3895" s="2">
        <v>4570.64</v>
      </c>
      <c r="E3895" s="2">
        <v>4570.64</v>
      </c>
      <c r="G3895" s="1" t="s">
        <v>7783</v>
      </c>
      <c r="H3895" s="2">
        <v>2068.05</v>
      </c>
      <c r="I3895" s="2">
        <v>2068.05</v>
      </c>
    </row>
    <row r="3896">
      <c r="A3896" s="1" t="s">
        <v>7784</v>
      </c>
      <c r="B3896" s="2">
        <v>2000.12</v>
      </c>
      <c r="C3896" s="2">
        <v>2000.12</v>
      </c>
      <c r="D3896" s="2">
        <v>4569.62</v>
      </c>
      <c r="E3896" s="2">
        <v>4569.62</v>
      </c>
      <c r="G3896" s="1" t="s">
        <v>7785</v>
      </c>
      <c r="H3896" s="2">
        <v>2074.93</v>
      </c>
      <c r="I3896" s="2">
        <v>2074.93</v>
      </c>
    </row>
    <row r="3897">
      <c r="A3897" s="1" t="s">
        <v>7786</v>
      </c>
      <c r="B3897" s="2">
        <v>1996.74</v>
      </c>
      <c r="C3897" s="2">
        <v>1996.74</v>
      </c>
      <c r="D3897" s="2">
        <v>4557.69</v>
      </c>
      <c r="E3897" s="2">
        <v>4557.69</v>
      </c>
      <c r="G3897" s="1" t="s">
        <v>7787</v>
      </c>
      <c r="H3897" s="2">
        <v>2075.76</v>
      </c>
      <c r="I3897" s="2">
        <v>2075.76</v>
      </c>
    </row>
    <row r="3898">
      <c r="A3898" s="1" t="s">
        <v>7788</v>
      </c>
      <c r="B3898" s="2">
        <v>2003.37</v>
      </c>
      <c r="C3898" s="2">
        <v>2003.37</v>
      </c>
      <c r="D3898" s="2">
        <v>4580.27</v>
      </c>
      <c r="E3898" s="2">
        <v>4580.27</v>
      </c>
      <c r="G3898" s="1" t="s">
        <v>7789</v>
      </c>
      <c r="H3898" s="2">
        <v>2068.54</v>
      </c>
      <c r="I3898" s="2">
        <v>2068.54</v>
      </c>
    </row>
    <row r="3899">
      <c r="A3899" s="1" t="s">
        <v>7790</v>
      </c>
      <c r="B3899" s="2" t="s">
        <v>0</v>
      </c>
      <c r="C3899" s="2">
        <v>2003.37</v>
      </c>
      <c r="D3899" s="2" t="s">
        <v>0</v>
      </c>
      <c r="E3899" s="2">
        <v>4580.27</v>
      </c>
      <c r="G3899" s="1" t="s">
        <v>7791</v>
      </c>
      <c r="H3899" s="2" t="s">
        <v>0</v>
      </c>
      <c r="I3899" s="2">
        <v>2068.54</v>
      </c>
    </row>
    <row r="3900">
      <c r="A3900" s="1" t="s">
        <v>7792</v>
      </c>
      <c r="B3900" s="2" t="s">
        <v>0</v>
      </c>
      <c r="C3900" s="2">
        <v>2003.37</v>
      </c>
      <c r="D3900" s="2" t="s">
        <v>0</v>
      </c>
      <c r="E3900" s="2">
        <v>4580.27</v>
      </c>
      <c r="G3900" s="1" t="s">
        <v>7793</v>
      </c>
      <c r="H3900" s="2" t="s">
        <v>0</v>
      </c>
      <c r="I3900" s="2">
        <v>2068.54</v>
      </c>
    </row>
    <row r="3901">
      <c r="A3901" s="1" t="s">
        <v>7794</v>
      </c>
      <c r="B3901" s="2" t="s">
        <v>0</v>
      </c>
      <c r="C3901" s="2">
        <v>2003.37</v>
      </c>
      <c r="D3901" s="2" t="s">
        <v>0</v>
      </c>
      <c r="E3901" s="2">
        <v>4580.27</v>
      </c>
      <c r="G3901" s="1" t="s">
        <v>7795</v>
      </c>
      <c r="H3901" s="2">
        <v>2067.86</v>
      </c>
      <c r="I3901" s="2">
        <v>2067.86</v>
      </c>
    </row>
    <row r="3902">
      <c r="A3902" s="1" t="s">
        <v>7796</v>
      </c>
      <c r="B3902" s="2">
        <v>2002.28</v>
      </c>
      <c r="C3902" s="2">
        <v>2002.28</v>
      </c>
      <c r="D3902" s="2">
        <v>4598.19</v>
      </c>
      <c r="E3902" s="2">
        <v>4598.19</v>
      </c>
      <c r="G3902" s="1" t="s">
        <v>7797</v>
      </c>
      <c r="H3902" s="2">
        <v>2051.58</v>
      </c>
      <c r="I3902" s="2">
        <v>2051.58</v>
      </c>
    </row>
    <row r="3903">
      <c r="A3903" s="1" t="s">
        <v>7798</v>
      </c>
      <c r="B3903" s="2">
        <v>2000.72</v>
      </c>
      <c r="C3903" s="2">
        <v>2000.72</v>
      </c>
      <c r="D3903" s="2">
        <v>4572.56</v>
      </c>
      <c r="E3903" s="2">
        <v>4572.56</v>
      </c>
      <c r="G3903" s="1" t="s">
        <v>7799</v>
      </c>
      <c r="H3903" s="2">
        <v>2051.2</v>
      </c>
      <c r="I3903" s="2">
        <v>2051.2</v>
      </c>
    </row>
    <row r="3904">
      <c r="A3904" s="1" t="s">
        <v>7800</v>
      </c>
      <c r="B3904" s="2">
        <v>1997.65</v>
      </c>
      <c r="C3904" s="2">
        <v>1997.65</v>
      </c>
      <c r="D3904" s="2">
        <v>4562.29</v>
      </c>
      <c r="E3904" s="2">
        <v>4562.29</v>
      </c>
      <c r="G3904" s="1" t="s">
        <v>7801</v>
      </c>
      <c r="H3904" s="2">
        <v>2056.26</v>
      </c>
      <c r="I3904" s="2">
        <v>2056.26</v>
      </c>
    </row>
    <row r="3905">
      <c r="A3905" s="1" t="s">
        <v>7802</v>
      </c>
      <c r="B3905" s="2">
        <v>2007.71</v>
      </c>
      <c r="C3905" s="2">
        <v>2007.71</v>
      </c>
      <c r="D3905" s="2">
        <v>4582.9</v>
      </c>
      <c r="E3905" s="2">
        <v>4582.9</v>
      </c>
      <c r="G3905" s="1" t="s">
        <v>7803</v>
      </c>
      <c r="H3905" s="2">
        <v>2049.41</v>
      </c>
      <c r="I3905" s="2">
        <v>2049.41</v>
      </c>
    </row>
    <row r="3906">
      <c r="A3906" s="1" t="s">
        <v>7804</v>
      </c>
      <c r="B3906" s="2" t="s">
        <v>0</v>
      </c>
      <c r="C3906" s="2">
        <v>2007.71</v>
      </c>
      <c r="D3906" s="2" t="s">
        <v>0</v>
      </c>
      <c r="E3906" s="2">
        <v>4582.9</v>
      </c>
      <c r="G3906" s="1" t="s">
        <v>7805</v>
      </c>
      <c r="H3906" s="2" t="s">
        <v>0</v>
      </c>
      <c r="I3906" s="2">
        <v>2049.41</v>
      </c>
    </row>
    <row r="3907">
      <c r="A3907" s="1" t="s">
        <v>7806</v>
      </c>
      <c r="B3907" s="2" t="s">
        <v>0</v>
      </c>
      <c r="C3907" s="2">
        <v>2007.71</v>
      </c>
      <c r="D3907" s="2" t="s">
        <v>0</v>
      </c>
      <c r="E3907" s="2">
        <v>4582.9</v>
      </c>
      <c r="G3907" s="1" t="s">
        <v>7807</v>
      </c>
      <c r="H3907" s="2" t="s">
        <v>0</v>
      </c>
      <c r="I3907" s="2">
        <v>2049.41</v>
      </c>
    </row>
    <row r="3908">
      <c r="A3908" s="1" t="s">
        <v>7808</v>
      </c>
      <c r="B3908" s="2">
        <v>2001.54</v>
      </c>
      <c r="C3908" s="2">
        <v>2001.54</v>
      </c>
      <c r="D3908" s="2">
        <v>4592.29</v>
      </c>
      <c r="E3908" s="2">
        <v>4592.29</v>
      </c>
      <c r="G3908" s="1" t="s">
        <v>7809</v>
      </c>
      <c r="H3908" s="2" t="s">
        <v>0</v>
      </c>
      <c r="I3908" s="2">
        <v>2049.41</v>
      </c>
    </row>
    <row r="3909">
      <c r="A3909" s="1" t="s">
        <v>7810</v>
      </c>
      <c r="B3909" s="2">
        <v>1988.44</v>
      </c>
      <c r="C3909" s="2">
        <v>1988.44</v>
      </c>
      <c r="D3909" s="2">
        <v>4552.29</v>
      </c>
      <c r="E3909" s="2">
        <v>4552.29</v>
      </c>
      <c r="G3909" s="1" t="s">
        <v>7811</v>
      </c>
      <c r="H3909" s="2" t="s">
        <v>0</v>
      </c>
      <c r="I3909" s="2">
        <v>2049.41</v>
      </c>
    </row>
    <row r="3910">
      <c r="A3910" s="1" t="s">
        <v>7812</v>
      </c>
      <c r="B3910" s="2">
        <v>1995.69</v>
      </c>
      <c r="C3910" s="2">
        <v>1995.69</v>
      </c>
      <c r="D3910" s="2">
        <v>4586.52</v>
      </c>
      <c r="E3910" s="2">
        <v>4586.52</v>
      </c>
      <c r="G3910" s="1" t="s">
        <v>7813</v>
      </c>
      <c r="H3910" s="2" t="s">
        <v>0</v>
      </c>
      <c r="I3910" s="2">
        <v>2049.41</v>
      </c>
    </row>
    <row r="3911">
      <c r="A3911" s="1" t="s">
        <v>7814</v>
      </c>
      <c r="B3911" s="2">
        <v>1997.45</v>
      </c>
      <c r="C3911" s="2">
        <v>1997.45</v>
      </c>
      <c r="D3911" s="2">
        <v>4591.81</v>
      </c>
      <c r="E3911" s="2">
        <v>4591.81</v>
      </c>
      <c r="G3911" s="1" t="s">
        <v>7815</v>
      </c>
      <c r="H3911" s="2">
        <v>2034.16</v>
      </c>
      <c r="I3911" s="2">
        <v>2034.16</v>
      </c>
    </row>
    <row r="3912">
      <c r="A3912" s="1" t="s">
        <v>7816</v>
      </c>
      <c r="B3912" s="2">
        <v>1985.54</v>
      </c>
      <c r="C3912" s="2">
        <v>1985.54</v>
      </c>
      <c r="D3912" s="2">
        <v>4567.6</v>
      </c>
      <c r="E3912" s="2">
        <v>4567.6</v>
      </c>
      <c r="G3912" s="1" t="s">
        <v>7817</v>
      </c>
      <c r="H3912" s="2">
        <v>2041.86</v>
      </c>
      <c r="I3912" s="2">
        <v>2041.86</v>
      </c>
    </row>
    <row r="3913">
      <c r="A3913" s="1" t="s">
        <v>7818</v>
      </c>
      <c r="B3913" s="2" t="s">
        <v>0</v>
      </c>
      <c r="C3913" s="2">
        <v>1985.54</v>
      </c>
      <c r="D3913" s="2" t="s">
        <v>0</v>
      </c>
      <c r="E3913" s="2">
        <v>4567.6</v>
      </c>
      <c r="G3913" s="1" t="s">
        <v>7819</v>
      </c>
      <c r="H3913" s="2" t="s">
        <v>0</v>
      </c>
      <c r="I3913" s="2">
        <v>2041.86</v>
      </c>
    </row>
    <row r="3914">
      <c r="A3914" s="1" t="s">
        <v>7820</v>
      </c>
      <c r="B3914" s="2" t="s">
        <v>0</v>
      </c>
      <c r="C3914" s="2">
        <v>1985.54</v>
      </c>
      <c r="D3914" s="2" t="s">
        <v>0</v>
      </c>
      <c r="E3914" s="2">
        <v>4567.6</v>
      </c>
      <c r="G3914" s="1" t="s">
        <v>7821</v>
      </c>
      <c r="H3914" s="2" t="s">
        <v>0</v>
      </c>
      <c r="I3914" s="2">
        <v>2041.86</v>
      </c>
    </row>
    <row r="3915">
      <c r="A3915" s="1" t="s">
        <v>7822</v>
      </c>
      <c r="B3915" s="2">
        <v>1984.13</v>
      </c>
      <c r="C3915" s="2">
        <v>1984.13</v>
      </c>
      <c r="D3915" s="2">
        <v>4518.9</v>
      </c>
      <c r="E3915" s="2">
        <v>4518.9</v>
      </c>
      <c r="G3915" s="1" t="s">
        <v>7823</v>
      </c>
      <c r="H3915" s="2">
        <v>2035.82</v>
      </c>
      <c r="I3915" s="2">
        <v>2035.82</v>
      </c>
    </row>
    <row r="3916">
      <c r="A3916" s="1" t="s">
        <v>7824</v>
      </c>
      <c r="B3916" s="2">
        <v>1998.98</v>
      </c>
      <c r="C3916" s="2">
        <v>1998.98</v>
      </c>
      <c r="D3916" s="2">
        <v>4552.76</v>
      </c>
      <c r="E3916" s="2">
        <v>4552.76</v>
      </c>
      <c r="G3916" s="1" t="s">
        <v>7825</v>
      </c>
      <c r="H3916" s="2">
        <v>2042.92</v>
      </c>
      <c r="I3916" s="2">
        <v>2042.92</v>
      </c>
    </row>
    <row r="3917">
      <c r="A3917" s="1" t="s">
        <v>7826</v>
      </c>
      <c r="B3917" s="2">
        <v>2001.57</v>
      </c>
      <c r="C3917" s="2">
        <v>2001.57</v>
      </c>
      <c r="D3917" s="2">
        <v>4562.19</v>
      </c>
      <c r="E3917" s="2">
        <v>4562.19</v>
      </c>
      <c r="G3917" s="1" t="s">
        <v>7827</v>
      </c>
      <c r="H3917" s="2">
        <v>2062.61</v>
      </c>
      <c r="I3917" s="2">
        <v>2062.61</v>
      </c>
    </row>
    <row r="3918">
      <c r="A3918" s="1" t="s">
        <v>7828</v>
      </c>
      <c r="B3918" s="2">
        <v>2011.36</v>
      </c>
      <c r="C3918" s="2">
        <v>2011.36</v>
      </c>
      <c r="D3918" s="2">
        <v>4593.43</v>
      </c>
      <c r="E3918" s="2">
        <v>4593.43</v>
      </c>
      <c r="G3918" s="1" t="s">
        <v>7829</v>
      </c>
      <c r="H3918" s="2">
        <v>2047.74</v>
      </c>
      <c r="I3918" s="2">
        <v>2047.74</v>
      </c>
    </row>
    <row r="3919">
      <c r="A3919" s="1" t="s">
        <v>7830</v>
      </c>
      <c r="B3919" s="2">
        <v>2010.4</v>
      </c>
      <c r="C3919" s="2">
        <v>2010.4</v>
      </c>
      <c r="D3919" s="2">
        <v>4579.79</v>
      </c>
      <c r="E3919" s="2">
        <v>4579.79</v>
      </c>
      <c r="G3919" s="1" t="s">
        <v>7831</v>
      </c>
      <c r="H3919" s="2">
        <v>2053.82</v>
      </c>
      <c r="I3919" s="2">
        <v>2053.82</v>
      </c>
    </row>
    <row r="3920">
      <c r="A3920" s="1" t="s">
        <v>7832</v>
      </c>
      <c r="B3920" s="2" t="s">
        <v>0</v>
      </c>
      <c r="C3920" s="2">
        <v>2010.4</v>
      </c>
      <c r="D3920" s="2" t="s">
        <v>0</v>
      </c>
      <c r="E3920" s="2">
        <v>4579.79</v>
      </c>
      <c r="G3920" s="1" t="s">
        <v>7833</v>
      </c>
      <c r="H3920" s="2" t="s">
        <v>0</v>
      </c>
      <c r="I3920" s="2">
        <v>2053.82</v>
      </c>
    </row>
    <row r="3921">
      <c r="A3921" s="1" t="s">
        <v>7834</v>
      </c>
      <c r="B3921" s="2" t="s">
        <v>0</v>
      </c>
      <c r="C3921" s="2">
        <v>2010.4</v>
      </c>
      <c r="D3921" s="2" t="s">
        <v>0</v>
      </c>
      <c r="E3921" s="2">
        <v>4579.79</v>
      </c>
      <c r="G3921" s="1" t="s">
        <v>7835</v>
      </c>
      <c r="H3921" s="2" t="s">
        <v>0</v>
      </c>
      <c r="I3921" s="2">
        <v>2053.82</v>
      </c>
    </row>
    <row r="3922">
      <c r="A3922" s="1" t="s">
        <v>7836</v>
      </c>
      <c r="B3922" s="2">
        <v>1994.29</v>
      </c>
      <c r="C3922" s="2">
        <v>1994.29</v>
      </c>
      <c r="D3922" s="2">
        <v>4527.69</v>
      </c>
      <c r="E3922" s="2">
        <v>4527.69</v>
      </c>
      <c r="G3922" s="1" t="s">
        <v>7837</v>
      </c>
      <c r="H3922" s="2">
        <v>2039.27</v>
      </c>
      <c r="I3922" s="2">
        <v>2039.27</v>
      </c>
    </row>
    <row r="3923">
      <c r="A3923" s="1" t="s">
        <v>7838</v>
      </c>
      <c r="B3923" s="2">
        <v>1982.77</v>
      </c>
      <c r="C3923" s="2">
        <v>1982.77</v>
      </c>
      <c r="D3923" s="2">
        <v>4508.69</v>
      </c>
      <c r="E3923" s="2">
        <v>4508.69</v>
      </c>
      <c r="G3923" s="1" t="s">
        <v>7839</v>
      </c>
      <c r="H3923" s="2">
        <v>2028.91</v>
      </c>
      <c r="I3923" s="2">
        <v>2028.91</v>
      </c>
    </row>
    <row r="3924">
      <c r="A3924" s="1" t="s">
        <v>7840</v>
      </c>
      <c r="B3924" s="2">
        <v>1998.3</v>
      </c>
      <c r="C3924" s="2">
        <v>1998.3</v>
      </c>
      <c r="D3924" s="2">
        <v>4555.22</v>
      </c>
      <c r="E3924" s="2">
        <v>4555.22</v>
      </c>
      <c r="G3924" s="1" t="s">
        <v>7841</v>
      </c>
      <c r="H3924" s="2">
        <v>2035.64</v>
      </c>
      <c r="I3924" s="2">
        <v>2035.64</v>
      </c>
    </row>
    <row r="3925">
      <c r="A3925" s="1" t="s">
        <v>7842</v>
      </c>
      <c r="B3925" s="2">
        <v>1965.99</v>
      </c>
      <c r="C3925" s="2">
        <v>1965.99</v>
      </c>
      <c r="D3925" s="2">
        <v>4466.75</v>
      </c>
      <c r="E3925" s="2">
        <v>4466.75</v>
      </c>
      <c r="G3925" s="1" t="s">
        <v>7843</v>
      </c>
      <c r="H3925" s="2">
        <v>2034.11</v>
      </c>
      <c r="I3925" s="2">
        <v>2034.11</v>
      </c>
    </row>
    <row r="3926">
      <c r="A3926" s="1" t="s">
        <v>7844</v>
      </c>
      <c r="B3926" s="2">
        <v>1982.85</v>
      </c>
      <c r="C3926" s="2">
        <v>1982.85</v>
      </c>
      <c r="D3926" s="2">
        <v>4512.19</v>
      </c>
      <c r="E3926" s="2">
        <v>4512.19</v>
      </c>
      <c r="G3926" s="1" t="s">
        <v>7845</v>
      </c>
      <c r="H3926" s="2">
        <v>2031.64</v>
      </c>
      <c r="I3926" s="2">
        <v>2031.64</v>
      </c>
    </row>
    <row r="3927">
      <c r="A3927" s="1" t="s">
        <v>7846</v>
      </c>
      <c r="B3927" s="2" t="s">
        <v>0</v>
      </c>
      <c r="C3927" s="2">
        <v>1982.85</v>
      </c>
      <c r="D3927" s="2" t="s">
        <v>0</v>
      </c>
      <c r="E3927" s="2">
        <v>4512.19</v>
      </c>
      <c r="G3927" s="1" t="s">
        <v>7847</v>
      </c>
      <c r="H3927" s="2" t="s">
        <v>0</v>
      </c>
      <c r="I3927" s="2">
        <v>2031.64</v>
      </c>
    </row>
    <row r="3928">
      <c r="A3928" s="1" t="s">
        <v>7848</v>
      </c>
      <c r="B3928" s="2" t="s">
        <v>0</v>
      </c>
      <c r="C3928" s="2">
        <v>1982.85</v>
      </c>
      <c r="D3928" s="2" t="s">
        <v>0</v>
      </c>
      <c r="E3928" s="2">
        <v>4512.19</v>
      </c>
      <c r="G3928" s="1" t="s">
        <v>7849</v>
      </c>
      <c r="H3928" s="2" t="s">
        <v>0</v>
      </c>
      <c r="I3928" s="2">
        <v>2031.64</v>
      </c>
    </row>
    <row r="3929">
      <c r="A3929" s="1" t="s">
        <v>7850</v>
      </c>
      <c r="B3929" s="2">
        <v>1977.8</v>
      </c>
      <c r="C3929" s="2">
        <v>1977.8</v>
      </c>
      <c r="D3929" s="2">
        <v>4505.85</v>
      </c>
      <c r="E3929" s="2">
        <v>4505.85</v>
      </c>
      <c r="G3929" s="1" t="s">
        <v>7851</v>
      </c>
      <c r="H3929" s="2">
        <v>2026.6</v>
      </c>
      <c r="I3929" s="2">
        <v>2026.6</v>
      </c>
    </row>
    <row r="3930">
      <c r="A3930" s="1" t="s">
        <v>7852</v>
      </c>
      <c r="B3930" s="2">
        <v>1972.29</v>
      </c>
      <c r="C3930" s="2">
        <v>1972.29</v>
      </c>
      <c r="D3930" s="2">
        <v>4493.39</v>
      </c>
      <c r="E3930" s="2">
        <v>4493.39</v>
      </c>
      <c r="G3930" s="1" t="s">
        <v>7853</v>
      </c>
      <c r="H3930" s="2">
        <v>2020.09</v>
      </c>
      <c r="I3930" s="2">
        <v>2020.09</v>
      </c>
    </row>
    <row r="3931">
      <c r="A3931" s="1" t="s">
        <v>7854</v>
      </c>
      <c r="B3931" s="2">
        <v>1946.16</v>
      </c>
      <c r="C3931" s="2">
        <v>1946.16</v>
      </c>
      <c r="D3931" s="2">
        <v>4422.09</v>
      </c>
      <c r="E3931" s="2">
        <v>4422.09</v>
      </c>
      <c r="G3931" s="1" t="s">
        <v>7855</v>
      </c>
      <c r="H3931" s="2">
        <v>1991.54</v>
      </c>
      <c r="I3931" s="2">
        <v>1991.54</v>
      </c>
    </row>
    <row r="3932">
      <c r="A3932" s="1" t="s">
        <v>7856</v>
      </c>
      <c r="B3932" s="2">
        <v>1946.17</v>
      </c>
      <c r="C3932" s="2">
        <v>1946.17</v>
      </c>
      <c r="D3932" s="2">
        <v>4430.19</v>
      </c>
      <c r="E3932" s="2">
        <v>4430.19</v>
      </c>
      <c r="G3932" s="1" t="s">
        <v>7857</v>
      </c>
      <c r="H3932" s="2">
        <v>1976.16</v>
      </c>
      <c r="I3932" s="2">
        <v>1976.16</v>
      </c>
    </row>
    <row r="3933">
      <c r="A3933" s="1" t="s">
        <v>7858</v>
      </c>
      <c r="B3933" s="2">
        <v>1967.9</v>
      </c>
      <c r="C3933" s="2">
        <v>1967.9</v>
      </c>
      <c r="D3933" s="2">
        <v>4475.62</v>
      </c>
      <c r="E3933" s="2">
        <v>4475.62</v>
      </c>
      <c r="G3933" s="1" t="s">
        <v>7859</v>
      </c>
      <c r="H3933" s="2" t="s">
        <v>0</v>
      </c>
      <c r="I3933" s="2">
        <v>1976.16</v>
      </c>
    </row>
    <row r="3934">
      <c r="A3934" s="1" t="s">
        <v>7860</v>
      </c>
      <c r="B3934" s="2" t="s">
        <v>0</v>
      </c>
      <c r="C3934" s="2">
        <v>1967.9</v>
      </c>
      <c r="D3934" s="2" t="s">
        <v>0</v>
      </c>
      <c r="E3934" s="2">
        <v>4475.62</v>
      </c>
      <c r="G3934" s="1" t="s">
        <v>7861</v>
      </c>
      <c r="H3934" s="2" t="s">
        <v>0</v>
      </c>
      <c r="I3934" s="2">
        <v>1976.16</v>
      </c>
    </row>
    <row r="3935">
      <c r="A3935" s="1" t="s">
        <v>7862</v>
      </c>
      <c r="B3935" s="2" t="s">
        <v>0</v>
      </c>
      <c r="C3935" s="2">
        <v>1967.9</v>
      </c>
      <c r="D3935" s="2" t="s">
        <v>0</v>
      </c>
      <c r="E3935" s="2">
        <v>4475.62</v>
      </c>
      <c r="G3935" s="1" t="s">
        <v>7863</v>
      </c>
      <c r="H3935" s="2" t="s">
        <v>0</v>
      </c>
      <c r="I3935" s="2">
        <v>1976.16</v>
      </c>
    </row>
    <row r="3936">
      <c r="A3936" s="1" t="s">
        <v>7864</v>
      </c>
      <c r="B3936" s="2">
        <v>1964.82</v>
      </c>
      <c r="C3936" s="2">
        <v>1964.82</v>
      </c>
      <c r="D3936" s="2">
        <v>4454.8</v>
      </c>
      <c r="E3936" s="2">
        <v>4454.8</v>
      </c>
      <c r="G3936" s="1" t="s">
        <v>7865</v>
      </c>
      <c r="H3936" s="2">
        <v>1968.39</v>
      </c>
      <c r="I3936" s="2">
        <v>1968.39</v>
      </c>
    </row>
    <row r="3937">
      <c r="A3937" s="1" t="s">
        <v>7866</v>
      </c>
      <c r="B3937" s="2">
        <v>1935.1</v>
      </c>
      <c r="C3937" s="2">
        <v>1935.1</v>
      </c>
      <c r="D3937" s="2">
        <v>4385.2</v>
      </c>
      <c r="E3937" s="2">
        <v>4385.2</v>
      </c>
      <c r="G3937" s="1" t="s">
        <v>7867</v>
      </c>
      <c r="H3937" s="2">
        <v>1972.91</v>
      </c>
      <c r="I3937" s="2">
        <v>1972.91</v>
      </c>
    </row>
    <row r="3938">
      <c r="A3938" s="1" t="s">
        <v>7868</v>
      </c>
      <c r="B3938" s="2">
        <v>1968.89</v>
      </c>
      <c r="C3938" s="2">
        <v>1968.89</v>
      </c>
      <c r="D3938" s="2">
        <v>4468.59</v>
      </c>
      <c r="E3938" s="2">
        <v>4468.59</v>
      </c>
      <c r="G3938" s="1" t="s">
        <v>7869</v>
      </c>
      <c r="H3938" s="2">
        <v>1965.25</v>
      </c>
      <c r="I3938" s="2">
        <v>1965.25</v>
      </c>
    </row>
    <row r="3939">
      <c r="A3939" s="1" t="s">
        <v>7870</v>
      </c>
      <c r="B3939" s="2">
        <v>1928.21</v>
      </c>
      <c r="C3939" s="2">
        <v>1928.21</v>
      </c>
      <c r="D3939" s="2">
        <v>4378.34</v>
      </c>
      <c r="E3939" s="2">
        <v>4378.34</v>
      </c>
      <c r="G3939" s="1" t="s">
        <v>7871</v>
      </c>
      <c r="H3939" s="2" t="s">
        <v>0</v>
      </c>
      <c r="I3939" s="2">
        <v>1965.25</v>
      </c>
    </row>
    <row r="3940">
      <c r="A3940" s="1" t="s">
        <v>7872</v>
      </c>
      <c r="B3940" s="2">
        <v>1906.13</v>
      </c>
      <c r="C3940" s="2">
        <v>1906.13</v>
      </c>
      <c r="D3940" s="2">
        <v>4276.24</v>
      </c>
      <c r="E3940" s="2">
        <v>4276.24</v>
      </c>
      <c r="G3940" s="1" t="s">
        <v>7873</v>
      </c>
      <c r="H3940" s="2">
        <v>1940.92</v>
      </c>
      <c r="I3940" s="2">
        <v>1940.92</v>
      </c>
    </row>
    <row r="3941">
      <c r="A3941" s="1" t="s">
        <v>7874</v>
      </c>
      <c r="B3941" s="2" t="s">
        <v>0</v>
      </c>
      <c r="C3941" s="2">
        <v>1906.13</v>
      </c>
      <c r="D3941" s="2" t="s">
        <v>0</v>
      </c>
      <c r="E3941" s="2">
        <v>4276.24</v>
      </c>
      <c r="G3941" s="1" t="s">
        <v>7875</v>
      </c>
      <c r="H3941" s="2" t="s">
        <v>0</v>
      </c>
      <c r="I3941" s="2">
        <v>1940.92</v>
      </c>
    </row>
    <row r="3942">
      <c r="A3942" s="1" t="s">
        <v>7876</v>
      </c>
      <c r="B3942" s="2" t="s">
        <v>0</v>
      </c>
      <c r="C3942" s="2">
        <v>1906.13</v>
      </c>
      <c r="D3942" s="2" t="s">
        <v>0</v>
      </c>
      <c r="E3942" s="2">
        <v>4276.24</v>
      </c>
      <c r="G3942" s="1" t="s">
        <v>7877</v>
      </c>
      <c r="H3942" s="2" t="s">
        <v>0</v>
      </c>
      <c r="I3942" s="2">
        <v>1940.92</v>
      </c>
    </row>
    <row r="3943">
      <c r="A3943" s="1" t="s">
        <v>7878</v>
      </c>
      <c r="B3943" s="2">
        <v>1874.74</v>
      </c>
      <c r="C3943" s="2">
        <v>1874.74</v>
      </c>
      <c r="D3943" s="2">
        <v>4213.66</v>
      </c>
      <c r="E3943" s="2">
        <v>4213.66</v>
      </c>
      <c r="G3943" s="1" t="s">
        <v>7879</v>
      </c>
      <c r="H3943" s="2">
        <v>1927.21</v>
      </c>
      <c r="I3943" s="2">
        <v>1927.21</v>
      </c>
    </row>
    <row r="3944">
      <c r="A3944" s="1" t="s">
        <v>7880</v>
      </c>
      <c r="B3944" s="2">
        <v>1877.7</v>
      </c>
      <c r="C3944" s="2">
        <v>1877.7</v>
      </c>
      <c r="D3944" s="2">
        <v>4227.17</v>
      </c>
      <c r="E3944" s="2">
        <v>4227.17</v>
      </c>
      <c r="G3944" s="1" t="s">
        <v>7881</v>
      </c>
      <c r="H3944" s="2">
        <v>1929.25</v>
      </c>
      <c r="I3944" s="2">
        <v>1929.25</v>
      </c>
    </row>
    <row r="3945">
      <c r="A3945" s="1" t="s">
        <v>7882</v>
      </c>
      <c r="B3945" s="2">
        <v>1862.49</v>
      </c>
      <c r="C3945" s="2">
        <v>1862.49</v>
      </c>
      <c r="D3945" s="2">
        <v>4215.32</v>
      </c>
      <c r="E3945" s="2">
        <v>4215.32</v>
      </c>
      <c r="G3945" s="1" t="s">
        <v>7883</v>
      </c>
      <c r="H3945" s="2">
        <v>1925.91</v>
      </c>
      <c r="I3945" s="2">
        <v>1925.91</v>
      </c>
    </row>
    <row r="3946">
      <c r="A3946" s="1" t="s">
        <v>7884</v>
      </c>
      <c r="B3946" s="2">
        <v>1862.76</v>
      </c>
      <c r="C3946" s="2">
        <v>1862.76</v>
      </c>
      <c r="D3946" s="2">
        <v>4217.39</v>
      </c>
      <c r="E3946" s="2">
        <v>4217.39</v>
      </c>
      <c r="G3946" s="1" t="s">
        <v>7885</v>
      </c>
      <c r="H3946" s="2">
        <v>1918.83</v>
      </c>
      <c r="I3946" s="2">
        <v>1918.83</v>
      </c>
    </row>
    <row r="3947">
      <c r="A3947" s="1" t="s">
        <v>7886</v>
      </c>
      <c r="B3947" s="2">
        <v>1886.76</v>
      </c>
      <c r="C3947" s="2">
        <v>1886.76</v>
      </c>
      <c r="D3947" s="2">
        <v>4258.44</v>
      </c>
      <c r="E3947" s="2">
        <v>4258.44</v>
      </c>
      <c r="G3947" s="1" t="s">
        <v>7887</v>
      </c>
      <c r="H3947" s="2">
        <v>1900.66</v>
      </c>
      <c r="I3947" s="2">
        <v>1900.66</v>
      </c>
    </row>
    <row r="3948">
      <c r="A3948" s="1" t="s">
        <v>7888</v>
      </c>
      <c r="B3948" s="2" t="s">
        <v>0</v>
      </c>
      <c r="C3948" s="2">
        <v>1886.76</v>
      </c>
      <c r="D3948" s="2" t="s">
        <v>0</v>
      </c>
      <c r="E3948" s="2">
        <v>4258.44</v>
      </c>
      <c r="G3948" s="1" t="s">
        <v>7889</v>
      </c>
      <c r="H3948" s="2" t="s">
        <v>0</v>
      </c>
      <c r="I3948" s="2">
        <v>1900.66</v>
      </c>
    </row>
    <row r="3949">
      <c r="A3949" s="1" t="s">
        <v>7890</v>
      </c>
      <c r="B3949" s="2" t="s">
        <v>0</v>
      </c>
      <c r="C3949" s="2">
        <v>1886.76</v>
      </c>
      <c r="D3949" s="2" t="s">
        <v>0</v>
      </c>
      <c r="E3949" s="2">
        <v>4258.44</v>
      </c>
      <c r="G3949" s="1" t="s">
        <v>7891</v>
      </c>
      <c r="H3949" s="2" t="s">
        <v>0</v>
      </c>
      <c r="I3949" s="2">
        <v>1900.66</v>
      </c>
    </row>
    <row r="3950">
      <c r="A3950" s="1" t="s">
        <v>7892</v>
      </c>
      <c r="B3950" s="2">
        <v>1904.01</v>
      </c>
      <c r="C3950" s="2">
        <v>1904.01</v>
      </c>
      <c r="D3950" s="2">
        <v>4316.07</v>
      </c>
      <c r="E3950" s="2">
        <v>4316.07</v>
      </c>
      <c r="G3950" s="1" t="s">
        <v>7893</v>
      </c>
      <c r="H3950" s="2">
        <v>1930.06</v>
      </c>
      <c r="I3950" s="2">
        <v>1930.06</v>
      </c>
    </row>
    <row r="3951">
      <c r="A3951" s="1" t="s">
        <v>7894</v>
      </c>
      <c r="B3951" s="2">
        <v>1941.28</v>
      </c>
      <c r="C3951" s="2">
        <v>1941.28</v>
      </c>
      <c r="D3951" s="2">
        <v>4419.48</v>
      </c>
      <c r="E3951" s="2">
        <v>4419.48</v>
      </c>
      <c r="G3951" s="1" t="s">
        <v>7895</v>
      </c>
      <c r="H3951" s="2">
        <v>1915.28</v>
      </c>
      <c r="I3951" s="2">
        <v>1915.28</v>
      </c>
    </row>
    <row r="3952">
      <c r="A3952" s="1" t="s">
        <v>7896</v>
      </c>
      <c r="B3952" s="2">
        <v>1927.11</v>
      </c>
      <c r="C3952" s="2">
        <v>1927.11</v>
      </c>
      <c r="D3952" s="2">
        <v>4382.85</v>
      </c>
      <c r="E3952" s="2">
        <v>4382.85</v>
      </c>
      <c r="G3952" s="1" t="s">
        <v>7897</v>
      </c>
      <c r="H3952" s="2">
        <v>1936.97</v>
      </c>
      <c r="I3952" s="2">
        <v>1936.97</v>
      </c>
    </row>
    <row r="3953">
      <c r="A3953" s="1" t="s">
        <v>7898</v>
      </c>
      <c r="B3953" s="2">
        <v>1950.82</v>
      </c>
      <c r="C3953" s="2">
        <v>1950.82</v>
      </c>
      <c r="D3953" s="2">
        <v>4452.79</v>
      </c>
      <c r="E3953" s="2">
        <v>4452.79</v>
      </c>
      <c r="G3953" s="1" t="s">
        <v>7899</v>
      </c>
      <c r="H3953" s="2">
        <v>1931.65</v>
      </c>
      <c r="I3953" s="2">
        <v>1931.65</v>
      </c>
    </row>
    <row r="3954">
      <c r="A3954" s="1" t="s">
        <v>7900</v>
      </c>
      <c r="B3954" s="2">
        <v>1964.58</v>
      </c>
      <c r="C3954" s="2">
        <v>1964.58</v>
      </c>
      <c r="D3954" s="2">
        <v>4483.72</v>
      </c>
      <c r="E3954" s="2">
        <v>4483.72</v>
      </c>
      <c r="G3954" s="1" t="s">
        <v>7901</v>
      </c>
      <c r="H3954" s="2">
        <v>1925.69</v>
      </c>
      <c r="I3954" s="2">
        <v>1925.69</v>
      </c>
    </row>
    <row r="3955">
      <c r="A3955" s="1" t="s">
        <v>7902</v>
      </c>
      <c r="B3955" s="2" t="s">
        <v>0</v>
      </c>
      <c r="C3955" s="2">
        <v>1964.58</v>
      </c>
      <c r="D3955" s="2" t="s">
        <v>0</v>
      </c>
      <c r="E3955" s="2">
        <v>4483.72</v>
      </c>
      <c r="G3955" s="1" t="s">
        <v>7903</v>
      </c>
      <c r="H3955" s="2" t="s">
        <v>0</v>
      </c>
      <c r="I3955" s="2">
        <v>1925.69</v>
      </c>
    </row>
    <row r="3956">
      <c r="A3956" s="1" t="s">
        <v>7904</v>
      </c>
      <c r="B3956" s="2" t="s">
        <v>0</v>
      </c>
      <c r="C3956" s="2">
        <v>1964.58</v>
      </c>
      <c r="D3956" s="2" t="s">
        <v>0</v>
      </c>
      <c r="E3956" s="2">
        <v>4483.72</v>
      </c>
      <c r="G3956" s="1" t="s">
        <v>7905</v>
      </c>
      <c r="H3956" s="2" t="s">
        <v>0</v>
      </c>
      <c r="I3956" s="2">
        <v>1925.69</v>
      </c>
    </row>
    <row r="3957">
      <c r="A3957" s="1" t="s">
        <v>7906</v>
      </c>
      <c r="B3957" s="2">
        <v>1961.63</v>
      </c>
      <c r="C3957" s="2">
        <v>1961.63</v>
      </c>
      <c r="D3957" s="2">
        <v>4485.93</v>
      </c>
      <c r="E3957" s="2">
        <v>4485.93</v>
      </c>
      <c r="G3957" s="1" t="s">
        <v>7907</v>
      </c>
      <c r="H3957" s="2">
        <v>1931.97</v>
      </c>
      <c r="I3957" s="2">
        <v>1931.97</v>
      </c>
    </row>
    <row r="3958">
      <c r="A3958" s="1" t="s">
        <v>7908</v>
      </c>
      <c r="B3958" s="2">
        <v>1985.05</v>
      </c>
      <c r="C3958" s="2">
        <v>1985.05</v>
      </c>
      <c r="D3958" s="2">
        <v>4564.29</v>
      </c>
      <c r="E3958" s="2">
        <v>4564.29</v>
      </c>
      <c r="G3958" s="1" t="s">
        <v>7909</v>
      </c>
      <c r="H3958" s="2">
        <v>1925.68</v>
      </c>
      <c r="I3958" s="2">
        <v>1925.68</v>
      </c>
    </row>
    <row r="3959">
      <c r="A3959" s="1" t="s">
        <v>7910</v>
      </c>
      <c r="B3959" s="2">
        <v>1982.3</v>
      </c>
      <c r="C3959" s="2">
        <v>1982.3</v>
      </c>
      <c r="D3959" s="2">
        <v>4549.23</v>
      </c>
      <c r="E3959" s="2">
        <v>4549.23</v>
      </c>
      <c r="G3959" s="1" t="s">
        <v>7911</v>
      </c>
      <c r="H3959" s="2">
        <v>1961.17</v>
      </c>
      <c r="I3959" s="2">
        <v>1961.17</v>
      </c>
    </row>
    <row r="3960">
      <c r="A3960" s="1" t="s">
        <v>7912</v>
      </c>
      <c r="B3960" s="2">
        <v>1994.65</v>
      </c>
      <c r="C3960" s="2">
        <v>1994.65</v>
      </c>
      <c r="D3960" s="2">
        <v>4566.14</v>
      </c>
      <c r="E3960" s="2">
        <v>4566.14</v>
      </c>
      <c r="G3960" s="1" t="s">
        <v>7913</v>
      </c>
      <c r="H3960" s="2">
        <v>1958.93</v>
      </c>
      <c r="I3960" s="2">
        <v>1958.93</v>
      </c>
    </row>
    <row r="3961">
      <c r="A3961" s="1" t="s">
        <v>7914</v>
      </c>
      <c r="B3961" s="2">
        <v>2018.05</v>
      </c>
      <c r="C3961" s="2">
        <v>2018.05</v>
      </c>
      <c r="D3961" s="2">
        <v>4630.74</v>
      </c>
      <c r="E3961" s="2">
        <v>4630.74</v>
      </c>
      <c r="G3961" s="1" t="s">
        <v>7915</v>
      </c>
      <c r="H3961" s="2">
        <v>1964.43</v>
      </c>
      <c r="I3961" s="2">
        <v>1964.43</v>
      </c>
    </row>
    <row r="3962">
      <c r="A3962" s="1" t="s">
        <v>7916</v>
      </c>
      <c r="B3962" s="2" t="s">
        <v>0</v>
      </c>
      <c r="C3962" s="2">
        <v>2018.05</v>
      </c>
      <c r="D3962" s="2" t="s">
        <v>0</v>
      </c>
      <c r="E3962" s="2">
        <v>4630.74</v>
      </c>
      <c r="G3962" s="1" t="s">
        <v>7917</v>
      </c>
      <c r="H3962" s="2" t="s">
        <v>0</v>
      </c>
      <c r="I3962" s="2">
        <v>1964.43</v>
      </c>
    </row>
    <row r="3963">
      <c r="A3963" s="1" t="s">
        <v>7918</v>
      </c>
      <c r="B3963" s="2" t="s">
        <v>0</v>
      </c>
      <c r="C3963" s="2">
        <v>2018.05</v>
      </c>
      <c r="D3963" s="2" t="s">
        <v>0</v>
      </c>
      <c r="E3963" s="2">
        <v>4630.74</v>
      </c>
      <c r="G3963" s="1" t="s">
        <v>7919</v>
      </c>
      <c r="H3963" s="2" t="s">
        <v>0</v>
      </c>
      <c r="I3963" s="2">
        <v>1964.43</v>
      </c>
    </row>
    <row r="3964">
      <c r="A3964" s="1" t="s">
        <v>7920</v>
      </c>
      <c r="B3964" s="2">
        <v>2017.81</v>
      </c>
      <c r="C3964" s="2">
        <v>2017.81</v>
      </c>
      <c r="D3964" s="2">
        <v>4638.91</v>
      </c>
      <c r="E3964" s="2">
        <v>4638.91</v>
      </c>
      <c r="G3964" s="1" t="s">
        <v>7921</v>
      </c>
      <c r="H3964" s="2">
        <v>1952.97</v>
      </c>
      <c r="I3964" s="2">
        <v>1952.97</v>
      </c>
    </row>
    <row r="3965">
      <c r="A3965" s="1" t="s">
        <v>7922</v>
      </c>
      <c r="B3965" s="2">
        <v>2012.1</v>
      </c>
      <c r="C3965" s="2">
        <v>2012.1</v>
      </c>
      <c r="D3965" s="2">
        <v>4623.64</v>
      </c>
      <c r="E3965" s="2">
        <v>4623.64</v>
      </c>
      <c r="G3965" s="1" t="s">
        <v>7923</v>
      </c>
      <c r="H3965" s="2">
        <v>1935.19</v>
      </c>
      <c r="I3965" s="2">
        <v>1935.19</v>
      </c>
    </row>
    <row r="3966">
      <c r="A3966" s="1" t="s">
        <v>7924</v>
      </c>
      <c r="B3966" s="2">
        <v>2023.57</v>
      </c>
      <c r="C3966" s="2">
        <v>2023.57</v>
      </c>
      <c r="D3966" s="2">
        <v>4620.72</v>
      </c>
      <c r="E3966" s="2">
        <v>4620.72</v>
      </c>
      <c r="G3966" s="1" t="s">
        <v>7925</v>
      </c>
      <c r="H3966" s="2">
        <v>1931.43</v>
      </c>
      <c r="I3966" s="2">
        <v>1931.43</v>
      </c>
    </row>
    <row r="3967">
      <c r="A3967" s="1" t="s">
        <v>7926</v>
      </c>
      <c r="B3967" s="2">
        <v>2031.21</v>
      </c>
      <c r="C3967" s="2">
        <v>2031.21</v>
      </c>
      <c r="D3967" s="2">
        <v>4638.47</v>
      </c>
      <c r="E3967" s="2">
        <v>4638.47</v>
      </c>
      <c r="G3967" s="1" t="s">
        <v>7927</v>
      </c>
      <c r="H3967" s="2">
        <v>1936.48</v>
      </c>
      <c r="I3967" s="2">
        <v>1936.48</v>
      </c>
    </row>
    <row r="3968">
      <c r="A3968" s="1" t="s">
        <v>7928</v>
      </c>
      <c r="B3968" s="2">
        <v>2031.92</v>
      </c>
      <c r="C3968" s="2">
        <v>2031.92</v>
      </c>
      <c r="D3968" s="2">
        <v>4632.53</v>
      </c>
      <c r="E3968" s="2">
        <v>4632.53</v>
      </c>
      <c r="G3968" s="1" t="s">
        <v>7929</v>
      </c>
      <c r="H3968" s="2">
        <v>1939.87</v>
      </c>
      <c r="I3968" s="2">
        <v>1939.87</v>
      </c>
    </row>
    <row r="3969">
      <c r="A3969" s="1" t="s">
        <v>7930</v>
      </c>
      <c r="B3969" s="2" t="s">
        <v>0</v>
      </c>
      <c r="C3969" s="2">
        <v>2031.92</v>
      </c>
      <c r="D3969" s="2" t="s">
        <v>0</v>
      </c>
      <c r="E3969" s="2">
        <v>4632.53</v>
      </c>
      <c r="G3969" s="1" t="s">
        <v>7931</v>
      </c>
      <c r="H3969" s="2" t="s">
        <v>0</v>
      </c>
      <c r="I3969" s="2">
        <v>1939.87</v>
      </c>
    </row>
    <row r="3970">
      <c r="A3970" s="1" t="s">
        <v>7932</v>
      </c>
      <c r="B3970" s="2" t="s">
        <v>0</v>
      </c>
      <c r="C3970" s="2">
        <v>2031.92</v>
      </c>
      <c r="D3970" s="2" t="s">
        <v>0</v>
      </c>
      <c r="E3970" s="2">
        <v>4632.53</v>
      </c>
      <c r="G3970" s="1" t="s">
        <v>7933</v>
      </c>
      <c r="H3970" s="2" t="s">
        <v>0</v>
      </c>
      <c r="I3970" s="2">
        <v>1939.87</v>
      </c>
    </row>
    <row r="3971">
      <c r="A3971" s="1" t="s">
        <v>7934</v>
      </c>
      <c r="B3971" s="2">
        <v>2038.26</v>
      </c>
      <c r="C3971" s="2">
        <v>2038.26</v>
      </c>
      <c r="D3971" s="2">
        <v>4651.62</v>
      </c>
      <c r="E3971" s="2">
        <v>4651.62</v>
      </c>
      <c r="G3971" s="1" t="s">
        <v>7935</v>
      </c>
      <c r="H3971" s="2">
        <v>1958.23</v>
      </c>
      <c r="I3971" s="2">
        <v>1958.23</v>
      </c>
    </row>
    <row r="3972">
      <c r="A3972" s="1" t="s">
        <v>7936</v>
      </c>
      <c r="B3972" s="2">
        <v>2039.68</v>
      </c>
      <c r="C3972" s="2">
        <v>2039.68</v>
      </c>
      <c r="D3972" s="2">
        <v>4660.56</v>
      </c>
      <c r="E3972" s="2">
        <v>4660.56</v>
      </c>
      <c r="G3972" s="1" t="s">
        <v>7937</v>
      </c>
      <c r="H3972" s="2">
        <v>1963.0</v>
      </c>
      <c r="I3972" s="2">
        <v>1963.0</v>
      </c>
    </row>
    <row r="3973">
      <c r="A3973" s="1" t="s">
        <v>7938</v>
      </c>
      <c r="B3973" s="2">
        <v>2038.25</v>
      </c>
      <c r="C3973" s="2">
        <v>2038.25</v>
      </c>
      <c r="D3973" s="2">
        <v>4675.13</v>
      </c>
      <c r="E3973" s="2">
        <v>4675.13</v>
      </c>
      <c r="G3973" s="1" t="s">
        <v>7939</v>
      </c>
      <c r="H3973" s="2">
        <v>1967.27</v>
      </c>
      <c r="I3973" s="2">
        <v>1967.27</v>
      </c>
    </row>
    <row r="3974">
      <c r="A3974" s="1" t="s">
        <v>7940</v>
      </c>
      <c r="B3974" s="2">
        <v>2039.33</v>
      </c>
      <c r="C3974" s="2">
        <v>2039.33</v>
      </c>
      <c r="D3974" s="2">
        <v>4680.14</v>
      </c>
      <c r="E3974" s="2">
        <v>4680.14</v>
      </c>
      <c r="G3974" s="1" t="s">
        <v>7941</v>
      </c>
      <c r="H3974" s="2">
        <v>1960.51</v>
      </c>
      <c r="I3974" s="2">
        <v>1960.51</v>
      </c>
    </row>
    <row r="3975">
      <c r="A3975" s="1" t="s">
        <v>7942</v>
      </c>
      <c r="B3975" s="2">
        <v>2039.82</v>
      </c>
      <c r="C3975" s="2">
        <v>2039.82</v>
      </c>
      <c r="D3975" s="2">
        <v>4688.54</v>
      </c>
      <c r="E3975" s="2">
        <v>4688.54</v>
      </c>
      <c r="G3975" s="1" t="s">
        <v>7943</v>
      </c>
      <c r="H3975" s="2">
        <v>1945.14</v>
      </c>
      <c r="I3975" s="2">
        <v>1945.14</v>
      </c>
    </row>
    <row r="3976">
      <c r="A3976" s="1" t="s">
        <v>7944</v>
      </c>
      <c r="B3976" s="2" t="s">
        <v>0</v>
      </c>
      <c r="C3976" s="2">
        <v>2039.82</v>
      </c>
      <c r="D3976" s="2" t="s">
        <v>0</v>
      </c>
      <c r="E3976" s="2">
        <v>4688.54</v>
      </c>
      <c r="G3976" s="1" t="s">
        <v>7945</v>
      </c>
      <c r="H3976" s="2" t="s">
        <v>0</v>
      </c>
      <c r="I3976" s="2">
        <v>1945.14</v>
      </c>
    </row>
    <row r="3977">
      <c r="A3977" s="1" t="s">
        <v>7946</v>
      </c>
      <c r="B3977" s="2" t="s">
        <v>0</v>
      </c>
      <c r="C3977" s="2">
        <v>2039.82</v>
      </c>
      <c r="D3977" s="2" t="s">
        <v>0</v>
      </c>
      <c r="E3977" s="2">
        <v>4688.54</v>
      </c>
      <c r="G3977" s="1" t="s">
        <v>7947</v>
      </c>
      <c r="H3977" s="2" t="s">
        <v>0</v>
      </c>
      <c r="I3977" s="2">
        <v>1945.14</v>
      </c>
    </row>
    <row r="3978">
      <c r="A3978" s="1" t="s">
        <v>7948</v>
      </c>
      <c r="B3978" s="2">
        <v>2041.32</v>
      </c>
      <c r="C3978" s="2">
        <v>2041.32</v>
      </c>
      <c r="D3978" s="2">
        <v>4671.0</v>
      </c>
      <c r="E3978" s="2">
        <v>4671.0</v>
      </c>
      <c r="G3978" s="1" t="s">
        <v>7949</v>
      </c>
      <c r="H3978" s="2">
        <v>1943.63</v>
      </c>
      <c r="I3978" s="2">
        <v>1943.63</v>
      </c>
    </row>
    <row r="3979">
      <c r="A3979" s="1" t="s">
        <v>7950</v>
      </c>
      <c r="B3979" s="2">
        <v>2051.8</v>
      </c>
      <c r="C3979" s="2">
        <v>2051.8</v>
      </c>
      <c r="D3979" s="2">
        <v>4702.44</v>
      </c>
      <c r="E3979" s="2">
        <v>4702.44</v>
      </c>
      <c r="G3979" s="1" t="s">
        <v>7951</v>
      </c>
      <c r="H3979" s="2">
        <v>1967.01</v>
      </c>
      <c r="I3979" s="2">
        <v>1967.01</v>
      </c>
    </row>
    <row r="3980">
      <c r="A3980" s="1" t="s">
        <v>7952</v>
      </c>
      <c r="B3980" s="2">
        <v>2048.72</v>
      </c>
      <c r="C3980" s="2">
        <v>2048.72</v>
      </c>
      <c r="D3980" s="2">
        <v>4675.71</v>
      </c>
      <c r="E3980" s="2">
        <v>4675.71</v>
      </c>
      <c r="G3980" s="1" t="s">
        <v>7953</v>
      </c>
      <c r="H3980" s="2">
        <v>1966.87</v>
      </c>
      <c r="I3980" s="2">
        <v>1966.87</v>
      </c>
    </row>
    <row r="3981">
      <c r="A3981" s="1" t="s">
        <v>7954</v>
      </c>
      <c r="B3981" s="2">
        <v>2052.75</v>
      </c>
      <c r="C3981" s="2">
        <v>2052.75</v>
      </c>
      <c r="D3981" s="2">
        <v>4701.87</v>
      </c>
      <c r="E3981" s="2">
        <v>4701.87</v>
      </c>
      <c r="G3981" s="1" t="s">
        <v>7955</v>
      </c>
      <c r="H3981" s="2">
        <v>1958.04</v>
      </c>
      <c r="I3981" s="2">
        <v>1958.04</v>
      </c>
    </row>
    <row r="3982">
      <c r="A3982" s="1" t="s">
        <v>7956</v>
      </c>
      <c r="B3982" s="2">
        <v>2063.5</v>
      </c>
      <c r="C3982" s="2">
        <v>2063.5</v>
      </c>
      <c r="D3982" s="2">
        <v>4712.97</v>
      </c>
      <c r="E3982" s="2">
        <v>4712.97</v>
      </c>
      <c r="G3982" s="1" t="s">
        <v>7957</v>
      </c>
      <c r="H3982" s="2">
        <v>1964.84</v>
      </c>
      <c r="I3982" s="2">
        <v>1964.84</v>
      </c>
    </row>
    <row r="3983">
      <c r="A3983" s="1" t="s">
        <v>7958</v>
      </c>
      <c r="B3983" s="2" t="s">
        <v>0</v>
      </c>
      <c r="C3983" s="2">
        <v>2063.5</v>
      </c>
      <c r="D3983" s="2" t="s">
        <v>0</v>
      </c>
      <c r="E3983" s="2">
        <v>4712.97</v>
      </c>
      <c r="G3983" s="1" t="s">
        <v>7959</v>
      </c>
      <c r="H3983" s="2" t="s">
        <v>0</v>
      </c>
      <c r="I3983" s="2">
        <v>1964.84</v>
      </c>
    </row>
    <row r="3984">
      <c r="A3984" s="1" t="s">
        <v>7960</v>
      </c>
      <c r="B3984" s="2" t="s">
        <v>0</v>
      </c>
      <c r="C3984" s="2">
        <v>2063.5</v>
      </c>
      <c r="D3984" s="2" t="s">
        <v>0</v>
      </c>
      <c r="E3984" s="2">
        <v>4712.97</v>
      </c>
      <c r="G3984" s="1" t="s">
        <v>7961</v>
      </c>
      <c r="H3984" s="2" t="s">
        <v>0</v>
      </c>
      <c r="I3984" s="2">
        <v>1964.84</v>
      </c>
    </row>
    <row r="3985">
      <c r="A3985" s="1" t="s">
        <v>7962</v>
      </c>
      <c r="B3985" s="2">
        <v>2069.41</v>
      </c>
      <c r="C3985" s="2">
        <v>2069.41</v>
      </c>
      <c r="D3985" s="2">
        <v>4754.89</v>
      </c>
      <c r="E3985" s="2">
        <v>4754.89</v>
      </c>
      <c r="G3985" s="1" t="s">
        <v>7963</v>
      </c>
      <c r="H3985" s="2">
        <v>1978.54</v>
      </c>
      <c r="I3985" s="2">
        <v>1978.54</v>
      </c>
    </row>
    <row r="3986">
      <c r="A3986" s="1" t="s">
        <v>7964</v>
      </c>
      <c r="B3986" s="2">
        <v>2067.03</v>
      </c>
      <c r="C3986" s="2">
        <v>2067.03</v>
      </c>
      <c r="D3986" s="2">
        <v>4758.25</v>
      </c>
      <c r="E3986" s="2">
        <v>4758.25</v>
      </c>
      <c r="G3986" s="1" t="s">
        <v>7965</v>
      </c>
      <c r="H3986" s="2">
        <v>1980.21</v>
      </c>
      <c r="I3986" s="2">
        <v>1980.21</v>
      </c>
    </row>
    <row r="3987">
      <c r="A3987" s="1" t="s">
        <v>7966</v>
      </c>
      <c r="B3987" s="2">
        <v>2072.83</v>
      </c>
      <c r="C3987" s="2">
        <v>2072.83</v>
      </c>
      <c r="D3987" s="2">
        <v>4787.32</v>
      </c>
      <c r="E3987" s="2">
        <v>4787.32</v>
      </c>
      <c r="G3987" s="1" t="s">
        <v>7967</v>
      </c>
      <c r="H3987" s="2">
        <v>1980.84</v>
      </c>
      <c r="I3987" s="2">
        <v>1980.84</v>
      </c>
    </row>
    <row r="3988">
      <c r="A3988" s="1" t="s">
        <v>7968</v>
      </c>
      <c r="B3988" s="2" t="s">
        <v>0</v>
      </c>
      <c r="C3988" s="2">
        <v>2072.83</v>
      </c>
      <c r="D3988" s="2" t="s">
        <v>0</v>
      </c>
      <c r="E3988" s="2">
        <v>4787.32</v>
      </c>
      <c r="G3988" s="1" t="s">
        <v>7969</v>
      </c>
      <c r="H3988" s="2">
        <v>1982.09</v>
      </c>
      <c r="I3988" s="2">
        <v>1982.09</v>
      </c>
    </row>
    <row r="3989">
      <c r="A3989" s="1" t="s">
        <v>7970</v>
      </c>
      <c r="B3989" s="2">
        <v>2067.56</v>
      </c>
      <c r="C3989" s="2">
        <v>2067.56</v>
      </c>
      <c r="D3989" s="2">
        <v>4791.63</v>
      </c>
      <c r="E3989" s="2">
        <v>4791.63</v>
      </c>
      <c r="G3989" s="1" t="s">
        <v>7971</v>
      </c>
      <c r="H3989" s="2">
        <v>1980.78</v>
      </c>
      <c r="I3989" s="2">
        <v>1980.78</v>
      </c>
    </row>
    <row r="3990">
      <c r="A3990" s="1" t="s">
        <v>7972</v>
      </c>
      <c r="B3990" s="2" t="s">
        <v>0</v>
      </c>
      <c r="C3990" s="2">
        <v>2067.56</v>
      </c>
      <c r="D3990" s="2" t="s">
        <v>0</v>
      </c>
      <c r="E3990" s="2">
        <v>4791.63</v>
      </c>
      <c r="G3990" s="1" t="s">
        <v>7973</v>
      </c>
      <c r="H3990" s="2" t="s">
        <v>0</v>
      </c>
      <c r="I3990" s="2">
        <v>1980.78</v>
      </c>
    </row>
    <row r="3991">
      <c r="A3991" s="1" t="s">
        <v>7974</v>
      </c>
      <c r="B3991" s="2" t="s">
        <v>0</v>
      </c>
      <c r="C3991" s="2">
        <v>2067.56</v>
      </c>
      <c r="D3991" s="2" t="s">
        <v>0</v>
      </c>
      <c r="E3991" s="2">
        <v>4791.63</v>
      </c>
      <c r="G3991" s="1" t="s">
        <v>7975</v>
      </c>
      <c r="H3991" s="2" t="s">
        <v>0</v>
      </c>
      <c r="I3991" s="2">
        <v>1980.78</v>
      </c>
    </row>
    <row r="3992">
      <c r="A3992" s="1" t="s">
        <v>7976</v>
      </c>
      <c r="B3992" s="2">
        <v>2053.44</v>
      </c>
      <c r="C3992" s="2">
        <v>2053.44</v>
      </c>
      <c r="D3992" s="2">
        <v>4727.35</v>
      </c>
      <c r="E3992" s="2">
        <v>4727.35</v>
      </c>
      <c r="G3992" s="1" t="s">
        <v>7977</v>
      </c>
      <c r="H3992" s="2">
        <v>1965.22</v>
      </c>
      <c r="I3992" s="2">
        <v>1965.22</v>
      </c>
    </row>
    <row r="3993">
      <c r="A3993" s="1" t="s">
        <v>7978</v>
      </c>
      <c r="B3993" s="2">
        <v>2066.55</v>
      </c>
      <c r="C3993" s="2">
        <v>2066.55</v>
      </c>
      <c r="D3993" s="2">
        <v>4755.81</v>
      </c>
      <c r="E3993" s="2">
        <v>4755.81</v>
      </c>
      <c r="G3993" s="1" t="s">
        <v>7979</v>
      </c>
      <c r="H3993" s="2">
        <v>1965.83</v>
      </c>
      <c r="I3993" s="2">
        <v>1965.83</v>
      </c>
    </row>
    <row r="3994">
      <c r="A3994" s="1" t="s">
        <v>7980</v>
      </c>
      <c r="B3994" s="2">
        <v>2074.33</v>
      </c>
      <c r="C3994" s="2">
        <v>2074.33</v>
      </c>
      <c r="D3994" s="2">
        <v>4774.47</v>
      </c>
      <c r="E3994" s="2">
        <v>4774.47</v>
      </c>
      <c r="G3994" s="1" t="s">
        <v>7981</v>
      </c>
      <c r="H3994" s="2">
        <v>1969.91</v>
      </c>
      <c r="I3994" s="2">
        <v>1969.91</v>
      </c>
    </row>
    <row r="3995">
      <c r="A3995" s="1" t="s">
        <v>7982</v>
      </c>
      <c r="B3995" s="2">
        <v>2071.92</v>
      </c>
      <c r="C3995" s="2">
        <v>2071.92</v>
      </c>
      <c r="D3995" s="2">
        <v>4769.44</v>
      </c>
      <c r="E3995" s="2">
        <v>4769.44</v>
      </c>
      <c r="G3995" s="1" t="s">
        <v>7983</v>
      </c>
      <c r="H3995" s="2">
        <v>1986.61</v>
      </c>
      <c r="I3995" s="2">
        <v>1986.61</v>
      </c>
    </row>
    <row r="3996">
      <c r="A3996" s="1" t="s">
        <v>7984</v>
      </c>
      <c r="B3996" s="2">
        <v>2075.37</v>
      </c>
      <c r="C3996" s="2">
        <v>2075.37</v>
      </c>
      <c r="D3996" s="2">
        <v>4780.76</v>
      </c>
      <c r="E3996" s="2">
        <v>4780.76</v>
      </c>
      <c r="G3996" s="1" t="s">
        <v>7985</v>
      </c>
      <c r="H3996" s="2">
        <v>1986.62</v>
      </c>
      <c r="I3996" s="2">
        <v>1986.62</v>
      </c>
    </row>
    <row r="3997">
      <c r="A3997" s="1" t="s">
        <v>7986</v>
      </c>
      <c r="B3997" s="2" t="s">
        <v>0</v>
      </c>
      <c r="C3997" s="2">
        <v>2075.37</v>
      </c>
      <c r="D3997" s="2" t="s">
        <v>0</v>
      </c>
      <c r="E3997" s="2">
        <v>4780.76</v>
      </c>
      <c r="G3997" s="1" t="s">
        <v>7987</v>
      </c>
      <c r="H3997" s="2" t="s">
        <v>0</v>
      </c>
      <c r="I3997" s="2">
        <v>1986.62</v>
      </c>
    </row>
    <row r="3998">
      <c r="A3998" s="1" t="s">
        <v>7988</v>
      </c>
      <c r="B3998" s="2" t="s">
        <v>0</v>
      </c>
      <c r="C3998" s="2">
        <v>2075.37</v>
      </c>
      <c r="D3998" s="2" t="s">
        <v>0</v>
      </c>
      <c r="E3998" s="2">
        <v>4780.76</v>
      </c>
      <c r="G3998" s="1" t="s">
        <v>7989</v>
      </c>
      <c r="H3998" s="2" t="s">
        <v>0</v>
      </c>
      <c r="I3998" s="2">
        <v>1986.62</v>
      </c>
    </row>
    <row r="3999">
      <c r="A3999" s="1" t="s">
        <v>7990</v>
      </c>
      <c r="B3999" s="2">
        <v>2060.31</v>
      </c>
      <c r="C3999" s="2">
        <v>2060.31</v>
      </c>
      <c r="D3999" s="2">
        <v>4740.69</v>
      </c>
      <c r="E3999" s="2">
        <v>4740.69</v>
      </c>
      <c r="G3999" s="1" t="s">
        <v>7991</v>
      </c>
      <c r="H3999" s="2">
        <v>1978.95</v>
      </c>
      <c r="I3999" s="2">
        <v>1978.95</v>
      </c>
    </row>
    <row r="4000">
      <c r="A4000" s="1" t="s">
        <v>7992</v>
      </c>
      <c r="B4000" s="2">
        <v>2059.82</v>
      </c>
      <c r="C4000" s="2">
        <v>2059.82</v>
      </c>
      <c r="D4000" s="2">
        <v>4766.47</v>
      </c>
      <c r="E4000" s="2">
        <v>4766.47</v>
      </c>
      <c r="G4000" s="1" t="s">
        <v>7993</v>
      </c>
      <c r="H4000" s="2">
        <v>1970.95</v>
      </c>
      <c r="I4000" s="2">
        <v>1970.95</v>
      </c>
    </row>
    <row r="4001">
      <c r="A4001" s="1" t="s">
        <v>7994</v>
      </c>
      <c r="B4001" s="2">
        <v>2026.14</v>
      </c>
      <c r="C4001" s="2">
        <v>2026.14</v>
      </c>
      <c r="D4001" s="2">
        <v>4684.03</v>
      </c>
      <c r="E4001" s="2">
        <v>4684.03</v>
      </c>
      <c r="G4001" s="1" t="s">
        <v>7995</v>
      </c>
      <c r="H4001" s="2">
        <v>1945.56</v>
      </c>
      <c r="I4001" s="2">
        <v>1945.56</v>
      </c>
    </row>
    <row r="4002">
      <c r="A4002" s="1" t="s">
        <v>7996</v>
      </c>
      <c r="B4002" s="2">
        <v>2035.33</v>
      </c>
      <c r="C4002" s="2">
        <v>2035.33</v>
      </c>
      <c r="D4002" s="2">
        <v>4708.16</v>
      </c>
      <c r="E4002" s="2">
        <v>4708.16</v>
      </c>
      <c r="G4002" s="1" t="s">
        <v>7997</v>
      </c>
      <c r="H4002" s="2">
        <v>1916.59</v>
      </c>
      <c r="I4002" s="2">
        <v>1916.59</v>
      </c>
    </row>
    <row r="4003">
      <c r="A4003" s="1" t="s">
        <v>7998</v>
      </c>
      <c r="B4003" s="2">
        <v>2002.33</v>
      </c>
      <c r="C4003" s="2">
        <v>2002.33</v>
      </c>
      <c r="D4003" s="2">
        <v>4653.6</v>
      </c>
      <c r="E4003" s="2">
        <v>4653.6</v>
      </c>
      <c r="G4003" s="1" t="s">
        <v>7999</v>
      </c>
      <c r="H4003" s="2">
        <v>1921.71</v>
      </c>
      <c r="I4003" s="2">
        <v>1921.71</v>
      </c>
    </row>
    <row r="4004">
      <c r="A4004" s="1" t="s">
        <v>8000</v>
      </c>
      <c r="B4004" s="2" t="s">
        <v>0</v>
      </c>
      <c r="C4004" s="2">
        <v>2002.33</v>
      </c>
      <c r="D4004" s="2" t="s">
        <v>0</v>
      </c>
      <c r="E4004" s="2">
        <v>4653.6</v>
      </c>
      <c r="G4004" s="1" t="s">
        <v>8001</v>
      </c>
      <c r="H4004" s="2" t="s">
        <v>0</v>
      </c>
      <c r="I4004" s="2">
        <v>1921.71</v>
      </c>
    </row>
    <row r="4005">
      <c r="A4005" s="1" t="s">
        <v>8002</v>
      </c>
      <c r="B4005" s="2" t="s">
        <v>0</v>
      </c>
      <c r="C4005" s="2">
        <v>2002.33</v>
      </c>
      <c r="D4005" s="2" t="s">
        <v>0</v>
      </c>
      <c r="E4005" s="2">
        <v>4653.6</v>
      </c>
      <c r="G4005" s="1" t="s">
        <v>8003</v>
      </c>
      <c r="H4005" s="2" t="s">
        <v>0</v>
      </c>
      <c r="I4005" s="2">
        <v>1921.71</v>
      </c>
    </row>
    <row r="4006">
      <c r="A4006" s="1" t="s">
        <v>8004</v>
      </c>
      <c r="B4006" s="2">
        <v>1989.63</v>
      </c>
      <c r="C4006" s="2">
        <v>1989.63</v>
      </c>
      <c r="D4006" s="2">
        <v>4605.16</v>
      </c>
      <c r="E4006" s="2">
        <v>4605.16</v>
      </c>
      <c r="G4006" s="1" t="s">
        <v>8005</v>
      </c>
      <c r="H4006" s="2">
        <v>1920.36</v>
      </c>
      <c r="I4006" s="2">
        <v>1920.36</v>
      </c>
    </row>
    <row r="4007">
      <c r="A4007" s="1" t="s">
        <v>8006</v>
      </c>
      <c r="B4007" s="2">
        <v>1972.74</v>
      </c>
      <c r="C4007" s="2">
        <v>1972.74</v>
      </c>
      <c r="D4007" s="2">
        <v>4547.83</v>
      </c>
      <c r="E4007" s="2">
        <v>4547.83</v>
      </c>
      <c r="G4007" s="1" t="s">
        <v>8007</v>
      </c>
      <c r="H4007" s="2">
        <v>1904.13</v>
      </c>
      <c r="I4007" s="2">
        <v>1904.13</v>
      </c>
    </row>
    <row r="4008">
      <c r="A4008" s="1" t="s">
        <v>8008</v>
      </c>
      <c r="B4008" s="2">
        <v>2012.89</v>
      </c>
      <c r="C4008" s="2">
        <v>2012.89</v>
      </c>
      <c r="D4008" s="2">
        <v>4644.31</v>
      </c>
      <c r="E4008" s="2">
        <v>4644.31</v>
      </c>
      <c r="G4008" s="1" t="s">
        <v>8009</v>
      </c>
      <c r="H4008" s="2">
        <v>1900.16</v>
      </c>
      <c r="I4008" s="2">
        <v>1900.16</v>
      </c>
    </row>
    <row r="4009">
      <c r="A4009" s="1" t="s">
        <v>8010</v>
      </c>
      <c r="B4009" s="2">
        <v>2061.23</v>
      </c>
      <c r="C4009" s="2">
        <v>2061.23</v>
      </c>
      <c r="D4009" s="2">
        <v>4748.4</v>
      </c>
      <c r="E4009" s="2">
        <v>4748.4</v>
      </c>
      <c r="G4009" s="1" t="s">
        <v>8011</v>
      </c>
      <c r="H4009" s="2">
        <v>1897.5</v>
      </c>
      <c r="I4009" s="2">
        <v>1897.5</v>
      </c>
    </row>
    <row r="4010">
      <c r="A4010" s="1" t="s">
        <v>8012</v>
      </c>
      <c r="B4010" s="2">
        <v>2070.65</v>
      </c>
      <c r="C4010" s="2">
        <v>2070.65</v>
      </c>
      <c r="D4010" s="2">
        <v>4765.38</v>
      </c>
      <c r="E4010" s="2">
        <v>4765.38</v>
      </c>
      <c r="G4010" s="1" t="s">
        <v>8013</v>
      </c>
      <c r="H4010" s="2">
        <v>1929.98</v>
      </c>
      <c r="I4010" s="2">
        <v>1929.98</v>
      </c>
    </row>
    <row r="4011">
      <c r="A4011" s="1" t="s">
        <v>8014</v>
      </c>
      <c r="B4011" s="2" t="s">
        <v>0</v>
      </c>
      <c r="C4011" s="2">
        <v>2070.65</v>
      </c>
      <c r="D4011" s="2" t="s">
        <v>0</v>
      </c>
      <c r="E4011" s="2">
        <v>4765.38</v>
      </c>
      <c r="G4011" s="1" t="s">
        <v>8015</v>
      </c>
      <c r="H4011" s="2" t="s">
        <v>0</v>
      </c>
      <c r="I4011" s="2">
        <v>1929.98</v>
      </c>
    </row>
    <row r="4012">
      <c r="A4012" s="1" t="s">
        <v>8016</v>
      </c>
      <c r="B4012" s="2" t="s">
        <v>0</v>
      </c>
      <c r="C4012" s="2">
        <v>2070.65</v>
      </c>
      <c r="D4012" s="2" t="s">
        <v>0</v>
      </c>
      <c r="E4012" s="2">
        <v>4765.38</v>
      </c>
      <c r="G4012" s="1" t="s">
        <v>8017</v>
      </c>
      <c r="H4012" s="2" t="s">
        <v>0</v>
      </c>
      <c r="I4012" s="2">
        <v>1929.98</v>
      </c>
    </row>
    <row r="4013">
      <c r="A4013" s="1" t="s">
        <v>8018</v>
      </c>
      <c r="B4013" s="2">
        <v>2078.54</v>
      </c>
      <c r="C4013" s="2">
        <v>2078.54</v>
      </c>
      <c r="D4013" s="2">
        <v>4781.42</v>
      </c>
      <c r="E4013" s="2">
        <v>4781.42</v>
      </c>
      <c r="G4013" s="1" t="s">
        <v>8019</v>
      </c>
      <c r="H4013" s="2">
        <v>1943.12</v>
      </c>
      <c r="I4013" s="2">
        <v>1943.12</v>
      </c>
    </row>
    <row r="4014">
      <c r="A4014" s="1" t="s">
        <v>8020</v>
      </c>
      <c r="B4014" s="2">
        <v>2082.17</v>
      </c>
      <c r="C4014" s="2">
        <v>2082.17</v>
      </c>
      <c r="D4014" s="2">
        <v>4765.42</v>
      </c>
      <c r="E4014" s="2">
        <v>4765.42</v>
      </c>
      <c r="G4014" s="1" t="s">
        <v>8021</v>
      </c>
      <c r="H4014" s="2">
        <v>1939.02</v>
      </c>
      <c r="I4014" s="2">
        <v>1939.02</v>
      </c>
    </row>
    <row r="4015">
      <c r="A4015" s="1" t="s">
        <v>8022</v>
      </c>
      <c r="B4015" s="2">
        <v>2081.88</v>
      </c>
      <c r="C4015" s="2">
        <v>2081.88</v>
      </c>
      <c r="D4015" s="2">
        <v>4773.47</v>
      </c>
      <c r="E4015" s="2">
        <v>4773.47</v>
      </c>
      <c r="G4015" s="1" t="s">
        <v>8023</v>
      </c>
      <c r="H4015" s="2">
        <v>1946.61</v>
      </c>
      <c r="I4015" s="2">
        <v>1946.61</v>
      </c>
    </row>
    <row r="4016">
      <c r="A4016" s="1" t="s">
        <v>8024</v>
      </c>
      <c r="B4016" s="2" t="s">
        <v>0</v>
      </c>
      <c r="C4016" s="2">
        <v>2081.88</v>
      </c>
      <c r="D4016" s="2" t="s">
        <v>0</v>
      </c>
      <c r="E4016" s="2">
        <v>4773.47</v>
      </c>
      <c r="G4016" s="1" t="s">
        <v>8025</v>
      </c>
      <c r="H4016" s="2" t="s">
        <v>0</v>
      </c>
      <c r="I4016" s="2">
        <v>1946.61</v>
      </c>
    </row>
    <row r="4017">
      <c r="A4017" s="1" t="s">
        <v>8026</v>
      </c>
      <c r="B4017" s="2">
        <v>2088.77</v>
      </c>
      <c r="C4017" s="2">
        <v>2088.77</v>
      </c>
      <c r="D4017" s="2">
        <v>4806.86</v>
      </c>
      <c r="E4017" s="2">
        <v>4806.86</v>
      </c>
      <c r="G4017" s="1" t="s">
        <v>8027</v>
      </c>
      <c r="H4017" s="2">
        <v>1948.16</v>
      </c>
      <c r="I4017" s="2">
        <v>1948.16</v>
      </c>
    </row>
    <row r="4018">
      <c r="A4018" s="1" t="s">
        <v>8028</v>
      </c>
      <c r="B4018" s="2" t="s">
        <v>0</v>
      </c>
      <c r="C4018" s="2">
        <v>2088.77</v>
      </c>
      <c r="D4018" s="2" t="s">
        <v>0</v>
      </c>
      <c r="E4018" s="2">
        <v>4806.86</v>
      </c>
      <c r="G4018" s="1" t="s">
        <v>8029</v>
      </c>
      <c r="H4018" s="2" t="s">
        <v>0</v>
      </c>
      <c r="I4018" s="2">
        <v>1948.16</v>
      </c>
    </row>
    <row r="4019">
      <c r="A4019" s="1" t="s">
        <v>8030</v>
      </c>
      <c r="B4019" s="2" t="s">
        <v>0</v>
      </c>
      <c r="C4019" s="2">
        <v>2088.77</v>
      </c>
      <c r="D4019" s="2" t="s">
        <v>0</v>
      </c>
      <c r="E4019" s="2">
        <v>4806.86</v>
      </c>
      <c r="G4019" s="1" t="s">
        <v>8031</v>
      </c>
      <c r="H4019" s="2" t="s">
        <v>0</v>
      </c>
      <c r="I4019" s="2">
        <v>1948.16</v>
      </c>
    </row>
    <row r="4020">
      <c r="A4020" s="1" t="s">
        <v>8032</v>
      </c>
      <c r="B4020" s="2">
        <v>2090.57</v>
      </c>
      <c r="C4020" s="2">
        <v>2090.57</v>
      </c>
      <c r="D4020" s="2">
        <v>4806.91</v>
      </c>
      <c r="E4020" s="2">
        <v>4806.91</v>
      </c>
      <c r="G4020" s="1" t="s">
        <v>8033</v>
      </c>
      <c r="H4020" s="2">
        <v>1927.86</v>
      </c>
      <c r="I4020" s="2">
        <v>1927.86</v>
      </c>
    </row>
    <row r="4021">
      <c r="A4021" s="1" t="s">
        <v>8034</v>
      </c>
      <c r="B4021" s="2">
        <v>2080.35</v>
      </c>
      <c r="C4021" s="2">
        <v>2080.35</v>
      </c>
      <c r="D4021" s="2">
        <v>4777.44</v>
      </c>
      <c r="E4021" s="2">
        <v>4777.44</v>
      </c>
      <c r="G4021" s="1" t="s">
        <v>8035</v>
      </c>
      <c r="H4021" s="2">
        <v>1915.59</v>
      </c>
      <c r="I4021" s="2">
        <v>1915.59</v>
      </c>
    </row>
    <row r="4022">
      <c r="A4022" s="1" t="s">
        <v>8036</v>
      </c>
      <c r="B4022" s="2">
        <v>2058.9</v>
      </c>
      <c r="C4022" s="2">
        <v>2058.9</v>
      </c>
      <c r="D4022" s="2">
        <v>4736.05</v>
      </c>
      <c r="E4022" s="2">
        <v>4736.05</v>
      </c>
      <c r="G4022" s="1" t="s">
        <v>8037</v>
      </c>
      <c r="H4022" s="2" t="s">
        <v>0</v>
      </c>
      <c r="I4022" s="2">
        <v>1915.59</v>
      </c>
    </row>
    <row r="4023">
      <c r="A4023" s="1" t="s">
        <v>8038</v>
      </c>
      <c r="B4023" s="2" t="s">
        <v>0</v>
      </c>
      <c r="C4023" s="2">
        <v>2058.9</v>
      </c>
      <c r="D4023" s="2" t="s">
        <v>0</v>
      </c>
      <c r="E4023" s="2">
        <v>4736.05</v>
      </c>
      <c r="G4023" s="1" t="s">
        <v>8039</v>
      </c>
      <c r="H4023" s="2" t="s">
        <v>0</v>
      </c>
      <c r="I4023" s="2">
        <v>1915.59</v>
      </c>
    </row>
    <row r="4024">
      <c r="A4024" s="1" t="s">
        <v>8040</v>
      </c>
      <c r="B4024" s="2">
        <v>2058.2</v>
      </c>
      <c r="C4024" s="2">
        <v>2058.2</v>
      </c>
      <c r="D4024" s="2">
        <v>4726.81</v>
      </c>
      <c r="E4024" s="2">
        <v>4726.81</v>
      </c>
      <c r="G4024" s="1" t="s">
        <v>8041</v>
      </c>
      <c r="H4024" s="2">
        <v>1926.44</v>
      </c>
      <c r="I4024" s="2">
        <v>1926.44</v>
      </c>
    </row>
    <row r="4025">
      <c r="A4025" s="1" t="s">
        <v>8042</v>
      </c>
      <c r="B4025" s="2" t="s">
        <v>0</v>
      </c>
      <c r="C4025" s="2">
        <v>2058.2</v>
      </c>
      <c r="D4025" s="2" t="s">
        <v>0</v>
      </c>
      <c r="E4025" s="2">
        <v>4726.81</v>
      </c>
      <c r="G4025" s="1" t="s">
        <v>8043</v>
      </c>
      <c r="H4025" s="2" t="s">
        <v>0</v>
      </c>
      <c r="I4025" s="2">
        <v>1926.44</v>
      </c>
    </row>
    <row r="4026">
      <c r="A4026" s="1" t="s">
        <v>8044</v>
      </c>
      <c r="B4026" s="2" t="s">
        <v>0</v>
      </c>
      <c r="C4026" s="2">
        <v>2058.2</v>
      </c>
      <c r="D4026" s="2" t="s">
        <v>0</v>
      </c>
      <c r="E4026" s="2">
        <v>4726.81</v>
      </c>
      <c r="G4026" s="1" t="s">
        <v>8045</v>
      </c>
      <c r="H4026" s="2" t="s">
        <v>0</v>
      </c>
      <c r="I4026" s="2">
        <v>1926.44</v>
      </c>
    </row>
    <row r="4027">
      <c r="A4027" s="1" t="s">
        <v>8046</v>
      </c>
      <c r="B4027" s="2">
        <v>2020.58</v>
      </c>
      <c r="C4027" s="2">
        <v>2020.58</v>
      </c>
      <c r="D4027" s="2">
        <v>4652.57</v>
      </c>
      <c r="E4027" s="2">
        <v>4652.57</v>
      </c>
      <c r="G4027" s="1" t="s">
        <v>8047</v>
      </c>
      <c r="H4027" s="2">
        <v>1915.75</v>
      </c>
      <c r="I4027" s="2">
        <v>1915.75</v>
      </c>
    </row>
    <row r="4028">
      <c r="A4028" s="1" t="s">
        <v>8048</v>
      </c>
      <c r="B4028" s="2">
        <v>2002.61</v>
      </c>
      <c r="C4028" s="2">
        <v>2002.61</v>
      </c>
      <c r="D4028" s="2">
        <v>4592.74</v>
      </c>
      <c r="E4028" s="2">
        <v>4592.74</v>
      </c>
      <c r="G4028" s="1" t="s">
        <v>8049</v>
      </c>
      <c r="H4028" s="2">
        <v>1882.45</v>
      </c>
      <c r="I4028" s="2">
        <v>1882.45</v>
      </c>
    </row>
    <row r="4029">
      <c r="A4029" s="1" t="s">
        <v>8050</v>
      </c>
      <c r="B4029" s="2">
        <v>2025.9</v>
      </c>
      <c r="C4029" s="2">
        <v>2025.9</v>
      </c>
      <c r="D4029" s="2">
        <v>4650.47</v>
      </c>
      <c r="E4029" s="2">
        <v>4650.47</v>
      </c>
      <c r="G4029" s="1" t="s">
        <v>8051</v>
      </c>
      <c r="H4029" s="2" t="s">
        <v>0</v>
      </c>
      <c r="I4029" s="2">
        <v>1882.45</v>
      </c>
    </row>
    <row r="4030">
      <c r="A4030" s="1" t="s">
        <v>8052</v>
      </c>
      <c r="B4030" s="2">
        <v>2062.14</v>
      </c>
      <c r="C4030" s="2">
        <v>2062.14</v>
      </c>
      <c r="D4030" s="2">
        <v>4736.19</v>
      </c>
      <c r="E4030" s="2">
        <v>4736.19</v>
      </c>
      <c r="G4030" s="1" t="s">
        <v>8053</v>
      </c>
      <c r="H4030" s="2">
        <v>1904.65</v>
      </c>
      <c r="I4030" s="2">
        <v>1904.65</v>
      </c>
    </row>
    <row r="4031">
      <c r="A4031" s="1" t="s">
        <v>8054</v>
      </c>
      <c r="B4031" s="2">
        <v>2044.81</v>
      </c>
      <c r="C4031" s="2">
        <v>2044.81</v>
      </c>
      <c r="D4031" s="2">
        <v>4704.07</v>
      </c>
      <c r="E4031" s="2">
        <v>4704.07</v>
      </c>
      <c r="G4031" s="1" t="s">
        <v>8055</v>
      </c>
      <c r="H4031" s="2">
        <v>1924.7</v>
      </c>
      <c r="I4031" s="2">
        <v>1924.7</v>
      </c>
    </row>
    <row r="4032">
      <c r="A4032" s="1" t="s">
        <v>8056</v>
      </c>
      <c r="B4032" s="2" t="s">
        <v>0</v>
      </c>
      <c r="C4032" s="2">
        <v>2044.81</v>
      </c>
      <c r="D4032" s="2" t="s">
        <v>0</v>
      </c>
      <c r="E4032" s="2">
        <v>4704.07</v>
      </c>
      <c r="G4032" s="1" t="s">
        <v>8057</v>
      </c>
      <c r="H4032" s="2" t="s">
        <v>0</v>
      </c>
      <c r="I4032" s="2">
        <v>1924.7</v>
      </c>
    </row>
    <row r="4033">
      <c r="A4033" s="1" t="s">
        <v>8058</v>
      </c>
      <c r="B4033" s="2" t="s">
        <v>0</v>
      </c>
      <c r="C4033" s="2">
        <v>2044.81</v>
      </c>
      <c r="D4033" s="2" t="s">
        <v>0</v>
      </c>
      <c r="E4033" s="2">
        <v>4704.07</v>
      </c>
      <c r="G4033" s="1" t="s">
        <v>8059</v>
      </c>
      <c r="H4033" s="2" t="s">
        <v>0</v>
      </c>
      <c r="I4033" s="2">
        <v>1924.7</v>
      </c>
    </row>
    <row r="4034">
      <c r="A4034" s="1" t="s">
        <v>8060</v>
      </c>
      <c r="B4034" s="2">
        <v>2028.26</v>
      </c>
      <c r="C4034" s="2">
        <v>2028.26</v>
      </c>
      <c r="D4034" s="2">
        <v>4664.71</v>
      </c>
      <c r="E4034" s="2">
        <v>4664.71</v>
      </c>
      <c r="G4034" s="1" t="s">
        <v>8061</v>
      </c>
      <c r="H4034" s="2">
        <v>1920.95</v>
      </c>
      <c r="I4034" s="2">
        <v>1920.95</v>
      </c>
    </row>
    <row r="4035">
      <c r="A4035" s="1" t="s">
        <v>8062</v>
      </c>
      <c r="B4035" s="2">
        <v>2023.03</v>
      </c>
      <c r="C4035" s="2">
        <v>2023.03</v>
      </c>
      <c r="D4035" s="2">
        <v>4661.5</v>
      </c>
      <c r="E4035" s="2">
        <v>4661.5</v>
      </c>
      <c r="G4035" s="1" t="s">
        <v>8063</v>
      </c>
      <c r="H4035" s="2">
        <v>1917.14</v>
      </c>
      <c r="I4035" s="2">
        <v>1917.14</v>
      </c>
    </row>
    <row r="4036">
      <c r="A4036" s="1" t="s">
        <v>8064</v>
      </c>
      <c r="B4036" s="2">
        <v>2011.27</v>
      </c>
      <c r="C4036" s="2">
        <v>2011.27</v>
      </c>
      <c r="D4036" s="2">
        <v>4639.32</v>
      </c>
      <c r="E4036" s="2">
        <v>4639.32</v>
      </c>
      <c r="G4036" s="1" t="s">
        <v>8065</v>
      </c>
      <c r="H4036" s="2">
        <v>1913.66</v>
      </c>
      <c r="I4036" s="2">
        <v>1913.66</v>
      </c>
    </row>
    <row r="4037">
      <c r="A4037" s="1" t="s">
        <v>8066</v>
      </c>
      <c r="B4037" s="2">
        <v>1992.67</v>
      </c>
      <c r="C4037" s="2">
        <v>1992.67</v>
      </c>
      <c r="D4037" s="2">
        <v>4570.82</v>
      </c>
      <c r="E4037" s="2">
        <v>4570.82</v>
      </c>
      <c r="G4037" s="1" t="s">
        <v>8067</v>
      </c>
      <c r="H4037" s="2">
        <v>1914.14</v>
      </c>
      <c r="I4037" s="2">
        <v>1914.14</v>
      </c>
    </row>
    <row r="4038">
      <c r="A4038" s="1" t="s">
        <v>8068</v>
      </c>
      <c r="B4038" s="2">
        <v>2019.42</v>
      </c>
      <c r="C4038" s="2">
        <v>2019.42</v>
      </c>
      <c r="D4038" s="2">
        <v>4634.38</v>
      </c>
      <c r="E4038" s="2">
        <v>4634.38</v>
      </c>
      <c r="G4038" s="1" t="s">
        <v>8069</v>
      </c>
      <c r="H4038" s="2">
        <v>1888.13</v>
      </c>
      <c r="I4038" s="2">
        <v>1888.13</v>
      </c>
    </row>
    <row r="4039">
      <c r="A4039" s="1" t="s">
        <v>8070</v>
      </c>
      <c r="B4039" s="2" t="s">
        <v>0</v>
      </c>
      <c r="C4039" s="2">
        <v>2019.42</v>
      </c>
      <c r="D4039" s="2" t="s">
        <v>0</v>
      </c>
      <c r="E4039" s="2">
        <v>4634.38</v>
      </c>
      <c r="G4039" s="1" t="s">
        <v>8071</v>
      </c>
      <c r="H4039" s="2" t="s">
        <v>0</v>
      </c>
      <c r="I4039" s="2">
        <v>1888.13</v>
      </c>
    </row>
    <row r="4040">
      <c r="A4040" s="1" t="s">
        <v>8072</v>
      </c>
      <c r="B4040" s="2" t="s">
        <v>0</v>
      </c>
      <c r="C4040" s="2">
        <v>2019.42</v>
      </c>
      <c r="D4040" s="2" t="s">
        <v>0</v>
      </c>
      <c r="E4040" s="2">
        <v>4634.38</v>
      </c>
      <c r="G4040" s="1" t="s">
        <v>8073</v>
      </c>
      <c r="H4040" s="2" t="s">
        <v>0</v>
      </c>
      <c r="I4040" s="2">
        <v>1888.13</v>
      </c>
    </row>
    <row r="4041">
      <c r="A4041" s="1" t="s">
        <v>8074</v>
      </c>
      <c r="B4041" s="2" t="s">
        <v>0</v>
      </c>
      <c r="C4041" s="2">
        <v>2019.42</v>
      </c>
      <c r="D4041" s="2" t="s">
        <v>0</v>
      </c>
      <c r="E4041" s="2">
        <v>4634.38</v>
      </c>
      <c r="G4041" s="1" t="s">
        <v>8075</v>
      </c>
      <c r="H4041" s="2">
        <v>1902.62</v>
      </c>
      <c r="I4041" s="2">
        <v>1902.62</v>
      </c>
    </row>
    <row r="4042">
      <c r="A4042" s="1" t="s">
        <v>8076</v>
      </c>
      <c r="B4042" s="2">
        <v>2022.55</v>
      </c>
      <c r="C4042" s="2">
        <v>2022.55</v>
      </c>
      <c r="D4042" s="2">
        <v>4654.85</v>
      </c>
      <c r="E4042" s="2">
        <v>4654.85</v>
      </c>
      <c r="G4042" s="1" t="s">
        <v>8077</v>
      </c>
      <c r="H4042" s="2">
        <v>1918.31</v>
      </c>
      <c r="I4042" s="2">
        <v>1918.31</v>
      </c>
    </row>
    <row r="4043">
      <c r="A4043" s="1" t="s">
        <v>8078</v>
      </c>
      <c r="B4043" s="2">
        <v>2032.12</v>
      </c>
      <c r="C4043" s="2">
        <v>2032.12</v>
      </c>
      <c r="D4043" s="2">
        <v>4667.42</v>
      </c>
      <c r="E4043" s="2">
        <v>4667.42</v>
      </c>
      <c r="G4043" s="1" t="s">
        <v>8079</v>
      </c>
      <c r="H4043" s="2">
        <v>1921.23</v>
      </c>
      <c r="I4043" s="2">
        <v>1921.23</v>
      </c>
    </row>
    <row r="4044">
      <c r="A4044" s="1" t="s">
        <v>8080</v>
      </c>
      <c r="B4044" s="2">
        <v>2063.15</v>
      </c>
      <c r="C4044" s="2">
        <v>2063.15</v>
      </c>
      <c r="D4044" s="2">
        <v>4750.4</v>
      </c>
      <c r="E4044" s="2">
        <v>4750.4</v>
      </c>
      <c r="G4044" s="1" t="s">
        <v>8081</v>
      </c>
      <c r="H4044" s="2">
        <v>1920.82</v>
      </c>
      <c r="I4044" s="2">
        <v>1920.82</v>
      </c>
    </row>
    <row r="4045">
      <c r="A4045" s="1" t="s">
        <v>8082</v>
      </c>
      <c r="B4045" s="2">
        <v>2051.82</v>
      </c>
      <c r="C4045" s="2">
        <v>2051.82</v>
      </c>
      <c r="D4045" s="2">
        <v>4757.88</v>
      </c>
      <c r="E4045" s="2">
        <v>4757.88</v>
      </c>
      <c r="G4045" s="1" t="s">
        <v>8083</v>
      </c>
      <c r="H4045" s="2">
        <v>1936.09</v>
      </c>
      <c r="I4045" s="2">
        <v>1936.09</v>
      </c>
    </row>
    <row r="4046">
      <c r="A4046" s="1" t="s">
        <v>8084</v>
      </c>
      <c r="B4046" s="2" t="s">
        <v>0</v>
      </c>
      <c r="C4046" s="2">
        <v>2051.82</v>
      </c>
      <c r="D4046" s="2" t="s">
        <v>0</v>
      </c>
      <c r="E4046" s="2">
        <v>4757.88</v>
      </c>
      <c r="G4046" s="1" t="s">
        <v>8085</v>
      </c>
      <c r="H4046" s="2" t="s">
        <v>0</v>
      </c>
      <c r="I4046" s="2">
        <v>1936.09</v>
      </c>
    </row>
    <row r="4047">
      <c r="A4047" s="1" t="s">
        <v>8086</v>
      </c>
      <c r="B4047" s="2" t="s">
        <v>0</v>
      </c>
      <c r="C4047" s="2">
        <v>2051.82</v>
      </c>
      <c r="D4047" s="2" t="s">
        <v>0</v>
      </c>
      <c r="E4047" s="2">
        <v>4757.88</v>
      </c>
      <c r="G4047" s="1" t="s">
        <v>8087</v>
      </c>
      <c r="H4047" s="2" t="s">
        <v>0</v>
      </c>
      <c r="I4047" s="2">
        <v>1936.09</v>
      </c>
    </row>
    <row r="4048">
      <c r="A4048" s="1" t="s">
        <v>8088</v>
      </c>
      <c r="B4048" s="2">
        <v>2057.09</v>
      </c>
      <c r="C4048" s="2">
        <v>2057.09</v>
      </c>
      <c r="D4048" s="2">
        <v>4771.76</v>
      </c>
      <c r="E4048" s="2">
        <v>4771.76</v>
      </c>
      <c r="G4048" s="1" t="s">
        <v>8089</v>
      </c>
      <c r="H4048" s="2">
        <v>1935.68</v>
      </c>
      <c r="I4048" s="2">
        <v>1935.68</v>
      </c>
    </row>
    <row r="4049">
      <c r="A4049" s="1" t="s">
        <v>8090</v>
      </c>
      <c r="B4049" s="2">
        <v>2029.55</v>
      </c>
      <c r="C4049" s="2">
        <v>2029.55</v>
      </c>
      <c r="D4049" s="2">
        <v>4681.5</v>
      </c>
      <c r="E4049" s="2">
        <v>4681.5</v>
      </c>
      <c r="G4049" s="1" t="s">
        <v>8091</v>
      </c>
      <c r="H4049" s="2">
        <v>1952.4</v>
      </c>
      <c r="I4049" s="2">
        <v>1952.4</v>
      </c>
    </row>
    <row r="4050">
      <c r="A4050" s="1" t="s">
        <v>8092</v>
      </c>
      <c r="B4050" s="2">
        <v>2002.16</v>
      </c>
      <c r="C4050" s="2">
        <v>2002.16</v>
      </c>
      <c r="D4050" s="2">
        <v>4637.99</v>
      </c>
      <c r="E4050" s="2">
        <v>4637.99</v>
      </c>
      <c r="G4050" s="1" t="s">
        <v>8093</v>
      </c>
      <c r="H4050" s="2">
        <v>1961.58</v>
      </c>
      <c r="I4050" s="2">
        <v>1961.58</v>
      </c>
    </row>
    <row r="4051">
      <c r="A4051" s="1" t="s">
        <v>8094</v>
      </c>
      <c r="B4051" s="2">
        <v>2021.25</v>
      </c>
      <c r="C4051" s="2">
        <v>2021.25</v>
      </c>
      <c r="D4051" s="2">
        <v>4683.41</v>
      </c>
      <c r="E4051" s="2">
        <v>4683.41</v>
      </c>
      <c r="G4051" s="1" t="s">
        <v>8095</v>
      </c>
      <c r="H4051" s="2">
        <v>1951.02</v>
      </c>
      <c r="I4051" s="2">
        <v>1951.02</v>
      </c>
    </row>
    <row r="4052">
      <c r="A4052" s="1" t="s">
        <v>8096</v>
      </c>
      <c r="B4052" s="2">
        <v>1994.99</v>
      </c>
      <c r="C4052" s="2">
        <v>1994.99</v>
      </c>
      <c r="D4052" s="2">
        <v>4635.24</v>
      </c>
      <c r="E4052" s="2">
        <v>4635.24</v>
      </c>
      <c r="G4052" s="1" t="s">
        <v>8097</v>
      </c>
      <c r="H4052" s="2">
        <v>1949.26</v>
      </c>
      <c r="I4052" s="2">
        <v>1949.26</v>
      </c>
    </row>
    <row r="4053">
      <c r="A4053" s="1" t="s">
        <v>8098</v>
      </c>
      <c r="B4053" s="2" t="s">
        <v>0</v>
      </c>
      <c r="C4053" s="2">
        <v>1994.99</v>
      </c>
      <c r="D4053" s="2" t="s">
        <v>0</v>
      </c>
      <c r="E4053" s="2">
        <v>4635.24</v>
      </c>
      <c r="G4053" s="1" t="s">
        <v>8099</v>
      </c>
      <c r="H4053" s="2" t="s">
        <v>0</v>
      </c>
      <c r="I4053" s="2">
        <v>1949.26</v>
      </c>
    </row>
    <row r="4054">
      <c r="A4054" s="1" t="s">
        <v>8100</v>
      </c>
      <c r="B4054" s="2" t="s">
        <v>0</v>
      </c>
      <c r="C4054" s="2">
        <v>1994.99</v>
      </c>
      <c r="D4054" s="2" t="s">
        <v>0</v>
      </c>
      <c r="E4054" s="2">
        <v>4635.24</v>
      </c>
      <c r="G4054" s="1" t="s">
        <v>8101</v>
      </c>
      <c r="H4054" s="2" t="s">
        <v>0</v>
      </c>
      <c r="I4054" s="2">
        <v>1949.26</v>
      </c>
    </row>
    <row r="4055">
      <c r="A4055" s="1" t="s">
        <v>8102</v>
      </c>
      <c r="B4055" s="2">
        <v>2020.85</v>
      </c>
      <c r="C4055" s="2">
        <v>2020.85</v>
      </c>
      <c r="D4055" s="2">
        <v>4676.69</v>
      </c>
      <c r="E4055" s="2">
        <v>4676.69</v>
      </c>
      <c r="G4055" s="1" t="s">
        <v>8103</v>
      </c>
      <c r="H4055" s="2">
        <v>1952.68</v>
      </c>
      <c r="I4055" s="2">
        <v>1952.68</v>
      </c>
    </row>
    <row r="4056">
      <c r="A4056" s="1" t="s">
        <v>8104</v>
      </c>
      <c r="B4056" s="2">
        <v>2050.03</v>
      </c>
      <c r="C4056" s="2">
        <v>2050.03</v>
      </c>
      <c r="D4056" s="2">
        <v>4727.74</v>
      </c>
      <c r="E4056" s="2">
        <v>4727.74</v>
      </c>
      <c r="G4056" s="1" t="s">
        <v>8105</v>
      </c>
      <c r="H4056" s="2">
        <v>1951.96</v>
      </c>
      <c r="I4056" s="2">
        <v>1951.96</v>
      </c>
    </row>
    <row r="4057">
      <c r="A4057" s="1" t="s">
        <v>8106</v>
      </c>
      <c r="B4057" s="2">
        <v>2041.51</v>
      </c>
      <c r="C4057" s="2">
        <v>2041.51</v>
      </c>
      <c r="D4057" s="2">
        <v>4716.7</v>
      </c>
      <c r="E4057" s="2">
        <v>4716.7</v>
      </c>
      <c r="G4057" s="1" t="s">
        <v>8107</v>
      </c>
      <c r="H4057" s="2">
        <v>1962.79</v>
      </c>
      <c r="I4057" s="2">
        <v>1962.79</v>
      </c>
    </row>
    <row r="4058">
      <c r="A4058" s="1" t="s">
        <v>8108</v>
      </c>
      <c r="B4058" s="2">
        <v>2062.52</v>
      </c>
      <c r="C4058" s="2">
        <v>2062.52</v>
      </c>
      <c r="D4058" s="2">
        <v>4765.1</v>
      </c>
      <c r="E4058" s="2">
        <v>4765.1</v>
      </c>
      <c r="G4058" s="1" t="s">
        <v>8109</v>
      </c>
      <c r="H4058" s="2">
        <v>1952.84</v>
      </c>
      <c r="I4058" s="2">
        <v>1952.84</v>
      </c>
    </row>
    <row r="4059">
      <c r="A4059" s="1" t="s">
        <v>8110</v>
      </c>
      <c r="B4059" s="2">
        <v>2055.47</v>
      </c>
      <c r="C4059" s="2">
        <v>2055.47</v>
      </c>
      <c r="D4059" s="2">
        <v>4744.4</v>
      </c>
      <c r="E4059" s="2">
        <v>4744.4</v>
      </c>
      <c r="G4059" s="1" t="s">
        <v>8111</v>
      </c>
      <c r="H4059" s="2">
        <v>1955.52</v>
      </c>
      <c r="I4059" s="2">
        <v>1955.52</v>
      </c>
    </row>
    <row r="4060">
      <c r="A4060" s="1" t="s">
        <v>8112</v>
      </c>
      <c r="B4060" s="2" t="s">
        <v>0</v>
      </c>
      <c r="C4060" s="2">
        <v>2055.47</v>
      </c>
      <c r="D4060" s="2" t="s">
        <v>0</v>
      </c>
      <c r="E4060" s="2">
        <v>4744.4</v>
      </c>
      <c r="G4060" s="1" t="s">
        <v>8113</v>
      </c>
      <c r="H4060" s="2" t="s">
        <v>0</v>
      </c>
      <c r="I4060" s="2">
        <v>1955.52</v>
      </c>
    </row>
    <row r="4061">
      <c r="A4061" s="1" t="s">
        <v>8114</v>
      </c>
      <c r="B4061" s="2" t="s">
        <v>0</v>
      </c>
      <c r="C4061" s="2">
        <v>2055.47</v>
      </c>
      <c r="D4061" s="2" t="s">
        <v>0</v>
      </c>
      <c r="E4061" s="2">
        <v>4744.4</v>
      </c>
      <c r="G4061" s="1" t="s">
        <v>8115</v>
      </c>
      <c r="H4061" s="2" t="s">
        <v>0</v>
      </c>
      <c r="I4061" s="2">
        <v>1955.52</v>
      </c>
    </row>
    <row r="4062">
      <c r="A4062" s="1" t="s">
        <v>8116</v>
      </c>
      <c r="B4062" s="2">
        <v>2046.74</v>
      </c>
      <c r="C4062" s="2">
        <v>2046.74</v>
      </c>
      <c r="D4062" s="2">
        <v>4726.01</v>
      </c>
      <c r="E4062" s="2">
        <v>4726.01</v>
      </c>
      <c r="G4062" s="1" t="s">
        <v>8117</v>
      </c>
      <c r="H4062" s="2">
        <v>1947.0</v>
      </c>
      <c r="I4062" s="2">
        <v>1947.0</v>
      </c>
    </row>
    <row r="4063">
      <c r="A4063" s="1" t="s">
        <v>8118</v>
      </c>
      <c r="B4063" s="2">
        <v>2068.59</v>
      </c>
      <c r="C4063" s="2">
        <v>2068.59</v>
      </c>
      <c r="D4063" s="2">
        <v>4787.64</v>
      </c>
      <c r="E4063" s="2">
        <v>4787.64</v>
      </c>
      <c r="G4063" s="1" t="s">
        <v>8119</v>
      </c>
      <c r="H4063" s="2">
        <v>1935.86</v>
      </c>
      <c r="I4063" s="2">
        <v>1935.86</v>
      </c>
    </row>
    <row r="4064">
      <c r="A4064" s="1" t="s">
        <v>8120</v>
      </c>
      <c r="B4064" s="2">
        <v>2068.53</v>
      </c>
      <c r="C4064" s="2">
        <v>2068.53</v>
      </c>
      <c r="D4064" s="2">
        <v>4801.18</v>
      </c>
      <c r="E4064" s="2">
        <v>4801.18</v>
      </c>
      <c r="G4064" s="1" t="s">
        <v>8121</v>
      </c>
      <c r="H4064" s="2">
        <v>1945.7</v>
      </c>
      <c r="I4064" s="2">
        <v>1945.7</v>
      </c>
    </row>
    <row r="4065">
      <c r="A4065" s="1" t="s">
        <v>8122</v>
      </c>
      <c r="B4065" s="2">
        <v>2088.48</v>
      </c>
      <c r="C4065" s="2">
        <v>2088.48</v>
      </c>
      <c r="D4065" s="2">
        <v>4857.61</v>
      </c>
      <c r="E4065" s="2">
        <v>4857.61</v>
      </c>
      <c r="G4065" s="1" t="s">
        <v>8123</v>
      </c>
      <c r="H4065" s="2">
        <v>1941.63</v>
      </c>
      <c r="I4065" s="2">
        <v>1941.63</v>
      </c>
    </row>
    <row r="4066">
      <c r="A4066" s="1" t="s">
        <v>8124</v>
      </c>
      <c r="B4066" s="2">
        <v>2096.99</v>
      </c>
      <c r="C4066" s="2">
        <v>2096.99</v>
      </c>
      <c r="D4066" s="2">
        <v>4893.84</v>
      </c>
      <c r="E4066" s="2">
        <v>4893.84</v>
      </c>
      <c r="G4066" s="1" t="s">
        <v>8125</v>
      </c>
      <c r="H4066" s="2">
        <v>1957.5</v>
      </c>
      <c r="I4066" s="2">
        <v>1957.5</v>
      </c>
    </row>
    <row r="4067">
      <c r="A4067" s="1" t="s">
        <v>8126</v>
      </c>
      <c r="B4067" s="2" t="s">
        <v>0</v>
      </c>
      <c r="C4067" s="2">
        <v>2096.99</v>
      </c>
      <c r="D4067" s="2" t="s">
        <v>0</v>
      </c>
      <c r="E4067" s="2">
        <v>4893.84</v>
      </c>
      <c r="G4067" s="1" t="s">
        <v>8127</v>
      </c>
      <c r="H4067" s="2" t="s">
        <v>0</v>
      </c>
      <c r="I4067" s="2">
        <v>1957.5</v>
      </c>
    </row>
    <row r="4068">
      <c r="A4068" s="1" t="s">
        <v>8128</v>
      </c>
      <c r="B4068" s="2" t="s">
        <v>0</v>
      </c>
      <c r="C4068" s="2">
        <v>2096.99</v>
      </c>
      <c r="D4068" s="2" t="s">
        <v>0</v>
      </c>
      <c r="E4068" s="2">
        <v>4893.84</v>
      </c>
      <c r="G4068" s="1" t="s">
        <v>8129</v>
      </c>
      <c r="H4068" s="2" t="s">
        <v>0</v>
      </c>
      <c r="I4068" s="2">
        <v>1957.5</v>
      </c>
    </row>
    <row r="4069">
      <c r="A4069" s="1" t="s">
        <v>8130</v>
      </c>
      <c r="B4069" s="2" t="s">
        <v>0</v>
      </c>
      <c r="C4069" s="2">
        <v>2096.99</v>
      </c>
      <c r="D4069" s="2" t="s">
        <v>0</v>
      </c>
      <c r="E4069" s="2">
        <v>4893.84</v>
      </c>
      <c r="G4069" s="1" t="s">
        <v>8131</v>
      </c>
      <c r="H4069" s="2">
        <v>1958.23</v>
      </c>
      <c r="I4069" s="2">
        <v>1958.23</v>
      </c>
    </row>
    <row r="4070">
      <c r="A4070" s="1" t="s">
        <v>8132</v>
      </c>
      <c r="B4070" s="2">
        <v>2100.34</v>
      </c>
      <c r="C4070" s="2">
        <v>2100.34</v>
      </c>
      <c r="D4070" s="2">
        <v>4899.27</v>
      </c>
      <c r="E4070" s="2">
        <v>4899.27</v>
      </c>
      <c r="G4070" s="1" t="s">
        <v>8133</v>
      </c>
      <c r="H4070" s="2">
        <v>1961.45</v>
      </c>
      <c r="I4070" s="2">
        <v>1961.45</v>
      </c>
    </row>
    <row r="4071">
      <c r="A4071" s="1" t="s">
        <v>8134</v>
      </c>
      <c r="B4071" s="2">
        <v>2099.68</v>
      </c>
      <c r="C4071" s="2">
        <v>2099.68</v>
      </c>
      <c r="D4071" s="2">
        <v>4906.36</v>
      </c>
      <c r="E4071" s="2">
        <v>4906.36</v>
      </c>
      <c r="G4071" s="1" t="s">
        <v>8135</v>
      </c>
      <c r="H4071" s="2" t="s">
        <v>0</v>
      </c>
      <c r="I4071" s="2">
        <v>1961.45</v>
      </c>
    </row>
    <row r="4072">
      <c r="A4072" s="1" t="s">
        <v>8136</v>
      </c>
      <c r="B4072" s="2">
        <v>2097.45</v>
      </c>
      <c r="C4072" s="2">
        <v>2097.45</v>
      </c>
      <c r="D4072" s="2">
        <v>4924.7</v>
      </c>
      <c r="E4072" s="2">
        <v>4924.7</v>
      </c>
      <c r="G4072" s="1" t="s">
        <v>8137</v>
      </c>
      <c r="H4072" s="2" t="s">
        <v>0</v>
      </c>
      <c r="I4072" s="2">
        <v>1961.45</v>
      </c>
    </row>
    <row r="4073">
      <c r="A4073" s="1" t="s">
        <v>8138</v>
      </c>
      <c r="B4073" s="2">
        <v>2110.3</v>
      </c>
      <c r="C4073" s="2">
        <v>2110.3</v>
      </c>
      <c r="D4073" s="2">
        <v>4955.97</v>
      </c>
      <c r="E4073" s="2">
        <v>4955.97</v>
      </c>
      <c r="G4073" s="1" t="s">
        <v>8139</v>
      </c>
      <c r="H4073" s="2" t="s">
        <v>0</v>
      </c>
      <c r="I4073" s="2">
        <v>1961.45</v>
      </c>
    </row>
    <row r="4074">
      <c r="A4074" s="1" t="s">
        <v>8140</v>
      </c>
      <c r="B4074" s="2" t="s">
        <v>0</v>
      </c>
      <c r="C4074" s="2">
        <v>2110.3</v>
      </c>
      <c r="D4074" s="2" t="s">
        <v>0</v>
      </c>
      <c r="E4074" s="2">
        <v>4955.97</v>
      </c>
      <c r="G4074" s="1" t="s">
        <v>8141</v>
      </c>
      <c r="H4074" s="2" t="s">
        <v>0</v>
      </c>
      <c r="I4074" s="2">
        <v>1961.45</v>
      </c>
    </row>
    <row r="4075">
      <c r="A4075" s="1" t="s">
        <v>8142</v>
      </c>
      <c r="B4075" s="2" t="s">
        <v>0</v>
      </c>
      <c r="C4075" s="2">
        <v>2110.3</v>
      </c>
      <c r="D4075" s="2" t="s">
        <v>0</v>
      </c>
      <c r="E4075" s="2">
        <v>4955.97</v>
      </c>
      <c r="G4075" s="1" t="s">
        <v>8143</v>
      </c>
      <c r="H4075" s="2" t="s">
        <v>0</v>
      </c>
      <c r="I4075" s="2">
        <v>1961.45</v>
      </c>
    </row>
    <row r="4076">
      <c r="A4076" s="1" t="s">
        <v>8144</v>
      </c>
      <c r="B4076" s="2">
        <v>2109.66</v>
      </c>
      <c r="C4076" s="2">
        <v>2109.66</v>
      </c>
      <c r="D4076" s="2">
        <v>4960.97</v>
      </c>
      <c r="E4076" s="2">
        <v>4960.97</v>
      </c>
      <c r="G4076" s="1" t="s">
        <v>8145</v>
      </c>
      <c r="H4076" s="2">
        <v>1968.39</v>
      </c>
      <c r="I4076" s="2">
        <v>1968.39</v>
      </c>
    </row>
    <row r="4077">
      <c r="A4077" s="1" t="s">
        <v>8146</v>
      </c>
      <c r="B4077" s="2">
        <v>2115.48</v>
      </c>
      <c r="C4077" s="2">
        <v>2115.48</v>
      </c>
      <c r="D4077" s="2">
        <v>4968.12</v>
      </c>
      <c r="E4077" s="2">
        <v>4968.12</v>
      </c>
      <c r="G4077" s="1" t="s">
        <v>8147</v>
      </c>
      <c r="H4077" s="2">
        <v>1976.12</v>
      </c>
      <c r="I4077" s="2">
        <v>1976.12</v>
      </c>
    </row>
    <row r="4078">
      <c r="A4078" s="1" t="s">
        <v>8148</v>
      </c>
      <c r="B4078" s="2">
        <v>2113.86</v>
      </c>
      <c r="C4078" s="2">
        <v>2113.86</v>
      </c>
      <c r="D4078" s="2">
        <v>4967.14</v>
      </c>
      <c r="E4078" s="2">
        <v>4967.14</v>
      </c>
      <c r="G4078" s="1" t="s">
        <v>8149</v>
      </c>
      <c r="H4078" s="2">
        <v>1990.47</v>
      </c>
      <c r="I4078" s="2">
        <v>1990.47</v>
      </c>
    </row>
    <row r="4079">
      <c r="A4079" s="1" t="s">
        <v>8150</v>
      </c>
      <c r="B4079" s="2">
        <v>2110.74</v>
      </c>
      <c r="C4079" s="2">
        <v>2110.74</v>
      </c>
      <c r="D4079" s="2">
        <v>4987.89</v>
      </c>
      <c r="E4079" s="2">
        <v>4987.89</v>
      </c>
      <c r="G4079" s="1" t="s">
        <v>8151</v>
      </c>
      <c r="H4079" s="2">
        <v>1993.08</v>
      </c>
      <c r="I4079" s="2">
        <v>1993.08</v>
      </c>
    </row>
    <row r="4080">
      <c r="A4080" s="1" t="s">
        <v>8152</v>
      </c>
      <c r="B4080" s="2">
        <v>2104.5</v>
      </c>
      <c r="C4080" s="2">
        <v>2104.5</v>
      </c>
      <c r="D4080" s="2">
        <v>4963.53</v>
      </c>
      <c r="E4080" s="2">
        <v>4963.53</v>
      </c>
      <c r="G4080" s="1" t="s">
        <v>8153</v>
      </c>
      <c r="H4080" s="2">
        <v>1985.8</v>
      </c>
      <c r="I4080" s="2">
        <v>1985.8</v>
      </c>
    </row>
    <row r="4081">
      <c r="A4081" s="1" t="s">
        <v>8154</v>
      </c>
      <c r="B4081" s="2" t="s">
        <v>0</v>
      </c>
      <c r="C4081" s="2">
        <v>2104.5</v>
      </c>
      <c r="D4081" s="2" t="s">
        <v>0</v>
      </c>
      <c r="E4081" s="2">
        <v>4963.53</v>
      </c>
      <c r="G4081" s="1" t="s">
        <v>8155</v>
      </c>
      <c r="H4081" s="2" t="s">
        <v>0</v>
      </c>
      <c r="I4081" s="2">
        <v>1985.8</v>
      </c>
    </row>
    <row r="4082">
      <c r="A4082" s="1" t="s">
        <v>8156</v>
      </c>
      <c r="B4082" s="2" t="s">
        <v>0</v>
      </c>
      <c r="C4082" s="2">
        <v>2104.5</v>
      </c>
      <c r="D4082" s="2" t="s">
        <v>0</v>
      </c>
      <c r="E4082" s="2">
        <v>4963.53</v>
      </c>
      <c r="G4082" s="1" t="s">
        <v>8157</v>
      </c>
      <c r="H4082" s="2" t="s">
        <v>0</v>
      </c>
      <c r="I4082" s="2">
        <v>1985.8</v>
      </c>
    </row>
    <row r="4083">
      <c r="A4083" s="1" t="s">
        <v>8158</v>
      </c>
      <c r="B4083" s="2">
        <v>2117.39</v>
      </c>
      <c r="C4083" s="2">
        <v>2117.39</v>
      </c>
      <c r="D4083" s="2">
        <v>5008.1</v>
      </c>
      <c r="E4083" s="2">
        <v>5008.1</v>
      </c>
      <c r="G4083" s="1" t="s">
        <v>8159</v>
      </c>
      <c r="H4083" s="2">
        <v>1996.81</v>
      </c>
      <c r="I4083" s="2">
        <v>1996.81</v>
      </c>
    </row>
    <row r="4084">
      <c r="A4084" s="1" t="s">
        <v>8160</v>
      </c>
      <c r="B4084" s="2">
        <v>2107.78</v>
      </c>
      <c r="C4084" s="2">
        <v>2107.78</v>
      </c>
      <c r="D4084" s="2">
        <v>4979.9</v>
      </c>
      <c r="E4084" s="2">
        <v>4979.9</v>
      </c>
      <c r="G4084" s="1" t="s">
        <v>8161</v>
      </c>
      <c r="H4084" s="2">
        <v>2001.38</v>
      </c>
      <c r="I4084" s="2">
        <v>2001.38</v>
      </c>
    </row>
    <row r="4085">
      <c r="A4085" s="1" t="s">
        <v>8162</v>
      </c>
      <c r="B4085" s="2">
        <v>2098.53</v>
      </c>
      <c r="C4085" s="2">
        <v>2098.53</v>
      </c>
      <c r="D4085" s="2">
        <v>4967.14</v>
      </c>
      <c r="E4085" s="2">
        <v>4967.14</v>
      </c>
      <c r="G4085" s="1" t="s">
        <v>8163</v>
      </c>
      <c r="H4085" s="2">
        <v>1998.29</v>
      </c>
      <c r="I4085" s="2">
        <v>1998.29</v>
      </c>
    </row>
    <row r="4086">
      <c r="A4086" s="1" t="s">
        <v>8164</v>
      </c>
      <c r="B4086" s="2">
        <v>2101.04</v>
      </c>
      <c r="C4086" s="2">
        <v>2101.04</v>
      </c>
      <c r="D4086" s="2">
        <v>4982.81</v>
      </c>
      <c r="E4086" s="2">
        <v>4982.81</v>
      </c>
      <c r="G4086" s="1" t="s">
        <v>8165</v>
      </c>
      <c r="H4086" s="2">
        <v>1998.38</v>
      </c>
      <c r="I4086" s="2">
        <v>1998.38</v>
      </c>
    </row>
    <row r="4087">
      <c r="A4087" s="1" t="s">
        <v>8166</v>
      </c>
      <c r="B4087" s="2">
        <v>2071.26</v>
      </c>
      <c r="C4087" s="2">
        <v>2071.26</v>
      </c>
      <c r="D4087" s="2">
        <v>4927.37</v>
      </c>
      <c r="E4087" s="2">
        <v>4927.37</v>
      </c>
      <c r="G4087" s="1" t="s">
        <v>8167</v>
      </c>
      <c r="H4087" s="2">
        <v>2012.94</v>
      </c>
      <c r="I4087" s="2">
        <v>2012.94</v>
      </c>
    </row>
    <row r="4088">
      <c r="A4088" s="1" t="s">
        <v>8168</v>
      </c>
      <c r="B4088" s="2" t="s">
        <v>0</v>
      </c>
      <c r="C4088" s="2">
        <v>2071.26</v>
      </c>
      <c r="D4088" s="2" t="s">
        <v>0</v>
      </c>
      <c r="E4088" s="2">
        <v>4927.37</v>
      </c>
      <c r="G4088" s="1" t="s">
        <v>8169</v>
      </c>
      <c r="H4088" s="2" t="s">
        <v>0</v>
      </c>
      <c r="I4088" s="2">
        <v>2012.94</v>
      </c>
    </row>
    <row r="4089">
      <c r="A4089" s="1" t="s">
        <v>8170</v>
      </c>
      <c r="B4089" s="2" t="s">
        <v>0</v>
      </c>
      <c r="C4089" s="2">
        <v>2071.26</v>
      </c>
      <c r="D4089" s="2" t="s">
        <v>0</v>
      </c>
      <c r="E4089" s="2">
        <v>4927.37</v>
      </c>
      <c r="G4089" s="1" t="s">
        <v>8171</v>
      </c>
      <c r="H4089" s="2" t="s">
        <v>0</v>
      </c>
      <c r="I4089" s="2">
        <v>2012.94</v>
      </c>
    </row>
    <row r="4090">
      <c r="A4090" s="1" t="s">
        <v>8172</v>
      </c>
      <c r="B4090" s="2">
        <v>2079.43</v>
      </c>
      <c r="C4090" s="2">
        <v>2079.43</v>
      </c>
      <c r="D4090" s="2">
        <v>4942.44</v>
      </c>
      <c r="E4090" s="2">
        <v>4942.44</v>
      </c>
      <c r="G4090" s="1" t="s">
        <v>8173</v>
      </c>
      <c r="H4090" s="2">
        <v>1992.82</v>
      </c>
      <c r="I4090" s="2">
        <v>1992.82</v>
      </c>
    </row>
    <row r="4091">
      <c r="A4091" s="1" t="s">
        <v>8174</v>
      </c>
      <c r="B4091" s="2">
        <v>2044.16</v>
      </c>
      <c r="C4091" s="2">
        <v>2044.16</v>
      </c>
      <c r="D4091" s="2">
        <v>4859.79</v>
      </c>
      <c r="E4091" s="2">
        <v>4859.79</v>
      </c>
      <c r="G4091" s="1" t="s">
        <v>8175</v>
      </c>
      <c r="H4091" s="2">
        <v>1984.77</v>
      </c>
      <c r="I4091" s="2">
        <v>1984.77</v>
      </c>
    </row>
    <row r="4092">
      <c r="A4092" s="1" t="s">
        <v>8176</v>
      </c>
      <c r="B4092" s="2">
        <v>2040.24</v>
      </c>
      <c r="C4092" s="2">
        <v>2040.24</v>
      </c>
      <c r="D4092" s="2">
        <v>4849.94</v>
      </c>
      <c r="E4092" s="2">
        <v>4849.94</v>
      </c>
      <c r="G4092" s="1" t="s">
        <v>8177</v>
      </c>
      <c r="H4092" s="2">
        <v>1980.83</v>
      </c>
      <c r="I4092" s="2">
        <v>1980.83</v>
      </c>
    </row>
    <row r="4093">
      <c r="A4093" s="1" t="s">
        <v>8178</v>
      </c>
      <c r="B4093" s="2">
        <v>2065.95</v>
      </c>
      <c r="C4093" s="2">
        <v>2065.95</v>
      </c>
      <c r="D4093" s="2">
        <v>4893.29</v>
      </c>
      <c r="E4093" s="2">
        <v>4893.29</v>
      </c>
      <c r="G4093" s="1" t="s">
        <v>8179</v>
      </c>
      <c r="H4093" s="2">
        <v>1970.59</v>
      </c>
      <c r="I4093" s="2">
        <v>1970.59</v>
      </c>
    </row>
    <row r="4094">
      <c r="A4094" s="1" t="s">
        <v>8180</v>
      </c>
      <c r="B4094" s="2">
        <v>2053.4</v>
      </c>
      <c r="C4094" s="2">
        <v>2053.4</v>
      </c>
      <c r="D4094" s="2">
        <v>4871.76</v>
      </c>
      <c r="E4094" s="2">
        <v>4871.76</v>
      </c>
      <c r="G4094" s="1" t="s">
        <v>8181</v>
      </c>
      <c r="H4094" s="2">
        <v>1985.79</v>
      </c>
      <c r="I4094" s="2">
        <v>1985.79</v>
      </c>
    </row>
    <row r="4095">
      <c r="A4095" s="1" t="s">
        <v>8182</v>
      </c>
      <c r="B4095" s="2" t="s">
        <v>0</v>
      </c>
      <c r="C4095" s="2">
        <v>2053.4</v>
      </c>
      <c r="D4095" s="2" t="s">
        <v>0</v>
      </c>
      <c r="E4095" s="2">
        <v>4871.76</v>
      </c>
      <c r="G4095" s="1" t="s">
        <v>8183</v>
      </c>
      <c r="H4095" s="2" t="s">
        <v>0</v>
      </c>
      <c r="I4095" s="2">
        <v>1985.79</v>
      </c>
    </row>
    <row r="4096">
      <c r="A4096" s="1" t="s">
        <v>8184</v>
      </c>
      <c r="B4096" s="2" t="s">
        <v>0</v>
      </c>
      <c r="C4096" s="2">
        <v>2053.4</v>
      </c>
      <c r="D4096" s="2" t="s">
        <v>0</v>
      </c>
      <c r="E4096" s="2">
        <v>4871.76</v>
      </c>
      <c r="G4096" s="1" t="s">
        <v>8185</v>
      </c>
      <c r="H4096" s="2" t="s">
        <v>0</v>
      </c>
      <c r="I4096" s="2">
        <v>1985.79</v>
      </c>
    </row>
    <row r="4097">
      <c r="A4097" s="1" t="s">
        <v>8186</v>
      </c>
      <c r="B4097" s="2">
        <v>2081.19</v>
      </c>
      <c r="C4097" s="2">
        <v>2081.19</v>
      </c>
      <c r="D4097" s="2">
        <v>4929.51</v>
      </c>
      <c r="E4097" s="2">
        <v>4929.51</v>
      </c>
      <c r="G4097" s="1" t="s">
        <v>8187</v>
      </c>
      <c r="H4097" s="2">
        <v>1987.33</v>
      </c>
      <c r="I4097" s="2">
        <v>1987.33</v>
      </c>
    </row>
    <row r="4098">
      <c r="A4098" s="1" t="s">
        <v>8188</v>
      </c>
      <c r="B4098" s="2">
        <v>2074.28</v>
      </c>
      <c r="C4098" s="2">
        <v>2074.28</v>
      </c>
      <c r="D4098" s="2">
        <v>4937.43</v>
      </c>
      <c r="E4098" s="2">
        <v>4937.43</v>
      </c>
      <c r="G4098" s="1" t="s">
        <v>8189</v>
      </c>
      <c r="H4098" s="2">
        <v>2029.91</v>
      </c>
      <c r="I4098" s="2">
        <v>2029.91</v>
      </c>
    </row>
    <row r="4099">
      <c r="A4099" s="1" t="s">
        <v>8190</v>
      </c>
      <c r="B4099" s="2">
        <v>2099.5</v>
      </c>
      <c r="C4099" s="2">
        <v>2099.5</v>
      </c>
      <c r="D4099" s="2">
        <v>4982.83</v>
      </c>
      <c r="E4099" s="2">
        <v>4982.83</v>
      </c>
      <c r="G4099" s="1" t="s">
        <v>8191</v>
      </c>
      <c r="H4099" s="2">
        <v>2028.45</v>
      </c>
      <c r="I4099" s="2">
        <v>2028.45</v>
      </c>
    </row>
    <row r="4100">
      <c r="A4100" s="1" t="s">
        <v>8192</v>
      </c>
      <c r="B4100" s="2">
        <v>2089.27</v>
      </c>
      <c r="C4100" s="2">
        <v>2089.27</v>
      </c>
      <c r="D4100" s="2">
        <v>4992.38</v>
      </c>
      <c r="E4100" s="2">
        <v>4992.38</v>
      </c>
      <c r="G4100" s="1" t="s">
        <v>8193</v>
      </c>
      <c r="H4100" s="2">
        <v>2037.89</v>
      </c>
      <c r="I4100" s="2">
        <v>2037.89</v>
      </c>
    </row>
    <row r="4101">
      <c r="A4101" s="1" t="s">
        <v>8194</v>
      </c>
      <c r="B4101" s="2">
        <v>2108.1</v>
      </c>
      <c r="C4101" s="2">
        <v>2108.1</v>
      </c>
      <c r="D4101" s="2">
        <v>5026.42</v>
      </c>
      <c r="E4101" s="2">
        <v>5026.42</v>
      </c>
      <c r="G4101" s="1" t="s">
        <v>8195</v>
      </c>
      <c r="H4101" s="2">
        <v>2037.24</v>
      </c>
      <c r="I4101" s="2">
        <v>2037.24</v>
      </c>
    </row>
    <row r="4102">
      <c r="A4102" s="1" t="s">
        <v>8196</v>
      </c>
      <c r="B4102" s="2" t="s">
        <v>0</v>
      </c>
      <c r="C4102" s="2">
        <v>2108.1</v>
      </c>
      <c r="D4102" s="2" t="s">
        <v>0</v>
      </c>
      <c r="E4102" s="2">
        <v>5026.42</v>
      </c>
      <c r="G4102" s="1" t="s">
        <v>8197</v>
      </c>
      <c r="H4102" s="2" t="s">
        <v>0</v>
      </c>
      <c r="I4102" s="2">
        <v>2037.24</v>
      </c>
    </row>
    <row r="4103">
      <c r="A4103" s="1" t="s">
        <v>8198</v>
      </c>
      <c r="B4103" s="2" t="s">
        <v>0</v>
      </c>
      <c r="C4103" s="2">
        <v>2108.1</v>
      </c>
      <c r="D4103" s="2" t="s">
        <v>0</v>
      </c>
      <c r="E4103" s="2">
        <v>5026.42</v>
      </c>
      <c r="G4103" s="1" t="s">
        <v>8199</v>
      </c>
      <c r="H4103" s="2" t="s">
        <v>0</v>
      </c>
      <c r="I4103" s="2">
        <v>2037.24</v>
      </c>
    </row>
    <row r="4104">
      <c r="A4104" s="1" t="s">
        <v>8200</v>
      </c>
      <c r="B4104" s="2">
        <v>2104.42</v>
      </c>
      <c r="C4104" s="2">
        <v>2104.42</v>
      </c>
      <c r="D4104" s="2">
        <v>5010.97</v>
      </c>
      <c r="E4104" s="2">
        <v>5010.97</v>
      </c>
      <c r="G4104" s="1" t="s">
        <v>8201</v>
      </c>
      <c r="H4104" s="2">
        <v>2036.59</v>
      </c>
      <c r="I4104" s="2">
        <v>2036.59</v>
      </c>
    </row>
    <row r="4105">
      <c r="A4105" s="1" t="s">
        <v>8202</v>
      </c>
      <c r="B4105" s="2">
        <v>2091.5</v>
      </c>
      <c r="C4105" s="2">
        <v>2091.5</v>
      </c>
      <c r="D4105" s="2">
        <v>4994.73</v>
      </c>
      <c r="E4105" s="2">
        <v>4994.73</v>
      </c>
      <c r="G4105" s="1" t="s">
        <v>8203</v>
      </c>
      <c r="H4105" s="2">
        <v>2041.37</v>
      </c>
      <c r="I4105" s="2">
        <v>2041.37</v>
      </c>
    </row>
    <row r="4106">
      <c r="A4106" s="1" t="s">
        <v>8204</v>
      </c>
      <c r="B4106" s="2">
        <v>2061.05</v>
      </c>
      <c r="C4106" s="2">
        <v>2061.05</v>
      </c>
      <c r="D4106" s="2">
        <v>4876.52</v>
      </c>
      <c r="E4106" s="2">
        <v>4876.52</v>
      </c>
      <c r="G4106" s="1" t="s">
        <v>8205</v>
      </c>
      <c r="H4106" s="2">
        <v>2042.81</v>
      </c>
      <c r="I4106" s="2">
        <v>2042.81</v>
      </c>
    </row>
    <row r="4107">
      <c r="A4107" s="1" t="s">
        <v>8206</v>
      </c>
      <c r="B4107" s="2">
        <v>2056.15</v>
      </c>
      <c r="C4107" s="2">
        <v>2056.15</v>
      </c>
      <c r="D4107" s="2">
        <v>4863.36</v>
      </c>
      <c r="E4107" s="2">
        <v>4863.36</v>
      </c>
      <c r="G4107" s="1" t="s">
        <v>8207</v>
      </c>
      <c r="H4107" s="2">
        <v>2022.56</v>
      </c>
      <c r="I4107" s="2">
        <v>2022.56</v>
      </c>
    </row>
    <row r="4108">
      <c r="A4108" s="1" t="s">
        <v>8208</v>
      </c>
      <c r="B4108" s="2">
        <v>2061.02</v>
      </c>
      <c r="C4108" s="2">
        <v>2061.02</v>
      </c>
      <c r="D4108" s="2">
        <v>4891.22</v>
      </c>
      <c r="E4108" s="2">
        <v>4891.22</v>
      </c>
      <c r="G4108" s="1" t="s">
        <v>8209</v>
      </c>
      <c r="H4108" s="2">
        <v>2019.8</v>
      </c>
      <c r="I4108" s="2">
        <v>2019.8</v>
      </c>
    </row>
    <row r="4109">
      <c r="A4109" s="1" t="s">
        <v>8210</v>
      </c>
      <c r="B4109" s="2" t="s">
        <v>0</v>
      </c>
      <c r="C4109" s="2">
        <v>2061.02</v>
      </c>
      <c r="D4109" s="2" t="s">
        <v>0</v>
      </c>
      <c r="E4109" s="2">
        <v>4891.22</v>
      </c>
      <c r="G4109" s="1" t="s">
        <v>8211</v>
      </c>
      <c r="H4109" s="2" t="s">
        <v>0</v>
      </c>
      <c r="I4109" s="2">
        <v>2019.8</v>
      </c>
    </row>
    <row r="4110">
      <c r="A4110" s="1" t="s">
        <v>8212</v>
      </c>
      <c r="B4110" s="2" t="s">
        <v>0</v>
      </c>
      <c r="C4110" s="2">
        <v>2061.02</v>
      </c>
      <c r="D4110" s="2" t="s">
        <v>0</v>
      </c>
      <c r="E4110" s="2">
        <v>4891.22</v>
      </c>
      <c r="G4110" s="1" t="s">
        <v>8213</v>
      </c>
      <c r="H4110" s="2" t="s">
        <v>0</v>
      </c>
      <c r="I4110" s="2">
        <v>2019.8</v>
      </c>
    </row>
    <row r="4111">
      <c r="A4111" s="1" t="s">
        <v>8214</v>
      </c>
      <c r="B4111" s="2">
        <v>2086.24</v>
      </c>
      <c r="C4111" s="2">
        <v>2086.24</v>
      </c>
      <c r="D4111" s="2">
        <v>4947.44</v>
      </c>
      <c r="E4111" s="2">
        <v>4947.44</v>
      </c>
      <c r="G4111" s="1" t="s">
        <v>8215</v>
      </c>
      <c r="H4111" s="2">
        <v>2030.04</v>
      </c>
      <c r="I4111" s="2">
        <v>2030.04</v>
      </c>
    </row>
    <row r="4112">
      <c r="A4112" s="1" t="s">
        <v>8216</v>
      </c>
      <c r="B4112" s="2">
        <v>2067.89</v>
      </c>
      <c r="C4112" s="2">
        <v>2067.89</v>
      </c>
      <c r="D4112" s="2">
        <v>4900.88</v>
      </c>
      <c r="E4112" s="2">
        <v>4900.88</v>
      </c>
      <c r="G4112" s="1" t="s">
        <v>8217</v>
      </c>
      <c r="H4112" s="2">
        <v>2041.03</v>
      </c>
      <c r="I4112" s="2">
        <v>2041.03</v>
      </c>
    </row>
    <row r="4113">
      <c r="A4113" s="1" t="s">
        <v>8218</v>
      </c>
      <c r="B4113" s="2">
        <v>2059.69</v>
      </c>
      <c r="C4113" s="2">
        <v>2059.69</v>
      </c>
      <c r="D4113" s="2">
        <v>4880.23</v>
      </c>
      <c r="E4113" s="2">
        <v>4880.23</v>
      </c>
      <c r="G4113" s="1" t="s">
        <v>8219</v>
      </c>
      <c r="H4113" s="2">
        <v>2028.45</v>
      </c>
      <c r="I4113" s="2">
        <v>2028.45</v>
      </c>
    </row>
    <row r="4114">
      <c r="A4114" s="1" t="s">
        <v>8220</v>
      </c>
      <c r="B4114" s="2">
        <v>2066.96</v>
      </c>
      <c r="C4114" s="2">
        <v>2066.96</v>
      </c>
      <c r="D4114" s="2">
        <v>4886.94</v>
      </c>
      <c r="E4114" s="2">
        <v>4886.94</v>
      </c>
      <c r="G4114" s="1" t="s">
        <v>8221</v>
      </c>
      <c r="H4114" s="2">
        <v>2029.07</v>
      </c>
      <c r="I4114" s="2">
        <v>2029.07</v>
      </c>
    </row>
    <row r="4115">
      <c r="A4115" s="1" t="s">
        <v>8222</v>
      </c>
      <c r="B4115" s="2" t="s">
        <v>0</v>
      </c>
      <c r="C4115" s="2">
        <v>2066.96</v>
      </c>
      <c r="D4115" s="2" t="s">
        <v>0</v>
      </c>
      <c r="E4115" s="2">
        <v>4886.94</v>
      </c>
      <c r="G4115" s="1" t="s">
        <v>8223</v>
      </c>
      <c r="H4115" s="2">
        <v>2045.42</v>
      </c>
      <c r="I4115" s="2">
        <v>2045.42</v>
      </c>
    </row>
    <row r="4116">
      <c r="A4116" s="1" t="s">
        <v>8224</v>
      </c>
      <c r="B4116" s="2" t="s">
        <v>0</v>
      </c>
      <c r="C4116" s="2">
        <v>2066.96</v>
      </c>
      <c r="D4116" s="2" t="s">
        <v>0</v>
      </c>
      <c r="E4116" s="2">
        <v>4886.94</v>
      </c>
      <c r="G4116" s="1" t="s">
        <v>8225</v>
      </c>
      <c r="H4116" s="2" t="s">
        <v>0</v>
      </c>
      <c r="I4116" s="2">
        <v>2045.42</v>
      </c>
    </row>
    <row r="4117">
      <c r="A4117" s="1" t="s">
        <v>8226</v>
      </c>
      <c r="B4117" s="2" t="s">
        <v>0</v>
      </c>
      <c r="C4117" s="2">
        <v>2066.96</v>
      </c>
      <c r="D4117" s="2" t="s">
        <v>0</v>
      </c>
      <c r="E4117" s="2">
        <v>4886.94</v>
      </c>
      <c r="G4117" s="1" t="s">
        <v>8227</v>
      </c>
      <c r="H4117" s="2" t="s">
        <v>0</v>
      </c>
      <c r="I4117" s="2">
        <v>2045.42</v>
      </c>
    </row>
    <row r="4118">
      <c r="A4118" s="1" t="s">
        <v>8228</v>
      </c>
      <c r="B4118" s="2">
        <v>2080.62</v>
      </c>
      <c r="C4118" s="2">
        <v>2080.62</v>
      </c>
      <c r="D4118" s="2">
        <v>4917.32</v>
      </c>
      <c r="E4118" s="2">
        <v>4917.32</v>
      </c>
      <c r="G4118" s="1" t="s">
        <v>8229</v>
      </c>
      <c r="H4118" s="2">
        <v>2046.43</v>
      </c>
      <c r="I4118" s="2">
        <v>2046.43</v>
      </c>
    </row>
    <row r="4119">
      <c r="A4119" s="1" t="s">
        <v>8230</v>
      </c>
      <c r="B4119" s="2">
        <v>2076.33</v>
      </c>
      <c r="C4119" s="2">
        <v>2076.33</v>
      </c>
      <c r="D4119" s="2">
        <v>4910.23</v>
      </c>
      <c r="E4119" s="2">
        <v>4910.23</v>
      </c>
      <c r="G4119" s="1" t="s">
        <v>8231</v>
      </c>
      <c r="H4119" s="2">
        <v>2047.03</v>
      </c>
      <c r="I4119" s="2">
        <v>2047.03</v>
      </c>
    </row>
    <row r="4120">
      <c r="A4120" s="1" t="s">
        <v>8232</v>
      </c>
      <c r="B4120" s="2">
        <v>2081.9</v>
      </c>
      <c r="C4120" s="2">
        <v>2081.9</v>
      </c>
      <c r="D4120" s="2">
        <v>4950.82</v>
      </c>
      <c r="E4120" s="2">
        <v>4950.82</v>
      </c>
      <c r="G4120" s="1" t="s">
        <v>8233</v>
      </c>
      <c r="H4120" s="2">
        <v>2059.26</v>
      </c>
      <c r="I4120" s="2">
        <v>2059.26</v>
      </c>
    </row>
    <row r="4121">
      <c r="A4121" s="1" t="s">
        <v>8234</v>
      </c>
      <c r="B4121" s="2">
        <v>2091.18</v>
      </c>
      <c r="C4121" s="2">
        <v>2091.18</v>
      </c>
      <c r="D4121" s="2">
        <v>4974.56</v>
      </c>
      <c r="E4121" s="2">
        <v>4974.56</v>
      </c>
      <c r="G4121" s="1" t="s">
        <v>8235</v>
      </c>
      <c r="H4121" s="2">
        <v>2058.87</v>
      </c>
      <c r="I4121" s="2">
        <v>2058.87</v>
      </c>
    </row>
    <row r="4122">
      <c r="A4122" s="1" t="s">
        <v>8236</v>
      </c>
      <c r="B4122" s="2">
        <v>2102.06</v>
      </c>
      <c r="C4122" s="2">
        <v>2102.06</v>
      </c>
      <c r="D4122" s="2">
        <v>4995.98</v>
      </c>
      <c r="E4122" s="2">
        <v>4995.98</v>
      </c>
      <c r="G4122" s="1" t="s">
        <v>8237</v>
      </c>
      <c r="H4122" s="2">
        <v>2087.76</v>
      </c>
      <c r="I4122" s="2">
        <v>2087.76</v>
      </c>
    </row>
    <row r="4123">
      <c r="A4123" s="1" t="s">
        <v>8238</v>
      </c>
      <c r="B4123" s="2" t="s">
        <v>0</v>
      </c>
      <c r="C4123" s="2">
        <v>2102.06</v>
      </c>
      <c r="D4123" s="2" t="s">
        <v>0</v>
      </c>
      <c r="E4123" s="2">
        <v>4995.98</v>
      </c>
      <c r="G4123" s="1" t="s">
        <v>8239</v>
      </c>
      <c r="H4123" s="2" t="s">
        <v>0</v>
      </c>
      <c r="I4123" s="2">
        <v>2087.76</v>
      </c>
    </row>
    <row r="4124">
      <c r="A4124" s="1" t="s">
        <v>8240</v>
      </c>
      <c r="B4124" s="2" t="s">
        <v>0</v>
      </c>
      <c r="C4124" s="2">
        <v>2102.06</v>
      </c>
      <c r="D4124" s="2" t="s">
        <v>0</v>
      </c>
      <c r="E4124" s="2">
        <v>4995.98</v>
      </c>
      <c r="G4124" s="1" t="s">
        <v>8241</v>
      </c>
      <c r="H4124" s="2" t="s">
        <v>0</v>
      </c>
      <c r="I4124" s="2">
        <v>2087.76</v>
      </c>
    </row>
    <row r="4125">
      <c r="A4125" s="1" t="s">
        <v>8242</v>
      </c>
      <c r="B4125" s="2">
        <v>2092.43</v>
      </c>
      <c r="C4125" s="2">
        <v>2092.43</v>
      </c>
      <c r="D4125" s="2">
        <v>4988.25</v>
      </c>
      <c r="E4125" s="2">
        <v>4988.25</v>
      </c>
      <c r="G4125" s="1" t="s">
        <v>8243</v>
      </c>
      <c r="H4125" s="2">
        <v>2098.92</v>
      </c>
      <c r="I4125" s="2">
        <v>2098.92</v>
      </c>
    </row>
    <row r="4126">
      <c r="A4126" s="1" t="s">
        <v>8244</v>
      </c>
      <c r="B4126" s="2">
        <v>2095.84</v>
      </c>
      <c r="C4126" s="2">
        <v>2095.84</v>
      </c>
      <c r="D4126" s="2">
        <v>4977.29</v>
      </c>
      <c r="E4126" s="2">
        <v>4977.29</v>
      </c>
      <c r="G4126" s="1" t="s">
        <v>8245</v>
      </c>
      <c r="H4126" s="2">
        <v>2111.72</v>
      </c>
      <c r="I4126" s="2">
        <v>2111.72</v>
      </c>
    </row>
    <row r="4127">
      <c r="A4127" s="1" t="s">
        <v>8246</v>
      </c>
      <c r="B4127" s="2">
        <v>2106.63</v>
      </c>
      <c r="C4127" s="2">
        <v>2106.63</v>
      </c>
      <c r="D4127" s="2">
        <v>5011.02</v>
      </c>
      <c r="E4127" s="2">
        <v>5011.02</v>
      </c>
      <c r="G4127" s="1" t="s">
        <v>8247</v>
      </c>
      <c r="H4127" s="2">
        <v>2119.96</v>
      </c>
      <c r="I4127" s="2">
        <v>2119.96</v>
      </c>
    </row>
    <row r="4128">
      <c r="A4128" s="1" t="s">
        <v>8248</v>
      </c>
      <c r="B4128" s="2">
        <v>2104.99</v>
      </c>
      <c r="C4128" s="2">
        <v>2104.99</v>
      </c>
      <c r="D4128" s="2">
        <v>5007.79</v>
      </c>
      <c r="E4128" s="2">
        <v>5007.79</v>
      </c>
      <c r="G4128" s="1" t="s">
        <v>8249</v>
      </c>
      <c r="H4128" s="2">
        <v>2139.9</v>
      </c>
      <c r="I4128" s="2">
        <v>2139.9</v>
      </c>
    </row>
    <row r="4129">
      <c r="A4129" s="1" t="s">
        <v>8250</v>
      </c>
      <c r="B4129" s="2">
        <v>2081.18</v>
      </c>
      <c r="C4129" s="2">
        <v>2081.18</v>
      </c>
      <c r="D4129" s="2">
        <v>4931.81</v>
      </c>
      <c r="E4129" s="2">
        <v>4931.81</v>
      </c>
      <c r="G4129" s="1" t="s">
        <v>8251</v>
      </c>
      <c r="H4129" s="2">
        <v>2143.5</v>
      </c>
      <c r="I4129" s="2">
        <v>2143.5</v>
      </c>
    </row>
    <row r="4130">
      <c r="A4130" s="1" t="s">
        <v>8252</v>
      </c>
      <c r="B4130" s="2" t="s">
        <v>0</v>
      </c>
      <c r="C4130" s="2">
        <v>2081.18</v>
      </c>
      <c r="D4130" s="2" t="s">
        <v>0</v>
      </c>
      <c r="E4130" s="2">
        <v>4931.81</v>
      </c>
      <c r="G4130" s="1" t="s">
        <v>8253</v>
      </c>
      <c r="H4130" s="2" t="s">
        <v>0</v>
      </c>
      <c r="I4130" s="2">
        <v>2143.5</v>
      </c>
    </row>
    <row r="4131">
      <c r="A4131" s="1" t="s">
        <v>8254</v>
      </c>
      <c r="B4131" s="2" t="s">
        <v>0</v>
      </c>
      <c r="C4131" s="2">
        <v>2081.18</v>
      </c>
      <c r="D4131" s="2" t="s">
        <v>0</v>
      </c>
      <c r="E4131" s="2">
        <v>4931.81</v>
      </c>
      <c r="G4131" s="1" t="s">
        <v>8255</v>
      </c>
      <c r="H4131" s="2" t="s">
        <v>0</v>
      </c>
      <c r="I4131" s="2">
        <v>2143.5</v>
      </c>
    </row>
    <row r="4132">
      <c r="A4132" s="1" t="s">
        <v>8256</v>
      </c>
      <c r="B4132" s="2">
        <v>2100.4</v>
      </c>
      <c r="C4132" s="2">
        <v>2100.4</v>
      </c>
      <c r="D4132" s="2">
        <v>4994.6</v>
      </c>
      <c r="E4132" s="2">
        <v>4994.6</v>
      </c>
      <c r="G4132" s="1" t="s">
        <v>8257</v>
      </c>
      <c r="H4132" s="2">
        <v>2146.71</v>
      </c>
      <c r="I4132" s="2">
        <v>2146.71</v>
      </c>
    </row>
    <row r="4133">
      <c r="A4133" s="1" t="s">
        <v>8258</v>
      </c>
      <c r="B4133" s="2">
        <v>2097.29</v>
      </c>
      <c r="C4133" s="2">
        <v>2097.29</v>
      </c>
      <c r="D4133" s="2">
        <v>5014.1</v>
      </c>
      <c r="E4133" s="2">
        <v>5014.1</v>
      </c>
      <c r="G4133" s="1" t="s">
        <v>8259</v>
      </c>
      <c r="H4133" s="2">
        <v>2144.79</v>
      </c>
      <c r="I4133" s="2">
        <v>2144.79</v>
      </c>
    </row>
    <row r="4134">
      <c r="A4134" s="1" t="s">
        <v>8260</v>
      </c>
      <c r="B4134" s="2">
        <v>2107.96</v>
      </c>
      <c r="C4134" s="2">
        <v>2107.96</v>
      </c>
      <c r="D4134" s="2">
        <v>5035.17</v>
      </c>
      <c r="E4134" s="2">
        <v>5035.17</v>
      </c>
      <c r="G4134" s="1" t="s">
        <v>8261</v>
      </c>
      <c r="H4134" s="2">
        <v>2143.89</v>
      </c>
      <c r="I4134" s="2">
        <v>2143.89</v>
      </c>
    </row>
    <row r="4135">
      <c r="A4135" s="1" t="s">
        <v>8262</v>
      </c>
      <c r="B4135" s="2">
        <v>2112.93</v>
      </c>
      <c r="C4135" s="2">
        <v>2112.93</v>
      </c>
      <c r="D4135" s="2">
        <v>5056.06</v>
      </c>
      <c r="E4135" s="2">
        <v>5056.06</v>
      </c>
      <c r="G4135" s="1" t="s">
        <v>8263</v>
      </c>
      <c r="H4135" s="2">
        <v>2173.41</v>
      </c>
      <c r="I4135" s="2">
        <v>2173.41</v>
      </c>
    </row>
    <row r="4136">
      <c r="A4136" s="1" t="s">
        <v>8264</v>
      </c>
      <c r="B4136" s="2">
        <v>2117.69</v>
      </c>
      <c r="C4136" s="2">
        <v>2117.69</v>
      </c>
      <c r="D4136" s="2">
        <v>5092.08</v>
      </c>
      <c r="E4136" s="2">
        <v>5092.08</v>
      </c>
      <c r="G4136" s="1" t="s">
        <v>8265</v>
      </c>
      <c r="H4136" s="2">
        <v>2159.8</v>
      </c>
      <c r="I4136" s="2">
        <v>2159.8</v>
      </c>
    </row>
    <row r="4137">
      <c r="A4137" s="1" t="s">
        <v>8266</v>
      </c>
      <c r="B4137" s="2" t="s">
        <v>0</v>
      </c>
      <c r="C4137" s="2">
        <v>2117.69</v>
      </c>
      <c r="D4137" s="2" t="s">
        <v>0</v>
      </c>
      <c r="E4137" s="2">
        <v>5092.08</v>
      </c>
      <c r="G4137" s="1" t="s">
        <v>8267</v>
      </c>
      <c r="H4137" s="2" t="s">
        <v>0</v>
      </c>
      <c r="I4137" s="2">
        <v>2159.8</v>
      </c>
    </row>
    <row r="4138">
      <c r="A4138" s="1" t="s">
        <v>8268</v>
      </c>
      <c r="B4138" s="2" t="s">
        <v>0</v>
      </c>
      <c r="C4138" s="2">
        <v>2117.69</v>
      </c>
      <c r="D4138" s="2" t="s">
        <v>0</v>
      </c>
      <c r="E4138" s="2">
        <v>5092.08</v>
      </c>
      <c r="G4138" s="1" t="s">
        <v>8269</v>
      </c>
      <c r="H4138" s="2" t="s">
        <v>0</v>
      </c>
      <c r="I4138" s="2">
        <v>2159.8</v>
      </c>
    </row>
    <row r="4139">
      <c r="A4139" s="1" t="s">
        <v>8270</v>
      </c>
      <c r="B4139" s="2">
        <v>2108.92</v>
      </c>
      <c r="C4139" s="2">
        <v>2108.92</v>
      </c>
      <c r="D4139" s="2">
        <v>5060.25</v>
      </c>
      <c r="E4139" s="2">
        <v>5060.25</v>
      </c>
      <c r="G4139" s="1" t="s">
        <v>8271</v>
      </c>
      <c r="H4139" s="2">
        <v>2157.54</v>
      </c>
      <c r="I4139" s="2">
        <v>2157.54</v>
      </c>
    </row>
    <row r="4140">
      <c r="A4140" s="1" t="s">
        <v>8272</v>
      </c>
      <c r="B4140" s="2">
        <v>2114.76</v>
      </c>
      <c r="C4140" s="2">
        <v>2114.76</v>
      </c>
      <c r="D4140" s="2">
        <v>5055.42</v>
      </c>
      <c r="E4140" s="2">
        <v>5055.42</v>
      </c>
      <c r="G4140" s="1" t="s">
        <v>8273</v>
      </c>
      <c r="H4140" s="2">
        <v>2147.67</v>
      </c>
      <c r="I4140" s="2">
        <v>2147.67</v>
      </c>
    </row>
    <row r="4141">
      <c r="A4141" s="1" t="s">
        <v>8274</v>
      </c>
      <c r="B4141" s="2">
        <v>2106.85</v>
      </c>
      <c r="C4141" s="2">
        <v>2106.85</v>
      </c>
      <c r="D4141" s="2">
        <v>5023.64</v>
      </c>
      <c r="E4141" s="2">
        <v>5023.64</v>
      </c>
      <c r="G4141" s="1" t="s">
        <v>8275</v>
      </c>
      <c r="H4141" s="2">
        <v>2142.63</v>
      </c>
      <c r="I4141" s="2">
        <v>2142.63</v>
      </c>
    </row>
    <row r="4142">
      <c r="A4142" s="1" t="s">
        <v>8276</v>
      </c>
      <c r="B4142" s="2">
        <v>2085.51</v>
      </c>
      <c r="C4142" s="2">
        <v>2085.51</v>
      </c>
      <c r="D4142" s="2">
        <v>4941.42</v>
      </c>
      <c r="E4142" s="2">
        <v>4941.42</v>
      </c>
      <c r="G4142" s="1" t="s">
        <v>8277</v>
      </c>
      <c r="H4142" s="2">
        <v>2127.17</v>
      </c>
      <c r="I4142" s="2">
        <v>2127.17</v>
      </c>
    </row>
    <row r="4143">
      <c r="A4143" s="1" t="s">
        <v>8278</v>
      </c>
      <c r="B4143" s="2">
        <v>2108.29</v>
      </c>
      <c r="C4143" s="2">
        <v>2108.29</v>
      </c>
      <c r="D4143" s="2">
        <v>5005.39</v>
      </c>
      <c r="E4143" s="2">
        <v>5005.39</v>
      </c>
      <c r="G4143" s="1" t="s">
        <v>8279</v>
      </c>
      <c r="H4143" s="2" t="s">
        <v>0</v>
      </c>
      <c r="I4143" s="2">
        <v>2127.17</v>
      </c>
    </row>
    <row r="4144">
      <c r="A4144" s="1" t="s">
        <v>8280</v>
      </c>
      <c r="B4144" s="2" t="s">
        <v>0</v>
      </c>
      <c r="C4144" s="2">
        <v>2108.29</v>
      </c>
      <c r="D4144" s="2" t="s">
        <v>0</v>
      </c>
      <c r="E4144" s="2">
        <v>5005.39</v>
      </c>
      <c r="G4144" s="1" t="s">
        <v>8281</v>
      </c>
      <c r="H4144" s="2" t="s">
        <v>0</v>
      </c>
      <c r="I4144" s="2">
        <v>2127.17</v>
      </c>
    </row>
    <row r="4145">
      <c r="A4145" s="1" t="s">
        <v>8282</v>
      </c>
      <c r="B4145" s="2" t="s">
        <v>0</v>
      </c>
      <c r="C4145" s="2">
        <v>2108.29</v>
      </c>
      <c r="D4145" s="2" t="s">
        <v>0</v>
      </c>
      <c r="E4145" s="2">
        <v>5005.39</v>
      </c>
      <c r="G4145" s="1" t="s">
        <v>8283</v>
      </c>
      <c r="H4145" s="2" t="s">
        <v>0</v>
      </c>
      <c r="I4145" s="2">
        <v>2127.17</v>
      </c>
    </row>
    <row r="4146">
      <c r="A4146" s="1" t="s">
        <v>8284</v>
      </c>
      <c r="B4146" s="2">
        <v>2114.49</v>
      </c>
      <c r="C4146" s="2">
        <v>2114.49</v>
      </c>
      <c r="D4146" s="2">
        <v>5016.93</v>
      </c>
      <c r="E4146" s="2">
        <v>5016.93</v>
      </c>
      <c r="G4146" s="1" t="s">
        <v>8285</v>
      </c>
      <c r="H4146" s="2">
        <v>2132.23</v>
      </c>
      <c r="I4146" s="2">
        <v>2132.23</v>
      </c>
    </row>
    <row r="4147">
      <c r="A4147" s="1" t="s">
        <v>8286</v>
      </c>
      <c r="B4147" s="2">
        <v>2089.46</v>
      </c>
      <c r="C4147" s="2">
        <v>2089.46</v>
      </c>
      <c r="D4147" s="2">
        <v>4939.33</v>
      </c>
      <c r="E4147" s="2">
        <v>4939.33</v>
      </c>
      <c r="G4147" s="1" t="s">
        <v>8287</v>
      </c>
      <c r="H4147" s="2" t="s">
        <v>0</v>
      </c>
      <c r="I4147" s="2">
        <v>2132.23</v>
      </c>
    </row>
    <row r="4148">
      <c r="A4148" s="1" t="s">
        <v>8288</v>
      </c>
      <c r="B4148" s="2">
        <v>2080.15</v>
      </c>
      <c r="C4148" s="2">
        <v>2080.15</v>
      </c>
      <c r="D4148" s="2">
        <v>4919.64</v>
      </c>
      <c r="E4148" s="2">
        <v>4919.64</v>
      </c>
      <c r="G4148" s="1" t="s">
        <v>8289</v>
      </c>
      <c r="H4148" s="2">
        <v>2104.58</v>
      </c>
      <c r="I4148" s="2">
        <v>2104.58</v>
      </c>
    </row>
    <row r="4149">
      <c r="A4149" s="1" t="s">
        <v>8290</v>
      </c>
      <c r="B4149" s="2">
        <v>2088.0</v>
      </c>
      <c r="C4149" s="2">
        <v>2088.0</v>
      </c>
      <c r="D4149" s="2">
        <v>4945.54</v>
      </c>
      <c r="E4149" s="2">
        <v>4945.54</v>
      </c>
      <c r="G4149" s="1" t="s">
        <v>8291</v>
      </c>
      <c r="H4149" s="2">
        <v>2091.0</v>
      </c>
      <c r="I4149" s="2">
        <v>2091.0</v>
      </c>
    </row>
    <row r="4150">
      <c r="A4150" s="1" t="s">
        <v>8292</v>
      </c>
      <c r="B4150" s="2">
        <v>2116.1</v>
      </c>
      <c r="C4150" s="2">
        <v>2116.1</v>
      </c>
      <c r="D4150" s="2">
        <v>5003.55</v>
      </c>
      <c r="E4150" s="2">
        <v>5003.55</v>
      </c>
      <c r="G4150" s="1" t="s">
        <v>8293</v>
      </c>
      <c r="H4150" s="2">
        <v>2085.52</v>
      </c>
      <c r="I4150" s="2">
        <v>2085.52</v>
      </c>
    </row>
    <row r="4151">
      <c r="A4151" s="1" t="s">
        <v>8294</v>
      </c>
      <c r="B4151" s="2" t="s">
        <v>0</v>
      </c>
      <c r="C4151" s="2">
        <v>2116.1</v>
      </c>
      <c r="D4151" s="2" t="s">
        <v>0</v>
      </c>
      <c r="E4151" s="2">
        <v>5003.55</v>
      </c>
      <c r="G4151" s="1" t="s">
        <v>8295</v>
      </c>
      <c r="H4151" s="2" t="s">
        <v>0</v>
      </c>
      <c r="I4151" s="2">
        <v>2085.52</v>
      </c>
    </row>
    <row r="4152">
      <c r="A4152" s="1" t="s">
        <v>8296</v>
      </c>
      <c r="B4152" s="2" t="s">
        <v>0</v>
      </c>
      <c r="C4152" s="2">
        <v>2116.1</v>
      </c>
      <c r="D4152" s="2" t="s">
        <v>0</v>
      </c>
      <c r="E4152" s="2">
        <v>5003.55</v>
      </c>
      <c r="G4152" s="1" t="s">
        <v>8297</v>
      </c>
      <c r="H4152" s="2" t="s">
        <v>0</v>
      </c>
      <c r="I4152" s="2">
        <v>2085.52</v>
      </c>
    </row>
    <row r="4153">
      <c r="A4153" s="1" t="s">
        <v>8298</v>
      </c>
      <c r="B4153" s="2">
        <v>2105.33</v>
      </c>
      <c r="C4153" s="2">
        <v>2105.33</v>
      </c>
      <c r="D4153" s="2">
        <v>4993.57</v>
      </c>
      <c r="E4153" s="2">
        <v>4993.57</v>
      </c>
      <c r="G4153" s="1" t="s">
        <v>8299</v>
      </c>
      <c r="H4153" s="2">
        <v>2097.38</v>
      </c>
      <c r="I4153" s="2">
        <v>2097.38</v>
      </c>
    </row>
    <row r="4154">
      <c r="A4154" s="1" t="s">
        <v>8300</v>
      </c>
      <c r="B4154" s="2">
        <v>2099.12</v>
      </c>
      <c r="C4154" s="2">
        <v>2099.12</v>
      </c>
      <c r="D4154" s="2">
        <v>4976.19</v>
      </c>
      <c r="E4154" s="2">
        <v>4976.19</v>
      </c>
      <c r="G4154" s="1" t="s">
        <v>8301</v>
      </c>
      <c r="H4154" s="2">
        <v>2096.77</v>
      </c>
      <c r="I4154" s="2">
        <v>2096.77</v>
      </c>
    </row>
    <row r="4155">
      <c r="A4155" s="1" t="s">
        <v>8302</v>
      </c>
      <c r="B4155" s="2">
        <v>2098.48</v>
      </c>
      <c r="C4155" s="2">
        <v>2098.48</v>
      </c>
      <c r="D4155" s="2">
        <v>4981.69</v>
      </c>
      <c r="E4155" s="2">
        <v>4981.69</v>
      </c>
      <c r="G4155" s="1" t="s">
        <v>8303</v>
      </c>
      <c r="H4155" s="2">
        <v>2114.16</v>
      </c>
      <c r="I4155" s="2">
        <v>2114.16</v>
      </c>
    </row>
    <row r="4156">
      <c r="A4156" s="1" t="s">
        <v>8304</v>
      </c>
      <c r="B4156" s="2">
        <v>2121.1</v>
      </c>
      <c r="C4156" s="2">
        <v>2121.1</v>
      </c>
      <c r="D4156" s="2">
        <v>5050.8</v>
      </c>
      <c r="E4156" s="2">
        <v>5050.8</v>
      </c>
      <c r="G4156" s="1" t="s">
        <v>8305</v>
      </c>
      <c r="H4156" s="2">
        <v>2120.33</v>
      </c>
      <c r="I4156" s="2">
        <v>2120.33</v>
      </c>
    </row>
    <row r="4157">
      <c r="A4157" s="1" t="s">
        <v>8306</v>
      </c>
      <c r="B4157" s="2">
        <v>2122.73</v>
      </c>
      <c r="C4157" s="2">
        <v>2122.73</v>
      </c>
      <c r="D4157" s="2">
        <v>5048.29</v>
      </c>
      <c r="E4157" s="2">
        <v>5048.29</v>
      </c>
      <c r="G4157" s="1" t="s">
        <v>8307</v>
      </c>
      <c r="H4157" s="2">
        <v>2106.5</v>
      </c>
      <c r="I4157" s="2">
        <v>2106.5</v>
      </c>
    </row>
    <row r="4158">
      <c r="A4158" s="1" t="s">
        <v>8308</v>
      </c>
      <c r="B4158" s="2" t="s">
        <v>0</v>
      </c>
      <c r="C4158" s="2">
        <v>2122.73</v>
      </c>
      <c r="D4158" s="2" t="s">
        <v>0</v>
      </c>
      <c r="E4158" s="2">
        <v>5048.29</v>
      </c>
      <c r="G4158" s="1" t="s">
        <v>8309</v>
      </c>
      <c r="H4158" s="2" t="s">
        <v>0</v>
      </c>
      <c r="I4158" s="2">
        <v>2106.5</v>
      </c>
    </row>
    <row r="4159">
      <c r="A4159" s="1" t="s">
        <v>8310</v>
      </c>
      <c r="B4159" s="2" t="s">
        <v>0</v>
      </c>
      <c r="C4159" s="2">
        <v>2122.73</v>
      </c>
      <c r="D4159" s="2" t="s">
        <v>0</v>
      </c>
      <c r="E4159" s="2">
        <v>5048.29</v>
      </c>
      <c r="G4159" s="1" t="s">
        <v>8311</v>
      </c>
      <c r="H4159" s="2" t="s">
        <v>0</v>
      </c>
      <c r="I4159" s="2">
        <v>2106.5</v>
      </c>
    </row>
    <row r="4160">
      <c r="A4160" s="1" t="s">
        <v>8312</v>
      </c>
      <c r="B4160" s="2">
        <v>2129.2</v>
      </c>
      <c r="C4160" s="2">
        <v>2129.2</v>
      </c>
      <c r="D4160" s="2">
        <v>5078.44</v>
      </c>
      <c r="E4160" s="2">
        <v>5078.44</v>
      </c>
      <c r="G4160" s="1" t="s">
        <v>8313</v>
      </c>
      <c r="H4160" s="2">
        <v>2113.72</v>
      </c>
      <c r="I4160" s="2">
        <v>2113.72</v>
      </c>
    </row>
    <row r="4161">
      <c r="A4161" s="1" t="s">
        <v>8314</v>
      </c>
      <c r="B4161" s="2">
        <v>2127.83</v>
      </c>
      <c r="C4161" s="2">
        <v>2127.83</v>
      </c>
      <c r="D4161" s="2">
        <v>5070.03</v>
      </c>
      <c r="E4161" s="2">
        <v>5070.03</v>
      </c>
      <c r="G4161" s="1" t="s">
        <v>8315</v>
      </c>
      <c r="H4161" s="2">
        <v>2120.85</v>
      </c>
      <c r="I4161" s="2">
        <v>2120.85</v>
      </c>
    </row>
    <row r="4162">
      <c r="A4162" s="1" t="s">
        <v>8316</v>
      </c>
      <c r="B4162" s="2">
        <v>2125.85</v>
      </c>
      <c r="C4162" s="2">
        <v>2125.85</v>
      </c>
      <c r="D4162" s="2">
        <v>5071.74</v>
      </c>
      <c r="E4162" s="2">
        <v>5071.74</v>
      </c>
      <c r="G4162" s="1" t="s">
        <v>8317</v>
      </c>
      <c r="H4162" s="2">
        <v>2139.54</v>
      </c>
      <c r="I4162" s="2">
        <v>2139.54</v>
      </c>
    </row>
    <row r="4163">
      <c r="A4163" s="1" t="s">
        <v>8318</v>
      </c>
      <c r="B4163" s="2">
        <v>2130.82</v>
      </c>
      <c r="C4163" s="2">
        <v>2130.82</v>
      </c>
      <c r="D4163" s="2">
        <v>5090.79</v>
      </c>
      <c r="E4163" s="2">
        <v>5090.79</v>
      </c>
      <c r="G4163" s="1" t="s">
        <v>8319</v>
      </c>
      <c r="H4163" s="2">
        <v>2122.81</v>
      </c>
      <c r="I4163" s="2">
        <v>2122.81</v>
      </c>
    </row>
    <row r="4164">
      <c r="A4164" s="1" t="s">
        <v>8320</v>
      </c>
      <c r="B4164" s="2">
        <v>2126.06</v>
      </c>
      <c r="C4164" s="2">
        <v>2126.06</v>
      </c>
      <c r="D4164" s="2">
        <v>5089.36</v>
      </c>
      <c r="E4164" s="2">
        <v>5089.36</v>
      </c>
      <c r="G4164" s="1" t="s">
        <v>8321</v>
      </c>
      <c r="H4164" s="2">
        <v>2146.1</v>
      </c>
      <c r="I4164" s="2">
        <v>2146.1</v>
      </c>
    </row>
    <row r="4165">
      <c r="A4165" s="1" t="s">
        <v>8322</v>
      </c>
      <c r="B4165" s="2" t="s">
        <v>0</v>
      </c>
      <c r="C4165" s="2">
        <v>2126.06</v>
      </c>
      <c r="D4165" s="2" t="s">
        <v>0</v>
      </c>
      <c r="E4165" s="2">
        <v>5089.36</v>
      </c>
      <c r="G4165" s="1" t="s">
        <v>8323</v>
      </c>
      <c r="H4165" s="2" t="s">
        <v>0</v>
      </c>
      <c r="I4165" s="2">
        <v>2146.1</v>
      </c>
    </row>
    <row r="4166">
      <c r="A4166" s="1" t="s">
        <v>8324</v>
      </c>
      <c r="B4166" s="2" t="s">
        <v>0</v>
      </c>
      <c r="C4166" s="2">
        <v>2126.06</v>
      </c>
      <c r="D4166" s="2" t="s">
        <v>0</v>
      </c>
      <c r="E4166" s="2">
        <v>5089.36</v>
      </c>
      <c r="G4166" s="1" t="s">
        <v>8325</v>
      </c>
      <c r="H4166" s="2" t="s">
        <v>0</v>
      </c>
      <c r="I4166" s="2">
        <v>2146.1</v>
      </c>
    </row>
    <row r="4167">
      <c r="A4167" s="1" t="s">
        <v>8326</v>
      </c>
      <c r="B4167" s="2" t="s">
        <v>0</v>
      </c>
      <c r="C4167" s="2">
        <v>2126.06</v>
      </c>
      <c r="D4167" s="2" t="s">
        <v>0</v>
      </c>
      <c r="E4167" s="2">
        <v>5089.36</v>
      </c>
      <c r="G4167" s="1" t="s">
        <v>8327</v>
      </c>
      <c r="H4167" s="2" t="s">
        <v>0</v>
      </c>
      <c r="I4167" s="2">
        <v>2146.1</v>
      </c>
    </row>
    <row r="4168">
      <c r="A4168" s="1" t="s">
        <v>8328</v>
      </c>
      <c r="B4168" s="2">
        <v>2104.2</v>
      </c>
      <c r="C4168" s="2">
        <v>2104.2</v>
      </c>
      <c r="D4168" s="2">
        <v>5032.75</v>
      </c>
      <c r="E4168" s="2">
        <v>5032.75</v>
      </c>
      <c r="G4168" s="1" t="s">
        <v>8329</v>
      </c>
      <c r="H4168" s="2">
        <v>2143.5</v>
      </c>
      <c r="I4168" s="2">
        <v>2143.5</v>
      </c>
    </row>
    <row r="4169">
      <c r="A4169" s="1" t="s">
        <v>8330</v>
      </c>
      <c r="B4169" s="2">
        <v>2123.48</v>
      </c>
      <c r="C4169" s="2">
        <v>2123.48</v>
      </c>
      <c r="D4169" s="2">
        <v>5106.59</v>
      </c>
      <c r="E4169" s="2">
        <v>5106.59</v>
      </c>
      <c r="G4169" s="1" t="s">
        <v>8331</v>
      </c>
      <c r="H4169" s="2">
        <v>2107.5</v>
      </c>
      <c r="I4169" s="2">
        <v>2107.5</v>
      </c>
    </row>
    <row r="4170">
      <c r="A4170" s="1" t="s">
        <v>8332</v>
      </c>
      <c r="B4170" s="2">
        <v>2120.79</v>
      </c>
      <c r="C4170" s="2">
        <v>2120.79</v>
      </c>
      <c r="D4170" s="2">
        <v>5097.98</v>
      </c>
      <c r="E4170" s="2">
        <v>5097.98</v>
      </c>
      <c r="G4170" s="1" t="s">
        <v>8333</v>
      </c>
      <c r="H4170" s="2">
        <v>2110.89</v>
      </c>
      <c r="I4170" s="2">
        <v>2110.89</v>
      </c>
    </row>
    <row r="4171">
      <c r="A4171" s="1" t="s">
        <v>8334</v>
      </c>
      <c r="B4171" s="2">
        <v>2107.39</v>
      </c>
      <c r="C4171" s="2">
        <v>2107.39</v>
      </c>
      <c r="D4171" s="2">
        <v>5070.03</v>
      </c>
      <c r="E4171" s="2">
        <v>5070.03</v>
      </c>
      <c r="G4171" s="1" t="s">
        <v>8335</v>
      </c>
      <c r="H4171" s="2">
        <v>2114.8</v>
      </c>
      <c r="I4171" s="2">
        <v>2114.8</v>
      </c>
    </row>
    <row r="4172">
      <c r="A4172" s="1" t="s">
        <v>8336</v>
      </c>
      <c r="B4172" s="2" t="s">
        <v>0</v>
      </c>
      <c r="C4172" s="2">
        <v>2107.39</v>
      </c>
      <c r="D4172" s="2" t="s">
        <v>0</v>
      </c>
      <c r="E4172" s="2">
        <v>5070.03</v>
      </c>
      <c r="G4172" s="1" t="s">
        <v>8337</v>
      </c>
      <c r="H4172" s="2" t="s">
        <v>0</v>
      </c>
      <c r="I4172" s="2">
        <v>2114.8</v>
      </c>
    </row>
    <row r="4173">
      <c r="A4173" s="1" t="s">
        <v>8338</v>
      </c>
      <c r="B4173" s="2" t="s">
        <v>0</v>
      </c>
      <c r="C4173" s="2">
        <v>2107.39</v>
      </c>
      <c r="D4173" s="2" t="s">
        <v>0</v>
      </c>
      <c r="E4173" s="2">
        <v>5070.03</v>
      </c>
      <c r="G4173" s="1" t="s">
        <v>8339</v>
      </c>
      <c r="H4173" s="2" t="s">
        <v>0</v>
      </c>
      <c r="I4173" s="2">
        <v>2114.8</v>
      </c>
    </row>
    <row r="4174">
      <c r="A4174" s="1" t="s">
        <v>8340</v>
      </c>
      <c r="B4174" s="2">
        <v>2111.73</v>
      </c>
      <c r="C4174" s="2">
        <v>2111.73</v>
      </c>
      <c r="D4174" s="2">
        <v>5082.93</v>
      </c>
      <c r="E4174" s="2">
        <v>5082.93</v>
      </c>
      <c r="G4174" s="1" t="s">
        <v>8341</v>
      </c>
      <c r="H4174" s="2">
        <v>2102.37</v>
      </c>
      <c r="I4174" s="2">
        <v>2102.37</v>
      </c>
    </row>
    <row r="4175">
      <c r="A4175" s="1" t="s">
        <v>8342</v>
      </c>
      <c r="B4175" s="2">
        <v>2109.6</v>
      </c>
      <c r="C4175" s="2">
        <v>2109.6</v>
      </c>
      <c r="D4175" s="2">
        <v>5076.52</v>
      </c>
      <c r="E4175" s="2">
        <v>5076.52</v>
      </c>
      <c r="G4175" s="1" t="s">
        <v>8343</v>
      </c>
      <c r="H4175" s="2">
        <v>2078.64</v>
      </c>
      <c r="I4175" s="2">
        <v>2078.64</v>
      </c>
    </row>
    <row r="4176">
      <c r="A4176" s="1" t="s">
        <v>8344</v>
      </c>
      <c r="B4176" s="2">
        <v>2114.07</v>
      </c>
      <c r="C4176" s="2">
        <v>2114.07</v>
      </c>
      <c r="D4176" s="2">
        <v>5099.23</v>
      </c>
      <c r="E4176" s="2">
        <v>5099.23</v>
      </c>
      <c r="G4176" s="1" t="s">
        <v>8345</v>
      </c>
      <c r="H4176" s="2">
        <v>2063.16</v>
      </c>
      <c r="I4176" s="2">
        <v>2063.16</v>
      </c>
    </row>
    <row r="4177">
      <c r="A4177" s="1" t="s">
        <v>8346</v>
      </c>
      <c r="B4177" s="2">
        <v>2095.84</v>
      </c>
      <c r="C4177" s="2">
        <v>2095.84</v>
      </c>
      <c r="D4177" s="2">
        <v>5059.12</v>
      </c>
      <c r="E4177" s="2">
        <v>5059.12</v>
      </c>
      <c r="G4177" s="1" t="s">
        <v>8347</v>
      </c>
      <c r="H4177" s="2">
        <v>2072.86</v>
      </c>
      <c r="I4177" s="2">
        <v>2072.86</v>
      </c>
    </row>
    <row r="4178">
      <c r="A4178" s="1" t="s">
        <v>8348</v>
      </c>
      <c r="B4178" s="2">
        <v>2092.83</v>
      </c>
      <c r="C4178" s="2">
        <v>2092.83</v>
      </c>
      <c r="D4178" s="2">
        <v>5068.46</v>
      </c>
      <c r="E4178" s="2">
        <v>5068.46</v>
      </c>
      <c r="G4178" s="1" t="s">
        <v>8349</v>
      </c>
      <c r="H4178" s="2">
        <v>2068.1</v>
      </c>
      <c r="I4178" s="2">
        <v>2068.1</v>
      </c>
    </row>
    <row r="4179">
      <c r="A4179" s="1" t="s">
        <v>8350</v>
      </c>
      <c r="B4179" s="2" t="s">
        <v>0</v>
      </c>
      <c r="C4179" s="2">
        <v>2092.83</v>
      </c>
      <c r="D4179" s="2" t="s">
        <v>0</v>
      </c>
      <c r="E4179" s="2">
        <v>5068.46</v>
      </c>
      <c r="G4179" s="1" t="s">
        <v>8351</v>
      </c>
      <c r="H4179" s="2" t="s">
        <v>0</v>
      </c>
      <c r="I4179" s="2">
        <v>2068.1</v>
      </c>
    </row>
    <row r="4180">
      <c r="A4180" s="1" t="s">
        <v>8352</v>
      </c>
      <c r="B4180" s="2" t="s">
        <v>0</v>
      </c>
      <c r="C4180" s="2">
        <v>2092.83</v>
      </c>
      <c r="D4180" s="2" t="s">
        <v>0</v>
      </c>
      <c r="E4180" s="2">
        <v>5068.46</v>
      </c>
      <c r="G4180" s="1" t="s">
        <v>8353</v>
      </c>
      <c r="H4180" s="2" t="s">
        <v>0</v>
      </c>
      <c r="I4180" s="2">
        <v>2068.1</v>
      </c>
    </row>
    <row r="4181">
      <c r="A4181" s="1" t="s">
        <v>8354</v>
      </c>
      <c r="B4181" s="2">
        <v>2079.28</v>
      </c>
      <c r="C4181" s="2">
        <v>2079.28</v>
      </c>
      <c r="D4181" s="2">
        <v>5021.63</v>
      </c>
      <c r="E4181" s="2">
        <v>5021.63</v>
      </c>
      <c r="G4181" s="1" t="s">
        <v>8355</v>
      </c>
      <c r="H4181" s="2">
        <v>2065.19</v>
      </c>
      <c r="I4181" s="2">
        <v>2065.19</v>
      </c>
    </row>
    <row r="4182">
      <c r="A4182" s="1" t="s">
        <v>8356</v>
      </c>
      <c r="B4182" s="2">
        <v>2080.15</v>
      </c>
      <c r="C4182" s="2">
        <v>2080.15</v>
      </c>
      <c r="D4182" s="2">
        <v>5013.87</v>
      </c>
      <c r="E4182" s="2">
        <v>5013.87</v>
      </c>
      <c r="G4182" s="1" t="s">
        <v>8357</v>
      </c>
      <c r="H4182" s="2">
        <v>2064.03</v>
      </c>
      <c r="I4182" s="2">
        <v>2064.03</v>
      </c>
    </row>
    <row r="4183">
      <c r="A4183" s="1" t="s">
        <v>8358</v>
      </c>
      <c r="B4183" s="2">
        <v>2105.2</v>
      </c>
      <c r="C4183" s="2">
        <v>2105.2</v>
      </c>
      <c r="D4183" s="2">
        <v>5076.69</v>
      </c>
      <c r="E4183" s="2">
        <v>5076.69</v>
      </c>
      <c r="G4183" s="1" t="s">
        <v>8359</v>
      </c>
      <c r="H4183" s="2">
        <v>2051.32</v>
      </c>
      <c r="I4183" s="2">
        <v>2051.32</v>
      </c>
    </row>
    <row r="4184">
      <c r="A4184" s="1" t="s">
        <v>8360</v>
      </c>
      <c r="B4184" s="2">
        <v>2108.86</v>
      </c>
      <c r="C4184" s="2">
        <v>2108.86</v>
      </c>
      <c r="D4184" s="2">
        <v>5082.51</v>
      </c>
      <c r="E4184" s="2">
        <v>5082.51</v>
      </c>
      <c r="G4184" s="1" t="s">
        <v>8361</v>
      </c>
      <c r="H4184" s="2">
        <v>2056.61</v>
      </c>
      <c r="I4184" s="2">
        <v>2056.61</v>
      </c>
    </row>
    <row r="4185">
      <c r="A4185" s="1" t="s">
        <v>8362</v>
      </c>
      <c r="B4185" s="2">
        <v>2094.11</v>
      </c>
      <c r="C4185" s="2">
        <v>2094.11</v>
      </c>
      <c r="D4185" s="2">
        <v>5051.1</v>
      </c>
      <c r="E4185" s="2">
        <v>5051.1</v>
      </c>
      <c r="G4185" s="1" t="s">
        <v>8363</v>
      </c>
      <c r="H4185" s="2">
        <v>2052.17</v>
      </c>
      <c r="I4185" s="2">
        <v>2052.17</v>
      </c>
    </row>
    <row r="4186">
      <c r="A4186" s="1" t="s">
        <v>8364</v>
      </c>
      <c r="B4186" s="2" t="s">
        <v>0</v>
      </c>
      <c r="C4186" s="2">
        <v>2094.11</v>
      </c>
      <c r="D4186" s="2" t="s">
        <v>0</v>
      </c>
      <c r="E4186" s="2">
        <v>5051.1</v>
      </c>
      <c r="G4186" s="1" t="s">
        <v>8365</v>
      </c>
      <c r="H4186" s="2" t="s">
        <v>0</v>
      </c>
      <c r="I4186" s="2">
        <v>2052.17</v>
      </c>
    </row>
    <row r="4187">
      <c r="A4187" s="1" t="s">
        <v>8366</v>
      </c>
      <c r="B4187" s="2" t="s">
        <v>0</v>
      </c>
      <c r="C4187" s="2">
        <v>2094.11</v>
      </c>
      <c r="D4187" s="2" t="s">
        <v>0</v>
      </c>
      <c r="E4187" s="2">
        <v>5051.1</v>
      </c>
      <c r="G4187" s="1" t="s">
        <v>8367</v>
      </c>
      <c r="H4187" s="2" t="s">
        <v>0</v>
      </c>
      <c r="I4187" s="2">
        <v>2052.17</v>
      </c>
    </row>
    <row r="4188">
      <c r="A4188" s="1" t="s">
        <v>8368</v>
      </c>
      <c r="B4188" s="2">
        <v>2084.43</v>
      </c>
      <c r="C4188" s="2">
        <v>2084.43</v>
      </c>
      <c r="D4188" s="2">
        <v>5029.97</v>
      </c>
      <c r="E4188" s="2">
        <v>5029.97</v>
      </c>
      <c r="G4188" s="1" t="s">
        <v>8369</v>
      </c>
      <c r="H4188" s="2">
        <v>2042.32</v>
      </c>
      <c r="I4188" s="2">
        <v>2042.32</v>
      </c>
    </row>
    <row r="4189">
      <c r="A4189" s="1" t="s">
        <v>8370</v>
      </c>
      <c r="B4189" s="2">
        <v>2096.29</v>
      </c>
      <c r="C4189" s="2">
        <v>2096.29</v>
      </c>
      <c r="D4189" s="2">
        <v>5055.55</v>
      </c>
      <c r="E4189" s="2">
        <v>5055.55</v>
      </c>
      <c r="G4189" s="1" t="s">
        <v>8371</v>
      </c>
      <c r="H4189" s="2">
        <v>2028.72</v>
      </c>
      <c r="I4189" s="2">
        <v>2028.72</v>
      </c>
    </row>
    <row r="4190">
      <c r="A4190" s="1" t="s">
        <v>8372</v>
      </c>
      <c r="B4190" s="2">
        <v>2100.44</v>
      </c>
      <c r="C4190" s="2">
        <v>2100.44</v>
      </c>
      <c r="D4190" s="2">
        <v>5064.88</v>
      </c>
      <c r="E4190" s="2">
        <v>5064.88</v>
      </c>
      <c r="G4190" s="1" t="s">
        <v>8373</v>
      </c>
      <c r="H4190" s="2">
        <v>2034.86</v>
      </c>
      <c r="I4190" s="2">
        <v>2034.86</v>
      </c>
    </row>
    <row r="4191">
      <c r="A4191" s="1" t="s">
        <v>8374</v>
      </c>
      <c r="B4191" s="2">
        <v>2121.24</v>
      </c>
      <c r="C4191" s="2">
        <v>2121.24</v>
      </c>
      <c r="D4191" s="2">
        <v>5132.95</v>
      </c>
      <c r="E4191" s="2">
        <v>5132.95</v>
      </c>
      <c r="G4191" s="1" t="s">
        <v>8375</v>
      </c>
      <c r="H4191" s="2">
        <v>2041.88</v>
      </c>
      <c r="I4191" s="2">
        <v>2041.88</v>
      </c>
    </row>
    <row r="4192">
      <c r="A4192" s="1" t="s">
        <v>8376</v>
      </c>
      <c r="B4192" s="2">
        <v>2109.99</v>
      </c>
      <c r="C4192" s="2">
        <v>2109.99</v>
      </c>
      <c r="D4192" s="2">
        <v>5117.0</v>
      </c>
      <c r="E4192" s="2">
        <v>5117.0</v>
      </c>
      <c r="G4192" s="1" t="s">
        <v>8377</v>
      </c>
      <c r="H4192" s="2">
        <v>2046.96</v>
      </c>
      <c r="I4192" s="2">
        <v>2046.96</v>
      </c>
    </row>
    <row r="4193">
      <c r="A4193" s="1" t="s">
        <v>8378</v>
      </c>
      <c r="B4193" s="2" t="s">
        <v>0</v>
      </c>
      <c r="C4193" s="2">
        <v>2109.99</v>
      </c>
      <c r="D4193" s="2" t="s">
        <v>0</v>
      </c>
      <c r="E4193" s="2">
        <v>5117.0</v>
      </c>
      <c r="G4193" s="1" t="s">
        <v>8379</v>
      </c>
      <c r="H4193" s="2" t="s">
        <v>0</v>
      </c>
      <c r="I4193" s="2">
        <v>2046.96</v>
      </c>
    </row>
    <row r="4194">
      <c r="A4194" s="1" t="s">
        <v>8380</v>
      </c>
      <c r="B4194" s="2" t="s">
        <v>0</v>
      </c>
      <c r="C4194" s="2">
        <v>2109.99</v>
      </c>
      <c r="D4194" s="2" t="s">
        <v>0</v>
      </c>
      <c r="E4194" s="2">
        <v>5117.0</v>
      </c>
      <c r="G4194" s="1" t="s">
        <v>8381</v>
      </c>
      <c r="H4194" s="2" t="s">
        <v>0</v>
      </c>
      <c r="I4194" s="2">
        <v>2046.96</v>
      </c>
    </row>
    <row r="4195">
      <c r="A4195" s="1" t="s">
        <v>8382</v>
      </c>
      <c r="B4195" s="2">
        <v>2122.85</v>
      </c>
      <c r="C4195" s="2">
        <v>2122.85</v>
      </c>
      <c r="D4195" s="2">
        <v>5153.97</v>
      </c>
      <c r="E4195" s="2">
        <v>5153.97</v>
      </c>
      <c r="G4195" s="1" t="s">
        <v>8383</v>
      </c>
      <c r="H4195" s="2">
        <v>2055.16</v>
      </c>
      <c r="I4195" s="2">
        <v>2055.16</v>
      </c>
    </row>
    <row r="4196">
      <c r="A4196" s="1" t="s">
        <v>8384</v>
      </c>
      <c r="B4196" s="2">
        <v>2124.2</v>
      </c>
      <c r="C4196" s="2">
        <v>2124.2</v>
      </c>
      <c r="D4196" s="2">
        <v>5160.09</v>
      </c>
      <c r="E4196" s="2">
        <v>5160.09</v>
      </c>
      <c r="G4196" s="1" t="s">
        <v>8385</v>
      </c>
      <c r="H4196" s="2">
        <v>2081.2</v>
      </c>
      <c r="I4196" s="2">
        <v>2081.2</v>
      </c>
    </row>
    <row r="4197">
      <c r="A4197" s="1" t="s">
        <v>8386</v>
      </c>
      <c r="B4197" s="2">
        <v>2108.58</v>
      </c>
      <c r="C4197" s="2">
        <v>2108.58</v>
      </c>
      <c r="D4197" s="2">
        <v>5122.41</v>
      </c>
      <c r="E4197" s="2">
        <v>5122.41</v>
      </c>
      <c r="G4197" s="1" t="s">
        <v>8387</v>
      </c>
      <c r="H4197" s="2">
        <v>2085.53</v>
      </c>
      <c r="I4197" s="2">
        <v>2085.53</v>
      </c>
    </row>
    <row r="4198">
      <c r="A4198" s="1" t="s">
        <v>8388</v>
      </c>
      <c r="B4198" s="2">
        <v>2102.31</v>
      </c>
      <c r="C4198" s="2">
        <v>2102.31</v>
      </c>
      <c r="D4198" s="2">
        <v>5112.19</v>
      </c>
      <c r="E4198" s="2">
        <v>5112.19</v>
      </c>
      <c r="G4198" s="1" t="s">
        <v>8389</v>
      </c>
      <c r="H4198" s="2">
        <v>2085.06</v>
      </c>
      <c r="I4198" s="2">
        <v>2085.06</v>
      </c>
    </row>
    <row r="4199">
      <c r="A4199" s="1" t="s">
        <v>8390</v>
      </c>
      <c r="B4199" s="2">
        <v>2101.49</v>
      </c>
      <c r="C4199" s="2">
        <v>2101.49</v>
      </c>
      <c r="D4199" s="2">
        <v>5080.51</v>
      </c>
      <c r="E4199" s="2">
        <v>5080.51</v>
      </c>
      <c r="G4199" s="1" t="s">
        <v>8391</v>
      </c>
      <c r="H4199" s="2">
        <v>2090.26</v>
      </c>
      <c r="I4199" s="2">
        <v>2090.26</v>
      </c>
    </row>
    <row r="4200">
      <c r="A4200" s="1" t="s">
        <v>8392</v>
      </c>
      <c r="B4200" s="2" t="s">
        <v>0</v>
      </c>
      <c r="C4200" s="2">
        <v>2101.49</v>
      </c>
      <c r="D4200" s="2" t="s">
        <v>0</v>
      </c>
      <c r="E4200" s="2">
        <v>5080.51</v>
      </c>
      <c r="G4200" s="1" t="s">
        <v>8393</v>
      </c>
      <c r="H4200" s="2" t="s">
        <v>0</v>
      </c>
      <c r="I4200" s="2">
        <v>2090.26</v>
      </c>
    </row>
    <row r="4201">
      <c r="A4201" s="1" t="s">
        <v>8394</v>
      </c>
      <c r="B4201" s="2" t="s">
        <v>0</v>
      </c>
      <c r="C4201" s="2">
        <v>2101.49</v>
      </c>
      <c r="D4201" s="2" t="s">
        <v>0</v>
      </c>
      <c r="E4201" s="2">
        <v>5080.51</v>
      </c>
      <c r="G4201" s="1" t="s">
        <v>8395</v>
      </c>
      <c r="H4201" s="2" t="s">
        <v>0</v>
      </c>
      <c r="I4201" s="2">
        <v>2090.26</v>
      </c>
    </row>
    <row r="4202">
      <c r="A4202" s="1" t="s">
        <v>8396</v>
      </c>
      <c r="B4202" s="2">
        <v>2057.64</v>
      </c>
      <c r="C4202" s="2">
        <v>2057.64</v>
      </c>
      <c r="D4202" s="2">
        <v>4958.47</v>
      </c>
      <c r="E4202" s="2">
        <v>4958.47</v>
      </c>
      <c r="G4202" s="1" t="s">
        <v>8397</v>
      </c>
      <c r="H4202" s="2">
        <v>2060.49</v>
      </c>
      <c r="I4202" s="2">
        <v>2060.49</v>
      </c>
    </row>
    <row r="4203">
      <c r="A4203" s="1" t="s">
        <v>8398</v>
      </c>
      <c r="B4203" s="2">
        <v>2063.11</v>
      </c>
      <c r="C4203" s="2">
        <v>2063.11</v>
      </c>
      <c r="D4203" s="2">
        <v>4986.87</v>
      </c>
      <c r="E4203" s="2">
        <v>4986.87</v>
      </c>
      <c r="G4203" s="1" t="s">
        <v>8399</v>
      </c>
      <c r="H4203" s="2">
        <v>2074.2</v>
      </c>
      <c r="I4203" s="2">
        <v>2074.2</v>
      </c>
    </row>
    <row r="4204">
      <c r="A4204" s="1" t="s">
        <v>8400</v>
      </c>
      <c r="B4204" s="2">
        <v>2077.42</v>
      </c>
      <c r="C4204" s="2">
        <v>2077.42</v>
      </c>
      <c r="D4204" s="2">
        <v>5013.12</v>
      </c>
      <c r="E4204" s="2">
        <v>5013.12</v>
      </c>
      <c r="G4204" s="1" t="s">
        <v>8401</v>
      </c>
      <c r="H4204" s="2">
        <v>2097.89</v>
      </c>
      <c r="I4204" s="2">
        <v>2097.89</v>
      </c>
    </row>
    <row r="4205">
      <c r="A4205" s="1" t="s">
        <v>8402</v>
      </c>
      <c r="B4205" s="2">
        <v>2076.78</v>
      </c>
      <c r="C4205" s="2">
        <v>2076.78</v>
      </c>
      <c r="D4205" s="2">
        <v>5009.21</v>
      </c>
      <c r="E4205" s="2">
        <v>5009.21</v>
      </c>
      <c r="G4205" s="1" t="s">
        <v>8403</v>
      </c>
      <c r="H4205" s="2">
        <v>2107.33</v>
      </c>
      <c r="I4205" s="2">
        <v>2107.33</v>
      </c>
    </row>
    <row r="4206">
      <c r="A4206" s="1" t="s">
        <v>8404</v>
      </c>
      <c r="B4206" s="2" t="s">
        <v>0</v>
      </c>
      <c r="C4206" s="2">
        <v>2076.78</v>
      </c>
      <c r="D4206" s="2" t="s">
        <v>0</v>
      </c>
      <c r="E4206" s="2">
        <v>5009.21</v>
      </c>
      <c r="G4206" s="1" t="s">
        <v>8405</v>
      </c>
      <c r="H4206" s="2">
        <v>2104.41</v>
      </c>
      <c r="I4206" s="2">
        <v>2104.41</v>
      </c>
    </row>
    <row r="4207">
      <c r="A4207" s="1" t="s">
        <v>8406</v>
      </c>
      <c r="B4207" s="2" t="s">
        <v>0</v>
      </c>
      <c r="C4207" s="2">
        <v>2076.78</v>
      </c>
      <c r="D4207" s="2" t="s">
        <v>0</v>
      </c>
      <c r="E4207" s="2">
        <v>5009.21</v>
      </c>
      <c r="G4207" s="1" t="s">
        <v>8407</v>
      </c>
      <c r="H4207" s="2" t="s">
        <v>0</v>
      </c>
      <c r="I4207" s="2">
        <v>2104.41</v>
      </c>
    </row>
    <row r="4208">
      <c r="A4208" s="1" t="s">
        <v>8408</v>
      </c>
      <c r="B4208" s="2" t="s">
        <v>0</v>
      </c>
      <c r="C4208" s="2">
        <v>2076.78</v>
      </c>
      <c r="D4208" s="2" t="s">
        <v>0</v>
      </c>
      <c r="E4208" s="2">
        <v>5009.21</v>
      </c>
      <c r="G4208" s="1" t="s">
        <v>8409</v>
      </c>
      <c r="H4208" s="2" t="s">
        <v>0</v>
      </c>
      <c r="I4208" s="2">
        <v>2104.41</v>
      </c>
    </row>
    <row r="4209">
      <c r="A4209" s="1" t="s">
        <v>8410</v>
      </c>
      <c r="B4209" s="2">
        <v>2068.76</v>
      </c>
      <c r="C4209" s="2">
        <v>2068.76</v>
      </c>
      <c r="D4209" s="2">
        <v>4991.94</v>
      </c>
      <c r="E4209" s="2">
        <v>4991.94</v>
      </c>
      <c r="G4209" s="1" t="s">
        <v>8411</v>
      </c>
      <c r="H4209" s="2">
        <v>2053.93</v>
      </c>
      <c r="I4209" s="2">
        <v>2053.93</v>
      </c>
    </row>
    <row r="4210">
      <c r="A4210" s="1" t="s">
        <v>8412</v>
      </c>
      <c r="B4210" s="2">
        <v>2081.34</v>
      </c>
      <c r="C4210" s="2">
        <v>2081.34</v>
      </c>
      <c r="D4210" s="2">
        <v>4997.46</v>
      </c>
      <c r="E4210" s="2">
        <v>4997.46</v>
      </c>
      <c r="G4210" s="1" t="s">
        <v>8413</v>
      </c>
      <c r="H4210" s="2">
        <v>2040.29</v>
      </c>
      <c r="I4210" s="2">
        <v>2040.29</v>
      </c>
    </row>
    <row r="4211">
      <c r="A4211" s="1" t="s">
        <v>8414</v>
      </c>
      <c r="B4211" s="2">
        <v>2046.68</v>
      </c>
      <c r="C4211" s="2">
        <v>2046.68</v>
      </c>
      <c r="D4211" s="2">
        <v>4909.76</v>
      </c>
      <c r="E4211" s="2">
        <v>4909.76</v>
      </c>
      <c r="G4211" s="1" t="s">
        <v>8415</v>
      </c>
      <c r="H4211" s="2">
        <v>2016.21</v>
      </c>
      <c r="I4211" s="2">
        <v>2016.21</v>
      </c>
    </row>
    <row r="4212">
      <c r="A4212" s="1" t="s">
        <v>8416</v>
      </c>
      <c r="B4212" s="2">
        <v>2051.31</v>
      </c>
      <c r="C4212" s="2">
        <v>2051.31</v>
      </c>
      <c r="D4212" s="2">
        <v>4922.4</v>
      </c>
      <c r="E4212" s="2">
        <v>4922.4</v>
      </c>
      <c r="G4212" s="1" t="s">
        <v>8417</v>
      </c>
      <c r="H4212" s="2">
        <v>2027.81</v>
      </c>
      <c r="I4212" s="2">
        <v>2027.81</v>
      </c>
    </row>
    <row r="4213">
      <c r="A4213" s="1" t="s">
        <v>8418</v>
      </c>
      <c r="B4213" s="2">
        <v>2076.62</v>
      </c>
      <c r="C4213" s="2">
        <v>2076.62</v>
      </c>
      <c r="D4213" s="2">
        <v>4997.7</v>
      </c>
      <c r="E4213" s="2">
        <v>4997.7</v>
      </c>
      <c r="G4213" s="1" t="s">
        <v>8419</v>
      </c>
      <c r="H4213" s="2">
        <v>2031.17</v>
      </c>
      <c r="I4213" s="2">
        <v>2031.17</v>
      </c>
    </row>
    <row r="4214">
      <c r="A4214" s="1" t="s">
        <v>8420</v>
      </c>
      <c r="B4214" s="2" t="s">
        <v>0</v>
      </c>
      <c r="C4214" s="2">
        <v>2076.62</v>
      </c>
      <c r="D4214" s="2" t="s">
        <v>0</v>
      </c>
      <c r="E4214" s="2">
        <v>4997.7</v>
      </c>
      <c r="G4214" s="1" t="s">
        <v>8421</v>
      </c>
      <c r="H4214" s="2" t="s">
        <v>0</v>
      </c>
      <c r="I4214" s="2">
        <v>2031.17</v>
      </c>
    </row>
    <row r="4215">
      <c r="A4215" s="1" t="s">
        <v>8422</v>
      </c>
      <c r="B4215" s="2" t="s">
        <v>0</v>
      </c>
      <c r="C4215" s="2">
        <v>2076.62</v>
      </c>
      <c r="D4215" s="2" t="s">
        <v>0</v>
      </c>
      <c r="E4215" s="2">
        <v>4997.7</v>
      </c>
      <c r="G4215" s="1" t="s">
        <v>8423</v>
      </c>
      <c r="H4215" s="2" t="s">
        <v>0</v>
      </c>
      <c r="I4215" s="2">
        <v>2031.17</v>
      </c>
    </row>
    <row r="4216">
      <c r="A4216" s="1" t="s">
        <v>8424</v>
      </c>
      <c r="B4216" s="2">
        <v>2099.6</v>
      </c>
      <c r="C4216" s="2">
        <v>2099.6</v>
      </c>
      <c r="D4216" s="2">
        <v>5071.51</v>
      </c>
      <c r="E4216" s="2">
        <v>5071.51</v>
      </c>
      <c r="G4216" s="1" t="s">
        <v>8425</v>
      </c>
      <c r="H4216" s="2">
        <v>2061.52</v>
      </c>
      <c r="I4216" s="2">
        <v>2061.52</v>
      </c>
    </row>
    <row r="4217">
      <c r="A4217" s="1" t="s">
        <v>8426</v>
      </c>
      <c r="B4217" s="2">
        <v>2108.95</v>
      </c>
      <c r="C4217" s="2">
        <v>2108.95</v>
      </c>
      <c r="D4217" s="2">
        <v>5104.89</v>
      </c>
      <c r="E4217" s="2">
        <v>5104.89</v>
      </c>
      <c r="G4217" s="1" t="s">
        <v>8427</v>
      </c>
      <c r="H4217" s="2">
        <v>2059.23</v>
      </c>
      <c r="I4217" s="2">
        <v>2059.23</v>
      </c>
    </row>
    <row r="4218">
      <c r="A4218" s="1" t="s">
        <v>8428</v>
      </c>
      <c r="B4218" s="2">
        <v>2107.4</v>
      </c>
      <c r="C4218" s="2">
        <v>2107.4</v>
      </c>
      <c r="D4218" s="2">
        <v>5098.94</v>
      </c>
      <c r="E4218" s="2">
        <v>5098.94</v>
      </c>
      <c r="G4218" s="1" t="s">
        <v>8429</v>
      </c>
      <c r="H4218" s="2">
        <v>2072.91</v>
      </c>
      <c r="I4218" s="2">
        <v>2072.91</v>
      </c>
    </row>
    <row r="4219">
      <c r="A4219" s="1" t="s">
        <v>8430</v>
      </c>
      <c r="B4219" s="2">
        <v>2124.29</v>
      </c>
      <c r="C4219" s="2">
        <v>2124.29</v>
      </c>
      <c r="D4219" s="2">
        <v>5163.18</v>
      </c>
      <c r="E4219" s="2">
        <v>5163.18</v>
      </c>
      <c r="G4219" s="1" t="s">
        <v>8431</v>
      </c>
      <c r="H4219" s="2">
        <v>2087.89</v>
      </c>
      <c r="I4219" s="2">
        <v>2087.89</v>
      </c>
    </row>
    <row r="4220">
      <c r="A4220" s="1" t="s">
        <v>8432</v>
      </c>
      <c r="B4220" s="2">
        <v>2126.64</v>
      </c>
      <c r="C4220" s="2">
        <v>2126.64</v>
      </c>
      <c r="D4220" s="2">
        <v>5210.14</v>
      </c>
      <c r="E4220" s="2">
        <v>5210.14</v>
      </c>
      <c r="G4220" s="1" t="s">
        <v>8433</v>
      </c>
      <c r="H4220" s="2">
        <v>2076.79</v>
      </c>
      <c r="I4220" s="2">
        <v>2076.79</v>
      </c>
    </row>
    <row r="4221">
      <c r="A4221" s="1" t="s">
        <v>8434</v>
      </c>
      <c r="B4221" s="2" t="s">
        <v>0</v>
      </c>
      <c r="C4221" s="2">
        <v>2126.64</v>
      </c>
      <c r="D4221" s="2" t="s">
        <v>0</v>
      </c>
      <c r="E4221" s="2">
        <v>5210.14</v>
      </c>
      <c r="G4221" s="1" t="s">
        <v>8435</v>
      </c>
      <c r="H4221" s="2" t="s">
        <v>0</v>
      </c>
      <c r="I4221" s="2">
        <v>2076.79</v>
      </c>
    </row>
    <row r="4222">
      <c r="A4222" s="1" t="s">
        <v>8436</v>
      </c>
      <c r="B4222" s="2" t="s">
        <v>0</v>
      </c>
      <c r="C4222" s="2">
        <v>2126.64</v>
      </c>
      <c r="D4222" s="2" t="s">
        <v>0</v>
      </c>
      <c r="E4222" s="2">
        <v>5210.14</v>
      </c>
      <c r="G4222" s="1" t="s">
        <v>8437</v>
      </c>
      <c r="H4222" s="2" t="s">
        <v>0</v>
      </c>
      <c r="I4222" s="2">
        <v>2076.79</v>
      </c>
    </row>
    <row r="4223">
      <c r="A4223" s="1" t="s">
        <v>8438</v>
      </c>
      <c r="B4223" s="2">
        <v>2128.28</v>
      </c>
      <c r="C4223" s="2">
        <v>2128.28</v>
      </c>
      <c r="D4223" s="2">
        <v>5218.86</v>
      </c>
      <c r="E4223" s="2">
        <v>5218.86</v>
      </c>
      <c r="G4223" s="1" t="s">
        <v>8439</v>
      </c>
      <c r="H4223" s="2">
        <v>2073.31</v>
      </c>
      <c r="I4223" s="2">
        <v>2073.31</v>
      </c>
    </row>
    <row r="4224">
      <c r="A4224" s="1" t="s">
        <v>8440</v>
      </c>
      <c r="B4224" s="2">
        <v>2119.21</v>
      </c>
      <c r="C4224" s="2">
        <v>2119.21</v>
      </c>
      <c r="D4224" s="2">
        <v>5208.12</v>
      </c>
      <c r="E4224" s="2">
        <v>5208.12</v>
      </c>
      <c r="G4224" s="1" t="s">
        <v>8441</v>
      </c>
      <c r="H4224" s="2">
        <v>2083.62</v>
      </c>
      <c r="I4224" s="2">
        <v>2083.62</v>
      </c>
    </row>
    <row r="4225">
      <c r="A4225" s="1" t="s">
        <v>8442</v>
      </c>
      <c r="B4225" s="2">
        <v>2114.15</v>
      </c>
      <c r="C4225" s="2">
        <v>2114.15</v>
      </c>
      <c r="D4225" s="2">
        <v>5171.77</v>
      </c>
      <c r="E4225" s="2">
        <v>5171.77</v>
      </c>
      <c r="G4225" s="1" t="s">
        <v>8443</v>
      </c>
      <c r="H4225" s="2">
        <v>2064.73</v>
      </c>
      <c r="I4225" s="2">
        <v>2064.73</v>
      </c>
    </row>
    <row r="4226">
      <c r="A4226" s="1" t="s">
        <v>8444</v>
      </c>
      <c r="B4226" s="2">
        <v>2102.15</v>
      </c>
      <c r="C4226" s="2">
        <v>2102.15</v>
      </c>
      <c r="D4226" s="2">
        <v>5146.41</v>
      </c>
      <c r="E4226" s="2">
        <v>5146.41</v>
      </c>
      <c r="G4226" s="1" t="s">
        <v>8445</v>
      </c>
      <c r="H4226" s="2">
        <v>2065.07</v>
      </c>
      <c r="I4226" s="2">
        <v>2065.07</v>
      </c>
    </row>
    <row r="4227">
      <c r="A4227" s="1" t="s">
        <v>8446</v>
      </c>
      <c r="B4227" s="2">
        <v>2079.65</v>
      </c>
      <c r="C4227" s="2">
        <v>2079.65</v>
      </c>
      <c r="D4227" s="2">
        <v>5088.63</v>
      </c>
      <c r="E4227" s="2">
        <v>5088.63</v>
      </c>
      <c r="G4227" s="1" t="s">
        <v>8447</v>
      </c>
      <c r="H4227" s="2">
        <v>2045.96</v>
      </c>
      <c r="I4227" s="2">
        <v>2045.96</v>
      </c>
    </row>
    <row r="4228">
      <c r="A4228" s="1" t="s">
        <v>8448</v>
      </c>
      <c r="B4228" s="2" t="s">
        <v>0</v>
      </c>
      <c r="C4228" s="2">
        <v>2079.65</v>
      </c>
      <c r="D4228" s="2" t="s">
        <v>0</v>
      </c>
      <c r="E4228" s="2">
        <v>5088.63</v>
      </c>
      <c r="G4228" s="1" t="s">
        <v>8449</v>
      </c>
      <c r="H4228" s="2" t="s">
        <v>0</v>
      </c>
      <c r="I4228" s="2">
        <v>2045.96</v>
      </c>
    </row>
    <row r="4229">
      <c r="A4229" s="1" t="s">
        <v>8450</v>
      </c>
      <c r="B4229" s="2" t="s">
        <v>0</v>
      </c>
      <c r="C4229" s="2">
        <v>2079.65</v>
      </c>
      <c r="D4229" s="2" t="s">
        <v>0</v>
      </c>
      <c r="E4229" s="2">
        <v>5088.63</v>
      </c>
      <c r="G4229" s="1" t="s">
        <v>8451</v>
      </c>
      <c r="H4229" s="2" t="s">
        <v>0</v>
      </c>
      <c r="I4229" s="2">
        <v>2045.96</v>
      </c>
    </row>
    <row r="4230">
      <c r="A4230" s="1" t="s">
        <v>8452</v>
      </c>
      <c r="B4230" s="2">
        <v>2067.64</v>
      </c>
      <c r="C4230" s="2">
        <v>2067.64</v>
      </c>
      <c r="D4230" s="2">
        <v>5039.78</v>
      </c>
      <c r="E4230" s="2">
        <v>5039.78</v>
      </c>
      <c r="G4230" s="1" t="s">
        <v>8453</v>
      </c>
      <c r="H4230" s="2">
        <v>2038.81</v>
      </c>
      <c r="I4230" s="2">
        <v>2038.81</v>
      </c>
    </row>
    <row r="4231">
      <c r="A4231" s="1" t="s">
        <v>8454</v>
      </c>
      <c r="B4231" s="2">
        <v>2093.25</v>
      </c>
      <c r="C4231" s="2">
        <v>2093.25</v>
      </c>
      <c r="D4231" s="2">
        <v>5089.21</v>
      </c>
      <c r="E4231" s="2">
        <v>5089.21</v>
      </c>
      <c r="G4231" s="1" t="s">
        <v>8455</v>
      </c>
      <c r="H4231" s="2">
        <v>2039.1</v>
      </c>
      <c r="I4231" s="2">
        <v>2039.1</v>
      </c>
    </row>
    <row r="4232">
      <c r="A4232" s="1" t="s">
        <v>8456</v>
      </c>
      <c r="B4232" s="2">
        <v>2108.57</v>
      </c>
      <c r="C4232" s="2">
        <v>2108.57</v>
      </c>
      <c r="D4232" s="2">
        <v>5111.73</v>
      </c>
      <c r="E4232" s="2">
        <v>5111.73</v>
      </c>
      <c r="G4232" s="1" t="s">
        <v>8457</v>
      </c>
      <c r="H4232" s="2">
        <v>2037.62</v>
      </c>
      <c r="I4232" s="2">
        <v>2037.62</v>
      </c>
    </row>
    <row r="4233">
      <c r="A4233" s="1" t="s">
        <v>8458</v>
      </c>
      <c r="B4233" s="2">
        <v>2108.63</v>
      </c>
      <c r="C4233" s="2">
        <v>2108.63</v>
      </c>
      <c r="D4233" s="2">
        <v>5128.78</v>
      </c>
      <c r="E4233" s="2">
        <v>5128.78</v>
      </c>
      <c r="G4233" s="1" t="s">
        <v>8459</v>
      </c>
      <c r="H4233" s="2">
        <v>2019.03</v>
      </c>
      <c r="I4233" s="2">
        <v>2019.03</v>
      </c>
    </row>
    <row r="4234">
      <c r="A4234" s="1" t="s">
        <v>8460</v>
      </c>
      <c r="B4234" s="2">
        <v>2103.84</v>
      </c>
      <c r="C4234" s="2">
        <v>2103.84</v>
      </c>
      <c r="D4234" s="2">
        <v>5128.28</v>
      </c>
      <c r="E4234" s="2">
        <v>5128.28</v>
      </c>
      <c r="G4234" s="1" t="s">
        <v>8461</v>
      </c>
      <c r="H4234" s="2">
        <v>2030.16</v>
      </c>
      <c r="I4234" s="2">
        <v>2030.16</v>
      </c>
    </row>
    <row r="4235">
      <c r="A4235" s="1" t="s">
        <v>8462</v>
      </c>
      <c r="B4235" s="2" t="s">
        <v>0</v>
      </c>
      <c r="C4235" s="2">
        <v>2103.84</v>
      </c>
      <c r="D4235" s="2" t="s">
        <v>0</v>
      </c>
      <c r="E4235" s="2">
        <v>5128.28</v>
      </c>
      <c r="G4235" s="1" t="s">
        <v>8463</v>
      </c>
      <c r="H4235" s="2" t="s">
        <v>0</v>
      </c>
      <c r="I4235" s="2">
        <v>2030.16</v>
      </c>
    </row>
    <row r="4236">
      <c r="A4236" s="1" t="s">
        <v>8464</v>
      </c>
      <c r="B4236" s="2" t="s">
        <v>0</v>
      </c>
      <c r="C4236" s="2">
        <v>2103.84</v>
      </c>
      <c r="D4236" s="2" t="s">
        <v>0</v>
      </c>
      <c r="E4236" s="2">
        <v>5128.28</v>
      </c>
      <c r="G4236" s="1" t="s">
        <v>8465</v>
      </c>
      <c r="H4236" s="2" t="s">
        <v>0</v>
      </c>
      <c r="I4236" s="2">
        <v>2030.16</v>
      </c>
    </row>
    <row r="4237">
      <c r="A4237" s="1" t="s">
        <v>8466</v>
      </c>
      <c r="B4237" s="2">
        <v>2098.04</v>
      </c>
      <c r="C4237" s="2">
        <v>2098.04</v>
      </c>
      <c r="D4237" s="2">
        <v>5115.38</v>
      </c>
      <c r="E4237" s="2">
        <v>5115.38</v>
      </c>
      <c r="G4237" s="1" t="s">
        <v>8467</v>
      </c>
      <c r="H4237" s="2">
        <v>2008.49</v>
      </c>
      <c r="I4237" s="2">
        <v>2008.49</v>
      </c>
    </row>
    <row r="4238">
      <c r="A4238" s="1" t="s">
        <v>8468</v>
      </c>
      <c r="B4238" s="2">
        <v>2093.32</v>
      </c>
      <c r="C4238" s="2">
        <v>2093.32</v>
      </c>
      <c r="D4238" s="2">
        <v>5105.55</v>
      </c>
      <c r="E4238" s="2">
        <v>5105.55</v>
      </c>
      <c r="G4238" s="1" t="s">
        <v>8469</v>
      </c>
      <c r="H4238" s="2">
        <v>2027.99</v>
      </c>
      <c r="I4238" s="2">
        <v>2027.99</v>
      </c>
    </row>
    <row r="4239">
      <c r="A4239" s="1" t="s">
        <v>8470</v>
      </c>
      <c r="B4239" s="2">
        <v>2099.84</v>
      </c>
      <c r="C4239" s="2">
        <v>2099.84</v>
      </c>
      <c r="D4239" s="2">
        <v>5139.94</v>
      </c>
      <c r="E4239" s="2">
        <v>5139.94</v>
      </c>
      <c r="G4239" s="1" t="s">
        <v>8471</v>
      </c>
      <c r="H4239" s="2">
        <v>2029.76</v>
      </c>
      <c r="I4239" s="2">
        <v>2029.76</v>
      </c>
    </row>
    <row r="4240">
      <c r="A4240" s="1" t="s">
        <v>8472</v>
      </c>
      <c r="B4240" s="2">
        <v>2083.56</v>
      </c>
      <c r="C4240" s="2">
        <v>2083.56</v>
      </c>
      <c r="D4240" s="2">
        <v>5056.44</v>
      </c>
      <c r="E4240" s="2">
        <v>5056.44</v>
      </c>
      <c r="G4240" s="1" t="s">
        <v>8473</v>
      </c>
      <c r="H4240" s="2">
        <v>2013.29</v>
      </c>
      <c r="I4240" s="2">
        <v>2013.29</v>
      </c>
    </row>
    <row r="4241">
      <c r="A4241" s="1" t="s">
        <v>8474</v>
      </c>
      <c r="B4241" s="2">
        <v>2077.57</v>
      </c>
      <c r="C4241" s="2">
        <v>2077.57</v>
      </c>
      <c r="D4241" s="2">
        <v>5043.54</v>
      </c>
      <c r="E4241" s="2">
        <v>5043.54</v>
      </c>
      <c r="G4241" s="1" t="s">
        <v>8475</v>
      </c>
      <c r="H4241" s="2">
        <v>2010.23</v>
      </c>
      <c r="I4241" s="2">
        <v>2010.23</v>
      </c>
    </row>
    <row r="4242">
      <c r="A4242" s="1" t="s">
        <v>8476</v>
      </c>
      <c r="B4242" s="2" t="s">
        <v>0</v>
      </c>
      <c r="C4242" s="2">
        <v>2077.57</v>
      </c>
      <c r="D4242" s="2" t="s">
        <v>0</v>
      </c>
      <c r="E4242" s="2">
        <v>5043.54</v>
      </c>
      <c r="G4242" s="1" t="s">
        <v>8477</v>
      </c>
      <c r="H4242" s="2" t="s">
        <v>0</v>
      </c>
      <c r="I4242" s="2">
        <v>2010.23</v>
      </c>
    </row>
    <row r="4243">
      <c r="A4243" s="1" t="s">
        <v>8478</v>
      </c>
      <c r="B4243" s="2" t="s">
        <v>0</v>
      </c>
      <c r="C4243" s="2">
        <v>2077.57</v>
      </c>
      <c r="D4243" s="2" t="s">
        <v>0</v>
      </c>
      <c r="E4243" s="2">
        <v>5043.54</v>
      </c>
      <c r="G4243" s="1" t="s">
        <v>8479</v>
      </c>
      <c r="H4243" s="2" t="s">
        <v>0</v>
      </c>
      <c r="I4243" s="2">
        <v>2010.23</v>
      </c>
    </row>
    <row r="4244">
      <c r="A4244" s="1" t="s">
        <v>8480</v>
      </c>
      <c r="B4244" s="2">
        <v>2104.18</v>
      </c>
      <c r="C4244" s="2">
        <v>2104.18</v>
      </c>
      <c r="D4244" s="2">
        <v>5101.8</v>
      </c>
      <c r="E4244" s="2">
        <v>5101.8</v>
      </c>
      <c r="G4244" s="1" t="s">
        <v>8481</v>
      </c>
      <c r="H4244" s="2">
        <v>2003.17</v>
      </c>
      <c r="I4244" s="2">
        <v>2003.17</v>
      </c>
    </row>
    <row r="4245">
      <c r="A4245" s="1" t="s">
        <v>8482</v>
      </c>
      <c r="B4245" s="2">
        <v>2084.07</v>
      </c>
      <c r="C4245" s="2">
        <v>2084.07</v>
      </c>
      <c r="D4245" s="2">
        <v>5036.79</v>
      </c>
      <c r="E4245" s="2">
        <v>5036.79</v>
      </c>
      <c r="G4245" s="1" t="s">
        <v>8483</v>
      </c>
      <c r="H4245" s="2">
        <v>1986.65</v>
      </c>
      <c r="I4245" s="2">
        <v>1986.65</v>
      </c>
    </row>
    <row r="4246">
      <c r="A4246" s="1" t="s">
        <v>8484</v>
      </c>
      <c r="B4246" s="2">
        <v>2086.05</v>
      </c>
      <c r="C4246" s="2">
        <v>2086.05</v>
      </c>
      <c r="D4246" s="2">
        <v>5044.39</v>
      </c>
      <c r="E4246" s="2">
        <v>5044.39</v>
      </c>
      <c r="G4246" s="1" t="s">
        <v>8485</v>
      </c>
      <c r="H4246" s="2">
        <v>1975.47</v>
      </c>
      <c r="I4246" s="2">
        <v>1975.47</v>
      </c>
    </row>
    <row r="4247">
      <c r="A4247" s="1" t="s">
        <v>8486</v>
      </c>
      <c r="B4247" s="2">
        <v>2083.39</v>
      </c>
      <c r="C4247" s="2">
        <v>2083.39</v>
      </c>
      <c r="D4247" s="2">
        <v>5033.56</v>
      </c>
      <c r="E4247" s="2">
        <v>5033.56</v>
      </c>
      <c r="G4247" s="1" t="s">
        <v>8487</v>
      </c>
      <c r="H4247" s="2">
        <v>1983.46</v>
      </c>
      <c r="I4247" s="2">
        <v>1983.46</v>
      </c>
    </row>
    <row r="4248">
      <c r="A4248" s="1" t="s">
        <v>8488</v>
      </c>
      <c r="B4248" s="2">
        <v>2091.54</v>
      </c>
      <c r="C4248" s="2">
        <v>2091.54</v>
      </c>
      <c r="D4248" s="2">
        <v>5048.24</v>
      </c>
      <c r="E4248" s="2">
        <v>5048.24</v>
      </c>
      <c r="G4248" s="1" t="s">
        <v>8489</v>
      </c>
      <c r="H4248" s="2" t="s">
        <v>0</v>
      </c>
      <c r="I4248" s="2">
        <v>1983.46</v>
      </c>
    </row>
    <row r="4249">
      <c r="A4249" s="1" t="s">
        <v>8490</v>
      </c>
      <c r="B4249" s="2" t="s">
        <v>0</v>
      </c>
      <c r="C4249" s="2">
        <v>2091.54</v>
      </c>
      <c r="D4249" s="2" t="s">
        <v>0</v>
      </c>
      <c r="E4249" s="2">
        <v>5048.24</v>
      </c>
      <c r="G4249" s="1" t="s">
        <v>8491</v>
      </c>
      <c r="H4249" s="2" t="s">
        <v>0</v>
      </c>
      <c r="I4249" s="2">
        <v>1983.46</v>
      </c>
    </row>
    <row r="4250">
      <c r="A4250" s="1" t="s">
        <v>8492</v>
      </c>
      <c r="B4250" s="2" t="s">
        <v>0</v>
      </c>
      <c r="C4250" s="2">
        <v>2091.54</v>
      </c>
      <c r="D4250" s="2" t="s">
        <v>0</v>
      </c>
      <c r="E4250" s="2">
        <v>5048.24</v>
      </c>
      <c r="G4250" s="1" t="s">
        <v>8493</v>
      </c>
      <c r="H4250" s="2" t="s">
        <v>0</v>
      </c>
      <c r="I4250" s="2">
        <v>1983.46</v>
      </c>
    </row>
    <row r="4251">
      <c r="A4251" s="1" t="s">
        <v>8494</v>
      </c>
      <c r="B4251" s="2">
        <v>2102.44</v>
      </c>
      <c r="C4251" s="2">
        <v>2102.44</v>
      </c>
      <c r="D4251" s="2">
        <v>5091.7</v>
      </c>
      <c r="E4251" s="2">
        <v>5091.7</v>
      </c>
      <c r="G4251" s="1" t="s">
        <v>8495</v>
      </c>
      <c r="H4251" s="2">
        <v>1968.52</v>
      </c>
      <c r="I4251" s="2">
        <v>1968.52</v>
      </c>
    </row>
    <row r="4252">
      <c r="A4252" s="1" t="s">
        <v>8496</v>
      </c>
      <c r="B4252" s="2">
        <v>2096.92</v>
      </c>
      <c r="C4252" s="2">
        <v>2096.92</v>
      </c>
      <c r="D4252" s="2">
        <v>5059.35</v>
      </c>
      <c r="E4252" s="2">
        <v>5059.35</v>
      </c>
      <c r="G4252" s="1" t="s">
        <v>8497</v>
      </c>
      <c r="H4252" s="2">
        <v>1956.26</v>
      </c>
      <c r="I4252" s="2">
        <v>1956.26</v>
      </c>
    </row>
    <row r="4253">
      <c r="A4253" s="1" t="s">
        <v>8498</v>
      </c>
      <c r="B4253" s="2">
        <v>2079.61</v>
      </c>
      <c r="C4253" s="2">
        <v>2079.61</v>
      </c>
      <c r="D4253" s="2">
        <v>5019.05</v>
      </c>
      <c r="E4253" s="2">
        <v>5019.05</v>
      </c>
      <c r="G4253" s="1" t="s">
        <v>8499</v>
      </c>
      <c r="H4253" s="2">
        <v>1939.38</v>
      </c>
      <c r="I4253" s="2">
        <v>1939.38</v>
      </c>
    </row>
    <row r="4254">
      <c r="A4254" s="1" t="s">
        <v>8500</v>
      </c>
      <c r="B4254" s="2">
        <v>2035.73</v>
      </c>
      <c r="C4254" s="2">
        <v>2035.73</v>
      </c>
      <c r="D4254" s="2">
        <v>4877.49</v>
      </c>
      <c r="E4254" s="2">
        <v>4877.49</v>
      </c>
      <c r="G4254" s="1" t="s">
        <v>8501</v>
      </c>
      <c r="H4254" s="2">
        <v>1914.55</v>
      </c>
      <c r="I4254" s="2">
        <v>1914.55</v>
      </c>
    </row>
    <row r="4255">
      <c r="A4255" s="1" t="s">
        <v>8502</v>
      </c>
      <c r="B4255" s="2">
        <v>1970.89</v>
      </c>
      <c r="C4255" s="2">
        <v>1970.89</v>
      </c>
      <c r="D4255" s="2">
        <v>4706.04</v>
      </c>
      <c r="E4255" s="2">
        <v>4706.04</v>
      </c>
      <c r="G4255" s="1" t="s">
        <v>8503</v>
      </c>
      <c r="H4255" s="2">
        <v>1876.07</v>
      </c>
      <c r="I4255" s="2">
        <v>1876.07</v>
      </c>
    </row>
    <row r="4256">
      <c r="A4256" s="1" t="s">
        <v>8504</v>
      </c>
      <c r="B4256" s="2" t="s">
        <v>0</v>
      </c>
      <c r="C4256" s="2">
        <v>1970.89</v>
      </c>
      <c r="D4256" s="2" t="s">
        <v>0</v>
      </c>
      <c r="E4256" s="2">
        <v>4706.04</v>
      </c>
      <c r="G4256" s="1" t="s">
        <v>8505</v>
      </c>
      <c r="H4256" s="2" t="s">
        <v>0</v>
      </c>
      <c r="I4256" s="2">
        <v>1876.07</v>
      </c>
    </row>
    <row r="4257">
      <c r="A4257" s="1" t="s">
        <v>8506</v>
      </c>
      <c r="B4257" s="2" t="s">
        <v>0</v>
      </c>
      <c r="C4257" s="2">
        <v>1970.89</v>
      </c>
      <c r="D4257" s="2" t="s">
        <v>0</v>
      </c>
      <c r="E4257" s="2">
        <v>4706.04</v>
      </c>
      <c r="G4257" s="1" t="s">
        <v>8507</v>
      </c>
      <c r="H4257" s="2" t="s">
        <v>0</v>
      </c>
      <c r="I4257" s="2">
        <v>1876.07</v>
      </c>
    </row>
    <row r="4258">
      <c r="A4258" s="1" t="s">
        <v>8508</v>
      </c>
      <c r="B4258" s="2">
        <v>1893.21</v>
      </c>
      <c r="C4258" s="2">
        <v>1893.21</v>
      </c>
      <c r="D4258" s="2">
        <v>4526.25</v>
      </c>
      <c r="E4258" s="2">
        <v>4526.25</v>
      </c>
      <c r="G4258" s="1" t="s">
        <v>8509</v>
      </c>
      <c r="H4258" s="2">
        <v>1829.81</v>
      </c>
      <c r="I4258" s="2">
        <v>1829.81</v>
      </c>
    </row>
    <row r="4259">
      <c r="A4259" s="1" t="s">
        <v>8510</v>
      </c>
      <c r="B4259" s="2">
        <v>1867.61</v>
      </c>
      <c r="C4259" s="2">
        <v>1867.61</v>
      </c>
      <c r="D4259" s="2">
        <v>4506.49</v>
      </c>
      <c r="E4259" s="2">
        <v>4506.49</v>
      </c>
      <c r="G4259" s="1" t="s">
        <v>8511</v>
      </c>
      <c r="H4259" s="2">
        <v>1846.63</v>
      </c>
      <c r="I4259" s="2">
        <v>1846.63</v>
      </c>
    </row>
    <row r="4260">
      <c r="A4260" s="1" t="s">
        <v>8512</v>
      </c>
      <c r="B4260" s="2">
        <v>1940.51</v>
      </c>
      <c r="C4260" s="2">
        <v>1940.51</v>
      </c>
      <c r="D4260" s="2">
        <v>4697.54</v>
      </c>
      <c r="E4260" s="2">
        <v>4697.54</v>
      </c>
      <c r="G4260" s="1" t="s">
        <v>8513</v>
      </c>
      <c r="H4260" s="2">
        <v>1894.09</v>
      </c>
      <c r="I4260" s="2">
        <v>1894.09</v>
      </c>
    </row>
    <row r="4261">
      <c r="A4261" s="1" t="s">
        <v>8514</v>
      </c>
      <c r="B4261" s="2">
        <v>1987.66</v>
      </c>
      <c r="C4261" s="2">
        <v>1987.66</v>
      </c>
      <c r="D4261" s="2">
        <v>4812.71</v>
      </c>
      <c r="E4261" s="2">
        <v>4812.71</v>
      </c>
      <c r="G4261" s="1" t="s">
        <v>8515</v>
      </c>
      <c r="H4261" s="2">
        <v>1908.0</v>
      </c>
      <c r="I4261" s="2">
        <v>1908.0</v>
      </c>
    </row>
    <row r="4262">
      <c r="A4262" s="1" t="s">
        <v>8516</v>
      </c>
      <c r="B4262" s="2">
        <v>1988.87</v>
      </c>
      <c r="C4262" s="2">
        <v>1988.87</v>
      </c>
      <c r="D4262" s="2">
        <v>4828.32</v>
      </c>
      <c r="E4262" s="2">
        <v>4828.32</v>
      </c>
      <c r="G4262" s="1" t="s">
        <v>8517</v>
      </c>
      <c r="H4262" s="2">
        <v>1937.67</v>
      </c>
      <c r="I4262" s="2">
        <v>1937.67</v>
      </c>
    </row>
    <row r="4263">
      <c r="A4263" s="1" t="s">
        <v>8518</v>
      </c>
      <c r="B4263" s="2" t="s">
        <v>0</v>
      </c>
      <c r="C4263" s="2">
        <v>1988.87</v>
      </c>
      <c r="D4263" s="2" t="s">
        <v>0</v>
      </c>
      <c r="E4263" s="2">
        <v>4828.32</v>
      </c>
      <c r="G4263" s="1" t="s">
        <v>8519</v>
      </c>
      <c r="H4263" s="2" t="s">
        <v>0</v>
      </c>
      <c r="I4263" s="2">
        <v>1937.67</v>
      </c>
    </row>
    <row r="4264">
      <c r="A4264" s="1" t="s">
        <v>8520</v>
      </c>
      <c r="B4264" s="2" t="s">
        <v>0</v>
      </c>
      <c r="C4264" s="2">
        <v>1988.87</v>
      </c>
      <c r="D4264" s="2" t="s">
        <v>0</v>
      </c>
      <c r="E4264" s="2">
        <v>4828.32</v>
      </c>
      <c r="G4264" s="1" t="s">
        <v>8521</v>
      </c>
      <c r="H4264" s="2" t="s">
        <v>0</v>
      </c>
      <c r="I4264" s="2">
        <v>1937.67</v>
      </c>
    </row>
    <row r="4265">
      <c r="A4265" s="1" t="s">
        <v>8522</v>
      </c>
      <c r="B4265" s="2">
        <v>1972.18</v>
      </c>
      <c r="C4265" s="2">
        <v>1972.18</v>
      </c>
      <c r="D4265" s="2">
        <v>4776.51</v>
      </c>
      <c r="E4265" s="2">
        <v>4776.51</v>
      </c>
      <c r="G4265" s="1" t="s">
        <v>8523</v>
      </c>
      <c r="H4265" s="2">
        <v>1941.49</v>
      </c>
      <c r="I4265" s="2">
        <v>1941.49</v>
      </c>
    </row>
    <row r="4266">
      <c r="A4266" s="1" t="s">
        <v>8524</v>
      </c>
      <c r="B4266" s="2">
        <v>1913.85</v>
      </c>
      <c r="C4266" s="2">
        <v>1913.85</v>
      </c>
      <c r="D4266" s="2">
        <v>4636.1</v>
      </c>
      <c r="E4266" s="2">
        <v>4636.1</v>
      </c>
      <c r="G4266" s="1" t="s">
        <v>8525</v>
      </c>
      <c r="H4266" s="2">
        <v>1914.23</v>
      </c>
      <c r="I4266" s="2">
        <v>1914.23</v>
      </c>
    </row>
    <row r="4267">
      <c r="A4267" s="1" t="s">
        <v>8526</v>
      </c>
      <c r="B4267" s="2">
        <v>1948.86</v>
      </c>
      <c r="C4267" s="2">
        <v>1948.86</v>
      </c>
      <c r="D4267" s="2">
        <v>4749.98</v>
      </c>
      <c r="E4267" s="2">
        <v>4749.98</v>
      </c>
      <c r="G4267" s="1" t="s">
        <v>8527</v>
      </c>
      <c r="H4267" s="2">
        <v>1915.22</v>
      </c>
      <c r="I4267" s="2">
        <v>1915.22</v>
      </c>
    </row>
    <row r="4268">
      <c r="A4268" s="1" t="s">
        <v>8528</v>
      </c>
      <c r="B4268" s="2">
        <v>1951.13</v>
      </c>
      <c r="C4268" s="2">
        <v>1951.13</v>
      </c>
      <c r="D4268" s="2">
        <v>4733.5</v>
      </c>
      <c r="E4268" s="2">
        <v>4733.5</v>
      </c>
      <c r="G4268" s="1" t="s">
        <v>8529</v>
      </c>
      <c r="H4268" s="2">
        <v>1915.53</v>
      </c>
      <c r="I4268" s="2">
        <v>1915.53</v>
      </c>
    </row>
    <row r="4269">
      <c r="A4269" s="1" t="s">
        <v>8530</v>
      </c>
      <c r="B4269" s="2">
        <v>1921.22</v>
      </c>
      <c r="C4269" s="2">
        <v>1921.22</v>
      </c>
      <c r="D4269" s="2">
        <v>4683.92</v>
      </c>
      <c r="E4269" s="2">
        <v>4683.92</v>
      </c>
      <c r="G4269" s="1" t="s">
        <v>8531</v>
      </c>
      <c r="H4269" s="2">
        <v>1886.04</v>
      </c>
      <c r="I4269" s="2">
        <v>1886.04</v>
      </c>
    </row>
    <row r="4270">
      <c r="A4270" s="1" t="s">
        <v>8532</v>
      </c>
      <c r="B4270" s="2" t="s">
        <v>0</v>
      </c>
      <c r="C4270" s="2">
        <v>1921.22</v>
      </c>
      <c r="D4270" s="2" t="s">
        <v>0</v>
      </c>
      <c r="E4270" s="2">
        <v>4683.92</v>
      </c>
      <c r="G4270" s="1" t="s">
        <v>8533</v>
      </c>
      <c r="H4270" s="2" t="s">
        <v>0</v>
      </c>
      <c r="I4270" s="2">
        <v>1886.04</v>
      </c>
    </row>
    <row r="4271">
      <c r="A4271" s="1" t="s">
        <v>8534</v>
      </c>
      <c r="B4271" s="2" t="s">
        <v>0</v>
      </c>
      <c r="C4271" s="2">
        <v>1921.22</v>
      </c>
      <c r="D4271" s="2" t="s">
        <v>0</v>
      </c>
      <c r="E4271" s="2">
        <v>4683.92</v>
      </c>
      <c r="G4271" s="1" t="s">
        <v>8535</v>
      </c>
      <c r="H4271" s="2" t="s">
        <v>0</v>
      </c>
      <c r="I4271" s="2">
        <v>1886.04</v>
      </c>
    </row>
    <row r="4272">
      <c r="A4272" s="1" t="s">
        <v>8536</v>
      </c>
      <c r="B4272" s="2" t="s">
        <v>0</v>
      </c>
      <c r="C4272" s="2">
        <v>1921.22</v>
      </c>
      <c r="D4272" s="2" t="s">
        <v>0</v>
      </c>
      <c r="E4272" s="2">
        <v>4683.92</v>
      </c>
      <c r="G4272" s="1" t="s">
        <v>8537</v>
      </c>
      <c r="H4272" s="2">
        <v>1883.22</v>
      </c>
      <c r="I4272" s="2">
        <v>1883.22</v>
      </c>
    </row>
    <row r="4273">
      <c r="A4273" s="1" t="s">
        <v>8538</v>
      </c>
      <c r="B4273" s="2">
        <v>1969.41</v>
      </c>
      <c r="C4273" s="2">
        <v>1969.41</v>
      </c>
      <c r="D4273" s="2">
        <v>4811.93</v>
      </c>
      <c r="E4273" s="2">
        <v>4811.93</v>
      </c>
      <c r="G4273" s="1" t="s">
        <v>8539</v>
      </c>
      <c r="H4273" s="2">
        <v>1878.68</v>
      </c>
      <c r="I4273" s="2">
        <v>1878.68</v>
      </c>
    </row>
    <row r="4274">
      <c r="A4274" s="1" t="s">
        <v>8540</v>
      </c>
      <c r="B4274" s="2">
        <v>1942.04</v>
      </c>
      <c r="C4274" s="2">
        <v>1942.04</v>
      </c>
      <c r="D4274" s="2">
        <v>4756.53</v>
      </c>
      <c r="E4274" s="2">
        <v>4756.53</v>
      </c>
      <c r="G4274" s="1" t="s">
        <v>8541</v>
      </c>
      <c r="H4274" s="2">
        <v>1934.2</v>
      </c>
      <c r="I4274" s="2">
        <v>1934.2</v>
      </c>
    </row>
    <row r="4275">
      <c r="A4275" s="1" t="s">
        <v>8542</v>
      </c>
      <c r="B4275" s="2">
        <v>1952.29</v>
      </c>
      <c r="C4275" s="2">
        <v>1952.29</v>
      </c>
      <c r="D4275" s="2">
        <v>4796.25</v>
      </c>
      <c r="E4275" s="2">
        <v>4796.25</v>
      </c>
      <c r="G4275" s="1" t="s">
        <v>8543</v>
      </c>
      <c r="H4275" s="2">
        <v>1962.11</v>
      </c>
      <c r="I4275" s="2">
        <v>1962.11</v>
      </c>
    </row>
    <row r="4276">
      <c r="A4276" s="1" t="s">
        <v>8544</v>
      </c>
      <c r="B4276" s="2">
        <v>1961.05</v>
      </c>
      <c r="C4276" s="2">
        <v>1961.05</v>
      </c>
      <c r="D4276" s="2">
        <v>4822.34</v>
      </c>
      <c r="E4276" s="2">
        <v>4822.34</v>
      </c>
      <c r="G4276" s="1" t="s">
        <v>8545</v>
      </c>
      <c r="H4276" s="2">
        <v>1941.37</v>
      </c>
      <c r="I4276" s="2">
        <v>1941.37</v>
      </c>
    </row>
    <row r="4277">
      <c r="A4277" s="1" t="s">
        <v>8546</v>
      </c>
      <c r="B4277" s="2" t="s">
        <v>0</v>
      </c>
      <c r="C4277" s="2">
        <v>1961.05</v>
      </c>
      <c r="D4277" s="2" t="s">
        <v>0</v>
      </c>
      <c r="E4277" s="2">
        <v>4822.34</v>
      </c>
      <c r="G4277" s="1" t="s">
        <v>8547</v>
      </c>
      <c r="H4277" s="2" t="s">
        <v>0</v>
      </c>
      <c r="I4277" s="2">
        <v>1941.37</v>
      </c>
    </row>
    <row r="4278">
      <c r="A4278" s="1" t="s">
        <v>8548</v>
      </c>
      <c r="B4278" s="2" t="s">
        <v>0</v>
      </c>
      <c r="C4278" s="2">
        <v>1961.05</v>
      </c>
      <c r="D4278" s="2" t="s">
        <v>0</v>
      </c>
      <c r="E4278" s="2">
        <v>4822.34</v>
      </c>
      <c r="G4278" s="1" t="s">
        <v>8549</v>
      </c>
      <c r="H4278" s="2" t="s">
        <v>0</v>
      </c>
      <c r="I4278" s="2">
        <v>1941.37</v>
      </c>
    </row>
    <row r="4279">
      <c r="A4279" s="1" t="s">
        <v>8550</v>
      </c>
      <c r="B4279" s="2">
        <v>1953.03</v>
      </c>
      <c r="C4279" s="2">
        <v>1953.03</v>
      </c>
      <c r="D4279" s="2">
        <v>4805.76</v>
      </c>
      <c r="E4279" s="2">
        <v>4805.76</v>
      </c>
      <c r="G4279" s="1" t="s">
        <v>8551</v>
      </c>
      <c r="H4279" s="2">
        <v>1931.46</v>
      </c>
      <c r="I4279" s="2">
        <v>1931.46</v>
      </c>
    </row>
    <row r="4280">
      <c r="A4280" s="1" t="s">
        <v>8552</v>
      </c>
      <c r="B4280" s="2">
        <v>1978.09</v>
      </c>
      <c r="C4280" s="2">
        <v>1978.09</v>
      </c>
      <c r="D4280" s="2">
        <v>4860.52</v>
      </c>
      <c r="E4280" s="2">
        <v>4860.52</v>
      </c>
      <c r="G4280" s="1" t="s">
        <v>8553</v>
      </c>
      <c r="H4280" s="2">
        <v>1937.56</v>
      </c>
      <c r="I4280" s="2">
        <v>1937.56</v>
      </c>
    </row>
    <row r="4281">
      <c r="A4281" s="1" t="s">
        <v>8554</v>
      </c>
      <c r="B4281" s="2">
        <v>1995.31</v>
      </c>
      <c r="C4281" s="2">
        <v>1995.31</v>
      </c>
      <c r="D4281" s="2">
        <v>4889.24</v>
      </c>
      <c r="E4281" s="2">
        <v>4889.24</v>
      </c>
      <c r="G4281" s="1" t="s">
        <v>8555</v>
      </c>
      <c r="H4281" s="2">
        <v>1975.45</v>
      </c>
      <c r="I4281" s="2">
        <v>1975.45</v>
      </c>
    </row>
    <row r="4282">
      <c r="A4282" s="1" t="s">
        <v>8556</v>
      </c>
      <c r="B4282" s="2">
        <v>1990.2</v>
      </c>
      <c r="C4282" s="2">
        <v>1990.2</v>
      </c>
      <c r="D4282" s="2">
        <v>4893.95</v>
      </c>
      <c r="E4282" s="2">
        <v>4893.95</v>
      </c>
      <c r="G4282" s="1" t="s">
        <v>8557</v>
      </c>
      <c r="H4282" s="2">
        <v>1976.49</v>
      </c>
      <c r="I4282" s="2">
        <v>1976.49</v>
      </c>
    </row>
    <row r="4283">
      <c r="A4283" s="1" t="s">
        <v>8558</v>
      </c>
      <c r="B4283" s="2">
        <v>1958.03</v>
      </c>
      <c r="C4283" s="2">
        <v>1958.03</v>
      </c>
      <c r="D4283" s="2">
        <v>4827.23</v>
      </c>
      <c r="E4283" s="2">
        <v>4827.23</v>
      </c>
      <c r="G4283" s="1" t="s">
        <v>8559</v>
      </c>
      <c r="H4283" s="2">
        <v>1995.95</v>
      </c>
      <c r="I4283" s="2">
        <v>1995.95</v>
      </c>
    </row>
    <row r="4284">
      <c r="A4284" s="1" t="s">
        <v>8560</v>
      </c>
      <c r="B4284" s="2" t="s">
        <v>0</v>
      </c>
      <c r="C4284" s="2">
        <v>1958.03</v>
      </c>
      <c r="D4284" s="2" t="s">
        <v>0</v>
      </c>
      <c r="E4284" s="2">
        <v>4827.23</v>
      </c>
      <c r="G4284" s="1" t="s">
        <v>8561</v>
      </c>
      <c r="H4284" s="2" t="s">
        <v>0</v>
      </c>
      <c r="I4284" s="2">
        <v>1995.95</v>
      </c>
    </row>
    <row r="4285">
      <c r="A4285" s="1" t="s">
        <v>8562</v>
      </c>
      <c r="B4285" s="2" t="s">
        <v>0</v>
      </c>
      <c r="C4285" s="2">
        <v>1958.03</v>
      </c>
      <c r="D4285" s="2" t="s">
        <v>0</v>
      </c>
      <c r="E4285" s="2">
        <v>4827.23</v>
      </c>
      <c r="G4285" s="1" t="s">
        <v>8563</v>
      </c>
      <c r="H4285" s="2" t="s">
        <v>0</v>
      </c>
      <c r="I4285" s="2">
        <v>1995.95</v>
      </c>
    </row>
    <row r="4286">
      <c r="A4286" s="1" t="s">
        <v>8564</v>
      </c>
      <c r="B4286" s="2">
        <v>1966.97</v>
      </c>
      <c r="C4286" s="2">
        <v>1966.97</v>
      </c>
      <c r="D4286" s="2">
        <v>4828.95</v>
      </c>
      <c r="E4286" s="2">
        <v>4828.95</v>
      </c>
      <c r="G4286" s="1" t="s">
        <v>8565</v>
      </c>
      <c r="H4286" s="2">
        <v>1964.68</v>
      </c>
      <c r="I4286" s="2">
        <v>1964.68</v>
      </c>
    </row>
    <row r="4287">
      <c r="A4287" s="1" t="s">
        <v>8566</v>
      </c>
      <c r="B4287" s="2">
        <v>1942.74</v>
      </c>
      <c r="C4287" s="2">
        <v>1942.74</v>
      </c>
      <c r="D4287" s="2">
        <v>4756.72</v>
      </c>
      <c r="E4287" s="2">
        <v>4756.72</v>
      </c>
      <c r="G4287" s="1" t="s">
        <v>8567</v>
      </c>
      <c r="H4287" s="2">
        <v>1982.06</v>
      </c>
      <c r="I4287" s="2">
        <v>1982.06</v>
      </c>
    </row>
    <row r="4288">
      <c r="A4288" s="1" t="s">
        <v>8568</v>
      </c>
      <c r="B4288" s="2">
        <v>1938.76</v>
      </c>
      <c r="C4288" s="2">
        <v>1938.76</v>
      </c>
      <c r="D4288" s="2">
        <v>4752.74</v>
      </c>
      <c r="E4288" s="2">
        <v>4752.74</v>
      </c>
      <c r="G4288" s="1" t="s">
        <v>8569</v>
      </c>
      <c r="H4288" s="2">
        <v>1944.64</v>
      </c>
      <c r="I4288" s="2">
        <v>1944.64</v>
      </c>
    </row>
    <row r="4289">
      <c r="A4289" s="1" t="s">
        <v>8570</v>
      </c>
      <c r="B4289" s="2">
        <v>1932.24</v>
      </c>
      <c r="C4289" s="2">
        <v>1932.24</v>
      </c>
      <c r="D4289" s="2">
        <v>4734.48</v>
      </c>
      <c r="E4289" s="2">
        <v>4734.48</v>
      </c>
      <c r="G4289" s="1" t="s">
        <v>8571</v>
      </c>
      <c r="H4289" s="2">
        <v>1947.1</v>
      </c>
      <c r="I4289" s="2">
        <v>1947.1</v>
      </c>
    </row>
    <row r="4290">
      <c r="A4290" s="1" t="s">
        <v>8572</v>
      </c>
      <c r="B4290" s="2">
        <v>1931.34</v>
      </c>
      <c r="C4290" s="2">
        <v>1931.34</v>
      </c>
      <c r="D4290" s="2">
        <v>4686.5</v>
      </c>
      <c r="E4290" s="2">
        <v>4686.5</v>
      </c>
      <c r="G4290" s="1" t="s">
        <v>8573</v>
      </c>
      <c r="H4290" s="2">
        <v>1942.85</v>
      </c>
      <c r="I4290" s="2">
        <v>1942.85</v>
      </c>
    </row>
    <row r="4291">
      <c r="A4291" s="1" t="s">
        <v>8574</v>
      </c>
      <c r="B4291" s="2" t="s">
        <v>0</v>
      </c>
      <c r="C4291" s="2">
        <v>1931.34</v>
      </c>
      <c r="D4291" s="2" t="s">
        <v>0</v>
      </c>
      <c r="E4291" s="2">
        <v>4686.5</v>
      </c>
      <c r="G4291" s="1" t="s">
        <v>8575</v>
      </c>
      <c r="H4291" s="2" t="s">
        <v>0</v>
      </c>
      <c r="I4291" s="2">
        <v>1942.85</v>
      </c>
    </row>
    <row r="4292">
      <c r="A4292" s="1" t="s">
        <v>8576</v>
      </c>
      <c r="B4292" s="2" t="s">
        <v>0</v>
      </c>
      <c r="C4292" s="2">
        <v>1931.34</v>
      </c>
      <c r="D4292" s="2" t="s">
        <v>0</v>
      </c>
      <c r="E4292" s="2">
        <v>4686.5</v>
      </c>
      <c r="G4292" s="1" t="s">
        <v>8577</v>
      </c>
      <c r="H4292" s="2" t="s">
        <v>0</v>
      </c>
      <c r="I4292" s="2">
        <v>1942.85</v>
      </c>
    </row>
    <row r="4293">
      <c r="A4293" s="1" t="s">
        <v>8578</v>
      </c>
      <c r="B4293" s="2">
        <v>1881.77</v>
      </c>
      <c r="C4293" s="2">
        <v>1881.77</v>
      </c>
      <c r="D4293" s="2">
        <v>4543.97</v>
      </c>
      <c r="E4293" s="2">
        <v>4543.97</v>
      </c>
      <c r="G4293" s="1" t="s">
        <v>8579</v>
      </c>
      <c r="H4293" s="2" t="s">
        <v>0</v>
      </c>
      <c r="I4293" s="2">
        <v>1942.85</v>
      </c>
    </row>
    <row r="4294">
      <c r="A4294" s="1" t="s">
        <v>8580</v>
      </c>
      <c r="B4294" s="2">
        <v>1884.09</v>
      </c>
      <c r="C4294" s="2">
        <v>1884.09</v>
      </c>
      <c r="D4294" s="2">
        <v>4517.32</v>
      </c>
      <c r="E4294" s="2">
        <v>4517.32</v>
      </c>
      <c r="G4294" s="1" t="s">
        <v>8581</v>
      </c>
      <c r="H4294" s="2" t="s">
        <v>0</v>
      </c>
      <c r="I4294" s="2">
        <v>1942.85</v>
      </c>
    </row>
    <row r="4295">
      <c r="A4295" s="1" t="s">
        <v>8582</v>
      </c>
      <c r="B4295" s="2">
        <v>1920.03</v>
      </c>
      <c r="C4295" s="2">
        <v>1920.03</v>
      </c>
      <c r="D4295" s="2">
        <v>4620.16</v>
      </c>
      <c r="E4295" s="2">
        <v>4620.16</v>
      </c>
      <c r="G4295" s="1" t="s">
        <v>8583</v>
      </c>
      <c r="H4295" s="2">
        <v>1962.81</v>
      </c>
      <c r="I4295" s="2">
        <v>1962.81</v>
      </c>
    </row>
    <row r="4296">
      <c r="A4296" s="1" t="s">
        <v>8584</v>
      </c>
      <c r="B4296" s="2">
        <v>1923.82</v>
      </c>
      <c r="C4296" s="2">
        <v>1923.82</v>
      </c>
      <c r="D4296" s="2">
        <v>4627.08</v>
      </c>
      <c r="E4296" s="2">
        <v>4627.08</v>
      </c>
      <c r="G4296" s="1" t="s">
        <v>8585</v>
      </c>
      <c r="H4296" s="2">
        <v>1979.32</v>
      </c>
      <c r="I4296" s="2">
        <v>1979.32</v>
      </c>
    </row>
    <row r="4297">
      <c r="A4297" s="1" t="s">
        <v>8586</v>
      </c>
      <c r="B4297" s="2">
        <v>1951.36</v>
      </c>
      <c r="C4297" s="2">
        <v>1951.36</v>
      </c>
      <c r="D4297" s="2">
        <v>4707.78</v>
      </c>
      <c r="E4297" s="2">
        <v>4707.78</v>
      </c>
      <c r="G4297" s="1" t="s">
        <v>8587</v>
      </c>
      <c r="H4297" s="2">
        <v>1969.68</v>
      </c>
      <c r="I4297" s="2">
        <v>1969.68</v>
      </c>
    </row>
    <row r="4298">
      <c r="A4298" s="1" t="s">
        <v>8588</v>
      </c>
      <c r="B4298" s="2" t="s">
        <v>0</v>
      </c>
      <c r="C4298" s="2">
        <v>1951.36</v>
      </c>
      <c r="D4298" s="2" t="s">
        <v>0</v>
      </c>
      <c r="E4298" s="2">
        <v>4707.78</v>
      </c>
      <c r="G4298" s="1" t="s">
        <v>8589</v>
      </c>
      <c r="H4298" s="2" t="s">
        <v>0</v>
      </c>
      <c r="I4298" s="2">
        <v>1969.68</v>
      </c>
    </row>
    <row r="4299">
      <c r="A4299" s="1" t="s">
        <v>8590</v>
      </c>
      <c r="B4299" s="2" t="s">
        <v>0</v>
      </c>
      <c r="C4299" s="2">
        <v>1951.36</v>
      </c>
      <c r="D4299" s="2" t="s">
        <v>0</v>
      </c>
      <c r="E4299" s="2">
        <v>4707.78</v>
      </c>
      <c r="G4299" s="1" t="s">
        <v>8591</v>
      </c>
      <c r="H4299" s="2" t="s">
        <v>0</v>
      </c>
      <c r="I4299" s="2">
        <v>1969.68</v>
      </c>
    </row>
    <row r="4300">
      <c r="A4300" s="1" t="s">
        <v>8592</v>
      </c>
      <c r="B4300" s="2">
        <v>1987.05</v>
      </c>
      <c r="C4300" s="2">
        <v>1987.05</v>
      </c>
      <c r="D4300" s="2">
        <v>4781.26</v>
      </c>
      <c r="E4300" s="2">
        <v>4781.26</v>
      </c>
      <c r="G4300" s="1" t="s">
        <v>8593</v>
      </c>
      <c r="H4300" s="2">
        <v>1978.25</v>
      </c>
      <c r="I4300" s="2">
        <v>1978.25</v>
      </c>
    </row>
    <row r="4301">
      <c r="A4301" s="1" t="s">
        <v>8594</v>
      </c>
      <c r="B4301" s="2">
        <v>1979.92</v>
      </c>
      <c r="C4301" s="2">
        <v>1979.92</v>
      </c>
      <c r="D4301" s="2">
        <v>4748.36</v>
      </c>
      <c r="E4301" s="2">
        <v>4748.36</v>
      </c>
      <c r="G4301" s="1" t="s">
        <v>8595</v>
      </c>
      <c r="H4301" s="2">
        <v>1990.65</v>
      </c>
      <c r="I4301" s="2">
        <v>1990.65</v>
      </c>
    </row>
    <row r="4302">
      <c r="A4302" s="1" t="s">
        <v>8596</v>
      </c>
      <c r="B4302" s="2">
        <v>1995.83</v>
      </c>
      <c r="C4302" s="2">
        <v>1995.83</v>
      </c>
      <c r="D4302" s="2">
        <v>4791.15</v>
      </c>
      <c r="E4302" s="2">
        <v>4791.15</v>
      </c>
      <c r="G4302" s="1" t="s">
        <v>8597</v>
      </c>
      <c r="H4302" s="2">
        <v>2005.84</v>
      </c>
      <c r="I4302" s="2">
        <v>2005.84</v>
      </c>
    </row>
    <row r="4303">
      <c r="A4303" s="1" t="s">
        <v>8598</v>
      </c>
      <c r="B4303" s="2">
        <v>2013.43</v>
      </c>
      <c r="C4303" s="2">
        <v>2013.43</v>
      </c>
      <c r="D4303" s="2">
        <v>4810.79</v>
      </c>
      <c r="E4303" s="2">
        <v>4810.79</v>
      </c>
      <c r="G4303" s="1" t="s">
        <v>8599</v>
      </c>
      <c r="H4303" s="2">
        <v>2019.53</v>
      </c>
      <c r="I4303" s="2">
        <v>2019.53</v>
      </c>
    </row>
    <row r="4304">
      <c r="A4304" s="1" t="s">
        <v>8600</v>
      </c>
      <c r="B4304" s="2">
        <v>2014.89</v>
      </c>
      <c r="C4304" s="2">
        <v>2014.89</v>
      </c>
      <c r="D4304" s="2">
        <v>4830.47</v>
      </c>
      <c r="E4304" s="2">
        <v>4830.47</v>
      </c>
      <c r="G4304" s="1" t="s">
        <v>8601</v>
      </c>
      <c r="H4304" s="2" t="s">
        <v>0</v>
      </c>
      <c r="I4304" s="2">
        <v>2019.53</v>
      </c>
    </row>
    <row r="4305">
      <c r="A4305" s="1" t="s">
        <v>8602</v>
      </c>
      <c r="B4305" s="2" t="s">
        <v>0</v>
      </c>
      <c r="C4305" s="2">
        <v>2014.89</v>
      </c>
      <c r="D4305" s="2" t="s">
        <v>0</v>
      </c>
      <c r="E4305" s="2">
        <v>4830.47</v>
      </c>
      <c r="G4305" s="1" t="s">
        <v>8603</v>
      </c>
      <c r="H4305" s="2" t="s">
        <v>0</v>
      </c>
      <c r="I4305" s="2">
        <v>2019.53</v>
      </c>
    </row>
    <row r="4306">
      <c r="A4306" s="1" t="s">
        <v>8604</v>
      </c>
      <c r="B4306" s="2" t="s">
        <v>0</v>
      </c>
      <c r="C4306" s="2">
        <v>2014.89</v>
      </c>
      <c r="D4306" s="2" t="s">
        <v>0</v>
      </c>
      <c r="E4306" s="2">
        <v>4830.47</v>
      </c>
      <c r="G4306" s="1" t="s">
        <v>8605</v>
      </c>
      <c r="H4306" s="2" t="s">
        <v>0</v>
      </c>
      <c r="I4306" s="2">
        <v>2019.53</v>
      </c>
    </row>
    <row r="4307">
      <c r="A4307" s="1" t="s">
        <v>8606</v>
      </c>
      <c r="B4307" s="2">
        <v>2017.46</v>
      </c>
      <c r="C4307" s="2">
        <v>2017.46</v>
      </c>
      <c r="D4307" s="2">
        <v>4838.64</v>
      </c>
      <c r="E4307" s="2">
        <v>4838.64</v>
      </c>
      <c r="G4307" s="1" t="s">
        <v>8607</v>
      </c>
      <c r="H4307" s="2">
        <v>2021.63</v>
      </c>
      <c r="I4307" s="2">
        <v>2021.63</v>
      </c>
    </row>
    <row r="4308">
      <c r="A4308" s="1" t="s">
        <v>8608</v>
      </c>
      <c r="B4308" s="2">
        <v>2003.69</v>
      </c>
      <c r="C4308" s="2">
        <v>2003.69</v>
      </c>
      <c r="D4308" s="2">
        <v>4796.61</v>
      </c>
      <c r="E4308" s="2">
        <v>4796.61</v>
      </c>
      <c r="G4308" s="1" t="s">
        <v>8609</v>
      </c>
      <c r="H4308" s="2">
        <v>2019.05</v>
      </c>
      <c r="I4308" s="2">
        <v>2019.05</v>
      </c>
    </row>
    <row r="4309">
      <c r="A4309" s="1" t="s">
        <v>8610</v>
      </c>
      <c r="B4309" s="2">
        <v>1994.24</v>
      </c>
      <c r="C4309" s="2">
        <v>1994.24</v>
      </c>
      <c r="D4309" s="2">
        <v>4782.85</v>
      </c>
      <c r="E4309" s="2">
        <v>4782.85</v>
      </c>
      <c r="G4309" s="1" t="s">
        <v>8611</v>
      </c>
      <c r="H4309" s="2">
        <v>2009.55</v>
      </c>
      <c r="I4309" s="2">
        <v>2009.55</v>
      </c>
    </row>
    <row r="4310">
      <c r="A4310" s="1" t="s">
        <v>8612</v>
      </c>
      <c r="B4310" s="2">
        <v>2023.86</v>
      </c>
      <c r="C4310" s="2">
        <v>2023.86</v>
      </c>
      <c r="D4310" s="2">
        <v>4870.1</v>
      </c>
      <c r="E4310" s="2">
        <v>4870.1</v>
      </c>
      <c r="G4310" s="1" t="s">
        <v>8613</v>
      </c>
      <c r="H4310" s="2">
        <v>2033.27</v>
      </c>
      <c r="I4310" s="2">
        <v>2033.27</v>
      </c>
    </row>
    <row r="4311">
      <c r="A4311" s="1" t="s">
        <v>8614</v>
      </c>
      <c r="B4311" s="2">
        <v>2033.11</v>
      </c>
      <c r="C4311" s="2">
        <v>2033.11</v>
      </c>
      <c r="D4311" s="2">
        <v>4886.69</v>
      </c>
      <c r="E4311" s="2">
        <v>4886.69</v>
      </c>
      <c r="G4311" s="1" t="s">
        <v>8615</v>
      </c>
      <c r="H4311" s="2">
        <v>2030.26</v>
      </c>
      <c r="I4311" s="2">
        <v>2030.26</v>
      </c>
    </row>
    <row r="4312">
      <c r="A4312" s="1" t="s">
        <v>8616</v>
      </c>
      <c r="B4312" s="2" t="s">
        <v>0</v>
      </c>
      <c r="C4312" s="2">
        <v>2033.11</v>
      </c>
      <c r="D4312" s="2" t="s">
        <v>0</v>
      </c>
      <c r="E4312" s="2">
        <v>4886.69</v>
      </c>
      <c r="G4312" s="1" t="s">
        <v>8617</v>
      </c>
      <c r="H4312" s="2" t="s">
        <v>0</v>
      </c>
      <c r="I4312" s="2">
        <v>2030.26</v>
      </c>
    </row>
    <row r="4313">
      <c r="A4313" s="1" t="s">
        <v>8618</v>
      </c>
      <c r="B4313" s="2" t="s">
        <v>0</v>
      </c>
      <c r="C4313" s="2">
        <v>2033.11</v>
      </c>
      <c r="D4313" s="2" t="s">
        <v>0</v>
      </c>
      <c r="E4313" s="2">
        <v>4886.69</v>
      </c>
      <c r="G4313" s="1" t="s">
        <v>8619</v>
      </c>
      <c r="H4313" s="2" t="s">
        <v>0</v>
      </c>
      <c r="I4313" s="2">
        <v>2030.26</v>
      </c>
    </row>
    <row r="4314">
      <c r="A4314" s="1" t="s">
        <v>8620</v>
      </c>
      <c r="B4314" s="2">
        <v>2033.66</v>
      </c>
      <c r="C4314" s="2">
        <v>2033.66</v>
      </c>
      <c r="D4314" s="2">
        <v>4905.47</v>
      </c>
      <c r="E4314" s="2">
        <v>4905.47</v>
      </c>
      <c r="G4314" s="1" t="s">
        <v>8621</v>
      </c>
      <c r="H4314" s="2">
        <v>2030.27</v>
      </c>
      <c r="I4314" s="2">
        <v>2030.27</v>
      </c>
    </row>
    <row r="4315">
      <c r="A4315" s="1" t="s">
        <v>8622</v>
      </c>
      <c r="B4315" s="2">
        <v>2030.77</v>
      </c>
      <c r="C4315" s="2">
        <v>2030.77</v>
      </c>
      <c r="D4315" s="2">
        <v>4880.97</v>
      </c>
      <c r="E4315" s="2">
        <v>4880.97</v>
      </c>
      <c r="G4315" s="1" t="s">
        <v>8623</v>
      </c>
      <c r="H4315" s="2">
        <v>2039.36</v>
      </c>
      <c r="I4315" s="2">
        <v>2039.36</v>
      </c>
    </row>
    <row r="4316">
      <c r="A4316" s="1" t="s">
        <v>8624</v>
      </c>
      <c r="B4316" s="2">
        <v>2018.94</v>
      </c>
      <c r="C4316" s="2">
        <v>2018.94</v>
      </c>
      <c r="D4316" s="2">
        <v>4840.12</v>
      </c>
      <c r="E4316" s="2">
        <v>4840.12</v>
      </c>
      <c r="G4316" s="1" t="s">
        <v>8625</v>
      </c>
      <c r="H4316" s="2">
        <v>2042.98</v>
      </c>
      <c r="I4316" s="2">
        <v>2042.98</v>
      </c>
    </row>
    <row r="4317">
      <c r="A4317" s="1" t="s">
        <v>8626</v>
      </c>
      <c r="B4317" s="2">
        <v>2052.51</v>
      </c>
      <c r="C4317" s="2">
        <v>2052.51</v>
      </c>
      <c r="D4317" s="2">
        <v>4920.05</v>
      </c>
      <c r="E4317" s="2">
        <v>4920.05</v>
      </c>
      <c r="G4317" s="1" t="s">
        <v>8627</v>
      </c>
      <c r="H4317" s="2">
        <v>2023.0</v>
      </c>
      <c r="I4317" s="2">
        <v>2023.0</v>
      </c>
    </row>
    <row r="4318">
      <c r="A4318" s="1" t="s">
        <v>8628</v>
      </c>
      <c r="B4318" s="2">
        <v>2075.15</v>
      </c>
      <c r="C4318" s="2">
        <v>2075.15</v>
      </c>
      <c r="D4318" s="2">
        <v>5031.86</v>
      </c>
      <c r="E4318" s="2">
        <v>5031.86</v>
      </c>
      <c r="G4318" s="1" t="s">
        <v>8629</v>
      </c>
      <c r="H4318" s="2">
        <v>2040.4</v>
      </c>
      <c r="I4318" s="2">
        <v>2040.4</v>
      </c>
    </row>
    <row r="4319">
      <c r="A4319" s="1" t="s">
        <v>8630</v>
      </c>
      <c r="B4319" s="2" t="s">
        <v>0</v>
      </c>
      <c r="C4319" s="2">
        <v>2075.15</v>
      </c>
      <c r="D4319" s="2" t="s">
        <v>0</v>
      </c>
      <c r="E4319" s="2">
        <v>5031.86</v>
      </c>
      <c r="G4319" s="1" t="s">
        <v>8631</v>
      </c>
      <c r="H4319" s="2" t="s">
        <v>0</v>
      </c>
      <c r="I4319" s="2">
        <v>2040.4</v>
      </c>
    </row>
    <row r="4320">
      <c r="A4320" s="1" t="s">
        <v>8632</v>
      </c>
      <c r="B4320" s="2" t="s">
        <v>0</v>
      </c>
      <c r="C4320" s="2">
        <v>2075.15</v>
      </c>
      <c r="D4320" s="2" t="s">
        <v>0</v>
      </c>
      <c r="E4320" s="2">
        <v>5031.86</v>
      </c>
      <c r="G4320" s="1" t="s">
        <v>8633</v>
      </c>
      <c r="H4320" s="2" t="s">
        <v>0</v>
      </c>
      <c r="I4320" s="2">
        <v>2040.4</v>
      </c>
    </row>
    <row r="4321">
      <c r="A4321" s="1" t="s">
        <v>8634</v>
      </c>
      <c r="B4321" s="2">
        <v>2071.18</v>
      </c>
      <c r="C4321" s="2">
        <v>2071.18</v>
      </c>
      <c r="D4321" s="2">
        <v>5034.7</v>
      </c>
      <c r="E4321" s="2">
        <v>5034.7</v>
      </c>
      <c r="G4321" s="1" t="s">
        <v>8635</v>
      </c>
      <c r="H4321" s="2">
        <v>2048.08</v>
      </c>
      <c r="I4321" s="2">
        <v>2048.08</v>
      </c>
    </row>
    <row r="4322">
      <c r="A4322" s="1" t="s">
        <v>8636</v>
      </c>
      <c r="B4322" s="2">
        <v>2065.89</v>
      </c>
      <c r="C4322" s="2">
        <v>2065.89</v>
      </c>
      <c r="D4322" s="2">
        <v>5030.15</v>
      </c>
      <c r="E4322" s="2">
        <v>5030.15</v>
      </c>
      <c r="G4322" s="1" t="s">
        <v>8637</v>
      </c>
      <c r="H4322" s="2">
        <v>2044.65</v>
      </c>
      <c r="I4322" s="2">
        <v>2044.65</v>
      </c>
    </row>
    <row r="4323">
      <c r="A4323" s="1" t="s">
        <v>8638</v>
      </c>
      <c r="B4323" s="2">
        <v>2090.35</v>
      </c>
      <c r="C4323" s="2">
        <v>2090.35</v>
      </c>
      <c r="D4323" s="2">
        <v>5095.69</v>
      </c>
      <c r="E4323" s="2">
        <v>5095.69</v>
      </c>
      <c r="G4323" s="1" t="s">
        <v>8639</v>
      </c>
      <c r="H4323" s="2">
        <v>2042.51</v>
      </c>
      <c r="I4323" s="2">
        <v>2042.51</v>
      </c>
    </row>
    <row r="4324">
      <c r="A4324" s="1" t="s">
        <v>8640</v>
      </c>
      <c r="B4324" s="2">
        <v>2089.41</v>
      </c>
      <c r="C4324" s="2">
        <v>2089.41</v>
      </c>
      <c r="D4324" s="2">
        <v>5074.27</v>
      </c>
      <c r="E4324" s="2">
        <v>5074.27</v>
      </c>
      <c r="G4324" s="1" t="s">
        <v>8641</v>
      </c>
      <c r="H4324" s="2">
        <v>2034.16</v>
      </c>
      <c r="I4324" s="2">
        <v>2034.16</v>
      </c>
    </row>
    <row r="4325">
      <c r="A4325" s="1" t="s">
        <v>8642</v>
      </c>
      <c r="B4325" s="2">
        <v>2079.36</v>
      </c>
      <c r="C4325" s="2">
        <v>2079.36</v>
      </c>
      <c r="D4325" s="2">
        <v>5053.75</v>
      </c>
      <c r="E4325" s="2">
        <v>5053.75</v>
      </c>
      <c r="G4325" s="1" t="s">
        <v>8643</v>
      </c>
      <c r="H4325" s="2">
        <v>2029.47</v>
      </c>
      <c r="I4325" s="2">
        <v>2029.47</v>
      </c>
    </row>
    <row r="4326">
      <c r="A4326" s="1" t="s">
        <v>8644</v>
      </c>
      <c r="B4326" s="2" t="s">
        <v>0</v>
      </c>
      <c r="C4326" s="2">
        <v>2079.36</v>
      </c>
      <c r="D4326" s="2" t="s">
        <v>0</v>
      </c>
      <c r="E4326" s="2">
        <v>5053.75</v>
      </c>
      <c r="G4326" s="1" t="s">
        <v>8645</v>
      </c>
      <c r="H4326" s="2" t="s">
        <v>0</v>
      </c>
      <c r="I4326" s="2">
        <v>2029.47</v>
      </c>
    </row>
    <row r="4327">
      <c r="A4327" s="1" t="s">
        <v>8646</v>
      </c>
      <c r="B4327" s="2" t="s">
        <v>0</v>
      </c>
      <c r="C4327" s="2">
        <v>2079.36</v>
      </c>
      <c r="D4327" s="2" t="s">
        <v>0</v>
      </c>
      <c r="E4327" s="2">
        <v>5053.75</v>
      </c>
      <c r="G4327" s="1" t="s">
        <v>8647</v>
      </c>
      <c r="H4327" s="2" t="s">
        <v>0</v>
      </c>
      <c r="I4327" s="2">
        <v>2029.47</v>
      </c>
    </row>
    <row r="4328">
      <c r="A4328" s="1" t="s">
        <v>8648</v>
      </c>
      <c r="B4328" s="2">
        <v>2104.05</v>
      </c>
      <c r="C4328" s="2">
        <v>2104.05</v>
      </c>
      <c r="D4328" s="2">
        <v>5127.15</v>
      </c>
      <c r="E4328" s="2">
        <v>5127.15</v>
      </c>
      <c r="G4328" s="1" t="s">
        <v>8649</v>
      </c>
      <c r="H4328" s="2">
        <v>2035.24</v>
      </c>
      <c r="I4328" s="2">
        <v>2035.24</v>
      </c>
    </row>
    <row r="4329">
      <c r="A4329" s="1" t="s">
        <v>8650</v>
      </c>
      <c r="B4329" s="2">
        <v>2109.79</v>
      </c>
      <c r="C4329" s="2">
        <v>2109.79</v>
      </c>
      <c r="D4329" s="2">
        <v>5145.13</v>
      </c>
      <c r="E4329" s="2">
        <v>5145.13</v>
      </c>
      <c r="G4329" s="1" t="s">
        <v>8651</v>
      </c>
      <c r="H4329" s="2">
        <v>2048.4</v>
      </c>
      <c r="I4329" s="2">
        <v>2048.4</v>
      </c>
    </row>
    <row r="4330">
      <c r="A4330" s="1" t="s">
        <v>8652</v>
      </c>
      <c r="B4330" s="2">
        <v>2102.31</v>
      </c>
      <c r="C4330" s="2">
        <v>2102.31</v>
      </c>
      <c r="D4330" s="2">
        <v>5142.48</v>
      </c>
      <c r="E4330" s="2">
        <v>5142.48</v>
      </c>
      <c r="G4330" s="1" t="s">
        <v>8653</v>
      </c>
      <c r="H4330" s="2">
        <v>2052.77</v>
      </c>
      <c r="I4330" s="2">
        <v>2052.77</v>
      </c>
    </row>
    <row r="4331">
      <c r="A4331" s="1" t="s">
        <v>8654</v>
      </c>
      <c r="B4331" s="2">
        <v>2099.93</v>
      </c>
      <c r="C4331" s="2">
        <v>2099.93</v>
      </c>
      <c r="D4331" s="2">
        <v>5127.74</v>
      </c>
      <c r="E4331" s="2">
        <v>5127.74</v>
      </c>
      <c r="G4331" s="1" t="s">
        <v>8655</v>
      </c>
      <c r="H4331" s="2">
        <v>2049.41</v>
      </c>
      <c r="I4331" s="2">
        <v>2049.41</v>
      </c>
    </row>
    <row r="4332">
      <c r="A4332" s="1" t="s">
        <v>8656</v>
      </c>
      <c r="B4332" s="2">
        <v>2099.2</v>
      </c>
      <c r="C4332" s="2">
        <v>2099.2</v>
      </c>
      <c r="D4332" s="2">
        <v>5147.12</v>
      </c>
      <c r="E4332" s="2">
        <v>5147.12</v>
      </c>
      <c r="G4332" s="1" t="s">
        <v>8657</v>
      </c>
      <c r="H4332" s="2">
        <v>2041.07</v>
      </c>
      <c r="I4332" s="2">
        <v>2041.07</v>
      </c>
    </row>
    <row r="4333">
      <c r="A4333" s="1" t="s">
        <v>8658</v>
      </c>
      <c r="B4333" s="2" t="s">
        <v>0</v>
      </c>
      <c r="C4333" s="2">
        <v>2099.2</v>
      </c>
      <c r="D4333" s="2" t="s">
        <v>0</v>
      </c>
      <c r="E4333" s="2">
        <v>5147.12</v>
      </c>
      <c r="G4333" s="1" t="s">
        <v>8659</v>
      </c>
      <c r="H4333" s="2" t="s">
        <v>0</v>
      </c>
      <c r="I4333" s="2">
        <v>2041.07</v>
      </c>
    </row>
    <row r="4334">
      <c r="A4334" s="1" t="s">
        <v>8660</v>
      </c>
      <c r="B4334" s="2" t="s">
        <v>0</v>
      </c>
      <c r="C4334" s="2">
        <v>2099.2</v>
      </c>
      <c r="D4334" s="2" t="s">
        <v>0</v>
      </c>
      <c r="E4334" s="2">
        <v>5147.12</v>
      </c>
      <c r="G4334" s="1" t="s">
        <v>8661</v>
      </c>
      <c r="H4334" s="2" t="s">
        <v>0</v>
      </c>
      <c r="I4334" s="2">
        <v>2041.07</v>
      </c>
    </row>
    <row r="4335">
      <c r="A4335" s="1" t="s">
        <v>8662</v>
      </c>
      <c r="B4335" s="2">
        <v>2078.58</v>
      </c>
      <c r="C4335" s="2">
        <v>2078.58</v>
      </c>
      <c r="D4335" s="2">
        <v>5095.3</v>
      </c>
      <c r="E4335" s="2">
        <v>5095.3</v>
      </c>
      <c r="G4335" s="1" t="s">
        <v>8663</v>
      </c>
      <c r="H4335" s="2">
        <v>2025.7</v>
      </c>
      <c r="I4335" s="2">
        <v>2025.7</v>
      </c>
    </row>
    <row r="4336">
      <c r="A4336" s="1" t="s">
        <v>8664</v>
      </c>
      <c r="B4336" s="2">
        <v>2081.72</v>
      </c>
      <c r="C4336" s="2">
        <v>2081.72</v>
      </c>
      <c r="D4336" s="2">
        <v>5083.24</v>
      </c>
      <c r="E4336" s="2">
        <v>5083.24</v>
      </c>
      <c r="G4336" s="1" t="s">
        <v>8665</v>
      </c>
      <c r="H4336" s="2">
        <v>1996.59</v>
      </c>
      <c r="I4336" s="2">
        <v>1996.59</v>
      </c>
    </row>
    <row r="4337">
      <c r="A4337" s="1" t="s">
        <v>8666</v>
      </c>
      <c r="B4337" s="2">
        <v>2075.0</v>
      </c>
      <c r="C4337" s="2">
        <v>2075.0</v>
      </c>
      <c r="D4337" s="2">
        <v>5067.02</v>
      </c>
      <c r="E4337" s="2">
        <v>5067.02</v>
      </c>
      <c r="G4337" s="1" t="s">
        <v>8667</v>
      </c>
      <c r="H4337" s="2">
        <v>1997.27</v>
      </c>
      <c r="I4337" s="2">
        <v>1997.27</v>
      </c>
    </row>
    <row r="4338">
      <c r="A4338" s="1" t="s">
        <v>8668</v>
      </c>
      <c r="B4338" s="2">
        <v>2045.97</v>
      </c>
      <c r="C4338" s="2">
        <v>2045.97</v>
      </c>
      <c r="D4338" s="2">
        <v>5005.08</v>
      </c>
      <c r="E4338" s="2">
        <v>5005.08</v>
      </c>
      <c r="G4338" s="1" t="s">
        <v>8669</v>
      </c>
      <c r="H4338" s="2">
        <v>1993.36</v>
      </c>
      <c r="I4338" s="2">
        <v>1993.36</v>
      </c>
    </row>
    <row r="4339">
      <c r="A4339" s="1" t="s">
        <v>8670</v>
      </c>
      <c r="B4339" s="2">
        <v>2023.04</v>
      </c>
      <c r="C4339" s="2">
        <v>2023.04</v>
      </c>
      <c r="D4339" s="2">
        <v>4927.88</v>
      </c>
      <c r="E4339" s="2">
        <v>4927.88</v>
      </c>
      <c r="G4339" s="1" t="s">
        <v>8671</v>
      </c>
      <c r="H4339" s="2">
        <v>1973.29</v>
      </c>
      <c r="I4339" s="2">
        <v>1973.29</v>
      </c>
    </row>
    <row r="4340">
      <c r="A4340" s="1" t="s">
        <v>8672</v>
      </c>
      <c r="B4340" s="2" t="s">
        <v>0</v>
      </c>
      <c r="C4340" s="2">
        <v>2023.04</v>
      </c>
      <c r="D4340" s="2" t="s">
        <v>0</v>
      </c>
      <c r="E4340" s="2">
        <v>4927.88</v>
      </c>
      <c r="G4340" s="1" t="s">
        <v>8673</v>
      </c>
      <c r="H4340" s="2" t="s">
        <v>0</v>
      </c>
      <c r="I4340" s="2">
        <v>1973.29</v>
      </c>
    </row>
    <row r="4341">
      <c r="A4341" s="1" t="s">
        <v>8674</v>
      </c>
      <c r="B4341" s="2" t="s">
        <v>0</v>
      </c>
      <c r="C4341" s="2">
        <v>2023.04</v>
      </c>
      <c r="D4341" s="2" t="s">
        <v>0</v>
      </c>
      <c r="E4341" s="2">
        <v>4927.88</v>
      </c>
      <c r="G4341" s="1" t="s">
        <v>8675</v>
      </c>
      <c r="H4341" s="2" t="s">
        <v>0</v>
      </c>
      <c r="I4341" s="2">
        <v>1973.29</v>
      </c>
    </row>
    <row r="4342">
      <c r="A4342" s="1" t="s">
        <v>8676</v>
      </c>
      <c r="B4342" s="2">
        <v>2053.19</v>
      </c>
      <c r="C4342" s="2">
        <v>2053.19</v>
      </c>
      <c r="D4342" s="2">
        <v>4984.62</v>
      </c>
      <c r="E4342" s="2">
        <v>4984.62</v>
      </c>
      <c r="G4342" s="1" t="s">
        <v>8677</v>
      </c>
      <c r="H4342" s="2">
        <v>1943.02</v>
      </c>
      <c r="I4342" s="2">
        <v>1943.02</v>
      </c>
    </row>
    <row r="4343">
      <c r="A4343" s="1" t="s">
        <v>8678</v>
      </c>
      <c r="B4343" s="2">
        <v>2050.44</v>
      </c>
      <c r="C4343" s="2">
        <v>2050.44</v>
      </c>
      <c r="D4343" s="2">
        <v>4986.02</v>
      </c>
      <c r="E4343" s="2">
        <v>4986.02</v>
      </c>
      <c r="G4343" s="1" t="s">
        <v>8679</v>
      </c>
      <c r="H4343" s="2">
        <v>1963.58</v>
      </c>
      <c r="I4343" s="2">
        <v>1963.58</v>
      </c>
    </row>
    <row r="4344">
      <c r="A4344" s="1" t="s">
        <v>8680</v>
      </c>
      <c r="B4344" s="2">
        <v>2083.58</v>
      </c>
      <c r="C4344" s="2">
        <v>2083.58</v>
      </c>
      <c r="D4344" s="2">
        <v>5075.2</v>
      </c>
      <c r="E4344" s="2">
        <v>5075.2</v>
      </c>
      <c r="G4344" s="1" t="s">
        <v>8681</v>
      </c>
      <c r="H4344" s="2">
        <v>1962.88</v>
      </c>
      <c r="I4344" s="2">
        <v>1962.88</v>
      </c>
    </row>
    <row r="4345">
      <c r="A4345" s="1" t="s">
        <v>8682</v>
      </c>
      <c r="B4345" s="2">
        <v>2081.24</v>
      </c>
      <c r="C4345" s="2">
        <v>2081.24</v>
      </c>
      <c r="D4345" s="2">
        <v>5073.64</v>
      </c>
      <c r="E4345" s="2">
        <v>5073.64</v>
      </c>
      <c r="G4345" s="1" t="s">
        <v>8683</v>
      </c>
      <c r="H4345" s="2">
        <v>1988.91</v>
      </c>
      <c r="I4345" s="2">
        <v>1988.91</v>
      </c>
    </row>
    <row r="4346">
      <c r="A4346" s="1" t="s">
        <v>8684</v>
      </c>
      <c r="B4346" s="2">
        <v>2089.17</v>
      </c>
      <c r="C4346" s="2">
        <v>2089.17</v>
      </c>
      <c r="D4346" s="2">
        <v>5104.92</v>
      </c>
      <c r="E4346" s="2">
        <v>5104.92</v>
      </c>
      <c r="G4346" s="1" t="s">
        <v>8685</v>
      </c>
      <c r="H4346" s="2">
        <v>1989.86</v>
      </c>
      <c r="I4346" s="2">
        <v>1989.86</v>
      </c>
    </row>
    <row r="4347">
      <c r="A4347" s="1" t="s">
        <v>8686</v>
      </c>
      <c r="B4347" s="2" t="s">
        <v>0</v>
      </c>
      <c r="C4347" s="2">
        <v>2089.17</v>
      </c>
      <c r="D4347" s="2" t="s">
        <v>0</v>
      </c>
      <c r="E4347" s="2">
        <v>5104.92</v>
      </c>
      <c r="G4347" s="1" t="s">
        <v>8687</v>
      </c>
      <c r="H4347" s="2" t="s">
        <v>0</v>
      </c>
      <c r="I4347" s="2">
        <v>1989.86</v>
      </c>
    </row>
    <row r="4348">
      <c r="A4348" s="1" t="s">
        <v>8688</v>
      </c>
      <c r="B4348" s="2" t="s">
        <v>0</v>
      </c>
      <c r="C4348" s="2">
        <v>2089.17</v>
      </c>
      <c r="D4348" s="2" t="s">
        <v>0</v>
      </c>
      <c r="E4348" s="2">
        <v>5104.92</v>
      </c>
      <c r="G4348" s="1" t="s">
        <v>8689</v>
      </c>
      <c r="H4348" s="2" t="s">
        <v>0</v>
      </c>
      <c r="I4348" s="2">
        <v>1989.86</v>
      </c>
    </row>
    <row r="4349">
      <c r="A4349" s="1" t="s">
        <v>8690</v>
      </c>
      <c r="B4349" s="2">
        <v>2086.59</v>
      </c>
      <c r="C4349" s="2">
        <v>2086.59</v>
      </c>
      <c r="D4349" s="2">
        <v>5102.48</v>
      </c>
      <c r="E4349" s="2">
        <v>5102.48</v>
      </c>
      <c r="G4349" s="1" t="s">
        <v>8691</v>
      </c>
      <c r="H4349" s="2">
        <v>2003.7</v>
      </c>
      <c r="I4349" s="2">
        <v>2003.7</v>
      </c>
    </row>
    <row r="4350">
      <c r="A4350" s="1" t="s">
        <v>8692</v>
      </c>
      <c r="B4350" s="2">
        <v>2089.14</v>
      </c>
      <c r="C4350" s="2">
        <v>2089.14</v>
      </c>
      <c r="D4350" s="2">
        <v>5102.81</v>
      </c>
      <c r="E4350" s="2">
        <v>5102.81</v>
      </c>
      <c r="G4350" s="1" t="s">
        <v>8693</v>
      </c>
      <c r="H4350" s="2">
        <v>2016.29</v>
      </c>
      <c r="I4350" s="2">
        <v>2016.29</v>
      </c>
    </row>
    <row r="4351">
      <c r="A4351" s="1" t="s">
        <v>8694</v>
      </c>
      <c r="B4351" s="2">
        <v>2088.87</v>
      </c>
      <c r="C4351" s="2">
        <v>2088.87</v>
      </c>
      <c r="D4351" s="2">
        <v>5116.14</v>
      </c>
      <c r="E4351" s="2">
        <v>5116.14</v>
      </c>
      <c r="G4351" s="1" t="s">
        <v>8695</v>
      </c>
      <c r="H4351" s="2">
        <v>2009.42</v>
      </c>
      <c r="I4351" s="2">
        <v>2009.42</v>
      </c>
    </row>
    <row r="4352">
      <c r="A4352" s="1" t="s">
        <v>8696</v>
      </c>
      <c r="B4352" s="2" t="s">
        <v>0</v>
      </c>
      <c r="C4352" s="2">
        <v>2088.87</v>
      </c>
      <c r="D4352" s="2" t="s">
        <v>0</v>
      </c>
      <c r="E4352" s="2">
        <v>5116.14</v>
      </c>
      <c r="G4352" s="1" t="s">
        <v>8697</v>
      </c>
      <c r="H4352" s="2">
        <v>2030.68</v>
      </c>
      <c r="I4352" s="2">
        <v>2030.68</v>
      </c>
    </row>
    <row r="4353">
      <c r="A4353" s="1" t="s">
        <v>8698</v>
      </c>
      <c r="B4353" s="2">
        <v>2090.11</v>
      </c>
      <c r="C4353" s="2">
        <v>2090.11</v>
      </c>
      <c r="D4353" s="2">
        <v>5127.52</v>
      </c>
      <c r="E4353" s="2">
        <v>5127.52</v>
      </c>
      <c r="G4353" s="1" t="s">
        <v>8699</v>
      </c>
      <c r="H4353" s="2">
        <v>2028.99</v>
      </c>
      <c r="I4353" s="2">
        <v>2028.99</v>
      </c>
    </row>
    <row r="4354">
      <c r="A4354" s="1" t="s">
        <v>8700</v>
      </c>
      <c r="B4354" s="2" t="s">
        <v>0</v>
      </c>
      <c r="C4354" s="2">
        <v>2090.11</v>
      </c>
      <c r="D4354" s="2" t="s">
        <v>0</v>
      </c>
      <c r="E4354" s="2">
        <v>5127.52</v>
      </c>
      <c r="G4354" s="1" t="s">
        <v>8701</v>
      </c>
      <c r="H4354" s="2" t="s">
        <v>0</v>
      </c>
      <c r="I4354" s="2">
        <v>2028.99</v>
      </c>
    </row>
    <row r="4355">
      <c r="A4355" s="1" t="s">
        <v>8702</v>
      </c>
      <c r="B4355" s="2" t="s">
        <v>0</v>
      </c>
      <c r="C4355" s="2">
        <v>2090.11</v>
      </c>
      <c r="D4355" s="2" t="s">
        <v>0</v>
      </c>
      <c r="E4355" s="2">
        <v>5127.52</v>
      </c>
      <c r="G4355" s="1" t="s">
        <v>8703</v>
      </c>
      <c r="H4355" s="2" t="s">
        <v>0</v>
      </c>
      <c r="I4355" s="2">
        <v>2028.99</v>
      </c>
    </row>
    <row r="4356">
      <c r="A4356" s="1" t="s">
        <v>8704</v>
      </c>
      <c r="B4356" s="2">
        <v>2080.41</v>
      </c>
      <c r="C4356" s="2">
        <v>2080.41</v>
      </c>
      <c r="D4356" s="2">
        <v>5108.67</v>
      </c>
      <c r="E4356" s="2">
        <v>5108.67</v>
      </c>
      <c r="G4356" s="1" t="s">
        <v>8705</v>
      </c>
      <c r="H4356" s="2">
        <v>1991.97</v>
      </c>
      <c r="I4356" s="2">
        <v>1991.97</v>
      </c>
    </row>
    <row r="4357">
      <c r="A4357" s="1" t="s">
        <v>8706</v>
      </c>
      <c r="B4357" s="2">
        <v>2102.63</v>
      </c>
      <c r="C4357" s="2">
        <v>2102.63</v>
      </c>
      <c r="D4357" s="2">
        <v>5156.31</v>
      </c>
      <c r="E4357" s="2">
        <v>5156.31</v>
      </c>
      <c r="G4357" s="1" t="s">
        <v>8707</v>
      </c>
      <c r="H4357" s="2">
        <v>2023.93</v>
      </c>
      <c r="I4357" s="2">
        <v>2023.93</v>
      </c>
    </row>
    <row r="4358">
      <c r="A4358" s="1" t="s">
        <v>8708</v>
      </c>
      <c r="B4358" s="2">
        <v>2079.51</v>
      </c>
      <c r="C4358" s="2">
        <v>2079.51</v>
      </c>
      <c r="D4358" s="2">
        <v>5123.22</v>
      </c>
      <c r="E4358" s="2">
        <v>5123.22</v>
      </c>
      <c r="G4358" s="1" t="s">
        <v>8709</v>
      </c>
      <c r="H4358" s="2">
        <v>2009.29</v>
      </c>
      <c r="I4358" s="2">
        <v>2009.29</v>
      </c>
    </row>
    <row r="4359">
      <c r="A4359" s="1" t="s">
        <v>8710</v>
      </c>
      <c r="B4359" s="2">
        <v>2049.62</v>
      </c>
      <c r="C4359" s="2">
        <v>2049.62</v>
      </c>
      <c r="D4359" s="2">
        <v>5037.53</v>
      </c>
      <c r="E4359" s="2">
        <v>5037.53</v>
      </c>
      <c r="G4359" s="1" t="s">
        <v>8711</v>
      </c>
      <c r="H4359" s="2">
        <v>1994.07</v>
      </c>
      <c r="I4359" s="2">
        <v>1994.07</v>
      </c>
    </row>
    <row r="4360">
      <c r="A4360" s="1" t="s">
        <v>8712</v>
      </c>
      <c r="B4360" s="2">
        <v>2091.69</v>
      </c>
      <c r="C4360" s="2">
        <v>2091.69</v>
      </c>
      <c r="D4360" s="2">
        <v>5142.27</v>
      </c>
      <c r="E4360" s="2">
        <v>5142.27</v>
      </c>
      <c r="G4360" s="1" t="s">
        <v>8713</v>
      </c>
      <c r="H4360" s="2">
        <v>1974.4</v>
      </c>
      <c r="I4360" s="2">
        <v>1974.4</v>
      </c>
    </row>
    <row r="4361">
      <c r="A4361" s="1" t="s">
        <v>8714</v>
      </c>
      <c r="B4361" s="2" t="s">
        <v>0</v>
      </c>
      <c r="C4361" s="2">
        <v>2091.69</v>
      </c>
      <c r="D4361" s="2" t="s">
        <v>0</v>
      </c>
      <c r="E4361" s="2">
        <v>5142.27</v>
      </c>
      <c r="G4361" s="1" t="s">
        <v>8715</v>
      </c>
      <c r="H4361" s="2" t="s">
        <v>0</v>
      </c>
      <c r="I4361" s="2">
        <v>1974.4</v>
      </c>
    </row>
    <row r="4362">
      <c r="A4362" s="1" t="s">
        <v>8716</v>
      </c>
      <c r="B4362" s="2" t="s">
        <v>0</v>
      </c>
      <c r="C4362" s="2">
        <v>2091.69</v>
      </c>
      <c r="D4362" s="2" t="s">
        <v>0</v>
      </c>
      <c r="E4362" s="2">
        <v>5142.27</v>
      </c>
      <c r="G4362" s="1" t="s">
        <v>8717</v>
      </c>
      <c r="H4362" s="2" t="s">
        <v>0</v>
      </c>
      <c r="I4362" s="2">
        <v>1974.4</v>
      </c>
    </row>
    <row r="4363">
      <c r="A4363" s="1" t="s">
        <v>8718</v>
      </c>
      <c r="B4363" s="2">
        <v>2077.07</v>
      </c>
      <c r="C4363" s="2">
        <v>2077.07</v>
      </c>
      <c r="D4363" s="2">
        <v>5101.81</v>
      </c>
      <c r="E4363" s="2">
        <v>5101.81</v>
      </c>
      <c r="G4363" s="1" t="s">
        <v>8719</v>
      </c>
      <c r="H4363" s="2">
        <v>1963.67</v>
      </c>
      <c r="I4363" s="2">
        <v>1963.67</v>
      </c>
    </row>
    <row r="4364">
      <c r="A4364" s="1" t="s">
        <v>8720</v>
      </c>
      <c r="B4364" s="2">
        <v>2063.59</v>
      </c>
      <c r="C4364" s="2">
        <v>2063.59</v>
      </c>
      <c r="D4364" s="2">
        <v>5098.24</v>
      </c>
      <c r="E4364" s="2">
        <v>5098.24</v>
      </c>
      <c r="G4364" s="1" t="s">
        <v>8721</v>
      </c>
      <c r="H4364" s="2">
        <v>1949.04</v>
      </c>
      <c r="I4364" s="2">
        <v>1949.04</v>
      </c>
    </row>
    <row r="4365">
      <c r="A4365" s="1" t="s">
        <v>8722</v>
      </c>
      <c r="B4365" s="2">
        <v>2047.62</v>
      </c>
      <c r="C4365" s="2">
        <v>2047.62</v>
      </c>
      <c r="D4365" s="2">
        <v>5022.87</v>
      </c>
      <c r="E4365" s="2">
        <v>5022.87</v>
      </c>
      <c r="G4365" s="1" t="s">
        <v>8723</v>
      </c>
      <c r="H4365" s="2">
        <v>1948.24</v>
      </c>
      <c r="I4365" s="2">
        <v>1948.24</v>
      </c>
    </row>
    <row r="4366">
      <c r="A4366" s="1" t="s">
        <v>8724</v>
      </c>
      <c r="B4366" s="2">
        <v>2052.23</v>
      </c>
      <c r="C4366" s="2">
        <v>2052.23</v>
      </c>
      <c r="D4366" s="2">
        <v>5045.17</v>
      </c>
      <c r="E4366" s="2">
        <v>5045.17</v>
      </c>
      <c r="G4366" s="1" t="s">
        <v>8725</v>
      </c>
      <c r="H4366" s="2">
        <v>1952.07</v>
      </c>
      <c r="I4366" s="2">
        <v>1952.07</v>
      </c>
    </row>
    <row r="4367">
      <c r="A4367" s="1" t="s">
        <v>8726</v>
      </c>
      <c r="B4367" s="2">
        <v>2012.37</v>
      </c>
      <c r="C4367" s="2">
        <v>2012.37</v>
      </c>
      <c r="D4367" s="2">
        <v>4933.47</v>
      </c>
      <c r="E4367" s="2">
        <v>4933.47</v>
      </c>
      <c r="G4367" s="1" t="s">
        <v>8727</v>
      </c>
      <c r="H4367" s="2">
        <v>1948.62</v>
      </c>
      <c r="I4367" s="2">
        <v>1948.62</v>
      </c>
    </row>
    <row r="4368">
      <c r="A4368" s="1" t="s">
        <v>8728</v>
      </c>
      <c r="B4368" s="2" t="s">
        <v>0</v>
      </c>
      <c r="C4368" s="2">
        <v>2012.37</v>
      </c>
      <c r="D4368" s="2" t="s">
        <v>0</v>
      </c>
      <c r="E4368" s="2">
        <v>4933.47</v>
      </c>
      <c r="G4368" s="1" t="s">
        <v>8729</v>
      </c>
      <c r="H4368" s="2" t="s">
        <v>0</v>
      </c>
      <c r="I4368" s="2">
        <v>1948.62</v>
      </c>
    </row>
    <row r="4369">
      <c r="A4369" s="1" t="s">
        <v>8730</v>
      </c>
      <c r="B4369" s="2" t="s">
        <v>0</v>
      </c>
      <c r="C4369" s="2">
        <v>2012.37</v>
      </c>
      <c r="D4369" s="2" t="s">
        <v>0</v>
      </c>
      <c r="E4369" s="2">
        <v>4933.47</v>
      </c>
      <c r="G4369" s="1" t="s">
        <v>8731</v>
      </c>
      <c r="H4369" s="2" t="s">
        <v>0</v>
      </c>
      <c r="I4369" s="2">
        <v>1948.62</v>
      </c>
    </row>
    <row r="4370">
      <c r="A4370" s="1" t="s">
        <v>8732</v>
      </c>
      <c r="B4370" s="2">
        <v>2021.94</v>
      </c>
      <c r="C4370" s="2">
        <v>2021.94</v>
      </c>
      <c r="D4370" s="2">
        <v>4952.23</v>
      </c>
      <c r="E4370" s="2">
        <v>4952.23</v>
      </c>
      <c r="G4370" s="1" t="s">
        <v>8733</v>
      </c>
      <c r="H4370" s="2">
        <v>1927.82</v>
      </c>
      <c r="I4370" s="2">
        <v>1927.82</v>
      </c>
    </row>
    <row r="4371">
      <c r="A4371" s="1" t="s">
        <v>8734</v>
      </c>
      <c r="B4371" s="2">
        <v>2043.41</v>
      </c>
      <c r="C4371" s="2">
        <v>2043.41</v>
      </c>
      <c r="D4371" s="2">
        <v>4995.36</v>
      </c>
      <c r="E4371" s="2">
        <v>4995.36</v>
      </c>
      <c r="G4371" s="1" t="s">
        <v>8735</v>
      </c>
      <c r="H4371" s="2">
        <v>1932.97</v>
      </c>
      <c r="I4371" s="2">
        <v>1932.97</v>
      </c>
    </row>
    <row r="4372">
      <c r="A4372" s="1" t="s">
        <v>8736</v>
      </c>
      <c r="B4372" s="2">
        <v>2073.07</v>
      </c>
      <c r="C4372" s="2">
        <v>2073.07</v>
      </c>
      <c r="D4372" s="2">
        <v>5071.13</v>
      </c>
      <c r="E4372" s="2">
        <v>5071.13</v>
      </c>
      <c r="G4372" s="1" t="s">
        <v>8737</v>
      </c>
      <c r="H4372" s="2">
        <v>1969.4</v>
      </c>
      <c r="I4372" s="2">
        <v>1969.4</v>
      </c>
    </row>
    <row r="4373">
      <c r="A4373" s="1" t="s">
        <v>8738</v>
      </c>
      <c r="B4373" s="2">
        <v>2041.89</v>
      </c>
      <c r="C4373" s="2">
        <v>2041.89</v>
      </c>
      <c r="D4373" s="2">
        <v>5002.55</v>
      </c>
      <c r="E4373" s="2">
        <v>5002.55</v>
      </c>
      <c r="G4373" s="1" t="s">
        <v>8739</v>
      </c>
      <c r="H4373" s="2">
        <v>1977.96</v>
      </c>
      <c r="I4373" s="2">
        <v>1977.96</v>
      </c>
    </row>
    <row r="4374">
      <c r="A4374" s="1" t="s">
        <v>8740</v>
      </c>
      <c r="B4374" s="2">
        <v>2005.55</v>
      </c>
      <c r="C4374" s="2">
        <v>2005.55</v>
      </c>
      <c r="D4374" s="2">
        <v>4923.08</v>
      </c>
      <c r="E4374" s="2">
        <v>4923.08</v>
      </c>
      <c r="G4374" s="1" t="s">
        <v>8741</v>
      </c>
      <c r="H4374" s="2">
        <v>1975.32</v>
      </c>
      <c r="I4374" s="2">
        <v>1975.32</v>
      </c>
    </row>
    <row r="4375">
      <c r="A4375" s="1" t="s">
        <v>8742</v>
      </c>
      <c r="B4375" s="2" t="s">
        <v>0</v>
      </c>
      <c r="C4375" s="2">
        <v>2005.55</v>
      </c>
      <c r="D4375" s="2" t="s">
        <v>0</v>
      </c>
      <c r="E4375" s="2">
        <v>4923.08</v>
      </c>
      <c r="G4375" s="1" t="s">
        <v>8743</v>
      </c>
      <c r="H4375" s="2" t="s">
        <v>0</v>
      </c>
      <c r="I4375" s="2">
        <v>1975.32</v>
      </c>
    </row>
    <row r="4376">
      <c r="A4376" s="1" t="s">
        <v>8744</v>
      </c>
      <c r="B4376" s="2" t="s">
        <v>0</v>
      </c>
      <c r="C4376" s="2">
        <v>2005.55</v>
      </c>
      <c r="D4376" s="2" t="s">
        <v>0</v>
      </c>
      <c r="E4376" s="2">
        <v>4923.08</v>
      </c>
      <c r="G4376" s="1" t="s">
        <v>8745</v>
      </c>
      <c r="H4376" s="2" t="s">
        <v>0</v>
      </c>
      <c r="I4376" s="2">
        <v>1975.32</v>
      </c>
    </row>
    <row r="4377">
      <c r="A4377" s="1" t="s">
        <v>8746</v>
      </c>
      <c r="B4377" s="2">
        <v>2021.15</v>
      </c>
      <c r="C4377" s="2">
        <v>2021.15</v>
      </c>
      <c r="D4377" s="2">
        <v>4968.92</v>
      </c>
      <c r="E4377" s="2">
        <v>4968.92</v>
      </c>
      <c r="G4377" s="1" t="s">
        <v>8747</v>
      </c>
      <c r="H4377" s="2">
        <v>1981.19</v>
      </c>
      <c r="I4377" s="2">
        <v>1981.19</v>
      </c>
    </row>
    <row r="4378">
      <c r="A4378" s="1" t="s">
        <v>8748</v>
      </c>
      <c r="B4378" s="2">
        <v>2038.97</v>
      </c>
      <c r="C4378" s="2">
        <v>2038.97</v>
      </c>
      <c r="D4378" s="2">
        <v>5001.11</v>
      </c>
      <c r="E4378" s="2">
        <v>5001.11</v>
      </c>
      <c r="G4378" s="1" t="s">
        <v>8749</v>
      </c>
      <c r="H4378" s="2">
        <v>1992.56</v>
      </c>
      <c r="I4378" s="2">
        <v>1992.56</v>
      </c>
    </row>
    <row r="4379">
      <c r="A4379" s="1" t="s">
        <v>8750</v>
      </c>
      <c r="B4379" s="2">
        <v>2064.29</v>
      </c>
      <c r="C4379" s="2">
        <v>2064.29</v>
      </c>
      <c r="D4379" s="2">
        <v>5045.93</v>
      </c>
      <c r="E4379" s="2">
        <v>5045.93</v>
      </c>
      <c r="G4379" s="1" t="s">
        <v>8751</v>
      </c>
      <c r="H4379" s="2">
        <v>1999.22</v>
      </c>
      <c r="I4379" s="2">
        <v>1999.22</v>
      </c>
    </row>
    <row r="4380">
      <c r="A4380" s="1" t="s">
        <v>8752</v>
      </c>
      <c r="B4380" s="2">
        <v>2060.99</v>
      </c>
      <c r="C4380" s="2">
        <v>2060.99</v>
      </c>
      <c r="D4380" s="2">
        <v>5048.49</v>
      </c>
      <c r="E4380" s="2">
        <v>5048.49</v>
      </c>
      <c r="G4380" s="1" t="s">
        <v>8753</v>
      </c>
      <c r="H4380" s="2">
        <v>1990.65</v>
      </c>
      <c r="I4380" s="2">
        <v>1990.65</v>
      </c>
    </row>
    <row r="4381">
      <c r="A4381" s="1" t="s">
        <v>8754</v>
      </c>
      <c r="B4381" s="2" t="s">
        <v>0</v>
      </c>
      <c r="C4381" s="2">
        <v>2060.99</v>
      </c>
      <c r="D4381" s="2" t="s">
        <v>0</v>
      </c>
      <c r="E4381" s="2">
        <v>5048.49</v>
      </c>
      <c r="G4381" s="1" t="s">
        <v>8755</v>
      </c>
      <c r="H4381" s="2" t="s">
        <v>0</v>
      </c>
      <c r="I4381" s="2">
        <v>1990.65</v>
      </c>
    </row>
    <row r="4382">
      <c r="A4382" s="1" t="s">
        <v>8756</v>
      </c>
      <c r="B4382" s="2" t="s">
        <v>0</v>
      </c>
      <c r="C4382" s="2">
        <v>2060.99</v>
      </c>
      <c r="D4382" s="2" t="s">
        <v>0</v>
      </c>
      <c r="E4382" s="2">
        <v>5048.49</v>
      </c>
      <c r="G4382" s="1" t="s">
        <v>8757</v>
      </c>
      <c r="H4382" s="2" t="s">
        <v>0</v>
      </c>
      <c r="I4382" s="2">
        <v>1990.65</v>
      </c>
    </row>
    <row r="4383">
      <c r="A4383" s="1" t="s">
        <v>8758</v>
      </c>
      <c r="B4383" s="2" t="s">
        <v>0</v>
      </c>
      <c r="C4383" s="2">
        <v>2060.99</v>
      </c>
      <c r="D4383" s="2" t="s">
        <v>0</v>
      </c>
      <c r="E4383" s="2">
        <v>5048.49</v>
      </c>
      <c r="G4383" s="1" t="s">
        <v>8759</v>
      </c>
      <c r="H4383" s="2" t="s">
        <v>0</v>
      </c>
      <c r="I4383" s="2">
        <v>1990.65</v>
      </c>
    </row>
    <row r="4384">
      <c r="A4384" s="1" t="s">
        <v>8760</v>
      </c>
      <c r="B4384" s="2">
        <v>2056.5</v>
      </c>
      <c r="C4384" s="2">
        <v>2056.5</v>
      </c>
      <c r="D4384" s="2">
        <v>5040.99</v>
      </c>
      <c r="E4384" s="2">
        <v>5040.99</v>
      </c>
      <c r="G4384" s="1" t="s">
        <v>8761</v>
      </c>
      <c r="H4384" s="2">
        <v>1964.06</v>
      </c>
      <c r="I4384" s="2">
        <v>1964.06</v>
      </c>
    </row>
    <row r="4385">
      <c r="A4385" s="1" t="s">
        <v>8762</v>
      </c>
      <c r="B4385" s="2">
        <v>2078.36</v>
      </c>
      <c r="C4385" s="2">
        <v>2078.36</v>
      </c>
      <c r="D4385" s="2">
        <v>5107.94</v>
      </c>
      <c r="E4385" s="2">
        <v>5107.94</v>
      </c>
      <c r="G4385" s="1" t="s">
        <v>8763</v>
      </c>
      <c r="H4385" s="2">
        <v>1966.31</v>
      </c>
      <c r="I4385" s="2">
        <v>1966.31</v>
      </c>
    </row>
    <row r="4386">
      <c r="A4386" s="1" t="s">
        <v>8764</v>
      </c>
      <c r="B4386" s="2">
        <v>2063.36</v>
      </c>
      <c r="C4386" s="2">
        <v>2063.36</v>
      </c>
      <c r="D4386" s="2">
        <v>5065.85</v>
      </c>
      <c r="E4386" s="2">
        <v>5065.85</v>
      </c>
      <c r="G4386" s="1" t="s">
        <v>8765</v>
      </c>
      <c r="H4386" s="2">
        <v>1961.31</v>
      </c>
      <c r="I4386" s="2">
        <v>1961.31</v>
      </c>
    </row>
    <row r="4387">
      <c r="A4387" s="1" t="s">
        <v>8766</v>
      </c>
      <c r="B4387" s="2">
        <v>2043.94</v>
      </c>
      <c r="C4387" s="2">
        <v>2043.94</v>
      </c>
      <c r="D4387" s="2">
        <v>5007.41</v>
      </c>
      <c r="E4387" s="2">
        <v>5007.41</v>
      </c>
      <c r="G4387" s="1" t="s">
        <v>8767</v>
      </c>
      <c r="H4387" s="2" t="s">
        <v>0</v>
      </c>
      <c r="I4387" s="2">
        <v>1961.31</v>
      </c>
    </row>
    <row r="4388">
      <c r="A4388" s="1" t="s">
        <v>8768</v>
      </c>
      <c r="B4388" s="2" t="s">
        <v>0</v>
      </c>
      <c r="C4388" s="2">
        <v>2043.94</v>
      </c>
      <c r="D4388" s="2" t="s">
        <v>0</v>
      </c>
      <c r="E4388" s="2">
        <v>5007.41</v>
      </c>
      <c r="G4388" s="1" t="s">
        <v>8769</v>
      </c>
      <c r="H4388" s="2" t="s">
        <v>0</v>
      </c>
      <c r="I4388" s="2">
        <v>1961.31</v>
      </c>
    </row>
    <row r="4389">
      <c r="A4389" s="1" t="s">
        <v>8770</v>
      </c>
      <c r="B4389" s="2" t="s">
        <v>0</v>
      </c>
      <c r="C4389" s="2">
        <v>2043.94</v>
      </c>
      <c r="D4389" s="2" t="s">
        <v>0</v>
      </c>
      <c r="E4389" s="2">
        <v>5007.41</v>
      </c>
      <c r="G4389" s="1" t="s">
        <v>8771</v>
      </c>
      <c r="H4389" s="2" t="s">
        <v>0</v>
      </c>
      <c r="I4389" s="2">
        <v>1961.31</v>
      </c>
    </row>
    <row r="4390">
      <c r="A4390" s="1" t="s">
        <v>8772</v>
      </c>
      <c r="B4390" s="2" t="s">
        <v>0</v>
      </c>
      <c r="C4390" s="2">
        <v>2043.94</v>
      </c>
      <c r="D4390" s="2" t="s">
        <v>0</v>
      </c>
      <c r="E4390" s="2">
        <v>5007.41</v>
      </c>
      <c r="G4390" s="1" t="s">
        <v>8773</v>
      </c>
      <c r="H4390" s="2" t="s">
        <v>0</v>
      </c>
      <c r="I4390" s="2">
        <v>1961.31</v>
      </c>
    </row>
    <row r="4391">
      <c r="A4391" s="1" t="s">
        <v>8774</v>
      </c>
      <c r="B4391" s="2">
        <v>2012.66</v>
      </c>
      <c r="C4391" s="2">
        <v>2012.66</v>
      </c>
      <c r="D4391" s="2">
        <v>4903.09</v>
      </c>
      <c r="E4391" s="2">
        <v>4903.09</v>
      </c>
      <c r="G4391" s="1" t="s">
        <v>8775</v>
      </c>
      <c r="H4391" s="2">
        <v>1918.76</v>
      </c>
      <c r="I4391" s="2">
        <v>1918.76</v>
      </c>
    </row>
    <row r="4392">
      <c r="A4392" s="1" t="s">
        <v>8776</v>
      </c>
      <c r="B4392" s="2">
        <v>2016.71</v>
      </c>
      <c r="C4392" s="2">
        <v>2016.71</v>
      </c>
      <c r="D4392" s="2">
        <v>4891.43</v>
      </c>
      <c r="E4392" s="2">
        <v>4891.43</v>
      </c>
      <c r="G4392" s="1" t="s">
        <v>8777</v>
      </c>
      <c r="H4392" s="2">
        <v>1930.53</v>
      </c>
      <c r="I4392" s="2">
        <v>1930.53</v>
      </c>
    </row>
    <row r="4393">
      <c r="A4393" s="1" t="s">
        <v>8778</v>
      </c>
      <c r="B4393" s="2">
        <v>1990.26</v>
      </c>
      <c r="C4393" s="2">
        <v>1990.26</v>
      </c>
      <c r="D4393" s="2">
        <v>4835.76</v>
      </c>
      <c r="E4393" s="2">
        <v>4835.76</v>
      </c>
      <c r="G4393" s="1" t="s">
        <v>8779</v>
      </c>
      <c r="H4393" s="2">
        <v>1925.43</v>
      </c>
      <c r="I4393" s="2">
        <v>1925.43</v>
      </c>
    </row>
    <row r="4394">
      <c r="A4394" s="1" t="s">
        <v>8780</v>
      </c>
      <c r="B4394" s="2">
        <v>1943.09</v>
      </c>
      <c r="C4394" s="2">
        <v>1943.09</v>
      </c>
      <c r="D4394" s="2">
        <v>4689.43</v>
      </c>
      <c r="E4394" s="2">
        <v>4689.43</v>
      </c>
      <c r="G4394" s="1" t="s">
        <v>8781</v>
      </c>
      <c r="H4394" s="2">
        <v>1904.33</v>
      </c>
      <c r="I4394" s="2">
        <v>1904.33</v>
      </c>
    </row>
    <row r="4395">
      <c r="A4395" s="1" t="s">
        <v>8782</v>
      </c>
      <c r="B4395" s="2">
        <v>1922.03</v>
      </c>
      <c r="C4395" s="2">
        <v>1922.03</v>
      </c>
      <c r="D4395" s="2">
        <v>4643.63</v>
      </c>
      <c r="E4395" s="2">
        <v>4643.63</v>
      </c>
      <c r="G4395" s="1" t="s">
        <v>8783</v>
      </c>
      <c r="H4395" s="2">
        <v>1917.62</v>
      </c>
      <c r="I4395" s="2">
        <v>1917.62</v>
      </c>
    </row>
    <row r="4396">
      <c r="A4396" s="1" t="s">
        <v>8784</v>
      </c>
      <c r="B4396" s="2" t="s">
        <v>0</v>
      </c>
      <c r="C4396" s="2">
        <v>1922.03</v>
      </c>
      <c r="D4396" s="2" t="s">
        <v>0</v>
      </c>
      <c r="E4396" s="2">
        <v>4643.63</v>
      </c>
      <c r="G4396" s="1" t="s">
        <v>8785</v>
      </c>
      <c r="H4396" s="2" t="s">
        <v>0</v>
      </c>
      <c r="I4396" s="2">
        <v>1917.62</v>
      </c>
    </row>
    <row r="4397">
      <c r="A4397" s="1" t="s">
        <v>8786</v>
      </c>
      <c r="B4397" s="2" t="s">
        <v>0</v>
      </c>
      <c r="C4397" s="2">
        <v>1922.03</v>
      </c>
      <c r="D4397" s="2" t="s">
        <v>0</v>
      </c>
      <c r="E4397" s="2">
        <v>4643.63</v>
      </c>
      <c r="G4397" s="1" t="s">
        <v>8787</v>
      </c>
      <c r="H4397" s="2" t="s">
        <v>0</v>
      </c>
      <c r="I4397" s="2">
        <v>1917.62</v>
      </c>
    </row>
    <row r="4398">
      <c r="A4398" s="1" t="s">
        <v>8788</v>
      </c>
      <c r="B4398" s="2">
        <v>1923.67</v>
      </c>
      <c r="C4398" s="2">
        <v>1923.67</v>
      </c>
      <c r="D4398" s="2">
        <v>4637.99</v>
      </c>
      <c r="E4398" s="2">
        <v>4637.99</v>
      </c>
      <c r="G4398" s="1" t="s">
        <v>8789</v>
      </c>
      <c r="H4398" s="2">
        <v>1894.84</v>
      </c>
      <c r="I4398" s="2">
        <v>1894.84</v>
      </c>
    </row>
    <row r="4399">
      <c r="A4399" s="1" t="s">
        <v>8790</v>
      </c>
      <c r="B4399" s="2">
        <v>1938.68</v>
      </c>
      <c r="C4399" s="2">
        <v>1938.68</v>
      </c>
      <c r="D4399" s="2">
        <v>4685.92</v>
      </c>
      <c r="E4399" s="2">
        <v>4685.92</v>
      </c>
      <c r="G4399" s="1" t="s">
        <v>8791</v>
      </c>
      <c r="H4399" s="2">
        <v>1890.86</v>
      </c>
      <c r="I4399" s="2">
        <v>1890.86</v>
      </c>
    </row>
    <row r="4400">
      <c r="A4400" s="1" t="s">
        <v>8792</v>
      </c>
      <c r="B4400" s="2">
        <v>1890.28</v>
      </c>
      <c r="C4400" s="2">
        <v>1890.28</v>
      </c>
      <c r="D4400" s="2">
        <v>4526.06</v>
      </c>
      <c r="E4400" s="2">
        <v>4526.06</v>
      </c>
      <c r="G4400" s="1" t="s">
        <v>8793</v>
      </c>
      <c r="H4400" s="2">
        <v>1916.28</v>
      </c>
      <c r="I4400" s="2">
        <v>1916.28</v>
      </c>
    </row>
    <row r="4401">
      <c r="A4401" s="1" t="s">
        <v>8794</v>
      </c>
      <c r="B4401" s="2">
        <v>1921.84</v>
      </c>
      <c r="C4401" s="2">
        <v>1921.84</v>
      </c>
      <c r="D4401" s="2">
        <v>4615.0</v>
      </c>
      <c r="E4401" s="2">
        <v>4615.0</v>
      </c>
      <c r="G4401" s="1" t="s">
        <v>8795</v>
      </c>
      <c r="H4401" s="2">
        <v>1900.01</v>
      </c>
      <c r="I4401" s="2">
        <v>1900.01</v>
      </c>
    </row>
    <row r="4402">
      <c r="A4402" s="1" t="s">
        <v>8796</v>
      </c>
      <c r="B4402" s="2">
        <v>1880.33</v>
      </c>
      <c r="C4402" s="2">
        <v>1880.33</v>
      </c>
      <c r="D4402" s="2">
        <v>4488.42</v>
      </c>
      <c r="E4402" s="2">
        <v>4488.42</v>
      </c>
      <c r="G4402" s="1" t="s">
        <v>8797</v>
      </c>
      <c r="H4402" s="2">
        <v>1878.87</v>
      </c>
      <c r="I4402" s="2">
        <v>1878.87</v>
      </c>
    </row>
    <row r="4403">
      <c r="A4403" s="1" t="s">
        <v>8798</v>
      </c>
      <c r="B4403" s="2" t="s">
        <v>0</v>
      </c>
      <c r="C4403" s="2">
        <v>1880.33</v>
      </c>
      <c r="D4403" s="2" t="s">
        <v>0</v>
      </c>
      <c r="E4403" s="2">
        <v>4488.42</v>
      </c>
      <c r="G4403" s="1" t="s">
        <v>8799</v>
      </c>
      <c r="H4403" s="2" t="s">
        <v>0</v>
      </c>
      <c r="I4403" s="2">
        <v>1878.87</v>
      </c>
    </row>
    <row r="4404">
      <c r="A4404" s="1" t="s">
        <v>8800</v>
      </c>
      <c r="B4404" s="2" t="s">
        <v>0</v>
      </c>
      <c r="C4404" s="2">
        <v>1880.33</v>
      </c>
      <c r="D4404" s="2" t="s">
        <v>0</v>
      </c>
      <c r="E4404" s="2">
        <v>4488.42</v>
      </c>
      <c r="G4404" s="1" t="s">
        <v>8801</v>
      </c>
      <c r="H4404" s="2" t="s">
        <v>0</v>
      </c>
      <c r="I4404" s="2">
        <v>1878.87</v>
      </c>
    </row>
    <row r="4405">
      <c r="A4405" s="1" t="s">
        <v>8802</v>
      </c>
      <c r="B4405" s="2" t="s">
        <v>0</v>
      </c>
      <c r="C4405" s="2">
        <v>1880.33</v>
      </c>
      <c r="D4405" s="2" t="s">
        <v>0</v>
      </c>
      <c r="E4405" s="2">
        <v>4488.42</v>
      </c>
      <c r="G4405" s="1" t="s">
        <v>8803</v>
      </c>
      <c r="H4405" s="2">
        <v>1878.45</v>
      </c>
      <c r="I4405" s="2">
        <v>1878.45</v>
      </c>
    </row>
    <row r="4406">
      <c r="A4406" s="1" t="s">
        <v>8804</v>
      </c>
      <c r="B4406" s="2">
        <v>1881.33</v>
      </c>
      <c r="C4406" s="2">
        <v>1881.33</v>
      </c>
      <c r="D4406" s="2">
        <v>4476.95</v>
      </c>
      <c r="E4406" s="2">
        <v>4476.95</v>
      </c>
      <c r="G4406" s="1" t="s">
        <v>8805</v>
      </c>
      <c r="H4406" s="2">
        <v>1889.64</v>
      </c>
      <c r="I4406" s="2">
        <v>1889.64</v>
      </c>
    </row>
    <row r="4407">
      <c r="A4407" s="1" t="s">
        <v>8806</v>
      </c>
      <c r="B4407" s="2">
        <v>1859.33</v>
      </c>
      <c r="C4407" s="2">
        <v>1859.33</v>
      </c>
      <c r="D4407" s="2">
        <v>4471.69</v>
      </c>
      <c r="E4407" s="2">
        <v>4471.69</v>
      </c>
      <c r="G4407" s="1" t="s">
        <v>8807</v>
      </c>
      <c r="H4407" s="2">
        <v>1845.45</v>
      </c>
      <c r="I4407" s="2">
        <v>1845.45</v>
      </c>
    </row>
    <row r="4408">
      <c r="A4408" s="1" t="s">
        <v>8808</v>
      </c>
      <c r="B4408" s="2">
        <v>1868.99</v>
      </c>
      <c r="C4408" s="2">
        <v>1868.99</v>
      </c>
      <c r="D4408" s="2">
        <v>4472.06</v>
      </c>
      <c r="E4408" s="2">
        <v>4472.06</v>
      </c>
      <c r="G4408" s="1" t="s">
        <v>8809</v>
      </c>
      <c r="H4408" s="2">
        <v>1840.53</v>
      </c>
      <c r="I4408" s="2">
        <v>1840.53</v>
      </c>
    </row>
    <row r="4409">
      <c r="A4409" s="1" t="s">
        <v>8810</v>
      </c>
      <c r="B4409" s="2">
        <v>1906.9</v>
      </c>
      <c r="C4409" s="2">
        <v>1906.9</v>
      </c>
      <c r="D4409" s="2">
        <v>4591.18</v>
      </c>
      <c r="E4409" s="2">
        <v>4591.18</v>
      </c>
      <c r="G4409" s="1" t="s">
        <v>8811</v>
      </c>
      <c r="H4409" s="2" t="s">
        <v>0</v>
      </c>
      <c r="I4409" s="2">
        <v>1840.53</v>
      </c>
    </row>
    <row r="4410">
      <c r="A4410" s="1" t="s">
        <v>8812</v>
      </c>
      <c r="B4410" s="2" t="s">
        <v>0</v>
      </c>
      <c r="C4410" s="2">
        <v>1906.9</v>
      </c>
      <c r="D4410" s="2" t="s">
        <v>0</v>
      </c>
      <c r="E4410" s="2">
        <v>4591.18</v>
      </c>
      <c r="G4410" s="1" t="s">
        <v>8813</v>
      </c>
      <c r="H4410" s="2" t="s">
        <v>0</v>
      </c>
      <c r="I4410" s="2">
        <v>1840.53</v>
      </c>
    </row>
    <row r="4411">
      <c r="A4411" s="1" t="s">
        <v>8814</v>
      </c>
      <c r="B4411" s="2" t="s">
        <v>0</v>
      </c>
      <c r="C4411" s="2">
        <v>1906.9</v>
      </c>
      <c r="D4411" s="2" t="s">
        <v>0</v>
      </c>
      <c r="E4411" s="2">
        <v>4591.18</v>
      </c>
      <c r="G4411" s="1" t="s">
        <v>8815</v>
      </c>
      <c r="H4411" s="2" t="s">
        <v>0</v>
      </c>
      <c r="I4411" s="2">
        <v>1840.53</v>
      </c>
    </row>
    <row r="4412">
      <c r="A4412" s="1" t="s">
        <v>8816</v>
      </c>
      <c r="B4412" s="2">
        <v>1877.08</v>
      </c>
      <c r="C4412" s="2">
        <v>1877.08</v>
      </c>
      <c r="D4412" s="2">
        <v>4518.49</v>
      </c>
      <c r="E4412" s="2">
        <v>4518.49</v>
      </c>
      <c r="G4412" s="1" t="s">
        <v>8817</v>
      </c>
      <c r="H4412" s="2">
        <v>1893.43</v>
      </c>
      <c r="I4412" s="2">
        <v>1893.43</v>
      </c>
    </row>
    <row r="4413">
      <c r="A4413" s="1" t="s">
        <v>8818</v>
      </c>
      <c r="B4413" s="2">
        <v>1903.63</v>
      </c>
      <c r="C4413" s="2">
        <v>1903.63</v>
      </c>
      <c r="D4413" s="2">
        <v>4567.67</v>
      </c>
      <c r="E4413" s="2">
        <v>4567.67</v>
      </c>
      <c r="G4413" s="1" t="s">
        <v>8819</v>
      </c>
      <c r="H4413" s="2">
        <v>1871.69</v>
      </c>
      <c r="I4413" s="2">
        <v>1871.69</v>
      </c>
    </row>
    <row r="4414">
      <c r="A4414" s="1" t="s">
        <v>8820</v>
      </c>
      <c r="B4414" s="2">
        <v>1882.95</v>
      </c>
      <c r="C4414" s="2">
        <v>1882.95</v>
      </c>
      <c r="D4414" s="2">
        <v>4468.17</v>
      </c>
      <c r="E4414" s="2">
        <v>4468.17</v>
      </c>
      <c r="G4414" s="1" t="s">
        <v>8821</v>
      </c>
      <c r="H4414" s="2">
        <v>1897.87</v>
      </c>
      <c r="I4414" s="2">
        <v>1897.87</v>
      </c>
    </row>
    <row r="4415">
      <c r="A4415" s="1" t="s">
        <v>8822</v>
      </c>
      <c r="B4415" s="2">
        <v>1893.36</v>
      </c>
      <c r="C4415" s="2">
        <v>1893.36</v>
      </c>
      <c r="D4415" s="2">
        <v>4506.68</v>
      </c>
      <c r="E4415" s="2">
        <v>4506.68</v>
      </c>
      <c r="G4415" s="1" t="s">
        <v>8823</v>
      </c>
      <c r="H4415" s="2">
        <v>1906.94</v>
      </c>
      <c r="I4415" s="2">
        <v>1906.94</v>
      </c>
    </row>
    <row r="4416">
      <c r="A4416" s="1" t="s">
        <v>8824</v>
      </c>
      <c r="B4416" s="2">
        <v>1940.24</v>
      </c>
      <c r="C4416" s="2">
        <v>1940.24</v>
      </c>
      <c r="D4416" s="2">
        <v>4613.95</v>
      </c>
      <c r="E4416" s="2">
        <v>4613.95</v>
      </c>
      <c r="G4416" s="1" t="s">
        <v>8825</v>
      </c>
      <c r="H4416" s="2">
        <v>1912.06</v>
      </c>
      <c r="I4416" s="2">
        <v>1912.06</v>
      </c>
    </row>
    <row r="4417">
      <c r="A4417" s="1" t="s">
        <v>8826</v>
      </c>
      <c r="B4417" s="2" t="s">
        <v>0</v>
      </c>
      <c r="C4417" s="2">
        <v>1940.24</v>
      </c>
      <c r="D4417" s="2" t="s">
        <v>0</v>
      </c>
      <c r="E4417" s="2">
        <v>4613.95</v>
      </c>
      <c r="G4417" s="1" t="s">
        <v>8827</v>
      </c>
      <c r="H4417" s="2" t="s">
        <v>0</v>
      </c>
      <c r="I4417" s="2">
        <v>1912.06</v>
      </c>
    </row>
    <row r="4418">
      <c r="A4418" s="1" t="s">
        <v>8828</v>
      </c>
      <c r="B4418" s="2" t="s">
        <v>0</v>
      </c>
      <c r="C4418" s="2">
        <v>1940.24</v>
      </c>
      <c r="D4418" s="2" t="s">
        <v>0</v>
      </c>
      <c r="E4418" s="2">
        <v>4613.95</v>
      </c>
      <c r="G4418" s="1" t="s">
        <v>8829</v>
      </c>
      <c r="H4418" s="2" t="s">
        <v>0</v>
      </c>
      <c r="I4418" s="2">
        <v>1912.06</v>
      </c>
    </row>
    <row r="4419">
      <c r="A4419" s="1" t="s">
        <v>8830</v>
      </c>
      <c r="B4419" s="2">
        <v>1939.38</v>
      </c>
      <c r="C4419" s="2">
        <v>1939.38</v>
      </c>
      <c r="D4419" s="2">
        <v>4620.37</v>
      </c>
      <c r="E4419" s="2">
        <v>4620.37</v>
      </c>
      <c r="G4419" s="1" t="s">
        <v>8831</v>
      </c>
      <c r="H4419" s="2">
        <v>1924.82</v>
      </c>
      <c r="I4419" s="2">
        <v>1924.82</v>
      </c>
    </row>
    <row r="4420">
      <c r="A4420" s="1" t="s">
        <v>8832</v>
      </c>
      <c r="B4420" s="2">
        <v>1903.03</v>
      </c>
      <c r="C4420" s="2">
        <v>1903.03</v>
      </c>
      <c r="D4420" s="2">
        <v>4516.95</v>
      </c>
      <c r="E4420" s="2">
        <v>4516.95</v>
      </c>
      <c r="G4420" s="1" t="s">
        <v>8833</v>
      </c>
      <c r="H4420" s="2" t="s">
        <v>0</v>
      </c>
      <c r="I4420" s="2">
        <v>1924.82</v>
      </c>
    </row>
    <row r="4421">
      <c r="A4421" s="1" t="s">
        <v>8834</v>
      </c>
      <c r="B4421" s="2">
        <v>1912.53</v>
      </c>
      <c r="C4421" s="2">
        <v>1912.53</v>
      </c>
      <c r="D4421" s="2">
        <v>4504.24</v>
      </c>
      <c r="E4421" s="2">
        <v>4504.24</v>
      </c>
      <c r="G4421" s="1" t="s">
        <v>8835</v>
      </c>
      <c r="H4421" s="2">
        <v>1890.67</v>
      </c>
      <c r="I4421" s="2">
        <v>1890.67</v>
      </c>
    </row>
    <row r="4422">
      <c r="A4422" s="1" t="s">
        <v>8836</v>
      </c>
      <c r="B4422" s="2">
        <v>1915.45</v>
      </c>
      <c r="C4422" s="2">
        <v>1915.45</v>
      </c>
      <c r="D4422" s="2">
        <v>4509.56</v>
      </c>
      <c r="E4422" s="2">
        <v>4509.56</v>
      </c>
      <c r="G4422" s="1" t="s">
        <v>8837</v>
      </c>
      <c r="H4422" s="2">
        <v>1916.26</v>
      </c>
      <c r="I4422" s="2">
        <v>1916.26</v>
      </c>
    </row>
    <row r="4423">
      <c r="A4423" s="1" t="s">
        <v>8838</v>
      </c>
      <c r="B4423" s="2">
        <v>1880.05</v>
      </c>
      <c r="C4423" s="2">
        <v>1880.05</v>
      </c>
      <c r="D4423" s="2">
        <v>4363.14</v>
      </c>
      <c r="E4423" s="2">
        <v>4363.14</v>
      </c>
      <c r="G4423" s="1" t="s">
        <v>8839</v>
      </c>
      <c r="H4423" s="2">
        <v>1917.79</v>
      </c>
      <c r="I4423" s="2">
        <v>1917.79</v>
      </c>
    </row>
    <row r="4424">
      <c r="A4424" s="1" t="s">
        <v>8840</v>
      </c>
      <c r="B4424" s="2" t="s">
        <v>0</v>
      </c>
      <c r="C4424" s="2">
        <v>1880.05</v>
      </c>
      <c r="D4424" s="2" t="s">
        <v>0</v>
      </c>
      <c r="E4424" s="2">
        <v>4363.14</v>
      </c>
      <c r="G4424" s="1" t="s">
        <v>8841</v>
      </c>
      <c r="H4424" s="2" t="s">
        <v>0</v>
      </c>
      <c r="I4424" s="2">
        <v>1917.79</v>
      </c>
    </row>
    <row r="4425">
      <c r="A4425" s="1" t="s">
        <v>8842</v>
      </c>
      <c r="B4425" s="2" t="s">
        <v>0</v>
      </c>
      <c r="C4425" s="2">
        <v>1880.05</v>
      </c>
      <c r="D4425" s="2" t="s">
        <v>0</v>
      </c>
      <c r="E4425" s="2">
        <v>4363.14</v>
      </c>
      <c r="G4425" s="1" t="s">
        <v>8843</v>
      </c>
      <c r="H4425" s="2" t="s">
        <v>0</v>
      </c>
      <c r="I4425" s="2">
        <v>1917.79</v>
      </c>
    </row>
    <row r="4426">
      <c r="A4426" s="1" t="s">
        <v>8844</v>
      </c>
      <c r="B4426" s="2">
        <v>1853.44</v>
      </c>
      <c r="C4426" s="2">
        <v>1853.44</v>
      </c>
      <c r="D4426" s="2">
        <v>4283.75</v>
      </c>
      <c r="E4426" s="2">
        <v>4283.75</v>
      </c>
      <c r="G4426" s="1" t="s">
        <v>8845</v>
      </c>
      <c r="H4426" s="2" t="s">
        <v>0</v>
      </c>
      <c r="I4426" s="2">
        <v>1917.79</v>
      </c>
    </row>
    <row r="4427">
      <c r="A4427" s="1" t="s">
        <v>8846</v>
      </c>
      <c r="B4427" s="2">
        <v>1852.21</v>
      </c>
      <c r="C4427" s="2">
        <v>1852.21</v>
      </c>
      <c r="D4427" s="2">
        <v>4268.76</v>
      </c>
      <c r="E4427" s="2">
        <v>4268.76</v>
      </c>
      <c r="G4427" s="1" t="s">
        <v>8847</v>
      </c>
      <c r="H4427" s="2" t="s">
        <v>0</v>
      </c>
      <c r="I4427" s="2">
        <v>1917.79</v>
      </c>
    </row>
    <row r="4428">
      <c r="A4428" s="1" t="s">
        <v>8848</v>
      </c>
      <c r="B4428" s="2">
        <v>1851.86</v>
      </c>
      <c r="C4428" s="2">
        <v>1851.86</v>
      </c>
      <c r="D4428" s="2">
        <v>4283.59</v>
      </c>
      <c r="E4428" s="2">
        <v>4283.59</v>
      </c>
      <c r="G4428" s="1" t="s">
        <v>8849</v>
      </c>
      <c r="H4428" s="2" t="s">
        <v>0</v>
      </c>
      <c r="I4428" s="2">
        <v>1917.79</v>
      </c>
    </row>
    <row r="4429">
      <c r="A4429" s="1" t="s">
        <v>8850</v>
      </c>
      <c r="B4429" s="2">
        <v>1829.08</v>
      </c>
      <c r="C4429" s="2">
        <v>1829.08</v>
      </c>
      <c r="D4429" s="2">
        <v>4266.84</v>
      </c>
      <c r="E4429" s="2">
        <v>4266.84</v>
      </c>
      <c r="G4429" s="1" t="s">
        <v>8851</v>
      </c>
      <c r="H4429" s="2">
        <v>1861.54</v>
      </c>
      <c r="I4429" s="2">
        <v>1861.54</v>
      </c>
    </row>
    <row r="4430">
      <c r="A4430" s="1" t="s">
        <v>8852</v>
      </c>
      <c r="B4430" s="2">
        <v>1864.78</v>
      </c>
      <c r="C4430" s="2">
        <v>1864.78</v>
      </c>
      <c r="D4430" s="2">
        <v>4337.51</v>
      </c>
      <c r="E4430" s="2">
        <v>4337.51</v>
      </c>
      <c r="G4430" s="1" t="s">
        <v>8853</v>
      </c>
      <c r="H4430" s="2">
        <v>1835.28</v>
      </c>
      <c r="I4430" s="2">
        <v>1835.28</v>
      </c>
    </row>
    <row r="4431">
      <c r="A4431" s="1" t="s">
        <v>8854</v>
      </c>
      <c r="B4431" s="2" t="s">
        <v>0</v>
      </c>
      <c r="C4431" s="2">
        <v>1864.78</v>
      </c>
      <c r="D4431" s="2" t="s">
        <v>0</v>
      </c>
      <c r="E4431" s="2">
        <v>4337.51</v>
      </c>
      <c r="G4431" s="1" t="s">
        <v>8855</v>
      </c>
      <c r="H4431" s="2" t="s">
        <v>0</v>
      </c>
      <c r="I4431" s="2">
        <v>1835.28</v>
      </c>
    </row>
    <row r="4432">
      <c r="A4432" s="1" t="s">
        <v>8856</v>
      </c>
      <c r="B4432" s="2" t="s">
        <v>0</v>
      </c>
      <c r="C4432" s="2">
        <v>1864.78</v>
      </c>
      <c r="D4432" s="2" t="s">
        <v>0</v>
      </c>
      <c r="E4432" s="2">
        <v>4337.51</v>
      </c>
      <c r="G4432" s="1" t="s">
        <v>8857</v>
      </c>
      <c r="H4432" s="2" t="s">
        <v>0</v>
      </c>
      <c r="I4432" s="2">
        <v>1835.28</v>
      </c>
    </row>
    <row r="4433">
      <c r="A4433" s="1" t="s">
        <v>8858</v>
      </c>
      <c r="B4433" s="2" t="s">
        <v>0</v>
      </c>
      <c r="C4433" s="2">
        <v>1864.78</v>
      </c>
      <c r="D4433" s="2" t="s">
        <v>0</v>
      </c>
      <c r="E4433" s="2">
        <v>4337.51</v>
      </c>
      <c r="G4433" s="1" t="s">
        <v>8859</v>
      </c>
      <c r="H4433" s="2">
        <v>1862.2</v>
      </c>
      <c r="I4433" s="2">
        <v>1862.2</v>
      </c>
    </row>
    <row r="4434">
      <c r="A4434" s="1" t="s">
        <v>8860</v>
      </c>
      <c r="B4434" s="2">
        <v>1895.58</v>
      </c>
      <c r="C4434" s="2">
        <v>1895.58</v>
      </c>
      <c r="D4434" s="2">
        <v>4435.96</v>
      </c>
      <c r="E4434" s="2">
        <v>4435.96</v>
      </c>
      <c r="G4434" s="1" t="s">
        <v>8861</v>
      </c>
      <c r="H4434" s="2">
        <v>1888.3</v>
      </c>
      <c r="I4434" s="2">
        <v>1888.3</v>
      </c>
    </row>
    <row r="4435">
      <c r="A4435" s="1" t="s">
        <v>8862</v>
      </c>
      <c r="B4435" s="2">
        <v>1926.82</v>
      </c>
      <c r="C4435" s="2">
        <v>1926.82</v>
      </c>
      <c r="D4435" s="2">
        <v>4534.06</v>
      </c>
      <c r="E4435" s="2">
        <v>4534.06</v>
      </c>
      <c r="G4435" s="1" t="s">
        <v>8863</v>
      </c>
      <c r="H4435" s="2">
        <v>1883.94</v>
      </c>
      <c r="I4435" s="2">
        <v>1883.94</v>
      </c>
    </row>
    <row r="4436">
      <c r="A4436" s="1" t="s">
        <v>8864</v>
      </c>
      <c r="B4436" s="2">
        <v>1917.83</v>
      </c>
      <c r="C4436" s="2">
        <v>1917.83</v>
      </c>
      <c r="D4436" s="2">
        <v>4487.54</v>
      </c>
      <c r="E4436" s="2">
        <v>4487.54</v>
      </c>
      <c r="G4436" s="1" t="s">
        <v>8865</v>
      </c>
      <c r="H4436" s="2">
        <v>1908.84</v>
      </c>
      <c r="I4436" s="2">
        <v>1908.84</v>
      </c>
    </row>
    <row r="4437">
      <c r="A4437" s="1" t="s">
        <v>8866</v>
      </c>
      <c r="B4437" s="2">
        <v>1917.78</v>
      </c>
      <c r="C4437" s="2">
        <v>1917.78</v>
      </c>
      <c r="D4437" s="2">
        <v>4504.43</v>
      </c>
      <c r="E4437" s="2">
        <v>4504.43</v>
      </c>
      <c r="G4437" s="1" t="s">
        <v>8867</v>
      </c>
      <c r="H4437" s="2">
        <v>1916.24</v>
      </c>
      <c r="I4437" s="2">
        <v>1916.24</v>
      </c>
    </row>
    <row r="4438">
      <c r="A4438" s="1" t="s">
        <v>8868</v>
      </c>
      <c r="B4438" s="2" t="s">
        <v>0</v>
      </c>
      <c r="C4438" s="2">
        <v>1917.78</v>
      </c>
      <c r="D4438" s="2" t="s">
        <v>0</v>
      </c>
      <c r="E4438" s="2">
        <v>4504.43</v>
      </c>
      <c r="G4438" s="1" t="s">
        <v>8869</v>
      </c>
      <c r="H4438" s="2" t="s">
        <v>0</v>
      </c>
      <c r="I4438" s="2">
        <v>1916.24</v>
      </c>
    </row>
    <row r="4439">
      <c r="A4439" s="1" t="s">
        <v>8870</v>
      </c>
      <c r="B4439" s="2" t="s">
        <v>0</v>
      </c>
      <c r="C4439" s="2">
        <v>1917.78</v>
      </c>
      <c r="D4439" s="2" t="s">
        <v>0</v>
      </c>
      <c r="E4439" s="2">
        <v>4504.43</v>
      </c>
      <c r="G4439" s="1" t="s">
        <v>8871</v>
      </c>
      <c r="H4439" s="2" t="s">
        <v>0</v>
      </c>
      <c r="I4439" s="2">
        <v>1916.24</v>
      </c>
    </row>
    <row r="4440">
      <c r="A4440" s="1" t="s">
        <v>8872</v>
      </c>
      <c r="B4440" s="2">
        <v>1945.5</v>
      </c>
      <c r="C4440" s="2">
        <v>1945.5</v>
      </c>
      <c r="D4440" s="2">
        <v>4570.61</v>
      </c>
      <c r="E4440" s="2">
        <v>4570.61</v>
      </c>
      <c r="G4440" s="1" t="s">
        <v>8873</v>
      </c>
      <c r="H4440" s="2" t="s">
        <v>0</v>
      </c>
      <c r="I4440" s="2">
        <v>1916.24</v>
      </c>
    </row>
    <row r="4441">
      <c r="A4441" s="1" t="s">
        <v>8874</v>
      </c>
      <c r="B4441" s="2">
        <v>1921.27</v>
      </c>
      <c r="C4441" s="2">
        <v>1921.27</v>
      </c>
      <c r="D4441" s="2">
        <v>4503.58</v>
      </c>
      <c r="E4441" s="2">
        <v>4503.58</v>
      </c>
      <c r="G4441" s="1" t="s">
        <v>8875</v>
      </c>
      <c r="H4441" s="2">
        <v>1914.22</v>
      </c>
      <c r="I4441" s="2">
        <v>1914.22</v>
      </c>
    </row>
    <row r="4442">
      <c r="A4442" s="1" t="s">
        <v>8876</v>
      </c>
      <c r="B4442" s="2">
        <v>1929.8</v>
      </c>
      <c r="C4442" s="2">
        <v>1929.8</v>
      </c>
      <c r="D4442" s="2">
        <v>4542.61</v>
      </c>
      <c r="E4442" s="2">
        <v>4542.61</v>
      </c>
      <c r="G4442" s="1" t="s">
        <v>8877</v>
      </c>
      <c r="H4442" s="2">
        <v>1912.53</v>
      </c>
      <c r="I4442" s="2">
        <v>1912.53</v>
      </c>
    </row>
    <row r="4443">
      <c r="A4443" s="1" t="s">
        <v>8878</v>
      </c>
      <c r="B4443" s="2">
        <v>1951.7</v>
      </c>
      <c r="C4443" s="2">
        <v>1951.7</v>
      </c>
      <c r="D4443" s="2">
        <v>4582.2</v>
      </c>
      <c r="E4443" s="2">
        <v>4582.2</v>
      </c>
      <c r="G4443" s="1" t="s">
        <v>8879</v>
      </c>
      <c r="H4443" s="2">
        <v>1918.57</v>
      </c>
      <c r="I4443" s="2">
        <v>1918.57</v>
      </c>
    </row>
    <row r="4444">
      <c r="A4444" s="1" t="s">
        <v>8880</v>
      </c>
      <c r="B4444" s="2">
        <v>1948.05</v>
      </c>
      <c r="C4444" s="2">
        <v>1948.05</v>
      </c>
      <c r="D4444" s="2">
        <v>4590.47</v>
      </c>
      <c r="E4444" s="2">
        <v>4590.47</v>
      </c>
      <c r="G4444" s="1" t="s">
        <v>8881</v>
      </c>
      <c r="H4444" s="2">
        <v>1920.16</v>
      </c>
      <c r="I4444" s="2">
        <v>1920.16</v>
      </c>
    </row>
    <row r="4445">
      <c r="A4445" s="1" t="s">
        <v>8882</v>
      </c>
      <c r="B4445" s="2" t="s">
        <v>0</v>
      </c>
      <c r="C4445" s="2">
        <v>1948.05</v>
      </c>
      <c r="D4445" s="2" t="s">
        <v>0</v>
      </c>
      <c r="E4445" s="2">
        <v>4590.47</v>
      </c>
      <c r="G4445" s="1" t="s">
        <v>8883</v>
      </c>
      <c r="H4445" s="2" t="s">
        <v>0</v>
      </c>
      <c r="I4445" s="2">
        <v>1920.16</v>
      </c>
    </row>
    <row r="4446">
      <c r="A4446" s="1" t="s">
        <v>8884</v>
      </c>
      <c r="B4446" s="2" t="s">
        <v>0</v>
      </c>
      <c r="C4446" s="2">
        <v>1948.05</v>
      </c>
      <c r="D4446" s="2" t="s">
        <v>0</v>
      </c>
      <c r="E4446" s="2">
        <v>4590.47</v>
      </c>
      <c r="G4446" s="1" t="s">
        <v>8885</v>
      </c>
      <c r="H4446" s="2" t="s">
        <v>0</v>
      </c>
      <c r="I4446" s="2">
        <v>1920.16</v>
      </c>
    </row>
    <row r="4447">
      <c r="A4447" s="1" t="s">
        <v>8886</v>
      </c>
      <c r="B4447" s="2">
        <v>1932.23</v>
      </c>
      <c r="C4447" s="2">
        <v>1932.23</v>
      </c>
      <c r="D4447" s="2">
        <v>4557.95</v>
      </c>
      <c r="E4447" s="2">
        <v>4557.95</v>
      </c>
      <c r="G4447" s="1" t="s">
        <v>8887</v>
      </c>
      <c r="H4447" s="2">
        <v>1916.66</v>
      </c>
      <c r="I4447" s="2">
        <v>1916.66</v>
      </c>
    </row>
    <row r="4448">
      <c r="A4448" s="1" t="s">
        <v>8888</v>
      </c>
      <c r="B4448" s="2">
        <v>1978.35</v>
      </c>
      <c r="C4448" s="2">
        <v>1978.35</v>
      </c>
      <c r="D4448" s="2">
        <v>4689.6</v>
      </c>
      <c r="E4448" s="2">
        <v>4689.6</v>
      </c>
      <c r="G4448" s="1" t="s">
        <v>8889</v>
      </c>
      <c r="H4448" s="2" t="s">
        <v>0</v>
      </c>
      <c r="I4448" s="2">
        <v>1916.66</v>
      </c>
    </row>
    <row r="4449">
      <c r="A4449" s="1" t="s">
        <v>8890</v>
      </c>
      <c r="B4449" s="2">
        <v>1986.45</v>
      </c>
      <c r="C4449" s="2">
        <v>1986.45</v>
      </c>
      <c r="D4449" s="2">
        <v>4703.42</v>
      </c>
      <c r="E4449" s="2">
        <v>4703.42</v>
      </c>
      <c r="G4449" s="1" t="s">
        <v>8891</v>
      </c>
      <c r="H4449" s="2">
        <v>1947.42</v>
      </c>
      <c r="I4449" s="2">
        <v>1947.42</v>
      </c>
    </row>
    <row r="4450">
      <c r="A4450" s="1" t="s">
        <v>8892</v>
      </c>
      <c r="B4450" s="2">
        <v>1993.4</v>
      </c>
      <c r="C4450" s="2">
        <v>1993.4</v>
      </c>
      <c r="D4450" s="2">
        <v>4707.42</v>
      </c>
      <c r="E4450" s="2">
        <v>4707.42</v>
      </c>
      <c r="G4450" s="1" t="s">
        <v>8893</v>
      </c>
      <c r="H4450" s="2">
        <v>1958.17</v>
      </c>
      <c r="I4450" s="2">
        <v>1958.17</v>
      </c>
    </row>
    <row r="4451">
      <c r="A4451" s="1" t="s">
        <v>8894</v>
      </c>
      <c r="B4451" s="2">
        <v>1999.99</v>
      </c>
      <c r="C4451" s="2">
        <v>1999.99</v>
      </c>
      <c r="D4451" s="2">
        <v>4717.02</v>
      </c>
      <c r="E4451" s="2">
        <v>4717.02</v>
      </c>
      <c r="G4451" s="1" t="s">
        <v>8895</v>
      </c>
      <c r="H4451" s="2">
        <v>1955.63</v>
      </c>
      <c r="I4451" s="2">
        <v>1955.63</v>
      </c>
    </row>
    <row r="4452">
      <c r="A4452" s="1" t="s">
        <v>8896</v>
      </c>
      <c r="B4452" s="2" t="s">
        <v>0</v>
      </c>
      <c r="C4452" s="2">
        <v>1999.99</v>
      </c>
      <c r="D4452" s="2" t="s">
        <v>0</v>
      </c>
      <c r="E4452" s="2">
        <v>4717.02</v>
      </c>
      <c r="G4452" s="1" t="s">
        <v>8897</v>
      </c>
      <c r="H4452" s="2" t="s">
        <v>0</v>
      </c>
      <c r="I4452" s="2">
        <v>1955.63</v>
      </c>
    </row>
    <row r="4453">
      <c r="A4453" s="1" t="s">
        <v>8898</v>
      </c>
      <c r="B4453" s="2" t="s">
        <v>0</v>
      </c>
      <c r="C4453" s="2">
        <v>1999.99</v>
      </c>
      <c r="D4453" s="2" t="s">
        <v>0</v>
      </c>
      <c r="E4453" s="2">
        <v>4717.02</v>
      </c>
      <c r="G4453" s="1" t="s">
        <v>8899</v>
      </c>
      <c r="H4453" s="2" t="s">
        <v>0</v>
      </c>
      <c r="I4453" s="2">
        <v>1955.63</v>
      </c>
    </row>
    <row r="4454">
      <c r="A4454" s="1" t="s">
        <v>8900</v>
      </c>
      <c r="B4454" s="2">
        <v>2001.76</v>
      </c>
      <c r="C4454" s="2">
        <v>2001.76</v>
      </c>
      <c r="D4454" s="2">
        <v>4708.25</v>
      </c>
      <c r="E4454" s="2">
        <v>4708.25</v>
      </c>
      <c r="G4454" s="1" t="s">
        <v>8901</v>
      </c>
      <c r="H4454" s="2">
        <v>1957.87</v>
      </c>
      <c r="I4454" s="2">
        <v>1957.87</v>
      </c>
    </row>
    <row r="4455">
      <c r="A4455" s="1" t="s">
        <v>8902</v>
      </c>
      <c r="B4455" s="2">
        <v>1979.26</v>
      </c>
      <c r="C4455" s="2">
        <v>1979.26</v>
      </c>
      <c r="D4455" s="2">
        <v>4648.82</v>
      </c>
      <c r="E4455" s="2">
        <v>4648.82</v>
      </c>
      <c r="G4455" s="1" t="s">
        <v>8903</v>
      </c>
      <c r="H4455" s="2">
        <v>1946.12</v>
      </c>
      <c r="I4455" s="2">
        <v>1946.12</v>
      </c>
    </row>
    <row r="4456">
      <c r="A4456" s="1" t="s">
        <v>8904</v>
      </c>
      <c r="B4456" s="2">
        <v>1989.26</v>
      </c>
      <c r="C4456" s="2">
        <v>1989.26</v>
      </c>
      <c r="D4456" s="2">
        <v>4674.38</v>
      </c>
      <c r="E4456" s="2">
        <v>4674.38</v>
      </c>
      <c r="G4456" s="1" t="s">
        <v>8905</v>
      </c>
      <c r="H4456" s="2">
        <v>1952.95</v>
      </c>
      <c r="I4456" s="2">
        <v>1952.95</v>
      </c>
    </row>
    <row r="4457">
      <c r="A4457" s="1" t="s">
        <v>8906</v>
      </c>
      <c r="B4457" s="2">
        <v>1989.57</v>
      </c>
      <c r="C4457" s="2">
        <v>1989.57</v>
      </c>
      <c r="D4457" s="2">
        <v>4662.16</v>
      </c>
      <c r="E4457" s="2">
        <v>4662.16</v>
      </c>
      <c r="G4457" s="1" t="s">
        <v>8907</v>
      </c>
      <c r="H4457" s="2">
        <v>1969.33</v>
      </c>
      <c r="I4457" s="2">
        <v>1969.33</v>
      </c>
    </row>
    <row r="4458">
      <c r="A4458" s="1" t="s">
        <v>8908</v>
      </c>
      <c r="B4458" s="2">
        <v>2022.19</v>
      </c>
      <c r="C4458" s="2">
        <v>2022.19</v>
      </c>
      <c r="D4458" s="2">
        <v>4748.47</v>
      </c>
      <c r="E4458" s="2">
        <v>4748.47</v>
      </c>
      <c r="G4458" s="1" t="s">
        <v>8909</v>
      </c>
      <c r="H4458" s="2">
        <v>1971.41</v>
      </c>
      <c r="I4458" s="2">
        <v>1971.41</v>
      </c>
    </row>
    <row r="4459">
      <c r="A4459" s="1" t="s">
        <v>8910</v>
      </c>
      <c r="B4459" s="2" t="s">
        <v>0</v>
      </c>
      <c r="C4459" s="2">
        <v>2022.19</v>
      </c>
      <c r="D4459" s="2" t="s">
        <v>0</v>
      </c>
      <c r="E4459" s="2">
        <v>4748.47</v>
      </c>
      <c r="G4459" s="1" t="s">
        <v>8911</v>
      </c>
      <c r="H4459" s="2" t="s">
        <v>0</v>
      </c>
      <c r="I4459" s="2">
        <v>1971.41</v>
      </c>
    </row>
    <row r="4460">
      <c r="A4460" s="1" t="s">
        <v>8912</v>
      </c>
      <c r="B4460" s="2" t="s">
        <v>0</v>
      </c>
      <c r="C4460" s="2">
        <v>2022.19</v>
      </c>
      <c r="D4460" s="2" t="s">
        <v>0</v>
      </c>
      <c r="E4460" s="2">
        <v>4748.47</v>
      </c>
      <c r="G4460" s="1" t="s">
        <v>8913</v>
      </c>
      <c r="H4460" s="2" t="s">
        <v>0</v>
      </c>
      <c r="I4460" s="2">
        <v>1971.41</v>
      </c>
    </row>
    <row r="4461">
      <c r="A4461" s="1" t="s">
        <v>8914</v>
      </c>
      <c r="B4461" s="2">
        <v>2019.64</v>
      </c>
      <c r="C4461" s="2">
        <v>2019.64</v>
      </c>
      <c r="D4461" s="2">
        <v>4750.28</v>
      </c>
      <c r="E4461" s="2">
        <v>4750.28</v>
      </c>
      <c r="G4461" s="1" t="s">
        <v>8915</v>
      </c>
      <c r="H4461" s="2">
        <v>1972.27</v>
      </c>
      <c r="I4461" s="2">
        <v>1972.27</v>
      </c>
    </row>
    <row r="4462">
      <c r="A4462" s="1" t="s">
        <v>8916</v>
      </c>
      <c r="B4462" s="2">
        <v>2015.93</v>
      </c>
      <c r="C4462" s="2">
        <v>2015.93</v>
      </c>
      <c r="D4462" s="2">
        <v>4728.67</v>
      </c>
      <c r="E4462" s="2">
        <v>4728.67</v>
      </c>
      <c r="G4462" s="1" t="s">
        <v>8917</v>
      </c>
      <c r="H4462" s="2">
        <v>1969.97</v>
      </c>
      <c r="I4462" s="2">
        <v>1969.97</v>
      </c>
    </row>
    <row r="4463">
      <c r="A4463" s="1" t="s">
        <v>8918</v>
      </c>
      <c r="B4463" s="2">
        <v>2027.22</v>
      </c>
      <c r="C4463" s="2">
        <v>2027.22</v>
      </c>
      <c r="D4463" s="2">
        <v>4763.97</v>
      </c>
      <c r="E4463" s="2">
        <v>4763.97</v>
      </c>
      <c r="G4463" s="1" t="s">
        <v>8919</v>
      </c>
      <c r="H4463" s="2">
        <v>1974.9</v>
      </c>
      <c r="I4463" s="2">
        <v>1974.9</v>
      </c>
    </row>
    <row r="4464">
      <c r="A4464" s="1" t="s">
        <v>8920</v>
      </c>
      <c r="B4464" s="2">
        <v>2040.59</v>
      </c>
      <c r="C4464" s="2">
        <v>2040.59</v>
      </c>
      <c r="D4464" s="2">
        <v>4774.99</v>
      </c>
      <c r="E4464" s="2">
        <v>4774.99</v>
      </c>
      <c r="G4464" s="1" t="s">
        <v>8921</v>
      </c>
      <c r="H4464" s="2">
        <v>1987.99</v>
      </c>
      <c r="I4464" s="2">
        <v>1987.99</v>
      </c>
    </row>
    <row r="4465">
      <c r="A4465" s="1" t="s">
        <v>8922</v>
      </c>
      <c r="B4465" s="2">
        <v>2049.58</v>
      </c>
      <c r="C4465" s="2">
        <v>2049.58</v>
      </c>
      <c r="D4465" s="2">
        <v>4795.65</v>
      </c>
      <c r="E4465" s="2">
        <v>4795.65</v>
      </c>
      <c r="G4465" s="1" t="s">
        <v>8923</v>
      </c>
      <c r="H4465" s="2">
        <v>1992.12</v>
      </c>
      <c r="I4465" s="2">
        <v>1992.12</v>
      </c>
    </row>
    <row r="4466">
      <c r="A4466" s="1" t="s">
        <v>8924</v>
      </c>
      <c r="B4466" s="2" t="s">
        <v>0</v>
      </c>
      <c r="C4466" s="2">
        <v>2049.58</v>
      </c>
      <c r="D4466" s="2" t="s">
        <v>0</v>
      </c>
      <c r="E4466" s="2">
        <v>4795.65</v>
      </c>
      <c r="G4466" s="1" t="s">
        <v>8925</v>
      </c>
      <c r="H4466" s="2" t="s">
        <v>0</v>
      </c>
      <c r="I4466" s="2">
        <v>1992.12</v>
      </c>
    </row>
    <row r="4467">
      <c r="A4467" s="1" t="s">
        <v>8926</v>
      </c>
      <c r="B4467" s="2" t="s">
        <v>0</v>
      </c>
      <c r="C4467" s="2">
        <v>2049.58</v>
      </c>
      <c r="D4467" s="2" t="s">
        <v>0</v>
      </c>
      <c r="E4467" s="2">
        <v>4795.65</v>
      </c>
      <c r="G4467" s="1" t="s">
        <v>8927</v>
      </c>
      <c r="H4467" s="2" t="s">
        <v>0</v>
      </c>
      <c r="I4467" s="2">
        <v>1992.12</v>
      </c>
    </row>
    <row r="4468">
      <c r="A4468" s="1" t="s">
        <v>8928</v>
      </c>
      <c r="B4468" s="2">
        <v>2051.6</v>
      </c>
      <c r="C4468" s="2">
        <v>2051.6</v>
      </c>
      <c r="D4468" s="2">
        <v>4808.87</v>
      </c>
      <c r="E4468" s="2">
        <v>4808.87</v>
      </c>
      <c r="G4468" s="1" t="s">
        <v>8929</v>
      </c>
      <c r="H4468" s="2">
        <v>1989.76</v>
      </c>
      <c r="I4468" s="2">
        <v>1989.76</v>
      </c>
    </row>
    <row r="4469">
      <c r="A4469" s="1" t="s">
        <v>8930</v>
      </c>
      <c r="B4469" s="2">
        <v>2049.8</v>
      </c>
      <c r="C4469" s="2">
        <v>2049.8</v>
      </c>
      <c r="D4469" s="2">
        <v>4821.66</v>
      </c>
      <c r="E4469" s="2">
        <v>4821.66</v>
      </c>
      <c r="G4469" s="1" t="s">
        <v>8931</v>
      </c>
      <c r="H4469" s="2">
        <v>1996.81</v>
      </c>
      <c r="I4469" s="2">
        <v>1996.81</v>
      </c>
    </row>
    <row r="4470">
      <c r="A4470" s="1" t="s">
        <v>8932</v>
      </c>
      <c r="B4470" s="2">
        <v>2036.71</v>
      </c>
      <c r="C4470" s="2">
        <v>2036.71</v>
      </c>
      <c r="D4470" s="2">
        <v>4768.86</v>
      </c>
      <c r="E4470" s="2">
        <v>4768.86</v>
      </c>
      <c r="G4470" s="1" t="s">
        <v>8933</v>
      </c>
      <c r="H4470" s="2">
        <v>1995.12</v>
      </c>
      <c r="I4470" s="2">
        <v>1995.12</v>
      </c>
    </row>
    <row r="4471">
      <c r="A4471" s="1" t="s">
        <v>8934</v>
      </c>
      <c r="B4471" s="2">
        <v>2035.94</v>
      </c>
      <c r="C4471" s="2">
        <v>2035.94</v>
      </c>
      <c r="D4471" s="2">
        <v>4773.5</v>
      </c>
      <c r="E4471" s="2">
        <v>4773.5</v>
      </c>
      <c r="G4471" s="1" t="s">
        <v>8935</v>
      </c>
      <c r="H4471" s="2">
        <v>1985.97</v>
      </c>
      <c r="I4471" s="2">
        <v>1985.97</v>
      </c>
    </row>
    <row r="4472">
      <c r="A4472" s="1" t="s">
        <v>8936</v>
      </c>
      <c r="B4472" s="2" t="s">
        <v>0</v>
      </c>
      <c r="C4472" s="2">
        <v>2035.94</v>
      </c>
      <c r="D4472" s="2" t="s">
        <v>0</v>
      </c>
      <c r="E4472" s="2">
        <v>4773.5</v>
      </c>
      <c r="G4472" s="1" t="s">
        <v>8937</v>
      </c>
      <c r="H4472" s="2">
        <v>1983.81</v>
      </c>
      <c r="I4472" s="2">
        <v>1983.81</v>
      </c>
    </row>
    <row r="4473">
      <c r="A4473" s="1" t="s">
        <v>8938</v>
      </c>
      <c r="B4473" s="2" t="s">
        <v>0</v>
      </c>
      <c r="C4473" s="2">
        <v>2035.94</v>
      </c>
      <c r="D4473" s="2" t="s">
        <v>0</v>
      </c>
      <c r="E4473" s="2">
        <v>4773.5</v>
      </c>
      <c r="G4473" s="1" t="s">
        <v>8939</v>
      </c>
      <c r="H4473" s="2" t="s">
        <v>0</v>
      </c>
      <c r="I4473" s="2">
        <v>1983.81</v>
      </c>
    </row>
    <row r="4474">
      <c r="A4474" s="1" t="s">
        <v>8940</v>
      </c>
      <c r="B4474" s="2" t="s">
        <v>0</v>
      </c>
      <c r="C4474" s="2">
        <v>2035.94</v>
      </c>
      <c r="D4474" s="2" t="s">
        <v>0</v>
      </c>
      <c r="E4474" s="2">
        <v>4773.5</v>
      </c>
      <c r="G4474" s="1" t="s">
        <v>8941</v>
      </c>
      <c r="H4474" s="2" t="s">
        <v>0</v>
      </c>
      <c r="I4474" s="2">
        <v>1983.81</v>
      </c>
    </row>
    <row r="4475">
      <c r="A4475" s="1" t="s">
        <v>8942</v>
      </c>
      <c r="B4475" s="2">
        <v>2037.05</v>
      </c>
      <c r="C4475" s="2">
        <v>2037.05</v>
      </c>
      <c r="D4475" s="2">
        <v>4766.79</v>
      </c>
      <c r="E4475" s="2">
        <v>4766.79</v>
      </c>
      <c r="G4475" s="1" t="s">
        <v>8943</v>
      </c>
      <c r="H4475" s="2">
        <v>1982.54</v>
      </c>
      <c r="I4475" s="2">
        <v>1982.54</v>
      </c>
    </row>
    <row r="4476">
      <c r="A4476" s="1" t="s">
        <v>8944</v>
      </c>
      <c r="B4476" s="2">
        <v>2055.01</v>
      </c>
      <c r="C4476" s="2">
        <v>2055.01</v>
      </c>
      <c r="D4476" s="2">
        <v>4846.62</v>
      </c>
      <c r="E4476" s="2">
        <v>4846.62</v>
      </c>
      <c r="G4476" s="1" t="s">
        <v>8945</v>
      </c>
      <c r="H4476" s="2">
        <v>1994.91</v>
      </c>
      <c r="I4476" s="2">
        <v>1994.91</v>
      </c>
    </row>
    <row r="4477">
      <c r="A4477" s="1" t="s">
        <v>8946</v>
      </c>
      <c r="B4477" s="2">
        <v>2063.95</v>
      </c>
      <c r="C4477" s="2">
        <v>2063.95</v>
      </c>
      <c r="D4477" s="2">
        <v>4869.29</v>
      </c>
      <c r="E4477" s="2">
        <v>4869.29</v>
      </c>
      <c r="G4477" s="1" t="s">
        <v>8947</v>
      </c>
      <c r="H4477" s="2">
        <v>2002.14</v>
      </c>
      <c r="I4477" s="2">
        <v>2002.14</v>
      </c>
    </row>
    <row r="4478">
      <c r="A4478" s="1" t="s">
        <v>8948</v>
      </c>
      <c r="B4478" s="2">
        <v>2059.74</v>
      </c>
      <c r="C4478" s="2">
        <v>2059.74</v>
      </c>
      <c r="D4478" s="2">
        <v>4869.85</v>
      </c>
      <c r="E4478" s="2">
        <v>4869.85</v>
      </c>
      <c r="G4478" s="1" t="s">
        <v>8949</v>
      </c>
      <c r="H4478" s="2">
        <v>1995.85</v>
      </c>
      <c r="I4478" s="2">
        <v>1995.85</v>
      </c>
    </row>
    <row r="4479">
      <c r="A4479" s="1" t="s">
        <v>8950</v>
      </c>
      <c r="B4479" s="2">
        <v>2072.78</v>
      </c>
      <c r="C4479" s="2">
        <v>2072.78</v>
      </c>
      <c r="D4479" s="2">
        <v>4914.54</v>
      </c>
      <c r="E4479" s="2">
        <v>4914.54</v>
      </c>
      <c r="G4479" s="1" t="s">
        <v>8951</v>
      </c>
      <c r="H4479" s="2">
        <v>1973.57</v>
      </c>
      <c r="I4479" s="2">
        <v>1973.57</v>
      </c>
    </row>
    <row r="4480">
      <c r="A4480" s="1" t="s">
        <v>8952</v>
      </c>
      <c r="B4480" s="2" t="s">
        <v>0</v>
      </c>
      <c r="C4480" s="2">
        <v>2072.78</v>
      </c>
      <c r="D4480" s="2" t="s">
        <v>0</v>
      </c>
      <c r="E4480" s="2">
        <v>4914.54</v>
      </c>
      <c r="G4480" s="1" t="s">
        <v>8953</v>
      </c>
      <c r="H4480" s="2" t="s">
        <v>0</v>
      </c>
      <c r="I4480" s="2">
        <v>1973.57</v>
      </c>
    </row>
    <row r="4481">
      <c r="A4481" s="1" t="s">
        <v>8954</v>
      </c>
      <c r="B4481" s="2" t="s">
        <v>0</v>
      </c>
      <c r="C4481" s="2">
        <v>2072.78</v>
      </c>
      <c r="D4481" s="2" t="s">
        <v>0</v>
      </c>
      <c r="E4481" s="2">
        <v>4914.54</v>
      </c>
      <c r="G4481" s="1" t="s">
        <v>8955</v>
      </c>
      <c r="H4481" s="2" t="s">
        <v>0</v>
      </c>
      <c r="I4481" s="2">
        <v>1973.57</v>
      </c>
    </row>
    <row r="4482">
      <c r="A4482" s="1" t="s">
        <v>8956</v>
      </c>
      <c r="B4482" s="2">
        <v>2066.13</v>
      </c>
      <c r="C4482" s="2">
        <v>2066.13</v>
      </c>
      <c r="D4482" s="2">
        <v>4891.8</v>
      </c>
      <c r="E4482" s="2">
        <v>4891.8</v>
      </c>
      <c r="G4482" s="1" t="s">
        <v>8957</v>
      </c>
      <c r="H4482" s="2">
        <v>1978.97</v>
      </c>
      <c r="I4482" s="2">
        <v>1978.97</v>
      </c>
    </row>
    <row r="4483">
      <c r="A4483" s="1" t="s">
        <v>8958</v>
      </c>
      <c r="B4483" s="2">
        <v>2045.17</v>
      </c>
      <c r="C4483" s="2">
        <v>2045.17</v>
      </c>
      <c r="D4483" s="2">
        <v>4843.93</v>
      </c>
      <c r="E4483" s="2">
        <v>4843.93</v>
      </c>
      <c r="G4483" s="1" t="s">
        <v>8959</v>
      </c>
      <c r="H4483" s="2">
        <v>1962.74</v>
      </c>
      <c r="I4483" s="2">
        <v>1962.74</v>
      </c>
    </row>
    <row r="4484">
      <c r="A4484" s="1" t="s">
        <v>8960</v>
      </c>
      <c r="B4484" s="2">
        <v>2066.66</v>
      </c>
      <c r="C4484" s="2">
        <v>2066.66</v>
      </c>
      <c r="D4484" s="2">
        <v>4920.72</v>
      </c>
      <c r="E4484" s="2">
        <v>4920.72</v>
      </c>
      <c r="G4484" s="1" t="s">
        <v>8961</v>
      </c>
      <c r="H4484" s="2">
        <v>1971.32</v>
      </c>
      <c r="I4484" s="2">
        <v>1971.32</v>
      </c>
    </row>
    <row r="4485">
      <c r="A4485" s="1" t="s">
        <v>8962</v>
      </c>
      <c r="B4485" s="2">
        <v>2041.91</v>
      </c>
      <c r="C4485" s="2">
        <v>2041.91</v>
      </c>
      <c r="D4485" s="2">
        <v>4848.37</v>
      </c>
      <c r="E4485" s="2">
        <v>4848.37</v>
      </c>
      <c r="G4485" s="1" t="s">
        <v>8963</v>
      </c>
      <c r="H4485" s="2">
        <v>1973.89</v>
      </c>
      <c r="I4485" s="2">
        <v>1973.89</v>
      </c>
    </row>
    <row r="4486">
      <c r="A4486" s="1" t="s">
        <v>8964</v>
      </c>
      <c r="B4486" s="2">
        <v>2047.6</v>
      </c>
      <c r="C4486" s="2">
        <v>2047.6</v>
      </c>
      <c r="D4486" s="2">
        <v>4850.69</v>
      </c>
      <c r="E4486" s="2">
        <v>4850.69</v>
      </c>
      <c r="G4486" s="1" t="s">
        <v>8965</v>
      </c>
      <c r="H4486" s="2">
        <v>1972.05</v>
      </c>
      <c r="I4486" s="2">
        <v>1972.05</v>
      </c>
    </row>
    <row r="4487">
      <c r="A4487" s="1" t="s">
        <v>8966</v>
      </c>
      <c r="B4487" s="2" t="s">
        <v>0</v>
      </c>
      <c r="C4487" s="2">
        <v>2047.6</v>
      </c>
      <c r="D4487" s="2" t="s">
        <v>0</v>
      </c>
      <c r="E4487" s="2">
        <v>4850.69</v>
      </c>
      <c r="G4487" s="1" t="s">
        <v>8967</v>
      </c>
      <c r="H4487" s="2" t="s">
        <v>0</v>
      </c>
      <c r="I4487" s="2">
        <v>1972.05</v>
      </c>
    </row>
    <row r="4488">
      <c r="A4488" s="1" t="s">
        <v>8968</v>
      </c>
      <c r="B4488" s="2" t="s">
        <v>0</v>
      </c>
      <c r="C4488" s="2">
        <v>2047.6</v>
      </c>
      <c r="D4488" s="2" t="s">
        <v>0</v>
      </c>
      <c r="E4488" s="2">
        <v>4850.69</v>
      </c>
      <c r="G4488" s="1" t="s">
        <v>8969</v>
      </c>
      <c r="H4488" s="2" t="s">
        <v>0</v>
      </c>
      <c r="I4488" s="2">
        <v>1972.05</v>
      </c>
    </row>
    <row r="4489">
      <c r="A4489" s="1" t="s">
        <v>8970</v>
      </c>
      <c r="B4489" s="2">
        <v>2041.99</v>
      </c>
      <c r="C4489" s="2">
        <v>2041.99</v>
      </c>
      <c r="D4489" s="2">
        <v>4833.4</v>
      </c>
      <c r="E4489" s="2">
        <v>4833.4</v>
      </c>
      <c r="G4489" s="1" t="s">
        <v>8971</v>
      </c>
      <c r="H4489" s="2">
        <v>1970.37</v>
      </c>
      <c r="I4489" s="2">
        <v>1970.37</v>
      </c>
    </row>
    <row r="4490">
      <c r="A4490" s="1" t="s">
        <v>8972</v>
      </c>
      <c r="B4490" s="2">
        <v>2061.72</v>
      </c>
      <c r="C4490" s="2">
        <v>2061.72</v>
      </c>
      <c r="D4490" s="2">
        <v>4872.09</v>
      </c>
      <c r="E4490" s="2">
        <v>4872.09</v>
      </c>
      <c r="G4490" s="1" t="s">
        <v>8973</v>
      </c>
      <c r="H4490" s="2">
        <v>1981.32</v>
      </c>
      <c r="I4490" s="2">
        <v>1981.32</v>
      </c>
    </row>
    <row r="4491">
      <c r="A4491" s="1" t="s">
        <v>8974</v>
      </c>
      <c r="B4491" s="2">
        <v>2082.42</v>
      </c>
      <c r="C4491" s="2">
        <v>2082.42</v>
      </c>
      <c r="D4491" s="2">
        <v>4947.42</v>
      </c>
      <c r="E4491" s="2">
        <v>4947.42</v>
      </c>
      <c r="G4491" s="1" t="s">
        <v>8975</v>
      </c>
      <c r="H4491" s="2" t="s">
        <v>0</v>
      </c>
      <c r="I4491" s="2">
        <v>1981.32</v>
      </c>
    </row>
    <row r="4492">
      <c r="A4492" s="1" t="s">
        <v>8976</v>
      </c>
      <c r="B4492" s="2">
        <v>2082.78</v>
      </c>
      <c r="C4492" s="2">
        <v>2082.78</v>
      </c>
      <c r="D4492" s="2">
        <v>4945.89</v>
      </c>
      <c r="E4492" s="2">
        <v>4945.89</v>
      </c>
      <c r="G4492" s="1" t="s">
        <v>8977</v>
      </c>
      <c r="H4492" s="2">
        <v>2015.93</v>
      </c>
      <c r="I4492" s="2">
        <v>2015.93</v>
      </c>
    </row>
    <row r="4493">
      <c r="A4493" s="1" t="s">
        <v>8978</v>
      </c>
      <c r="B4493" s="2">
        <v>2080.73</v>
      </c>
      <c r="C4493" s="2">
        <v>2080.73</v>
      </c>
      <c r="D4493" s="2">
        <v>4938.22</v>
      </c>
      <c r="E4493" s="2">
        <v>4938.22</v>
      </c>
      <c r="G4493" s="1" t="s">
        <v>8979</v>
      </c>
      <c r="H4493" s="2">
        <v>2014.71</v>
      </c>
      <c r="I4493" s="2">
        <v>2014.71</v>
      </c>
    </row>
    <row r="4494">
      <c r="A4494" s="1" t="s">
        <v>8980</v>
      </c>
      <c r="B4494" s="2" t="s">
        <v>0</v>
      </c>
      <c r="C4494" s="2">
        <v>2080.73</v>
      </c>
      <c r="D4494" s="2" t="s">
        <v>0</v>
      </c>
      <c r="E4494" s="2">
        <v>4938.22</v>
      </c>
      <c r="G4494" s="1" t="s">
        <v>8981</v>
      </c>
      <c r="H4494" s="2" t="s">
        <v>0</v>
      </c>
      <c r="I4494" s="2">
        <v>2014.71</v>
      </c>
    </row>
    <row r="4495">
      <c r="A4495" s="1" t="s">
        <v>8982</v>
      </c>
      <c r="B4495" s="2" t="s">
        <v>0</v>
      </c>
      <c r="C4495" s="2">
        <v>2080.73</v>
      </c>
      <c r="D4495" s="2" t="s">
        <v>0</v>
      </c>
      <c r="E4495" s="2">
        <v>4938.22</v>
      </c>
      <c r="G4495" s="1" t="s">
        <v>8983</v>
      </c>
      <c r="H4495" s="2" t="s">
        <v>0</v>
      </c>
      <c r="I4495" s="2">
        <v>2014.71</v>
      </c>
    </row>
    <row r="4496">
      <c r="A4496" s="1" t="s">
        <v>8984</v>
      </c>
      <c r="B4496" s="2">
        <v>2094.34</v>
      </c>
      <c r="C4496" s="2">
        <v>2094.34</v>
      </c>
      <c r="D4496" s="2">
        <v>4960.02</v>
      </c>
      <c r="E4496" s="2">
        <v>4960.02</v>
      </c>
      <c r="G4496" s="1" t="s">
        <v>8985</v>
      </c>
      <c r="H4496" s="2">
        <v>2009.1</v>
      </c>
      <c r="I4496" s="2">
        <v>2009.1</v>
      </c>
    </row>
    <row r="4497">
      <c r="A4497" s="1" t="s">
        <v>8986</v>
      </c>
      <c r="B4497" s="2">
        <v>2100.8</v>
      </c>
      <c r="C4497" s="2">
        <v>2100.8</v>
      </c>
      <c r="D4497" s="2">
        <v>4940.33</v>
      </c>
      <c r="E4497" s="2">
        <v>4940.33</v>
      </c>
      <c r="G4497" s="1" t="s">
        <v>8987</v>
      </c>
      <c r="H4497" s="2">
        <v>2011.36</v>
      </c>
      <c r="I4497" s="2">
        <v>2011.36</v>
      </c>
    </row>
    <row r="4498">
      <c r="A4498" s="1" t="s">
        <v>8988</v>
      </c>
      <c r="B4498" s="2">
        <v>2102.4</v>
      </c>
      <c r="C4498" s="2">
        <v>2102.4</v>
      </c>
      <c r="D4498" s="2">
        <v>4948.13</v>
      </c>
      <c r="E4498" s="2">
        <v>4948.13</v>
      </c>
      <c r="G4498" s="1" t="s">
        <v>8989</v>
      </c>
      <c r="H4498" s="2">
        <v>2005.83</v>
      </c>
      <c r="I4498" s="2">
        <v>2005.83</v>
      </c>
    </row>
    <row r="4499">
      <c r="A4499" s="1" t="s">
        <v>8990</v>
      </c>
      <c r="B4499" s="2">
        <v>2091.48</v>
      </c>
      <c r="C4499" s="2">
        <v>2091.48</v>
      </c>
      <c r="D4499" s="2">
        <v>4945.89</v>
      </c>
      <c r="E4499" s="2">
        <v>4945.89</v>
      </c>
      <c r="G4499" s="1" t="s">
        <v>8991</v>
      </c>
      <c r="H4499" s="2">
        <v>2022.1</v>
      </c>
      <c r="I4499" s="2">
        <v>2022.1</v>
      </c>
    </row>
    <row r="4500">
      <c r="A4500" s="1" t="s">
        <v>8992</v>
      </c>
      <c r="B4500" s="2">
        <v>2091.58</v>
      </c>
      <c r="C4500" s="2">
        <v>2091.58</v>
      </c>
      <c r="D4500" s="2">
        <v>4906.23</v>
      </c>
      <c r="E4500" s="2">
        <v>4906.23</v>
      </c>
      <c r="G4500" s="1" t="s">
        <v>8993</v>
      </c>
      <c r="H4500" s="2">
        <v>2015.49</v>
      </c>
      <c r="I4500" s="2">
        <v>2015.49</v>
      </c>
    </row>
    <row r="4501">
      <c r="A4501" s="1" t="s">
        <v>8994</v>
      </c>
      <c r="B4501" s="2" t="s">
        <v>0</v>
      </c>
      <c r="C4501" s="2">
        <v>2091.58</v>
      </c>
      <c r="D4501" s="2" t="s">
        <v>0</v>
      </c>
      <c r="E4501" s="2">
        <v>4906.23</v>
      </c>
      <c r="G4501" s="1" t="s">
        <v>8995</v>
      </c>
      <c r="H4501" s="2" t="s">
        <v>0</v>
      </c>
      <c r="I4501" s="2">
        <v>2015.49</v>
      </c>
    </row>
    <row r="4502">
      <c r="A4502" s="1" t="s">
        <v>8996</v>
      </c>
      <c r="B4502" s="2" t="s">
        <v>0</v>
      </c>
      <c r="C4502" s="2">
        <v>2091.58</v>
      </c>
      <c r="D4502" s="2" t="s">
        <v>0</v>
      </c>
      <c r="E4502" s="2">
        <v>4906.23</v>
      </c>
      <c r="G4502" s="1" t="s">
        <v>8997</v>
      </c>
      <c r="H4502" s="2" t="s">
        <v>0</v>
      </c>
      <c r="I4502" s="2">
        <v>2015.49</v>
      </c>
    </row>
    <row r="4503">
      <c r="A4503" s="1" t="s">
        <v>8998</v>
      </c>
      <c r="B4503" s="2">
        <v>2087.79</v>
      </c>
      <c r="C4503" s="2">
        <v>2087.79</v>
      </c>
      <c r="D4503" s="2">
        <v>4895.79</v>
      </c>
      <c r="E4503" s="2">
        <v>4895.79</v>
      </c>
      <c r="G4503" s="1" t="s">
        <v>8999</v>
      </c>
      <c r="H4503" s="2">
        <v>2014.55</v>
      </c>
      <c r="I4503" s="2">
        <v>2014.55</v>
      </c>
    </row>
    <row r="4504">
      <c r="A4504" s="1" t="s">
        <v>9000</v>
      </c>
      <c r="B4504" s="2">
        <v>2091.7</v>
      </c>
      <c r="C4504" s="2">
        <v>2091.7</v>
      </c>
      <c r="D4504" s="2">
        <v>4888.28</v>
      </c>
      <c r="E4504" s="2">
        <v>4888.28</v>
      </c>
      <c r="G4504" s="1" t="s">
        <v>9001</v>
      </c>
      <c r="H4504" s="2">
        <v>2019.63</v>
      </c>
      <c r="I4504" s="2">
        <v>2019.63</v>
      </c>
    </row>
    <row r="4505">
      <c r="A4505" s="1" t="s">
        <v>9002</v>
      </c>
      <c r="B4505" s="2">
        <v>2095.15</v>
      </c>
      <c r="C4505" s="2">
        <v>2095.15</v>
      </c>
      <c r="D4505" s="2">
        <v>4863.14</v>
      </c>
      <c r="E4505" s="2">
        <v>4863.14</v>
      </c>
      <c r="G4505" s="1" t="s">
        <v>9003</v>
      </c>
      <c r="H4505" s="2">
        <v>2015.4</v>
      </c>
      <c r="I4505" s="2">
        <v>2015.4</v>
      </c>
    </row>
    <row r="4506">
      <c r="A4506" s="1" t="s">
        <v>9004</v>
      </c>
      <c r="B4506" s="2">
        <v>2075.81</v>
      </c>
      <c r="C4506" s="2">
        <v>2075.81</v>
      </c>
      <c r="D4506" s="2">
        <v>4805.29</v>
      </c>
      <c r="E4506" s="2">
        <v>4805.29</v>
      </c>
      <c r="G4506" s="1" t="s">
        <v>9005</v>
      </c>
      <c r="H4506" s="2">
        <v>2000.93</v>
      </c>
      <c r="I4506" s="2">
        <v>2000.93</v>
      </c>
    </row>
    <row r="4507">
      <c r="A4507" s="1" t="s">
        <v>9006</v>
      </c>
      <c r="B4507" s="2">
        <v>2065.3</v>
      </c>
      <c r="C4507" s="2">
        <v>2065.3</v>
      </c>
      <c r="D4507" s="2">
        <v>4775.36</v>
      </c>
      <c r="E4507" s="2">
        <v>4775.36</v>
      </c>
      <c r="G4507" s="1" t="s">
        <v>9007</v>
      </c>
      <c r="H4507" s="2">
        <v>1994.15</v>
      </c>
      <c r="I4507" s="2">
        <v>1994.15</v>
      </c>
    </row>
    <row r="4508">
      <c r="A4508" s="1" t="s">
        <v>9008</v>
      </c>
      <c r="B4508" s="2" t="s">
        <v>0</v>
      </c>
      <c r="C4508" s="2">
        <v>2065.3</v>
      </c>
      <c r="D4508" s="2" t="s">
        <v>0</v>
      </c>
      <c r="E4508" s="2">
        <v>4775.36</v>
      </c>
      <c r="G4508" s="1" t="s">
        <v>9009</v>
      </c>
      <c r="H4508" s="2" t="s">
        <v>0</v>
      </c>
      <c r="I4508" s="2">
        <v>1994.15</v>
      </c>
    </row>
    <row r="4509">
      <c r="A4509" s="1" t="s">
        <v>9010</v>
      </c>
      <c r="B4509" s="2" t="s">
        <v>0</v>
      </c>
      <c r="C4509" s="2">
        <v>2065.3</v>
      </c>
      <c r="D4509" s="2" t="s">
        <v>0</v>
      </c>
      <c r="E4509" s="2">
        <v>4775.36</v>
      </c>
      <c r="G4509" s="1" t="s">
        <v>9011</v>
      </c>
      <c r="H4509" s="2" t="s">
        <v>0</v>
      </c>
      <c r="I4509" s="2">
        <v>1994.15</v>
      </c>
    </row>
    <row r="4510">
      <c r="A4510" s="1" t="s">
        <v>9012</v>
      </c>
      <c r="B4510" s="2">
        <v>2081.43</v>
      </c>
      <c r="C4510" s="2">
        <v>2081.43</v>
      </c>
      <c r="D4510" s="2">
        <v>4817.59</v>
      </c>
      <c r="E4510" s="2">
        <v>4817.59</v>
      </c>
      <c r="G4510" s="1" t="s">
        <v>9013</v>
      </c>
      <c r="H4510" s="2">
        <v>1978.15</v>
      </c>
      <c r="I4510" s="2">
        <v>1978.15</v>
      </c>
    </row>
    <row r="4511">
      <c r="A4511" s="1" t="s">
        <v>9014</v>
      </c>
      <c r="B4511" s="2">
        <v>2063.37</v>
      </c>
      <c r="C4511" s="2">
        <v>2063.37</v>
      </c>
      <c r="D4511" s="2">
        <v>4763.22</v>
      </c>
      <c r="E4511" s="2">
        <v>4763.22</v>
      </c>
      <c r="G4511" s="1" t="s">
        <v>9015</v>
      </c>
      <c r="H4511" s="2">
        <v>1986.41</v>
      </c>
      <c r="I4511" s="2">
        <v>1986.41</v>
      </c>
    </row>
    <row r="4512">
      <c r="A4512" s="1" t="s">
        <v>9016</v>
      </c>
      <c r="B4512" s="2">
        <v>2051.12</v>
      </c>
      <c r="C4512" s="2">
        <v>2051.12</v>
      </c>
      <c r="D4512" s="2">
        <v>4725.64</v>
      </c>
      <c r="E4512" s="2">
        <v>4725.64</v>
      </c>
      <c r="G4512" s="1" t="s">
        <v>9017</v>
      </c>
      <c r="H4512" s="2">
        <v>1976.71</v>
      </c>
      <c r="I4512" s="2">
        <v>1976.71</v>
      </c>
    </row>
    <row r="4513">
      <c r="A4513" s="1" t="s">
        <v>9018</v>
      </c>
      <c r="B4513" s="2">
        <v>2050.63</v>
      </c>
      <c r="C4513" s="2">
        <v>2050.63</v>
      </c>
      <c r="D4513" s="2">
        <v>4717.09</v>
      </c>
      <c r="E4513" s="2">
        <v>4717.09</v>
      </c>
      <c r="G4513" s="1" t="s">
        <v>9019</v>
      </c>
      <c r="H4513" s="2" t="s">
        <v>0</v>
      </c>
      <c r="I4513" s="2">
        <v>1976.71</v>
      </c>
    </row>
    <row r="4514">
      <c r="A4514" s="1" t="s">
        <v>9020</v>
      </c>
      <c r="B4514" s="2">
        <v>2057.14</v>
      </c>
      <c r="C4514" s="2">
        <v>2057.14</v>
      </c>
      <c r="D4514" s="2">
        <v>4736.16</v>
      </c>
      <c r="E4514" s="2">
        <v>4736.16</v>
      </c>
      <c r="G4514" s="1" t="s">
        <v>9021</v>
      </c>
      <c r="H4514" s="2" t="s">
        <v>0</v>
      </c>
      <c r="I4514" s="2">
        <v>1976.71</v>
      </c>
    </row>
    <row r="4515">
      <c r="A4515" s="1" t="s">
        <v>9022</v>
      </c>
      <c r="B4515" s="2" t="s">
        <v>0</v>
      </c>
      <c r="C4515" s="2">
        <v>2057.14</v>
      </c>
      <c r="D4515" s="2" t="s">
        <v>0</v>
      </c>
      <c r="E4515" s="2">
        <v>4736.16</v>
      </c>
      <c r="G4515" s="1" t="s">
        <v>9023</v>
      </c>
      <c r="H4515" s="2" t="s">
        <v>0</v>
      </c>
      <c r="I4515" s="2">
        <v>1976.71</v>
      </c>
    </row>
    <row r="4516">
      <c r="A4516" s="1" t="s">
        <v>9024</v>
      </c>
      <c r="B4516" s="2" t="s">
        <v>0</v>
      </c>
      <c r="C4516" s="2">
        <v>2057.14</v>
      </c>
      <c r="D4516" s="2" t="s">
        <v>0</v>
      </c>
      <c r="E4516" s="2">
        <v>4736.16</v>
      </c>
      <c r="G4516" s="1" t="s">
        <v>9025</v>
      </c>
      <c r="H4516" s="2" t="s">
        <v>0</v>
      </c>
      <c r="I4516" s="2">
        <v>1976.71</v>
      </c>
    </row>
    <row r="4517">
      <c r="A4517" s="1" t="s">
        <v>9026</v>
      </c>
      <c r="B4517" s="2">
        <v>2058.69</v>
      </c>
      <c r="C4517" s="2">
        <v>2058.69</v>
      </c>
      <c r="D4517" s="2">
        <v>4750.21</v>
      </c>
      <c r="E4517" s="2">
        <v>4750.21</v>
      </c>
      <c r="G4517" s="1" t="s">
        <v>9027</v>
      </c>
      <c r="H4517" s="2">
        <v>1967.81</v>
      </c>
      <c r="I4517" s="2">
        <v>1967.81</v>
      </c>
    </row>
    <row r="4518">
      <c r="A4518" s="1" t="s">
        <v>9028</v>
      </c>
      <c r="B4518" s="2">
        <v>2084.39</v>
      </c>
      <c r="C4518" s="2">
        <v>2084.39</v>
      </c>
      <c r="D4518" s="2">
        <v>4809.88</v>
      </c>
      <c r="E4518" s="2">
        <v>4809.88</v>
      </c>
      <c r="G4518" s="1" t="s">
        <v>9029</v>
      </c>
      <c r="H4518" s="2">
        <v>1982.5</v>
      </c>
      <c r="I4518" s="2">
        <v>1982.5</v>
      </c>
    </row>
    <row r="4519">
      <c r="A4519" s="1" t="s">
        <v>9030</v>
      </c>
      <c r="B4519" s="2">
        <v>2064.46</v>
      </c>
      <c r="C4519" s="2">
        <v>2064.46</v>
      </c>
      <c r="D4519" s="2">
        <v>4760.69</v>
      </c>
      <c r="E4519" s="2">
        <v>4760.69</v>
      </c>
      <c r="G4519" s="1" t="s">
        <v>9031</v>
      </c>
      <c r="H4519" s="2">
        <v>1980.1</v>
      </c>
      <c r="I4519" s="2">
        <v>1980.1</v>
      </c>
    </row>
    <row r="4520">
      <c r="A4520" s="1" t="s">
        <v>9032</v>
      </c>
      <c r="B4520" s="2">
        <v>2064.11</v>
      </c>
      <c r="C4520" s="2">
        <v>2064.11</v>
      </c>
      <c r="D4520" s="2">
        <v>4737.33</v>
      </c>
      <c r="E4520" s="2">
        <v>4737.33</v>
      </c>
      <c r="G4520" s="1" t="s">
        <v>9033</v>
      </c>
      <c r="H4520" s="2">
        <v>1977.49</v>
      </c>
      <c r="I4520" s="2">
        <v>1977.49</v>
      </c>
    </row>
    <row r="4521">
      <c r="A4521" s="1" t="s">
        <v>9034</v>
      </c>
      <c r="B4521" s="2">
        <v>2046.61</v>
      </c>
      <c r="C4521" s="2">
        <v>2046.61</v>
      </c>
      <c r="D4521" s="2">
        <v>4717.68</v>
      </c>
      <c r="E4521" s="2">
        <v>4717.68</v>
      </c>
      <c r="G4521" s="1" t="s">
        <v>9035</v>
      </c>
      <c r="H4521" s="2">
        <v>1966.99</v>
      </c>
      <c r="I4521" s="2">
        <v>1966.99</v>
      </c>
    </row>
    <row r="4522">
      <c r="A4522" s="1" t="s">
        <v>9036</v>
      </c>
      <c r="B4522" s="2" t="s">
        <v>0</v>
      </c>
      <c r="C4522" s="2">
        <v>2046.61</v>
      </c>
      <c r="D4522" s="2" t="s">
        <v>0</v>
      </c>
      <c r="E4522" s="2">
        <v>4717.68</v>
      </c>
      <c r="G4522" s="1" t="s">
        <v>9037</v>
      </c>
      <c r="H4522" s="2" t="s">
        <v>0</v>
      </c>
      <c r="I4522" s="2">
        <v>1966.99</v>
      </c>
    </row>
    <row r="4523">
      <c r="A4523" s="1" t="s">
        <v>9038</v>
      </c>
      <c r="B4523" s="2" t="s">
        <v>0</v>
      </c>
      <c r="C4523" s="2">
        <v>2046.61</v>
      </c>
      <c r="D4523" s="2" t="s">
        <v>0</v>
      </c>
      <c r="E4523" s="2">
        <v>4717.68</v>
      </c>
      <c r="G4523" s="1" t="s">
        <v>9039</v>
      </c>
      <c r="H4523" s="2" t="s">
        <v>0</v>
      </c>
      <c r="I4523" s="2">
        <v>1966.99</v>
      </c>
    </row>
    <row r="4524">
      <c r="A4524" s="1" t="s">
        <v>9040</v>
      </c>
      <c r="B4524" s="2">
        <v>2066.66</v>
      </c>
      <c r="C4524" s="2">
        <v>2066.66</v>
      </c>
      <c r="D4524" s="2">
        <v>4775.46</v>
      </c>
      <c r="E4524" s="2">
        <v>4775.46</v>
      </c>
      <c r="G4524" s="1" t="s">
        <v>9041</v>
      </c>
      <c r="H4524" s="2">
        <v>1967.91</v>
      </c>
      <c r="I4524" s="2">
        <v>1967.91</v>
      </c>
    </row>
    <row r="4525">
      <c r="A4525" s="1" t="s">
        <v>9042</v>
      </c>
      <c r="B4525" s="2">
        <v>2047.21</v>
      </c>
      <c r="C4525" s="2">
        <v>2047.21</v>
      </c>
      <c r="D4525" s="2">
        <v>4715.73</v>
      </c>
      <c r="E4525" s="2">
        <v>4715.73</v>
      </c>
      <c r="G4525" s="1" t="s">
        <v>9043</v>
      </c>
      <c r="H4525" s="2">
        <v>1968.06</v>
      </c>
      <c r="I4525" s="2">
        <v>1968.06</v>
      </c>
    </row>
    <row r="4526">
      <c r="A4526" s="1" t="s">
        <v>9044</v>
      </c>
      <c r="B4526" s="2">
        <v>2047.63</v>
      </c>
      <c r="C4526" s="2">
        <v>2047.63</v>
      </c>
      <c r="D4526" s="2">
        <v>4739.12</v>
      </c>
      <c r="E4526" s="2">
        <v>4739.12</v>
      </c>
      <c r="G4526" s="1" t="s">
        <v>9045</v>
      </c>
      <c r="H4526" s="2">
        <v>1956.73</v>
      </c>
      <c r="I4526" s="2">
        <v>1956.73</v>
      </c>
    </row>
    <row r="4527">
      <c r="A4527" s="1" t="s">
        <v>9046</v>
      </c>
      <c r="B4527" s="2">
        <v>2040.04</v>
      </c>
      <c r="C4527" s="2">
        <v>2040.04</v>
      </c>
      <c r="D4527" s="2">
        <v>4712.53</v>
      </c>
      <c r="E4527" s="2">
        <v>4712.53</v>
      </c>
      <c r="G4527" s="1" t="s">
        <v>9047</v>
      </c>
      <c r="H4527" s="2">
        <v>1946.78</v>
      </c>
      <c r="I4527" s="2">
        <v>1946.78</v>
      </c>
    </row>
    <row r="4528">
      <c r="A4528" s="1" t="s">
        <v>9048</v>
      </c>
      <c r="B4528" s="2">
        <v>2052.32</v>
      </c>
      <c r="C4528" s="2">
        <v>2052.32</v>
      </c>
      <c r="D4528" s="2">
        <v>4769.56</v>
      </c>
      <c r="E4528" s="2">
        <v>4769.56</v>
      </c>
      <c r="G4528" s="1" t="s">
        <v>9049</v>
      </c>
      <c r="H4528" s="2">
        <v>1947.67</v>
      </c>
      <c r="I4528" s="2">
        <v>1947.67</v>
      </c>
    </row>
    <row r="4529">
      <c r="A4529" s="1" t="s">
        <v>9050</v>
      </c>
      <c r="B4529" s="2" t="s">
        <v>0</v>
      </c>
      <c r="C4529" s="2">
        <v>2052.32</v>
      </c>
      <c r="D4529" s="2" t="s">
        <v>0</v>
      </c>
      <c r="E4529" s="2">
        <v>4769.56</v>
      </c>
      <c r="G4529" s="1" t="s">
        <v>9051</v>
      </c>
      <c r="H4529" s="2" t="s">
        <v>0</v>
      </c>
      <c r="I4529" s="2">
        <v>1947.67</v>
      </c>
    </row>
    <row r="4530">
      <c r="A4530" s="1" t="s">
        <v>9052</v>
      </c>
      <c r="B4530" s="2" t="s">
        <v>0</v>
      </c>
      <c r="C4530" s="2">
        <v>2052.32</v>
      </c>
      <c r="D4530" s="2" t="s">
        <v>0</v>
      </c>
      <c r="E4530" s="2">
        <v>4769.56</v>
      </c>
      <c r="G4530" s="1" t="s">
        <v>9053</v>
      </c>
      <c r="H4530" s="2" t="s">
        <v>0</v>
      </c>
      <c r="I4530" s="2">
        <v>1947.67</v>
      </c>
    </row>
    <row r="4531">
      <c r="A4531" s="1" t="s">
        <v>9054</v>
      </c>
      <c r="B4531" s="2">
        <v>2048.04</v>
      </c>
      <c r="C4531" s="2">
        <v>2048.04</v>
      </c>
      <c r="D4531" s="2">
        <v>4765.78</v>
      </c>
      <c r="E4531" s="2">
        <v>4765.78</v>
      </c>
      <c r="G4531" s="1" t="s">
        <v>9055</v>
      </c>
      <c r="H4531" s="2">
        <v>1955.25</v>
      </c>
      <c r="I4531" s="2">
        <v>1955.25</v>
      </c>
    </row>
    <row r="4532">
      <c r="A4532" s="1" t="s">
        <v>9056</v>
      </c>
      <c r="B4532" s="2">
        <v>2076.06</v>
      </c>
      <c r="C4532" s="2">
        <v>2076.06</v>
      </c>
      <c r="D4532" s="2">
        <v>4861.06</v>
      </c>
      <c r="E4532" s="2">
        <v>4861.06</v>
      </c>
      <c r="G4532" s="1" t="s">
        <v>9057</v>
      </c>
      <c r="H4532" s="2">
        <v>1937.68</v>
      </c>
      <c r="I4532" s="2">
        <v>1937.68</v>
      </c>
    </row>
    <row r="4533">
      <c r="A4533" s="1" t="s">
        <v>9058</v>
      </c>
      <c r="B4533" s="2">
        <v>2090.54</v>
      </c>
      <c r="C4533" s="2">
        <v>2090.54</v>
      </c>
      <c r="D4533" s="2">
        <v>4894.89</v>
      </c>
      <c r="E4533" s="2">
        <v>4894.89</v>
      </c>
      <c r="G4533" s="1" t="s">
        <v>9059</v>
      </c>
      <c r="H4533" s="2">
        <v>1960.51</v>
      </c>
      <c r="I4533" s="2">
        <v>1960.51</v>
      </c>
    </row>
    <row r="4534">
      <c r="A4534" s="1" t="s">
        <v>9060</v>
      </c>
      <c r="B4534" s="2">
        <v>2090.1</v>
      </c>
      <c r="C4534" s="2">
        <v>2090.1</v>
      </c>
      <c r="D4534" s="2">
        <v>4901.77</v>
      </c>
      <c r="E4534" s="2">
        <v>4901.77</v>
      </c>
      <c r="G4534" s="1" t="s">
        <v>9061</v>
      </c>
      <c r="H4534" s="2">
        <v>1957.06</v>
      </c>
      <c r="I4534" s="2">
        <v>1957.06</v>
      </c>
    </row>
    <row r="4535">
      <c r="A4535" s="1" t="s">
        <v>9062</v>
      </c>
      <c r="B4535" s="2">
        <v>2099.06</v>
      </c>
      <c r="C4535" s="2">
        <v>2099.06</v>
      </c>
      <c r="D4535" s="2">
        <v>4933.5</v>
      </c>
      <c r="E4535" s="2">
        <v>4933.5</v>
      </c>
      <c r="G4535" s="1" t="s">
        <v>9063</v>
      </c>
      <c r="H4535" s="2">
        <v>1969.17</v>
      </c>
      <c r="I4535" s="2">
        <v>1969.17</v>
      </c>
    </row>
    <row r="4536">
      <c r="A4536" s="1" t="s">
        <v>9064</v>
      </c>
      <c r="B4536" s="2" t="s">
        <v>0</v>
      </c>
      <c r="C4536" s="2">
        <v>2099.06</v>
      </c>
      <c r="D4536" s="2" t="s">
        <v>0</v>
      </c>
      <c r="E4536" s="2">
        <v>4933.5</v>
      </c>
      <c r="G4536" s="1" t="s">
        <v>9065</v>
      </c>
      <c r="H4536" s="2" t="s">
        <v>0</v>
      </c>
      <c r="I4536" s="2">
        <v>1969.17</v>
      </c>
    </row>
    <row r="4537">
      <c r="A4537" s="1" t="s">
        <v>9066</v>
      </c>
      <c r="B4537" s="2" t="s">
        <v>0</v>
      </c>
      <c r="C4537" s="2">
        <v>2099.06</v>
      </c>
      <c r="D4537" s="2" t="s">
        <v>0</v>
      </c>
      <c r="E4537" s="2">
        <v>4933.5</v>
      </c>
      <c r="G4537" s="1" t="s">
        <v>9067</v>
      </c>
      <c r="H4537" s="2" t="s">
        <v>0</v>
      </c>
      <c r="I4537" s="2">
        <v>1969.17</v>
      </c>
    </row>
    <row r="4538">
      <c r="A4538" s="1" t="s">
        <v>9068</v>
      </c>
      <c r="B4538" s="2" t="s">
        <v>0</v>
      </c>
      <c r="C4538" s="2">
        <v>2099.06</v>
      </c>
      <c r="D4538" s="2" t="s">
        <v>0</v>
      </c>
      <c r="E4538" s="2">
        <v>4933.5</v>
      </c>
      <c r="G4538" s="1" t="s">
        <v>9069</v>
      </c>
      <c r="H4538" s="2">
        <v>1967.13</v>
      </c>
      <c r="I4538" s="2">
        <v>1967.13</v>
      </c>
    </row>
    <row r="4539">
      <c r="A4539" s="1" t="s">
        <v>9070</v>
      </c>
      <c r="B4539" s="2">
        <v>2096.96</v>
      </c>
      <c r="C4539" s="2">
        <v>2096.96</v>
      </c>
      <c r="D4539" s="2">
        <v>4948.05</v>
      </c>
      <c r="E4539" s="2">
        <v>4948.05</v>
      </c>
      <c r="G4539" s="1" t="s">
        <v>9071</v>
      </c>
      <c r="H4539" s="2">
        <v>1983.4</v>
      </c>
      <c r="I4539" s="2">
        <v>1983.4</v>
      </c>
    </row>
    <row r="4540">
      <c r="A4540" s="1" t="s">
        <v>9072</v>
      </c>
      <c r="B4540" s="2">
        <v>2099.33</v>
      </c>
      <c r="C4540" s="2">
        <v>2099.33</v>
      </c>
      <c r="D4540" s="2">
        <v>4952.25</v>
      </c>
      <c r="E4540" s="2">
        <v>4952.25</v>
      </c>
      <c r="G4540" s="1" t="s">
        <v>9073</v>
      </c>
      <c r="H4540" s="2">
        <v>1982.72</v>
      </c>
      <c r="I4540" s="2">
        <v>1982.72</v>
      </c>
    </row>
    <row r="4541">
      <c r="A4541" s="1" t="s">
        <v>9074</v>
      </c>
      <c r="B4541" s="2">
        <v>2105.26</v>
      </c>
      <c r="C4541" s="2">
        <v>2105.26</v>
      </c>
      <c r="D4541" s="2">
        <v>4971.36</v>
      </c>
      <c r="E4541" s="2">
        <v>4971.36</v>
      </c>
      <c r="G4541" s="1" t="s">
        <v>9075</v>
      </c>
      <c r="H4541" s="2">
        <v>1985.11</v>
      </c>
      <c r="I4541" s="2">
        <v>1985.11</v>
      </c>
    </row>
    <row r="4542">
      <c r="A4542" s="1" t="s">
        <v>9076</v>
      </c>
      <c r="B4542" s="2">
        <v>2099.13</v>
      </c>
      <c r="C4542" s="2">
        <v>2099.13</v>
      </c>
      <c r="D4542" s="2">
        <v>4942.52</v>
      </c>
      <c r="E4542" s="2">
        <v>4942.52</v>
      </c>
      <c r="G4542" s="1" t="s">
        <v>9077</v>
      </c>
      <c r="H4542" s="2">
        <v>1985.84</v>
      </c>
      <c r="I4542" s="2">
        <v>1985.84</v>
      </c>
    </row>
    <row r="4543">
      <c r="A4543" s="1" t="s">
        <v>9078</v>
      </c>
      <c r="B4543" s="2" t="s">
        <v>0</v>
      </c>
      <c r="C4543" s="2">
        <v>2099.13</v>
      </c>
      <c r="D4543" s="2" t="s">
        <v>0</v>
      </c>
      <c r="E4543" s="2">
        <v>4942.52</v>
      </c>
      <c r="G4543" s="1" t="s">
        <v>9079</v>
      </c>
      <c r="H4543" s="2" t="s">
        <v>0</v>
      </c>
      <c r="I4543" s="2">
        <v>1985.84</v>
      </c>
    </row>
    <row r="4544">
      <c r="A4544" s="1" t="s">
        <v>9080</v>
      </c>
      <c r="B4544" s="2" t="s">
        <v>0</v>
      </c>
      <c r="C4544" s="2">
        <v>2099.13</v>
      </c>
      <c r="D4544" s="2" t="s">
        <v>0</v>
      </c>
      <c r="E4544" s="2">
        <v>4942.52</v>
      </c>
      <c r="G4544" s="1" t="s">
        <v>9081</v>
      </c>
      <c r="H4544" s="2" t="s">
        <v>0</v>
      </c>
      <c r="I4544" s="2">
        <v>1985.84</v>
      </c>
    </row>
    <row r="4545">
      <c r="A4545" s="1" t="s">
        <v>9082</v>
      </c>
      <c r="B4545" s="2">
        <v>2109.41</v>
      </c>
      <c r="C4545" s="2">
        <v>2109.41</v>
      </c>
      <c r="D4545" s="2">
        <v>4968.71</v>
      </c>
      <c r="E4545" s="2">
        <v>4968.71</v>
      </c>
      <c r="G4545" s="1" t="s">
        <v>9083</v>
      </c>
      <c r="H4545" s="2" t="s">
        <v>0</v>
      </c>
      <c r="I4545" s="2">
        <v>1985.84</v>
      </c>
    </row>
    <row r="4546">
      <c r="A4546" s="1" t="s">
        <v>9084</v>
      </c>
      <c r="B4546" s="2">
        <v>2112.13</v>
      </c>
      <c r="C4546" s="2">
        <v>2112.13</v>
      </c>
      <c r="D4546" s="2">
        <v>4961.75</v>
      </c>
      <c r="E4546" s="2">
        <v>4961.75</v>
      </c>
      <c r="G4546" s="1" t="s">
        <v>9085</v>
      </c>
      <c r="H4546" s="2">
        <v>2011.63</v>
      </c>
      <c r="I4546" s="2">
        <v>2011.63</v>
      </c>
    </row>
    <row r="4547">
      <c r="A4547" s="1" t="s">
        <v>9086</v>
      </c>
      <c r="B4547" s="2">
        <v>2119.12</v>
      </c>
      <c r="C4547" s="2">
        <v>2119.12</v>
      </c>
      <c r="D4547" s="2">
        <v>4974.64</v>
      </c>
      <c r="E4547" s="2">
        <v>4974.64</v>
      </c>
      <c r="G4547" s="1" t="s">
        <v>9087</v>
      </c>
      <c r="H4547" s="2">
        <v>2027.08</v>
      </c>
      <c r="I4547" s="2">
        <v>2027.08</v>
      </c>
    </row>
    <row r="4548">
      <c r="A4548" s="1" t="s">
        <v>9088</v>
      </c>
      <c r="B4548" s="2">
        <v>2115.48</v>
      </c>
      <c r="C4548" s="2">
        <v>2115.48</v>
      </c>
      <c r="D4548" s="2">
        <v>4958.62</v>
      </c>
      <c r="E4548" s="2">
        <v>4958.62</v>
      </c>
      <c r="G4548" s="1" t="s">
        <v>9089</v>
      </c>
      <c r="H4548" s="2">
        <v>2024.17</v>
      </c>
      <c r="I4548" s="2">
        <v>2024.17</v>
      </c>
    </row>
    <row r="4549">
      <c r="A4549" s="1" t="s">
        <v>9090</v>
      </c>
      <c r="B4549" s="2">
        <v>2096.07</v>
      </c>
      <c r="C4549" s="2">
        <v>2096.07</v>
      </c>
      <c r="D4549" s="2">
        <v>4894.55</v>
      </c>
      <c r="E4549" s="2">
        <v>4894.55</v>
      </c>
      <c r="G4549" s="1" t="s">
        <v>9091</v>
      </c>
      <c r="H4549" s="2">
        <v>2017.63</v>
      </c>
      <c r="I4549" s="2">
        <v>2017.63</v>
      </c>
    </row>
    <row r="4550">
      <c r="A4550" s="1" t="s">
        <v>9092</v>
      </c>
      <c r="B4550" s="2" t="s">
        <v>0</v>
      </c>
      <c r="C4550" s="2">
        <v>2096.07</v>
      </c>
      <c r="D4550" s="2" t="s">
        <v>0</v>
      </c>
      <c r="E4550" s="2">
        <v>4894.55</v>
      </c>
      <c r="G4550" s="1" t="s">
        <v>9093</v>
      </c>
      <c r="H4550" s="2" t="s">
        <v>0</v>
      </c>
      <c r="I4550" s="2">
        <v>2017.63</v>
      </c>
    </row>
    <row r="4551">
      <c r="A4551" s="1" t="s">
        <v>9094</v>
      </c>
      <c r="B4551" s="2" t="s">
        <v>0</v>
      </c>
      <c r="C4551" s="2">
        <v>2096.07</v>
      </c>
      <c r="D4551" s="2" t="s">
        <v>0</v>
      </c>
      <c r="E4551" s="2">
        <v>4894.55</v>
      </c>
      <c r="G4551" s="1" t="s">
        <v>9095</v>
      </c>
      <c r="H4551" s="2" t="s">
        <v>0</v>
      </c>
      <c r="I4551" s="2">
        <v>2017.63</v>
      </c>
    </row>
    <row r="4552">
      <c r="A4552" s="1" t="s">
        <v>9096</v>
      </c>
      <c r="B4552" s="2">
        <v>2079.06</v>
      </c>
      <c r="C4552" s="2">
        <v>2079.06</v>
      </c>
      <c r="D4552" s="2">
        <v>4848.44</v>
      </c>
      <c r="E4552" s="2">
        <v>4848.44</v>
      </c>
      <c r="G4552" s="1" t="s">
        <v>9097</v>
      </c>
      <c r="H4552" s="2">
        <v>1979.06</v>
      </c>
      <c r="I4552" s="2">
        <v>1979.06</v>
      </c>
    </row>
    <row r="4553">
      <c r="A4553" s="1" t="s">
        <v>9098</v>
      </c>
      <c r="B4553" s="2">
        <v>2075.32</v>
      </c>
      <c r="C4553" s="2">
        <v>2075.32</v>
      </c>
      <c r="D4553" s="2">
        <v>4843.55</v>
      </c>
      <c r="E4553" s="2">
        <v>4843.55</v>
      </c>
      <c r="G4553" s="1" t="s">
        <v>9099</v>
      </c>
      <c r="H4553" s="2">
        <v>1972.03</v>
      </c>
      <c r="I4553" s="2">
        <v>1972.03</v>
      </c>
    </row>
    <row r="4554">
      <c r="A4554" s="1" t="s">
        <v>9100</v>
      </c>
      <c r="B4554" s="2">
        <v>2071.5</v>
      </c>
      <c r="C4554" s="2">
        <v>2071.5</v>
      </c>
      <c r="D4554" s="2">
        <v>4834.93</v>
      </c>
      <c r="E4554" s="2">
        <v>4834.93</v>
      </c>
      <c r="G4554" s="1" t="s">
        <v>9101</v>
      </c>
      <c r="H4554" s="2">
        <v>1968.83</v>
      </c>
      <c r="I4554" s="2">
        <v>1968.83</v>
      </c>
    </row>
    <row r="4555">
      <c r="A4555" s="1" t="s">
        <v>9102</v>
      </c>
      <c r="B4555" s="2">
        <v>2077.99</v>
      </c>
      <c r="C4555" s="2">
        <v>2077.99</v>
      </c>
      <c r="D4555" s="2">
        <v>4844.92</v>
      </c>
      <c r="E4555" s="2">
        <v>4844.92</v>
      </c>
      <c r="G4555" s="1" t="s">
        <v>9103</v>
      </c>
      <c r="H4555" s="2">
        <v>1951.99</v>
      </c>
      <c r="I4555" s="2">
        <v>1951.99</v>
      </c>
    </row>
    <row r="4556">
      <c r="A4556" s="1" t="s">
        <v>9104</v>
      </c>
      <c r="B4556" s="2">
        <v>2071.22</v>
      </c>
      <c r="C4556" s="2">
        <v>2071.22</v>
      </c>
      <c r="D4556" s="2">
        <v>4800.34</v>
      </c>
      <c r="E4556" s="2">
        <v>4800.34</v>
      </c>
      <c r="G4556" s="1" t="s">
        <v>9105</v>
      </c>
      <c r="H4556" s="2">
        <v>1953.4</v>
      </c>
      <c r="I4556" s="2">
        <v>1953.4</v>
      </c>
    </row>
    <row r="4557">
      <c r="A4557" s="1" t="s">
        <v>9106</v>
      </c>
      <c r="B4557" s="2" t="s">
        <v>0</v>
      </c>
      <c r="C4557" s="2">
        <v>2071.22</v>
      </c>
      <c r="D4557" s="2" t="s">
        <v>0</v>
      </c>
      <c r="E4557" s="2">
        <v>4800.34</v>
      </c>
      <c r="G4557" s="1" t="s">
        <v>9107</v>
      </c>
      <c r="H4557" s="2" t="s">
        <v>0</v>
      </c>
      <c r="I4557" s="2">
        <v>1953.4</v>
      </c>
    </row>
    <row r="4558">
      <c r="A4558" s="1" t="s">
        <v>9108</v>
      </c>
      <c r="B4558" s="2" t="s">
        <v>0</v>
      </c>
      <c r="C4558" s="2">
        <v>2071.22</v>
      </c>
      <c r="D4558" s="2" t="s">
        <v>0</v>
      </c>
      <c r="E4558" s="2">
        <v>4800.34</v>
      </c>
      <c r="G4558" s="1" t="s">
        <v>9109</v>
      </c>
      <c r="H4558" s="2" t="s">
        <v>0</v>
      </c>
      <c r="I4558" s="2">
        <v>1953.4</v>
      </c>
    </row>
    <row r="4559">
      <c r="A4559" s="1" t="s">
        <v>9110</v>
      </c>
      <c r="B4559" s="2">
        <v>2083.25</v>
      </c>
      <c r="C4559" s="2">
        <v>2083.25</v>
      </c>
      <c r="D4559" s="2">
        <v>4837.21</v>
      </c>
      <c r="E4559" s="2">
        <v>4837.21</v>
      </c>
      <c r="G4559" s="1" t="s">
        <v>9111</v>
      </c>
      <c r="H4559" s="2">
        <v>1981.12</v>
      </c>
      <c r="I4559" s="2">
        <v>1981.12</v>
      </c>
    </row>
    <row r="4560">
      <c r="A4560" s="1" t="s">
        <v>9112</v>
      </c>
      <c r="B4560" s="2">
        <v>2088.9</v>
      </c>
      <c r="C4560" s="2">
        <v>2088.9</v>
      </c>
      <c r="D4560" s="2">
        <v>4843.76</v>
      </c>
      <c r="E4560" s="2">
        <v>4843.76</v>
      </c>
      <c r="G4560" s="1" t="s">
        <v>9113</v>
      </c>
      <c r="H4560" s="2">
        <v>1982.7</v>
      </c>
      <c r="I4560" s="2">
        <v>1982.7</v>
      </c>
    </row>
    <row r="4561">
      <c r="A4561" s="1" t="s">
        <v>9114</v>
      </c>
      <c r="B4561" s="2">
        <v>2085.45</v>
      </c>
      <c r="C4561" s="2">
        <v>2085.45</v>
      </c>
      <c r="D4561" s="2">
        <v>4833.32</v>
      </c>
      <c r="E4561" s="2">
        <v>4833.32</v>
      </c>
      <c r="G4561" s="1" t="s">
        <v>9115</v>
      </c>
      <c r="H4561" s="2">
        <v>1992.58</v>
      </c>
      <c r="I4561" s="2">
        <v>1992.58</v>
      </c>
    </row>
    <row r="4562">
      <c r="A4562" s="1" t="s">
        <v>9116</v>
      </c>
      <c r="B4562" s="2">
        <v>2113.32</v>
      </c>
      <c r="C4562" s="2">
        <v>2113.32</v>
      </c>
      <c r="D4562" s="2">
        <v>4910.04</v>
      </c>
      <c r="E4562" s="2">
        <v>4910.04</v>
      </c>
      <c r="G4562" s="1" t="s">
        <v>9117</v>
      </c>
      <c r="H4562" s="2">
        <v>1986.71</v>
      </c>
      <c r="I4562" s="2">
        <v>1986.71</v>
      </c>
    </row>
    <row r="4563">
      <c r="A4563" s="1" t="s">
        <v>9118</v>
      </c>
      <c r="B4563" s="2">
        <v>2037.41</v>
      </c>
      <c r="C4563" s="2">
        <v>2037.41</v>
      </c>
      <c r="D4563" s="2">
        <v>4707.98</v>
      </c>
      <c r="E4563" s="2">
        <v>4707.98</v>
      </c>
      <c r="G4563" s="1" t="s">
        <v>9119</v>
      </c>
      <c r="H4563" s="2">
        <v>1925.24</v>
      </c>
      <c r="I4563" s="2">
        <v>1925.24</v>
      </c>
    </row>
    <row r="4564">
      <c r="A4564" s="1" t="s">
        <v>9120</v>
      </c>
      <c r="B4564" s="2" t="s">
        <v>0</v>
      </c>
      <c r="C4564" s="2">
        <v>2037.41</v>
      </c>
      <c r="D4564" s="2" t="s">
        <v>0</v>
      </c>
      <c r="E4564" s="2">
        <v>4707.98</v>
      </c>
      <c r="G4564" s="1" t="s">
        <v>9121</v>
      </c>
      <c r="H4564" s="2" t="s">
        <v>0</v>
      </c>
      <c r="I4564" s="2">
        <v>1925.24</v>
      </c>
    </row>
    <row r="4565">
      <c r="A4565" s="1" t="s">
        <v>9122</v>
      </c>
      <c r="B4565" s="2" t="s">
        <v>0</v>
      </c>
      <c r="C4565" s="2">
        <v>2037.41</v>
      </c>
      <c r="D4565" s="2" t="s">
        <v>0</v>
      </c>
      <c r="E4565" s="2">
        <v>4707.98</v>
      </c>
      <c r="G4565" s="1" t="s">
        <v>9123</v>
      </c>
      <c r="H4565" s="2" t="s">
        <v>0</v>
      </c>
      <c r="I4565" s="2">
        <v>1925.24</v>
      </c>
    </row>
    <row r="4566">
      <c r="A4566" s="1" t="s">
        <v>9124</v>
      </c>
      <c r="B4566" s="2">
        <v>2000.54</v>
      </c>
      <c r="C4566" s="2">
        <v>2000.54</v>
      </c>
      <c r="D4566" s="2">
        <v>4594.44</v>
      </c>
      <c r="E4566" s="2">
        <v>4594.44</v>
      </c>
      <c r="G4566" s="1" t="s">
        <v>9125</v>
      </c>
      <c r="H4566" s="2">
        <v>1926.85</v>
      </c>
      <c r="I4566" s="2">
        <v>1926.85</v>
      </c>
    </row>
    <row r="4567">
      <c r="A4567" s="1" t="s">
        <v>9126</v>
      </c>
      <c r="B4567" s="2">
        <v>2036.09</v>
      </c>
      <c r="C4567" s="2">
        <v>2036.09</v>
      </c>
      <c r="D4567" s="2">
        <v>4691.87</v>
      </c>
      <c r="E4567" s="2">
        <v>4691.87</v>
      </c>
      <c r="G4567" s="1" t="s">
        <v>9127</v>
      </c>
      <c r="H4567" s="2">
        <v>1936.22</v>
      </c>
      <c r="I4567" s="2">
        <v>1936.22</v>
      </c>
    </row>
    <row r="4568">
      <c r="A4568" s="1" t="s">
        <v>9128</v>
      </c>
      <c r="B4568" s="2">
        <v>2070.77</v>
      </c>
      <c r="C4568" s="2">
        <v>2070.77</v>
      </c>
      <c r="D4568" s="2">
        <v>4779.25</v>
      </c>
      <c r="E4568" s="2">
        <v>4779.25</v>
      </c>
      <c r="G4568" s="1" t="s">
        <v>9129</v>
      </c>
      <c r="H4568" s="2">
        <v>1956.36</v>
      </c>
      <c r="I4568" s="2">
        <v>1956.36</v>
      </c>
    </row>
    <row r="4569">
      <c r="A4569" s="1" t="s">
        <v>9130</v>
      </c>
      <c r="B4569" s="2">
        <v>2098.86</v>
      </c>
      <c r="C4569" s="2">
        <v>2098.86</v>
      </c>
      <c r="D4569" s="2">
        <v>4842.67</v>
      </c>
      <c r="E4569" s="2">
        <v>4842.67</v>
      </c>
      <c r="G4569" s="1" t="s">
        <v>9131</v>
      </c>
      <c r="H4569" s="2">
        <v>1970.35</v>
      </c>
      <c r="I4569" s="2">
        <v>1970.35</v>
      </c>
    </row>
    <row r="4570">
      <c r="A4570" s="1" t="s">
        <v>9132</v>
      </c>
      <c r="B4570" s="2">
        <v>2102.95</v>
      </c>
      <c r="C4570" s="2">
        <v>2102.95</v>
      </c>
      <c r="D4570" s="2">
        <v>4862.57</v>
      </c>
      <c r="E4570" s="2">
        <v>4862.57</v>
      </c>
      <c r="G4570" s="1" t="s">
        <v>9133</v>
      </c>
      <c r="H4570" s="2">
        <v>1987.32</v>
      </c>
      <c r="I4570" s="2">
        <v>1987.32</v>
      </c>
    </row>
    <row r="4571">
      <c r="A4571" s="1" t="s">
        <v>9134</v>
      </c>
      <c r="B4571" s="2" t="s">
        <v>0</v>
      </c>
      <c r="C4571" s="2">
        <v>2102.95</v>
      </c>
      <c r="D4571" s="2" t="s">
        <v>0</v>
      </c>
      <c r="E4571" s="2">
        <v>4862.57</v>
      </c>
      <c r="G4571" s="1" t="s">
        <v>9135</v>
      </c>
      <c r="H4571" s="2" t="s">
        <v>0</v>
      </c>
      <c r="I4571" s="2">
        <v>1987.32</v>
      </c>
    </row>
    <row r="4572">
      <c r="A4572" s="1" t="s">
        <v>9136</v>
      </c>
      <c r="B4572" s="2" t="s">
        <v>0</v>
      </c>
      <c r="C4572" s="2">
        <v>2102.95</v>
      </c>
      <c r="D4572" s="2" t="s">
        <v>0</v>
      </c>
      <c r="E4572" s="2">
        <v>4862.57</v>
      </c>
      <c r="G4572" s="1" t="s">
        <v>9137</v>
      </c>
      <c r="H4572" s="2" t="s">
        <v>0</v>
      </c>
      <c r="I4572" s="2">
        <v>1987.32</v>
      </c>
    </row>
    <row r="4573">
      <c r="A4573" s="1" t="s">
        <v>9138</v>
      </c>
      <c r="B4573" s="2" t="s">
        <v>0</v>
      </c>
      <c r="C4573" s="2">
        <v>2102.95</v>
      </c>
      <c r="D4573" s="2" t="s">
        <v>0</v>
      </c>
      <c r="E4573" s="2">
        <v>4862.57</v>
      </c>
      <c r="G4573" s="1" t="s">
        <v>9139</v>
      </c>
      <c r="H4573" s="2">
        <v>1995.3</v>
      </c>
      <c r="I4573" s="2">
        <v>1995.3</v>
      </c>
    </row>
    <row r="4574">
      <c r="A4574" s="1" t="s">
        <v>9140</v>
      </c>
      <c r="B4574" s="2">
        <v>2088.55</v>
      </c>
      <c r="C4574" s="2">
        <v>2088.55</v>
      </c>
      <c r="D4574" s="2">
        <v>4822.9</v>
      </c>
      <c r="E4574" s="2">
        <v>4822.9</v>
      </c>
      <c r="G4574" s="1" t="s">
        <v>9141</v>
      </c>
      <c r="H4574" s="2">
        <v>1989.85</v>
      </c>
      <c r="I4574" s="2">
        <v>1989.85</v>
      </c>
    </row>
    <row r="4575">
      <c r="A4575" s="1" t="s">
        <v>9142</v>
      </c>
      <c r="B4575" s="2">
        <v>2099.73</v>
      </c>
      <c r="C4575" s="2">
        <v>2099.73</v>
      </c>
      <c r="D4575" s="2">
        <v>4859.16</v>
      </c>
      <c r="E4575" s="2">
        <v>4859.16</v>
      </c>
      <c r="G4575" s="1" t="s">
        <v>9143</v>
      </c>
      <c r="H4575" s="2">
        <v>1953.12</v>
      </c>
      <c r="I4575" s="2">
        <v>1953.12</v>
      </c>
    </row>
    <row r="4576">
      <c r="A4576" s="1" t="s">
        <v>9144</v>
      </c>
      <c r="B4576" s="2">
        <v>2097.9</v>
      </c>
      <c r="C4576" s="2">
        <v>2097.9</v>
      </c>
      <c r="D4576" s="2">
        <v>4876.81</v>
      </c>
      <c r="E4576" s="2">
        <v>4876.81</v>
      </c>
      <c r="G4576" s="1" t="s">
        <v>9145</v>
      </c>
      <c r="H4576" s="2">
        <v>1974.08</v>
      </c>
      <c r="I4576" s="2">
        <v>1974.08</v>
      </c>
    </row>
    <row r="4577">
      <c r="A4577" s="1" t="s">
        <v>9146</v>
      </c>
      <c r="B4577" s="2">
        <v>2129.9</v>
      </c>
      <c r="C4577" s="2">
        <v>2129.9</v>
      </c>
      <c r="D4577" s="2">
        <v>4956.76</v>
      </c>
      <c r="E4577" s="2">
        <v>4956.76</v>
      </c>
      <c r="G4577" s="1" t="s">
        <v>9147</v>
      </c>
      <c r="H4577" s="2">
        <v>1963.1</v>
      </c>
      <c r="I4577" s="2">
        <v>1963.1</v>
      </c>
    </row>
    <row r="4578">
      <c r="A4578" s="1" t="s">
        <v>9148</v>
      </c>
      <c r="B4578" s="2" t="s">
        <v>0</v>
      </c>
      <c r="C4578" s="2">
        <v>2129.9</v>
      </c>
      <c r="D4578" s="2" t="s">
        <v>0</v>
      </c>
      <c r="E4578" s="2">
        <v>4956.76</v>
      </c>
      <c r="G4578" s="1" t="s">
        <v>9149</v>
      </c>
      <c r="H4578" s="2" t="s">
        <v>0</v>
      </c>
      <c r="I4578" s="2">
        <v>1963.1</v>
      </c>
    </row>
    <row r="4579">
      <c r="A4579" s="1" t="s">
        <v>9150</v>
      </c>
      <c r="B4579" s="2" t="s">
        <v>0</v>
      </c>
      <c r="C4579" s="2">
        <v>2129.9</v>
      </c>
      <c r="D4579" s="2" t="s">
        <v>0</v>
      </c>
      <c r="E4579" s="2">
        <v>4956.76</v>
      </c>
      <c r="G4579" s="1" t="s">
        <v>9151</v>
      </c>
      <c r="H4579" s="2" t="s">
        <v>0</v>
      </c>
      <c r="I4579" s="2">
        <v>1963.1</v>
      </c>
    </row>
    <row r="4580">
      <c r="A4580" s="1" t="s">
        <v>9152</v>
      </c>
      <c r="B4580" s="2">
        <v>2137.16</v>
      </c>
      <c r="C4580" s="2">
        <v>2137.16</v>
      </c>
      <c r="D4580" s="2">
        <v>4988.64</v>
      </c>
      <c r="E4580" s="2">
        <v>4988.64</v>
      </c>
      <c r="G4580" s="1" t="s">
        <v>9153</v>
      </c>
      <c r="H4580" s="2">
        <v>1988.54</v>
      </c>
      <c r="I4580" s="2">
        <v>1988.54</v>
      </c>
    </row>
    <row r="4581">
      <c r="A4581" s="1" t="s">
        <v>9154</v>
      </c>
      <c r="B4581" s="2">
        <v>2152.14</v>
      </c>
      <c r="C4581" s="2">
        <v>2152.14</v>
      </c>
      <c r="D4581" s="2">
        <v>5022.82</v>
      </c>
      <c r="E4581" s="2">
        <v>5022.82</v>
      </c>
      <c r="G4581" s="1" t="s">
        <v>9155</v>
      </c>
      <c r="H4581" s="2">
        <v>1991.23</v>
      </c>
      <c r="I4581" s="2">
        <v>1991.23</v>
      </c>
    </row>
    <row r="4582">
      <c r="A4582" s="1" t="s">
        <v>9156</v>
      </c>
      <c r="B4582" s="2">
        <v>2152.43</v>
      </c>
      <c r="C4582" s="2">
        <v>2152.43</v>
      </c>
      <c r="D4582" s="2">
        <v>5005.73</v>
      </c>
      <c r="E4582" s="2">
        <v>5005.73</v>
      </c>
      <c r="G4582" s="1" t="s">
        <v>9157</v>
      </c>
      <c r="H4582" s="2">
        <v>2005.55</v>
      </c>
      <c r="I4582" s="2">
        <v>2005.55</v>
      </c>
    </row>
    <row r="4583">
      <c r="A4583" s="1" t="s">
        <v>9158</v>
      </c>
      <c r="B4583" s="2">
        <v>2163.75</v>
      </c>
      <c r="C4583" s="2">
        <v>2163.75</v>
      </c>
      <c r="D4583" s="2">
        <v>5034.06</v>
      </c>
      <c r="E4583" s="2">
        <v>5034.06</v>
      </c>
      <c r="G4583" s="1" t="s">
        <v>9159</v>
      </c>
      <c r="H4583" s="2">
        <v>2008.77</v>
      </c>
      <c r="I4583" s="2">
        <v>2008.77</v>
      </c>
    </row>
    <row r="4584">
      <c r="A4584" s="1" t="s">
        <v>9160</v>
      </c>
      <c r="B4584" s="2">
        <v>2161.74</v>
      </c>
      <c r="C4584" s="2">
        <v>2161.74</v>
      </c>
      <c r="D4584" s="2">
        <v>5029.59</v>
      </c>
      <c r="E4584" s="2">
        <v>5029.59</v>
      </c>
      <c r="G4584" s="1" t="s">
        <v>9161</v>
      </c>
      <c r="H4584" s="2">
        <v>2017.26</v>
      </c>
      <c r="I4584" s="2">
        <v>2017.26</v>
      </c>
    </row>
    <row r="4585">
      <c r="A4585" s="1" t="s">
        <v>9162</v>
      </c>
      <c r="B4585" s="2" t="s">
        <v>0</v>
      </c>
      <c r="C4585" s="2">
        <v>2161.74</v>
      </c>
      <c r="D4585" s="2" t="s">
        <v>0</v>
      </c>
      <c r="E4585" s="2">
        <v>5029.59</v>
      </c>
      <c r="G4585" s="1" t="s">
        <v>9163</v>
      </c>
      <c r="H4585" s="2" t="s">
        <v>0</v>
      </c>
      <c r="I4585" s="2">
        <v>2017.26</v>
      </c>
    </row>
    <row r="4586">
      <c r="A4586" s="1" t="s">
        <v>9164</v>
      </c>
      <c r="B4586" s="2" t="s">
        <v>0</v>
      </c>
      <c r="C4586" s="2">
        <v>2161.74</v>
      </c>
      <c r="D4586" s="2" t="s">
        <v>0</v>
      </c>
      <c r="E4586" s="2">
        <v>5029.59</v>
      </c>
      <c r="G4586" s="1" t="s">
        <v>9165</v>
      </c>
      <c r="H4586" s="2" t="s">
        <v>0</v>
      </c>
      <c r="I4586" s="2">
        <v>2017.26</v>
      </c>
    </row>
    <row r="4587">
      <c r="A4587" s="1" t="s">
        <v>9166</v>
      </c>
      <c r="B4587" s="2">
        <v>2166.89</v>
      </c>
      <c r="C4587" s="2">
        <v>2166.89</v>
      </c>
      <c r="D4587" s="2">
        <v>5055.78</v>
      </c>
      <c r="E4587" s="2">
        <v>5055.78</v>
      </c>
      <c r="G4587" s="1" t="s">
        <v>9167</v>
      </c>
      <c r="H4587" s="2">
        <v>2021.11</v>
      </c>
      <c r="I4587" s="2">
        <v>2021.11</v>
      </c>
    </row>
    <row r="4588">
      <c r="A4588" s="1" t="s">
        <v>9168</v>
      </c>
      <c r="B4588" s="2">
        <v>2163.78</v>
      </c>
      <c r="C4588" s="2">
        <v>2163.78</v>
      </c>
      <c r="D4588" s="2">
        <v>5036.37</v>
      </c>
      <c r="E4588" s="2">
        <v>5036.37</v>
      </c>
      <c r="G4588" s="1" t="s">
        <v>9169</v>
      </c>
      <c r="H4588" s="2">
        <v>2016.89</v>
      </c>
      <c r="I4588" s="2">
        <v>2016.89</v>
      </c>
    </row>
    <row r="4589">
      <c r="A4589" s="1" t="s">
        <v>9170</v>
      </c>
      <c r="B4589" s="2">
        <v>2173.02</v>
      </c>
      <c r="C4589" s="2">
        <v>2173.02</v>
      </c>
      <c r="D4589" s="2">
        <v>5089.93</v>
      </c>
      <c r="E4589" s="2">
        <v>5089.93</v>
      </c>
      <c r="G4589" s="1" t="s">
        <v>9171</v>
      </c>
      <c r="H4589" s="2">
        <v>2015.46</v>
      </c>
      <c r="I4589" s="2">
        <v>2015.46</v>
      </c>
    </row>
    <row r="4590">
      <c r="A4590" s="1" t="s">
        <v>9172</v>
      </c>
      <c r="B4590" s="2">
        <v>2165.17</v>
      </c>
      <c r="C4590" s="2">
        <v>2165.17</v>
      </c>
      <c r="D4590" s="2">
        <v>5073.9</v>
      </c>
      <c r="E4590" s="2">
        <v>5073.9</v>
      </c>
      <c r="G4590" s="1" t="s">
        <v>9173</v>
      </c>
      <c r="H4590" s="2">
        <v>2012.22</v>
      </c>
      <c r="I4590" s="2">
        <v>2012.22</v>
      </c>
    </row>
    <row r="4591">
      <c r="A4591" s="1" t="s">
        <v>9174</v>
      </c>
      <c r="B4591" s="2">
        <v>2175.03</v>
      </c>
      <c r="C4591" s="2">
        <v>2175.03</v>
      </c>
      <c r="D4591" s="2">
        <v>5100.16</v>
      </c>
      <c r="E4591" s="2">
        <v>5100.16</v>
      </c>
      <c r="G4591" s="1" t="s">
        <v>9175</v>
      </c>
      <c r="H4591" s="2">
        <v>2010.34</v>
      </c>
      <c r="I4591" s="2">
        <v>2010.34</v>
      </c>
    </row>
    <row r="4592">
      <c r="A4592" s="1" t="s">
        <v>9176</v>
      </c>
      <c r="B4592" s="2" t="s">
        <v>0</v>
      </c>
      <c r="C4592" s="2">
        <v>2175.03</v>
      </c>
      <c r="D4592" s="2" t="s">
        <v>0</v>
      </c>
      <c r="E4592" s="2">
        <v>5100.16</v>
      </c>
      <c r="G4592" s="1" t="s">
        <v>9177</v>
      </c>
      <c r="H4592" s="2" t="s">
        <v>0</v>
      </c>
      <c r="I4592" s="2">
        <v>2010.34</v>
      </c>
    </row>
    <row r="4593">
      <c r="A4593" s="1" t="s">
        <v>9178</v>
      </c>
      <c r="B4593" s="2" t="s">
        <v>0</v>
      </c>
      <c r="C4593" s="2">
        <v>2175.03</v>
      </c>
      <c r="D4593" s="2" t="s">
        <v>0</v>
      </c>
      <c r="E4593" s="2">
        <v>5100.16</v>
      </c>
      <c r="G4593" s="1" t="s">
        <v>9179</v>
      </c>
      <c r="H4593" s="2" t="s">
        <v>0</v>
      </c>
      <c r="I4593" s="2">
        <v>2010.34</v>
      </c>
    </row>
    <row r="4594">
      <c r="A4594" s="1" t="s">
        <v>9180</v>
      </c>
      <c r="B4594" s="2">
        <v>2168.48</v>
      </c>
      <c r="C4594" s="2">
        <v>2168.48</v>
      </c>
      <c r="D4594" s="2">
        <v>5097.63</v>
      </c>
      <c r="E4594" s="2">
        <v>5097.63</v>
      </c>
      <c r="G4594" s="1" t="s">
        <v>9181</v>
      </c>
      <c r="H4594" s="2">
        <v>2012.32</v>
      </c>
      <c r="I4594" s="2">
        <v>2012.32</v>
      </c>
    </row>
    <row r="4595">
      <c r="A4595" s="1" t="s">
        <v>9182</v>
      </c>
      <c r="B4595" s="2">
        <v>2169.18</v>
      </c>
      <c r="C4595" s="2">
        <v>2169.18</v>
      </c>
      <c r="D4595" s="2">
        <v>5110.05</v>
      </c>
      <c r="E4595" s="2">
        <v>5110.05</v>
      </c>
      <c r="G4595" s="1" t="s">
        <v>9183</v>
      </c>
      <c r="H4595" s="2">
        <v>2027.34</v>
      </c>
      <c r="I4595" s="2">
        <v>2027.34</v>
      </c>
    </row>
    <row r="4596">
      <c r="A4596" s="1" t="s">
        <v>9184</v>
      </c>
      <c r="B4596" s="2">
        <v>2166.58</v>
      </c>
      <c r="C4596" s="2">
        <v>2166.58</v>
      </c>
      <c r="D4596" s="2">
        <v>5139.81</v>
      </c>
      <c r="E4596" s="2">
        <v>5139.81</v>
      </c>
      <c r="G4596" s="1" t="s">
        <v>9185</v>
      </c>
      <c r="H4596" s="2">
        <v>2025.05</v>
      </c>
      <c r="I4596" s="2">
        <v>2025.05</v>
      </c>
    </row>
    <row r="4597">
      <c r="A4597" s="1" t="s">
        <v>9186</v>
      </c>
      <c r="B4597" s="2">
        <v>2170.06</v>
      </c>
      <c r="C4597" s="2">
        <v>2170.06</v>
      </c>
      <c r="D4597" s="2">
        <v>5154.98</v>
      </c>
      <c r="E4597" s="2">
        <v>5154.98</v>
      </c>
      <c r="G4597" s="1" t="s">
        <v>9187</v>
      </c>
      <c r="H4597" s="2">
        <v>2021.1</v>
      </c>
      <c r="I4597" s="2">
        <v>2021.1</v>
      </c>
    </row>
    <row r="4598">
      <c r="A4598" s="1" t="s">
        <v>9188</v>
      </c>
      <c r="B4598" s="2">
        <v>2173.6</v>
      </c>
      <c r="C4598" s="2">
        <v>2173.6</v>
      </c>
      <c r="D4598" s="2">
        <v>5162.13</v>
      </c>
      <c r="E4598" s="2">
        <v>5162.13</v>
      </c>
      <c r="G4598" s="1" t="s">
        <v>9189</v>
      </c>
      <c r="H4598" s="2">
        <v>2016.19</v>
      </c>
      <c r="I4598" s="2">
        <v>2016.19</v>
      </c>
    </row>
    <row r="4599">
      <c r="A4599" s="1" t="s">
        <v>9190</v>
      </c>
      <c r="B4599" s="2" t="s">
        <v>0</v>
      </c>
      <c r="C4599" s="2">
        <v>2173.6</v>
      </c>
      <c r="D4599" s="2" t="s">
        <v>0</v>
      </c>
      <c r="E4599" s="2">
        <v>5162.13</v>
      </c>
      <c r="G4599" s="1" t="s">
        <v>9191</v>
      </c>
      <c r="H4599" s="2" t="s">
        <v>0</v>
      </c>
      <c r="I4599" s="2">
        <v>2016.19</v>
      </c>
    </row>
    <row r="4600">
      <c r="A4600" s="1" t="s">
        <v>9192</v>
      </c>
      <c r="B4600" s="2" t="s">
        <v>0</v>
      </c>
      <c r="C4600" s="2">
        <v>2173.6</v>
      </c>
      <c r="D4600" s="2" t="s">
        <v>0</v>
      </c>
      <c r="E4600" s="2">
        <v>5162.13</v>
      </c>
      <c r="G4600" s="1" t="s">
        <v>9193</v>
      </c>
      <c r="H4600" s="2" t="s">
        <v>0</v>
      </c>
      <c r="I4600" s="2">
        <v>2016.19</v>
      </c>
    </row>
    <row r="4601">
      <c r="A4601" s="1" t="s">
        <v>9194</v>
      </c>
      <c r="B4601" s="2">
        <v>2170.84</v>
      </c>
      <c r="C4601" s="2">
        <v>2170.84</v>
      </c>
      <c r="D4601" s="2">
        <v>5184.2</v>
      </c>
      <c r="E4601" s="2">
        <v>5184.2</v>
      </c>
      <c r="G4601" s="1" t="s">
        <v>9195</v>
      </c>
      <c r="H4601" s="2">
        <v>2029.61</v>
      </c>
      <c r="I4601" s="2">
        <v>2029.61</v>
      </c>
    </row>
    <row r="4602">
      <c r="A4602" s="1" t="s">
        <v>9196</v>
      </c>
      <c r="B4602" s="2">
        <v>2157.03</v>
      </c>
      <c r="C4602" s="2">
        <v>2157.03</v>
      </c>
      <c r="D4602" s="2">
        <v>5137.73</v>
      </c>
      <c r="E4602" s="2">
        <v>5137.73</v>
      </c>
      <c r="G4602" s="1" t="s">
        <v>9197</v>
      </c>
      <c r="H4602" s="2">
        <v>2019.03</v>
      </c>
      <c r="I4602" s="2">
        <v>2019.03</v>
      </c>
    </row>
    <row r="4603">
      <c r="A4603" s="1" t="s">
        <v>9198</v>
      </c>
      <c r="B4603" s="2">
        <v>2163.79</v>
      </c>
      <c r="C4603" s="2">
        <v>2163.79</v>
      </c>
      <c r="D4603" s="2">
        <v>5159.74</v>
      </c>
      <c r="E4603" s="2">
        <v>5159.74</v>
      </c>
      <c r="G4603" s="1" t="s">
        <v>9199</v>
      </c>
      <c r="H4603" s="2">
        <v>1994.79</v>
      </c>
      <c r="I4603" s="2">
        <v>1994.79</v>
      </c>
    </row>
    <row r="4604">
      <c r="A4604" s="1" t="s">
        <v>9200</v>
      </c>
      <c r="B4604" s="2">
        <v>2164.25</v>
      </c>
      <c r="C4604" s="2">
        <v>2164.25</v>
      </c>
      <c r="D4604" s="2">
        <v>5166.25</v>
      </c>
      <c r="E4604" s="2">
        <v>5166.25</v>
      </c>
      <c r="G4604" s="1" t="s">
        <v>9201</v>
      </c>
      <c r="H4604" s="2">
        <v>2000.03</v>
      </c>
      <c r="I4604" s="2">
        <v>2000.03</v>
      </c>
    </row>
    <row r="4605">
      <c r="A4605" s="1" t="s">
        <v>9202</v>
      </c>
      <c r="B4605" s="2">
        <v>2182.87</v>
      </c>
      <c r="C4605" s="2">
        <v>2182.87</v>
      </c>
      <c r="D4605" s="2">
        <v>5221.12</v>
      </c>
      <c r="E4605" s="2">
        <v>5221.12</v>
      </c>
      <c r="G4605" s="1" t="s">
        <v>9203</v>
      </c>
      <c r="H4605" s="2">
        <v>2017.94</v>
      </c>
      <c r="I4605" s="2">
        <v>2017.94</v>
      </c>
    </row>
    <row r="4606">
      <c r="A4606" s="1" t="s">
        <v>9204</v>
      </c>
      <c r="B4606" s="2" t="s">
        <v>0</v>
      </c>
      <c r="C4606" s="2">
        <v>2182.87</v>
      </c>
      <c r="D4606" s="2" t="s">
        <v>0</v>
      </c>
      <c r="E4606" s="2">
        <v>5221.12</v>
      </c>
      <c r="G4606" s="1" t="s">
        <v>9205</v>
      </c>
      <c r="H4606" s="2" t="s">
        <v>0</v>
      </c>
      <c r="I4606" s="2">
        <v>2017.94</v>
      </c>
    </row>
    <row r="4607">
      <c r="A4607" s="1" t="s">
        <v>9206</v>
      </c>
      <c r="B4607" s="2" t="s">
        <v>0</v>
      </c>
      <c r="C4607" s="2">
        <v>2182.87</v>
      </c>
      <c r="D4607" s="2" t="s">
        <v>0</v>
      </c>
      <c r="E4607" s="2">
        <v>5221.12</v>
      </c>
      <c r="G4607" s="1" t="s">
        <v>9207</v>
      </c>
      <c r="H4607" s="2" t="s">
        <v>0</v>
      </c>
      <c r="I4607" s="2">
        <v>2017.94</v>
      </c>
    </row>
    <row r="4608">
      <c r="A4608" s="1" t="s">
        <v>9208</v>
      </c>
      <c r="B4608" s="2">
        <v>2180.89</v>
      </c>
      <c r="C4608" s="2">
        <v>2180.89</v>
      </c>
      <c r="D4608" s="2">
        <v>5213.14</v>
      </c>
      <c r="E4608" s="2">
        <v>5213.14</v>
      </c>
      <c r="G4608" s="1" t="s">
        <v>9209</v>
      </c>
      <c r="H4608" s="2">
        <v>2031.12</v>
      </c>
      <c r="I4608" s="2">
        <v>2031.12</v>
      </c>
    </row>
    <row r="4609">
      <c r="A4609" s="1" t="s">
        <v>9210</v>
      </c>
      <c r="B4609" s="2">
        <v>2181.74</v>
      </c>
      <c r="C4609" s="2">
        <v>2181.74</v>
      </c>
      <c r="D4609" s="2">
        <v>5225.48</v>
      </c>
      <c r="E4609" s="2">
        <v>5225.48</v>
      </c>
      <c r="G4609" s="1" t="s">
        <v>9211</v>
      </c>
      <c r="H4609" s="2">
        <v>2043.78</v>
      </c>
      <c r="I4609" s="2">
        <v>2043.78</v>
      </c>
    </row>
    <row r="4610">
      <c r="A4610" s="1" t="s">
        <v>9212</v>
      </c>
      <c r="B4610" s="2">
        <v>2175.49</v>
      </c>
      <c r="C4610" s="2">
        <v>2175.49</v>
      </c>
      <c r="D4610" s="2">
        <v>5204.58</v>
      </c>
      <c r="E4610" s="2">
        <v>5204.58</v>
      </c>
      <c r="G4610" s="1" t="s">
        <v>9213</v>
      </c>
      <c r="H4610" s="2">
        <v>2044.64</v>
      </c>
      <c r="I4610" s="2">
        <v>2044.64</v>
      </c>
    </row>
    <row r="4611">
      <c r="A4611" s="1" t="s">
        <v>9214</v>
      </c>
      <c r="B4611" s="2">
        <v>2185.79</v>
      </c>
      <c r="C4611" s="2">
        <v>2185.79</v>
      </c>
      <c r="D4611" s="2">
        <v>5228.4</v>
      </c>
      <c r="E4611" s="2">
        <v>5228.4</v>
      </c>
      <c r="G4611" s="1" t="s">
        <v>9215</v>
      </c>
      <c r="H4611" s="2">
        <v>2048.8</v>
      </c>
      <c r="I4611" s="2">
        <v>2048.8</v>
      </c>
    </row>
    <row r="4612">
      <c r="A4612" s="1" t="s">
        <v>9216</v>
      </c>
      <c r="B4612" s="2">
        <v>2184.05</v>
      </c>
      <c r="C4612" s="2">
        <v>2184.05</v>
      </c>
      <c r="D4612" s="2">
        <v>5232.89</v>
      </c>
      <c r="E4612" s="2">
        <v>5232.89</v>
      </c>
      <c r="G4612" s="1" t="s">
        <v>9217</v>
      </c>
      <c r="H4612" s="2">
        <v>2050.47</v>
      </c>
      <c r="I4612" s="2">
        <v>2050.47</v>
      </c>
    </row>
    <row r="4613">
      <c r="A4613" s="1" t="s">
        <v>9218</v>
      </c>
      <c r="B4613" s="2" t="s">
        <v>0</v>
      </c>
      <c r="C4613" s="2">
        <v>2184.05</v>
      </c>
      <c r="D4613" s="2" t="s">
        <v>0</v>
      </c>
      <c r="E4613" s="2">
        <v>5232.89</v>
      </c>
      <c r="G4613" s="1" t="s">
        <v>9219</v>
      </c>
      <c r="H4613" s="2" t="s">
        <v>0</v>
      </c>
      <c r="I4613" s="2">
        <v>2050.47</v>
      </c>
    </row>
    <row r="4614">
      <c r="A4614" s="1" t="s">
        <v>9220</v>
      </c>
      <c r="B4614" s="2" t="s">
        <v>0</v>
      </c>
      <c r="C4614" s="2">
        <v>2184.05</v>
      </c>
      <c r="D4614" s="2" t="s">
        <v>0</v>
      </c>
      <c r="E4614" s="2">
        <v>5232.89</v>
      </c>
      <c r="G4614" s="1" t="s">
        <v>9221</v>
      </c>
      <c r="H4614" s="2" t="s">
        <v>0</v>
      </c>
      <c r="I4614" s="2">
        <v>2050.47</v>
      </c>
    </row>
    <row r="4615">
      <c r="A4615" s="1" t="s">
        <v>9222</v>
      </c>
      <c r="B4615" s="2">
        <v>2190.15</v>
      </c>
      <c r="C4615" s="2">
        <v>2190.15</v>
      </c>
      <c r="D4615" s="2">
        <v>5262.02</v>
      </c>
      <c r="E4615" s="2">
        <v>5262.02</v>
      </c>
      <c r="G4615" s="1" t="s">
        <v>9223</v>
      </c>
      <c r="H4615" s="2" t="s">
        <v>0</v>
      </c>
      <c r="I4615" s="2">
        <v>2050.47</v>
      </c>
    </row>
    <row r="4616">
      <c r="A4616" s="1" t="s">
        <v>9224</v>
      </c>
      <c r="B4616" s="2">
        <v>2178.15</v>
      </c>
      <c r="C4616" s="2">
        <v>2178.15</v>
      </c>
      <c r="D4616" s="2">
        <v>5227.11</v>
      </c>
      <c r="E4616" s="2">
        <v>5227.11</v>
      </c>
      <c r="G4616" s="1" t="s">
        <v>9225</v>
      </c>
      <c r="H4616" s="2">
        <v>2047.76</v>
      </c>
      <c r="I4616" s="2">
        <v>2047.76</v>
      </c>
    </row>
    <row r="4617">
      <c r="A4617" s="1" t="s">
        <v>9226</v>
      </c>
      <c r="B4617" s="2">
        <v>2182.22</v>
      </c>
      <c r="C4617" s="2">
        <v>2182.22</v>
      </c>
      <c r="D4617" s="2">
        <v>5228.66</v>
      </c>
      <c r="E4617" s="2">
        <v>5228.66</v>
      </c>
      <c r="G4617" s="1" t="s">
        <v>9227</v>
      </c>
      <c r="H4617" s="2">
        <v>2043.75</v>
      </c>
      <c r="I4617" s="2">
        <v>2043.75</v>
      </c>
    </row>
    <row r="4618">
      <c r="A4618" s="1" t="s">
        <v>9228</v>
      </c>
      <c r="B4618" s="2">
        <v>2187.02</v>
      </c>
      <c r="C4618" s="2">
        <v>2187.02</v>
      </c>
      <c r="D4618" s="2">
        <v>5240.15</v>
      </c>
      <c r="E4618" s="2">
        <v>5240.15</v>
      </c>
      <c r="G4618" s="1" t="s">
        <v>9229</v>
      </c>
      <c r="H4618" s="2">
        <v>2055.47</v>
      </c>
      <c r="I4618" s="2">
        <v>2055.47</v>
      </c>
    </row>
    <row r="4619">
      <c r="A4619" s="1" t="s">
        <v>9230</v>
      </c>
      <c r="B4619" s="2">
        <v>2183.87</v>
      </c>
      <c r="C4619" s="2">
        <v>2183.87</v>
      </c>
      <c r="D4619" s="2">
        <v>5238.38</v>
      </c>
      <c r="E4619" s="2">
        <v>5238.38</v>
      </c>
      <c r="G4619" s="1" t="s">
        <v>9231</v>
      </c>
      <c r="H4619" s="2">
        <v>2056.24</v>
      </c>
      <c r="I4619" s="2">
        <v>2056.24</v>
      </c>
    </row>
    <row r="4620">
      <c r="A4620" s="1" t="s">
        <v>9232</v>
      </c>
      <c r="B4620" s="2" t="s">
        <v>0</v>
      </c>
      <c r="C4620" s="2">
        <v>2183.87</v>
      </c>
      <c r="D4620" s="2" t="s">
        <v>0</v>
      </c>
      <c r="E4620" s="2">
        <v>5238.38</v>
      </c>
      <c r="G4620" s="1" t="s">
        <v>9233</v>
      </c>
      <c r="H4620" s="2" t="s">
        <v>0</v>
      </c>
      <c r="I4620" s="2">
        <v>2056.24</v>
      </c>
    </row>
    <row r="4621">
      <c r="A4621" s="1" t="s">
        <v>9234</v>
      </c>
      <c r="B4621" s="2" t="s">
        <v>0</v>
      </c>
      <c r="C4621" s="2">
        <v>2183.87</v>
      </c>
      <c r="D4621" s="2" t="s">
        <v>0</v>
      </c>
      <c r="E4621" s="2">
        <v>5238.38</v>
      </c>
      <c r="G4621" s="1" t="s">
        <v>9235</v>
      </c>
      <c r="H4621" s="2" t="s">
        <v>0</v>
      </c>
      <c r="I4621" s="2">
        <v>2056.24</v>
      </c>
    </row>
    <row r="4622">
      <c r="A4622" s="1" t="s">
        <v>9236</v>
      </c>
      <c r="B4622" s="2">
        <v>2182.64</v>
      </c>
      <c r="C4622" s="2">
        <v>2182.64</v>
      </c>
      <c r="D4622" s="2">
        <v>5244.6</v>
      </c>
      <c r="E4622" s="2">
        <v>5244.6</v>
      </c>
      <c r="G4622" s="1" t="s">
        <v>9237</v>
      </c>
      <c r="H4622" s="2">
        <v>2042.16</v>
      </c>
      <c r="I4622" s="2">
        <v>2042.16</v>
      </c>
    </row>
    <row r="4623">
      <c r="A4623" s="1" t="s">
        <v>9238</v>
      </c>
      <c r="B4623" s="2">
        <v>2186.9</v>
      </c>
      <c r="C4623" s="2">
        <v>2186.9</v>
      </c>
      <c r="D4623" s="2">
        <v>5260.08</v>
      </c>
      <c r="E4623" s="2">
        <v>5260.08</v>
      </c>
      <c r="G4623" s="1" t="s">
        <v>9239</v>
      </c>
      <c r="H4623" s="2">
        <v>2049.93</v>
      </c>
      <c r="I4623" s="2">
        <v>2049.93</v>
      </c>
    </row>
    <row r="4624">
      <c r="A4624" s="1" t="s">
        <v>9240</v>
      </c>
      <c r="B4624" s="2">
        <v>2175.44</v>
      </c>
      <c r="C4624" s="2">
        <v>2175.44</v>
      </c>
      <c r="D4624" s="2">
        <v>5217.69</v>
      </c>
      <c r="E4624" s="2">
        <v>5217.69</v>
      </c>
      <c r="G4624" s="1" t="s">
        <v>9241</v>
      </c>
      <c r="H4624" s="2">
        <v>2043.76</v>
      </c>
      <c r="I4624" s="2">
        <v>2043.76</v>
      </c>
    </row>
    <row r="4625">
      <c r="A4625" s="1" t="s">
        <v>9242</v>
      </c>
      <c r="B4625" s="2">
        <v>2172.47</v>
      </c>
      <c r="C4625" s="2">
        <v>2172.47</v>
      </c>
      <c r="D4625" s="2">
        <v>5212.2</v>
      </c>
      <c r="E4625" s="2">
        <v>5212.2</v>
      </c>
      <c r="G4625" s="1" t="s">
        <v>9243</v>
      </c>
      <c r="H4625" s="2">
        <v>2042.92</v>
      </c>
      <c r="I4625" s="2">
        <v>2042.92</v>
      </c>
    </row>
    <row r="4626">
      <c r="A4626" s="1" t="s">
        <v>9244</v>
      </c>
      <c r="B4626" s="2">
        <v>2169.04</v>
      </c>
      <c r="C4626" s="2">
        <v>2169.04</v>
      </c>
      <c r="D4626" s="2">
        <v>5218.92</v>
      </c>
      <c r="E4626" s="2">
        <v>5218.92</v>
      </c>
      <c r="G4626" s="1" t="s">
        <v>9245</v>
      </c>
      <c r="H4626" s="2">
        <v>2037.5</v>
      </c>
      <c r="I4626" s="2">
        <v>2037.5</v>
      </c>
    </row>
    <row r="4627">
      <c r="A4627" s="1" t="s">
        <v>9246</v>
      </c>
      <c r="B4627" s="2" t="s">
        <v>0</v>
      </c>
      <c r="C4627" s="2">
        <v>2169.04</v>
      </c>
      <c r="D4627" s="2" t="s">
        <v>0</v>
      </c>
      <c r="E4627" s="2">
        <v>5218.92</v>
      </c>
      <c r="G4627" s="1" t="s">
        <v>9247</v>
      </c>
      <c r="H4627" s="2" t="s">
        <v>0</v>
      </c>
      <c r="I4627" s="2">
        <v>2037.5</v>
      </c>
    </row>
    <row r="4628">
      <c r="A4628" s="1" t="s">
        <v>9248</v>
      </c>
      <c r="B4628" s="2" t="s">
        <v>0</v>
      </c>
      <c r="C4628" s="2">
        <v>2169.04</v>
      </c>
      <c r="D4628" s="2" t="s">
        <v>0</v>
      </c>
      <c r="E4628" s="2">
        <v>5218.92</v>
      </c>
      <c r="G4628" s="1" t="s">
        <v>9249</v>
      </c>
      <c r="H4628" s="2" t="s">
        <v>0</v>
      </c>
      <c r="I4628" s="2">
        <v>2037.5</v>
      </c>
    </row>
    <row r="4629">
      <c r="A4629" s="1" t="s">
        <v>9250</v>
      </c>
      <c r="B4629" s="2">
        <v>2180.38</v>
      </c>
      <c r="C4629" s="2">
        <v>2180.38</v>
      </c>
      <c r="D4629" s="2">
        <v>5232.33</v>
      </c>
      <c r="E4629" s="2">
        <v>5232.33</v>
      </c>
      <c r="G4629" s="1" t="s">
        <v>9251</v>
      </c>
      <c r="H4629" s="2">
        <v>2032.35</v>
      </c>
      <c r="I4629" s="2">
        <v>2032.35</v>
      </c>
    </row>
    <row r="4630">
      <c r="A4630" s="1" t="s">
        <v>9252</v>
      </c>
      <c r="B4630" s="2">
        <v>2176.12</v>
      </c>
      <c r="C4630" s="2">
        <v>2176.12</v>
      </c>
      <c r="D4630" s="2">
        <v>5222.99</v>
      </c>
      <c r="E4630" s="2">
        <v>5222.99</v>
      </c>
      <c r="G4630" s="1" t="s">
        <v>9253</v>
      </c>
      <c r="H4630" s="2">
        <v>2039.74</v>
      </c>
      <c r="I4630" s="2">
        <v>2039.74</v>
      </c>
    </row>
    <row r="4631">
      <c r="A4631" s="1" t="s">
        <v>9254</v>
      </c>
      <c r="B4631" s="2">
        <v>2170.95</v>
      </c>
      <c r="C4631" s="2">
        <v>2170.95</v>
      </c>
      <c r="D4631" s="2">
        <v>5213.22</v>
      </c>
      <c r="E4631" s="2">
        <v>5213.22</v>
      </c>
      <c r="G4631" s="1" t="s">
        <v>9255</v>
      </c>
      <c r="H4631" s="2">
        <v>2034.65</v>
      </c>
      <c r="I4631" s="2">
        <v>2034.65</v>
      </c>
    </row>
    <row r="4632">
      <c r="A4632" s="1" t="s">
        <v>9256</v>
      </c>
      <c r="B4632" s="2">
        <v>2170.86</v>
      </c>
      <c r="C4632" s="2">
        <v>2170.86</v>
      </c>
      <c r="D4632" s="2">
        <v>5227.21</v>
      </c>
      <c r="E4632" s="2">
        <v>5227.21</v>
      </c>
      <c r="G4632" s="1" t="s">
        <v>9257</v>
      </c>
      <c r="H4632" s="2">
        <v>2032.72</v>
      </c>
      <c r="I4632" s="2">
        <v>2032.72</v>
      </c>
    </row>
    <row r="4633">
      <c r="A4633" s="1" t="s">
        <v>9258</v>
      </c>
      <c r="B4633" s="2">
        <v>2179.98</v>
      </c>
      <c r="C4633" s="2">
        <v>2179.98</v>
      </c>
      <c r="D4633" s="2">
        <v>5249.9</v>
      </c>
      <c r="E4633" s="2">
        <v>5249.9</v>
      </c>
      <c r="G4633" s="1" t="s">
        <v>9259</v>
      </c>
      <c r="H4633" s="2">
        <v>2038.31</v>
      </c>
      <c r="I4633" s="2">
        <v>2038.31</v>
      </c>
    </row>
    <row r="4634">
      <c r="A4634" s="1" t="s">
        <v>9260</v>
      </c>
      <c r="B4634" s="2" t="s">
        <v>0</v>
      </c>
      <c r="C4634" s="2">
        <v>2179.98</v>
      </c>
      <c r="D4634" s="2" t="s">
        <v>0</v>
      </c>
      <c r="E4634" s="2">
        <v>5249.9</v>
      </c>
      <c r="G4634" s="1" t="s">
        <v>9261</v>
      </c>
      <c r="H4634" s="2" t="s">
        <v>0</v>
      </c>
      <c r="I4634" s="2">
        <v>2038.31</v>
      </c>
    </row>
    <row r="4635">
      <c r="A4635" s="1" t="s">
        <v>9262</v>
      </c>
      <c r="B4635" s="2" t="s">
        <v>0</v>
      </c>
      <c r="C4635" s="2">
        <v>2179.98</v>
      </c>
      <c r="D4635" s="2" t="s">
        <v>0</v>
      </c>
      <c r="E4635" s="2">
        <v>5249.9</v>
      </c>
      <c r="G4635" s="1" t="s">
        <v>9263</v>
      </c>
      <c r="H4635" s="2" t="s">
        <v>0</v>
      </c>
      <c r="I4635" s="2">
        <v>2038.31</v>
      </c>
    </row>
    <row r="4636">
      <c r="A4636" s="1" t="s">
        <v>9264</v>
      </c>
      <c r="B4636" s="2" t="s">
        <v>0</v>
      </c>
      <c r="C4636" s="2">
        <v>2179.98</v>
      </c>
      <c r="D4636" s="2" t="s">
        <v>0</v>
      </c>
      <c r="E4636" s="2">
        <v>5249.9</v>
      </c>
      <c r="G4636" s="1" t="s">
        <v>9265</v>
      </c>
      <c r="H4636" s="2">
        <v>2060.08</v>
      </c>
      <c r="I4636" s="2">
        <v>2060.08</v>
      </c>
    </row>
    <row r="4637">
      <c r="A4637" s="1" t="s">
        <v>9266</v>
      </c>
      <c r="B4637" s="2">
        <v>2186.48</v>
      </c>
      <c r="C4637" s="2">
        <v>2186.48</v>
      </c>
      <c r="D4637" s="2">
        <v>5275.91</v>
      </c>
      <c r="E4637" s="2">
        <v>5275.91</v>
      </c>
      <c r="G4637" s="1" t="s">
        <v>9267</v>
      </c>
      <c r="H4637" s="2">
        <v>2066.53</v>
      </c>
      <c r="I4637" s="2">
        <v>2066.53</v>
      </c>
    </row>
    <row r="4638">
      <c r="A4638" s="1" t="s">
        <v>9268</v>
      </c>
      <c r="B4638" s="2">
        <v>2186.16</v>
      </c>
      <c r="C4638" s="2">
        <v>2186.16</v>
      </c>
      <c r="D4638" s="2">
        <v>5283.93</v>
      </c>
      <c r="E4638" s="2">
        <v>5283.93</v>
      </c>
      <c r="G4638" s="1" t="s">
        <v>9269</v>
      </c>
      <c r="H4638" s="2">
        <v>2061.88</v>
      </c>
      <c r="I4638" s="2">
        <v>2061.88</v>
      </c>
    </row>
    <row r="4639">
      <c r="A4639" s="1" t="s">
        <v>9270</v>
      </c>
      <c r="B4639" s="2">
        <v>2181.3</v>
      </c>
      <c r="C4639" s="2">
        <v>2181.3</v>
      </c>
      <c r="D4639" s="2">
        <v>5259.48</v>
      </c>
      <c r="E4639" s="2">
        <v>5259.48</v>
      </c>
      <c r="G4639" s="1" t="s">
        <v>9271</v>
      </c>
      <c r="H4639" s="2">
        <v>2063.73</v>
      </c>
      <c r="I4639" s="2">
        <v>2063.73</v>
      </c>
    </row>
    <row r="4640">
      <c r="A4640" s="1" t="s">
        <v>9272</v>
      </c>
      <c r="B4640" s="2">
        <v>2127.81</v>
      </c>
      <c r="C4640" s="2">
        <v>2127.81</v>
      </c>
      <c r="D4640" s="2">
        <v>5125.91</v>
      </c>
      <c r="E4640" s="2">
        <v>5125.91</v>
      </c>
      <c r="G4640" s="1" t="s">
        <v>9273</v>
      </c>
      <c r="H4640" s="2">
        <v>2037.87</v>
      </c>
      <c r="I4640" s="2">
        <v>2037.87</v>
      </c>
    </row>
    <row r="4641">
      <c r="A4641" s="1" t="s">
        <v>9274</v>
      </c>
      <c r="B4641" s="2" t="s">
        <v>0</v>
      </c>
      <c r="C4641" s="2">
        <v>2127.81</v>
      </c>
      <c r="D4641" s="2" t="s">
        <v>0</v>
      </c>
      <c r="E4641" s="2">
        <v>5125.91</v>
      </c>
      <c r="G4641" s="1" t="s">
        <v>9275</v>
      </c>
      <c r="H4641" s="2" t="s">
        <v>0</v>
      </c>
      <c r="I4641" s="2">
        <v>2037.87</v>
      </c>
    </row>
    <row r="4642">
      <c r="A4642" s="1" t="s">
        <v>9276</v>
      </c>
      <c r="B4642" s="2" t="s">
        <v>0</v>
      </c>
      <c r="C4642" s="2">
        <v>2127.81</v>
      </c>
      <c r="D4642" s="2" t="s">
        <v>0</v>
      </c>
      <c r="E4642" s="2">
        <v>5125.91</v>
      </c>
      <c r="G4642" s="1" t="s">
        <v>9277</v>
      </c>
      <c r="H4642" s="2" t="s">
        <v>0</v>
      </c>
      <c r="I4642" s="2">
        <v>2037.87</v>
      </c>
    </row>
    <row r="4643">
      <c r="A4643" s="1" t="s">
        <v>9278</v>
      </c>
      <c r="B4643" s="2">
        <v>2159.04</v>
      </c>
      <c r="C4643" s="2">
        <v>2159.04</v>
      </c>
      <c r="D4643" s="2">
        <v>5211.89</v>
      </c>
      <c r="E4643" s="2">
        <v>5211.89</v>
      </c>
      <c r="G4643" s="1" t="s">
        <v>9279</v>
      </c>
      <c r="H4643" s="2">
        <v>1991.48</v>
      </c>
      <c r="I4643" s="2">
        <v>1991.48</v>
      </c>
    </row>
    <row r="4644">
      <c r="A4644" s="1" t="s">
        <v>9280</v>
      </c>
      <c r="B4644" s="2">
        <v>2127.02</v>
      </c>
      <c r="C4644" s="2">
        <v>2127.02</v>
      </c>
      <c r="D4644" s="2">
        <v>5155.25</v>
      </c>
      <c r="E4644" s="2">
        <v>5155.25</v>
      </c>
      <c r="G4644" s="1" t="s">
        <v>9281</v>
      </c>
      <c r="H4644" s="2">
        <v>1999.36</v>
      </c>
      <c r="I4644" s="2">
        <v>1999.36</v>
      </c>
    </row>
    <row r="4645">
      <c r="A4645" s="1" t="s">
        <v>9282</v>
      </c>
      <c r="B4645" s="2">
        <v>2125.77</v>
      </c>
      <c r="C4645" s="2">
        <v>2125.77</v>
      </c>
      <c r="D4645" s="2">
        <v>5173.77</v>
      </c>
      <c r="E4645" s="2">
        <v>5173.77</v>
      </c>
      <c r="G4645" s="1" t="s">
        <v>9283</v>
      </c>
      <c r="H4645" s="2" t="s">
        <v>0</v>
      </c>
      <c r="I4645" s="2">
        <v>1999.36</v>
      </c>
    </row>
    <row r="4646">
      <c r="A4646" s="1" t="s">
        <v>9284</v>
      </c>
      <c r="B4646" s="2">
        <v>2147.26</v>
      </c>
      <c r="C4646" s="2">
        <v>2147.26</v>
      </c>
      <c r="D4646" s="2">
        <v>5249.69</v>
      </c>
      <c r="E4646" s="2">
        <v>5249.69</v>
      </c>
      <c r="G4646" s="1" t="s">
        <v>9285</v>
      </c>
      <c r="H4646" s="2" t="s">
        <v>0</v>
      </c>
      <c r="I4646" s="2">
        <v>1999.36</v>
      </c>
    </row>
    <row r="4647">
      <c r="A4647" s="1" t="s">
        <v>9286</v>
      </c>
      <c r="B4647" s="2">
        <v>2139.16</v>
      </c>
      <c r="C4647" s="2">
        <v>2139.16</v>
      </c>
      <c r="D4647" s="2">
        <v>5244.57</v>
      </c>
      <c r="E4647" s="2">
        <v>5244.57</v>
      </c>
      <c r="G4647" s="1" t="s">
        <v>9287</v>
      </c>
      <c r="H4647" s="2" t="s">
        <v>0</v>
      </c>
      <c r="I4647" s="2">
        <v>1999.36</v>
      </c>
    </row>
    <row r="4648">
      <c r="A4648" s="1" t="s">
        <v>9288</v>
      </c>
      <c r="B4648" s="2" t="s">
        <v>0</v>
      </c>
      <c r="C4648" s="2">
        <v>2139.16</v>
      </c>
      <c r="D4648" s="2" t="s">
        <v>0</v>
      </c>
      <c r="E4648" s="2">
        <v>5244.57</v>
      </c>
      <c r="G4648" s="1" t="s">
        <v>9289</v>
      </c>
      <c r="H4648" s="2" t="s">
        <v>0</v>
      </c>
      <c r="I4648" s="2">
        <v>1999.36</v>
      </c>
    </row>
    <row r="4649">
      <c r="A4649" s="1" t="s">
        <v>9290</v>
      </c>
      <c r="B4649" s="2" t="s">
        <v>0</v>
      </c>
      <c r="C4649" s="2">
        <v>2139.16</v>
      </c>
      <c r="D4649" s="2" t="s">
        <v>0</v>
      </c>
      <c r="E4649" s="2">
        <v>5244.57</v>
      </c>
      <c r="G4649" s="1" t="s">
        <v>9291</v>
      </c>
      <c r="H4649" s="2" t="s">
        <v>0</v>
      </c>
      <c r="I4649" s="2">
        <v>1999.36</v>
      </c>
    </row>
    <row r="4650">
      <c r="A4650" s="1" t="s">
        <v>9292</v>
      </c>
      <c r="B4650" s="2">
        <v>2139.12</v>
      </c>
      <c r="C4650" s="2">
        <v>2139.12</v>
      </c>
      <c r="D4650" s="2">
        <v>5235.03</v>
      </c>
      <c r="E4650" s="2">
        <v>5235.03</v>
      </c>
      <c r="G4650" s="1" t="s">
        <v>9293</v>
      </c>
      <c r="H4650" s="2">
        <v>2015.78</v>
      </c>
      <c r="I4650" s="2">
        <v>2015.78</v>
      </c>
    </row>
    <row r="4651">
      <c r="A4651" s="1" t="s">
        <v>9294</v>
      </c>
      <c r="B4651" s="2">
        <v>2139.76</v>
      </c>
      <c r="C4651" s="2">
        <v>2139.76</v>
      </c>
      <c r="D4651" s="2">
        <v>5241.35</v>
      </c>
      <c r="E4651" s="2">
        <v>5241.35</v>
      </c>
      <c r="G4651" s="1" t="s">
        <v>9295</v>
      </c>
      <c r="H4651" s="2">
        <v>2025.71</v>
      </c>
      <c r="I4651" s="2">
        <v>2025.71</v>
      </c>
    </row>
    <row r="4652">
      <c r="A4652" s="1" t="s">
        <v>9296</v>
      </c>
      <c r="B4652" s="2">
        <v>2163.12</v>
      </c>
      <c r="C4652" s="2">
        <v>2163.12</v>
      </c>
      <c r="D4652" s="2">
        <v>5295.18</v>
      </c>
      <c r="E4652" s="2">
        <v>5295.18</v>
      </c>
      <c r="G4652" s="1" t="s">
        <v>9297</v>
      </c>
      <c r="H4652" s="2">
        <v>2035.99</v>
      </c>
      <c r="I4652" s="2">
        <v>2035.99</v>
      </c>
    </row>
    <row r="4653">
      <c r="A4653" s="1" t="s">
        <v>9298</v>
      </c>
      <c r="B4653" s="2">
        <v>2177.18</v>
      </c>
      <c r="C4653" s="2">
        <v>2177.18</v>
      </c>
      <c r="D4653" s="2">
        <v>5339.52</v>
      </c>
      <c r="E4653" s="2">
        <v>5339.52</v>
      </c>
      <c r="G4653" s="1" t="s">
        <v>9299</v>
      </c>
      <c r="H4653" s="2">
        <v>2049.7</v>
      </c>
      <c r="I4653" s="2">
        <v>2049.7</v>
      </c>
    </row>
    <row r="4654">
      <c r="A4654" s="1" t="s">
        <v>9300</v>
      </c>
      <c r="B4654" s="2">
        <v>2164.69</v>
      </c>
      <c r="C4654" s="2">
        <v>2164.69</v>
      </c>
      <c r="D4654" s="2">
        <v>5305.75</v>
      </c>
      <c r="E4654" s="2">
        <v>5305.75</v>
      </c>
      <c r="G4654" s="1" t="s">
        <v>9301</v>
      </c>
      <c r="H4654" s="2">
        <v>2054.07</v>
      </c>
      <c r="I4654" s="2">
        <v>2054.07</v>
      </c>
    </row>
    <row r="4655">
      <c r="A4655" s="1" t="s">
        <v>9302</v>
      </c>
      <c r="B4655" s="2" t="s">
        <v>0</v>
      </c>
      <c r="C4655" s="2">
        <v>2164.69</v>
      </c>
      <c r="D4655" s="2" t="s">
        <v>0</v>
      </c>
      <c r="E4655" s="2">
        <v>5305.75</v>
      </c>
      <c r="G4655" s="1" t="s">
        <v>9303</v>
      </c>
      <c r="H4655" s="2" t="s">
        <v>0</v>
      </c>
      <c r="I4655" s="2">
        <v>2054.07</v>
      </c>
    </row>
    <row r="4656">
      <c r="A4656" s="1" t="s">
        <v>9304</v>
      </c>
      <c r="B4656" s="2" t="s">
        <v>0</v>
      </c>
      <c r="C4656" s="2">
        <v>2164.69</v>
      </c>
      <c r="D4656" s="2" t="s">
        <v>0</v>
      </c>
      <c r="E4656" s="2">
        <v>5305.75</v>
      </c>
      <c r="G4656" s="1" t="s">
        <v>9305</v>
      </c>
      <c r="H4656" s="2" t="s">
        <v>0</v>
      </c>
      <c r="I4656" s="2">
        <v>2054.07</v>
      </c>
    </row>
    <row r="4657">
      <c r="A4657" s="1" t="s">
        <v>9306</v>
      </c>
      <c r="B4657" s="2">
        <v>2146.1</v>
      </c>
      <c r="C4657" s="2">
        <v>2146.1</v>
      </c>
      <c r="D4657" s="2">
        <v>5257.49</v>
      </c>
      <c r="E4657" s="2">
        <v>5257.49</v>
      </c>
      <c r="G4657" s="1" t="s">
        <v>9307</v>
      </c>
      <c r="H4657" s="2">
        <v>2047.11</v>
      </c>
      <c r="I4657" s="2">
        <v>2047.11</v>
      </c>
    </row>
    <row r="4658">
      <c r="A4658" s="1" t="s">
        <v>9308</v>
      </c>
      <c r="B4658" s="2">
        <v>2159.93</v>
      </c>
      <c r="C4658" s="2">
        <v>2159.93</v>
      </c>
      <c r="D4658" s="2">
        <v>5305.71</v>
      </c>
      <c r="E4658" s="2">
        <v>5305.71</v>
      </c>
      <c r="G4658" s="1" t="s">
        <v>9309</v>
      </c>
      <c r="H4658" s="2">
        <v>2062.82</v>
      </c>
      <c r="I4658" s="2">
        <v>2062.82</v>
      </c>
    </row>
    <row r="4659">
      <c r="A4659" s="1" t="s">
        <v>9310</v>
      </c>
      <c r="B4659" s="2">
        <v>2171.37</v>
      </c>
      <c r="C4659" s="2">
        <v>2171.37</v>
      </c>
      <c r="D4659" s="2">
        <v>5318.55</v>
      </c>
      <c r="E4659" s="2">
        <v>5318.55</v>
      </c>
      <c r="G4659" s="1" t="s">
        <v>9311</v>
      </c>
      <c r="H4659" s="2">
        <v>2053.06</v>
      </c>
      <c r="I4659" s="2">
        <v>2053.06</v>
      </c>
    </row>
    <row r="4660">
      <c r="A4660" s="1" t="s">
        <v>9312</v>
      </c>
      <c r="B4660" s="2">
        <v>2151.13</v>
      </c>
      <c r="C4660" s="2">
        <v>2151.13</v>
      </c>
      <c r="D4660" s="2">
        <v>5269.15</v>
      </c>
      <c r="E4660" s="2">
        <v>5269.15</v>
      </c>
      <c r="G4660" s="1" t="s">
        <v>9313</v>
      </c>
      <c r="H4660" s="2">
        <v>2068.72</v>
      </c>
      <c r="I4660" s="2">
        <v>2068.72</v>
      </c>
    </row>
    <row r="4661">
      <c r="A4661" s="1" t="s">
        <v>9314</v>
      </c>
      <c r="B4661" s="2">
        <v>2168.27</v>
      </c>
      <c r="C4661" s="2">
        <v>2168.27</v>
      </c>
      <c r="D4661" s="2">
        <v>5312.0</v>
      </c>
      <c r="E4661" s="2">
        <v>5312.0</v>
      </c>
      <c r="G4661" s="1" t="s">
        <v>9315</v>
      </c>
      <c r="H4661" s="2">
        <v>2043.63</v>
      </c>
      <c r="I4661" s="2">
        <v>2043.63</v>
      </c>
    </row>
    <row r="4662">
      <c r="A4662" s="1" t="s">
        <v>9316</v>
      </c>
      <c r="B4662" s="2" t="s">
        <v>0</v>
      </c>
      <c r="C4662" s="2">
        <v>2168.27</v>
      </c>
      <c r="D4662" s="2" t="s">
        <v>0</v>
      </c>
      <c r="E4662" s="2">
        <v>5312.0</v>
      </c>
      <c r="G4662" s="1" t="s">
        <v>9317</v>
      </c>
      <c r="H4662" s="2" t="s">
        <v>0</v>
      </c>
      <c r="I4662" s="2">
        <v>2043.63</v>
      </c>
    </row>
    <row r="4663">
      <c r="A4663" s="1" t="s">
        <v>9318</v>
      </c>
      <c r="B4663" s="2" t="s">
        <v>0</v>
      </c>
      <c r="C4663" s="2">
        <v>2168.27</v>
      </c>
      <c r="D4663" s="2" t="s">
        <v>0</v>
      </c>
      <c r="E4663" s="2">
        <v>5312.0</v>
      </c>
      <c r="G4663" s="1" t="s">
        <v>9319</v>
      </c>
      <c r="H4663" s="2" t="s">
        <v>0</v>
      </c>
      <c r="I4663" s="2">
        <v>2043.63</v>
      </c>
    </row>
    <row r="4664">
      <c r="A4664" s="1" t="s">
        <v>9320</v>
      </c>
      <c r="B4664" s="2">
        <v>2161.2</v>
      </c>
      <c r="C4664" s="2">
        <v>2161.2</v>
      </c>
      <c r="D4664" s="2">
        <v>5300.87</v>
      </c>
      <c r="E4664" s="2">
        <v>5300.87</v>
      </c>
      <c r="G4664" s="1" t="s">
        <v>9321</v>
      </c>
      <c r="H4664" s="2" t="s">
        <v>0</v>
      </c>
      <c r="I4664" s="2">
        <v>2043.63</v>
      </c>
    </row>
    <row r="4665">
      <c r="A4665" s="1" t="s">
        <v>9322</v>
      </c>
      <c r="B4665" s="2">
        <v>2150.49</v>
      </c>
      <c r="C4665" s="2">
        <v>2150.49</v>
      </c>
      <c r="D4665" s="2">
        <v>5289.66</v>
      </c>
      <c r="E4665" s="2">
        <v>5289.66</v>
      </c>
      <c r="G4665" s="1" t="s">
        <v>9323</v>
      </c>
      <c r="H4665" s="2">
        <v>2054.86</v>
      </c>
      <c r="I4665" s="2">
        <v>2054.86</v>
      </c>
    </row>
    <row r="4666">
      <c r="A4666" s="1" t="s">
        <v>9324</v>
      </c>
      <c r="B4666" s="2">
        <v>2159.73</v>
      </c>
      <c r="C4666" s="2">
        <v>2159.73</v>
      </c>
      <c r="D4666" s="2">
        <v>5316.02</v>
      </c>
      <c r="E4666" s="2">
        <v>5316.02</v>
      </c>
      <c r="G4666" s="1" t="s">
        <v>9325</v>
      </c>
      <c r="H4666" s="2">
        <v>2053.0</v>
      </c>
      <c r="I4666" s="2">
        <v>2053.0</v>
      </c>
    </row>
    <row r="4667">
      <c r="A4667" s="1" t="s">
        <v>9326</v>
      </c>
      <c r="B4667" s="2">
        <v>2160.77</v>
      </c>
      <c r="C4667" s="2">
        <v>2160.77</v>
      </c>
      <c r="D4667" s="2">
        <v>5306.85</v>
      </c>
      <c r="E4667" s="2">
        <v>5306.85</v>
      </c>
      <c r="G4667" s="1" t="s">
        <v>9327</v>
      </c>
      <c r="H4667" s="2">
        <v>2065.3</v>
      </c>
      <c r="I4667" s="2">
        <v>2065.3</v>
      </c>
    </row>
    <row r="4668">
      <c r="A4668" s="1" t="s">
        <v>9328</v>
      </c>
      <c r="B4668" s="2">
        <v>2153.74</v>
      </c>
      <c r="C4668" s="2">
        <v>2153.74</v>
      </c>
      <c r="D4668" s="2">
        <v>5292.4</v>
      </c>
      <c r="E4668" s="2">
        <v>5292.4</v>
      </c>
      <c r="G4668" s="1" t="s">
        <v>9329</v>
      </c>
      <c r="H4668" s="2">
        <v>2053.8</v>
      </c>
      <c r="I4668" s="2">
        <v>2053.8</v>
      </c>
    </row>
    <row r="4669">
      <c r="A4669" s="1" t="s">
        <v>9330</v>
      </c>
      <c r="B4669" s="2" t="s">
        <v>0</v>
      </c>
      <c r="C4669" s="2">
        <v>2153.74</v>
      </c>
      <c r="D4669" s="2" t="s">
        <v>0</v>
      </c>
      <c r="E4669" s="2">
        <v>5292.4</v>
      </c>
      <c r="G4669" s="1" t="s">
        <v>9331</v>
      </c>
      <c r="H4669" s="2" t="s">
        <v>0</v>
      </c>
      <c r="I4669" s="2">
        <v>2053.8</v>
      </c>
    </row>
    <row r="4670">
      <c r="A4670" s="1" t="s">
        <v>9332</v>
      </c>
      <c r="B4670" s="2" t="s">
        <v>0</v>
      </c>
      <c r="C4670" s="2">
        <v>2153.74</v>
      </c>
      <c r="D4670" s="2" t="s">
        <v>0</v>
      </c>
      <c r="E4670" s="2">
        <v>5292.4</v>
      </c>
      <c r="G4670" s="1" t="s">
        <v>9333</v>
      </c>
      <c r="H4670" s="2" t="s">
        <v>0</v>
      </c>
      <c r="I4670" s="2">
        <v>2053.8</v>
      </c>
    </row>
    <row r="4671">
      <c r="A4671" s="1" t="s">
        <v>9334</v>
      </c>
      <c r="B4671" s="2">
        <v>2163.66</v>
      </c>
      <c r="C4671" s="2">
        <v>2163.66</v>
      </c>
      <c r="D4671" s="2">
        <v>5328.67</v>
      </c>
      <c r="E4671" s="2">
        <v>5328.67</v>
      </c>
      <c r="G4671" s="1" t="s">
        <v>9335</v>
      </c>
      <c r="H4671" s="2">
        <v>2056.82</v>
      </c>
      <c r="I4671" s="2">
        <v>2056.82</v>
      </c>
    </row>
    <row r="4672">
      <c r="A4672" s="1" t="s">
        <v>9336</v>
      </c>
      <c r="B4672" s="2">
        <v>2136.73</v>
      </c>
      <c r="C4672" s="2">
        <v>2136.73</v>
      </c>
      <c r="D4672" s="2">
        <v>5246.79</v>
      </c>
      <c r="E4672" s="2">
        <v>5246.79</v>
      </c>
      <c r="G4672" s="1" t="s">
        <v>9337</v>
      </c>
      <c r="H4672" s="2">
        <v>2031.93</v>
      </c>
      <c r="I4672" s="2">
        <v>2031.93</v>
      </c>
    </row>
    <row r="4673">
      <c r="A4673" s="1" t="s">
        <v>9338</v>
      </c>
      <c r="B4673" s="2">
        <v>2139.18</v>
      </c>
      <c r="C4673" s="2">
        <v>2139.18</v>
      </c>
      <c r="D4673" s="2">
        <v>5239.02</v>
      </c>
      <c r="E4673" s="2">
        <v>5239.02</v>
      </c>
      <c r="G4673" s="1" t="s">
        <v>9339</v>
      </c>
      <c r="H4673" s="2">
        <v>2033.73</v>
      </c>
      <c r="I4673" s="2">
        <v>2033.73</v>
      </c>
    </row>
    <row r="4674">
      <c r="A4674" s="1" t="s">
        <v>9340</v>
      </c>
      <c r="B4674" s="2">
        <v>2132.55</v>
      </c>
      <c r="C4674" s="2">
        <v>2132.55</v>
      </c>
      <c r="D4674" s="2">
        <v>5213.33</v>
      </c>
      <c r="E4674" s="2">
        <v>5213.33</v>
      </c>
      <c r="G4674" s="1" t="s">
        <v>9341</v>
      </c>
      <c r="H4674" s="2">
        <v>2015.44</v>
      </c>
      <c r="I4674" s="2">
        <v>2015.44</v>
      </c>
    </row>
    <row r="4675">
      <c r="A4675" s="1" t="s">
        <v>9342</v>
      </c>
      <c r="B4675" s="2">
        <v>2132.98</v>
      </c>
      <c r="C4675" s="2">
        <v>2132.98</v>
      </c>
      <c r="D4675" s="2">
        <v>5214.16</v>
      </c>
      <c r="E4675" s="2">
        <v>5214.16</v>
      </c>
      <c r="G4675" s="1" t="s">
        <v>9343</v>
      </c>
      <c r="H4675" s="2">
        <v>2022.66</v>
      </c>
      <c r="I4675" s="2">
        <v>2022.66</v>
      </c>
    </row>
    <row r="4676">
      <c r="A4676" s="1" t="s">
        <v>9344</v>
      </c>
      <c r="B4676" s="2" t="s">
        <v>0</v>
      </c>
      <c r="C4676" s="2">
        <v>2132.98</v>
      </c>
      <c r="D4676" s="2" t="s">
        <v>0</v>
      </c>
      <c r="E4676" s="2">
        <v>5214.16</v>
      </c>
      <c r="G4676" s="1" t="s">
        <v>9345</v>
      </c>
      <c r="H4676" s="2" t="s">
        <v>0</v>
      </c>
      <c r="I4676" s="2">
        <v>2022.66</v>
      </c>
    </row>
    <row r="4677">
      <c r="A4677" s="1" t="s">
        <v>9346</v>
      </c>
      <c r="B4677" s="2" t="s">
        <v>0</v>
      </c>
      <c r="C4677" s="2">
        <v>2132.98</v>
      </c>
      <c r="D4677" s="2" t="s">
        <v>0</v>
      </c>
      <c r="E4677" s="2">
        <v>5214.16</v>
      </c>
      <c r="G4677" s="1" t="s">
        <v>9347</v>
      </c>
      <c r="H4677" s="2" t="s">
        <v>0</v>
      </c>
      <c r="I4677" s="2">
        <v>2022.66</v>
      </c>
    </row>
    <row r="4678">
      <c r="A4678" s="1" t="s">
        <v>9348</v>
      </c>
      <c r="B4678" s="2">
        <v>2126.5</v>
      </c>
      <c r="C4678" s="2">
        <v>2126.5</v>
      </c>
      <c r="D4678" s="2">
        <v>5199.82</v>
      </c>
      <c r="E4678" s="2">
        <v>5199.82</v>
      </c>
      <c r="G4678" s="1" t="s">
        <v>9349</v>
      </c>
      <c r="H4678" s="2">
        <v>2027.61</v>
      </c>
      <c r="I4678" s="2">
        <v>2027.61</v>
      </c>
    </row>
    <row r="4679">
      <c r="A4679" s="1" t="s">
        <v>9350</v>
      </c>
      <c r="B4679" s="2">
        <v>2139.6</v>
      </c>
      <c r="C4679" s="2">
        <v>2139.6</v>
      </c>
      <c r="D4679" s="2">
        <v>5243.84</v>
      </c>
      <c r="E4679" s="2">
        <v>5243.84</v>
      </c>
      <c r="G4679" s="1" t="s">
        <v>9351</v>
      </c>
      <c r="H4679" s="2">
        <v>2040.43</v>
      </c>
      <c r="I4679" s="2">
        <v>2040.43</v>
      </c>
    </row>
    <row r="4680">
      <c r="A4680" s="1" t="s">
        <v>9352</v>
      </c>
      <c r="B4680" s="2">
        <v>2144.29</v>
      </c>
      <c r="C4680" s="2">
        <v>2144.29</v>
      </c>
      <c r="D4680" s="2">
        <v>5246.41</v>
      </c>
      <c r="E4680" s="2">
        <v>5246.41</v>
      </c>
      <c r="G4680" s="1" t="s">
        <v>9353</v>
      </c>
      <c r="H4680" s="2">
        <v>2040.94</v>
      </c>
      <c r="I4680" s="2">
        <v>2040.94</v>
      </c>
    </row>
    <row r="4681">
      <c r="A4681" s="1" t="s">
        <v>9354</v>
      </c>
      <c r="B4681" s="2">
        <v>2141.34</v>
      </c>
      <c r="C4681" s="2">
        <v>2141.34</v>
      </c>
      <c r="D4681" s="2">
        <v>5241.83</v>
      </c>
      <c r="E4681" s="2">
        <v>5241.83</v>
      </c>
      <c r="G4681" s="1" t="s">
        <v>9355</v>
      </c>
      <c r="H4681" s="2">
        <v>2040.6</v>
      </c>
      <c r="I4681" s="2">
        <v>2040.6</v>
      </c>
    </row>
    <row r="4682">
      <c r="A4682" s="1" t="s">
        <v>9356</v>
      </c>
      <c r="B4682" s="2">
        <v>2141.16</v>
      </c>
      <c r="C4682" s="2">
        <v>2141.16</v>
      </c>
      <c r="D4682" s="2">
        <v>5257.4</v>
      </c>
      <c r="E4682" s="2">
        <v>5257.4</v>
      </c>
      <c r="G4682" s="1" t="s">
        <v>9357</v>
      </c>
      <c r="H4682" s="2">
        <v>2033.0</v>
      </c>
      <c r="I4682" s="2">
        <v>2033.0</v>
      </c>
    </row>
    <row r="4683">
      <c r="A4683" s="1" t="s">
        <v>9358</v>
      </c>
      <c r="B4683" s="2" t="s">
        <v>0</v>
      </c>
      <c r="C4683" s="2">
        <v>2141.16</v>
      </c>
      <c r="D4683" s="2" t="s">
        <v>0</v>
      </c>
      <c r="E4683" s="2">
        <v>5257.4</v>
      </c>
      <c r="G4683" s="1" t="s">
        <v>9359</v>
      </c>
      <c r="H4683" s="2" t="s">
        <v>0</v>
      </c>
      <c r="I4683" s="2">
        <v>2033.0</v>
      </c>
    </row>
    <row r="4684">
      <c r="A4684" s="1" t="s">
        <v>9360</v>
      </c>
      <c r="B4684" s="2" t="s">
        <v>0</v>
      </c>
      <c r="C4684" s="2">
        <v>2141.16</v>
      </c>
      <c r="D4684" s="2" t="s">
        <v>0</v>
      </c>
      <c r="E4684" s="2">
        <v>5257.4</v>
      </c>
      <c r="G4684" s="1" t="s">
        <v>9361</v>
      </c>
      <c r="H4684" s="2" t="s">
        <v>0</v>
      </c>
      <c r="I4684" s="2">
        <v>2033.0</v>
      </c>
    </row>
    <row r="4685">
      <c r="A4685" s="1" t="s">
        <v>9362</v>
      </c>
      <c r="B4685" s="2">
        <v>2151.33</v>
      </c>
      <c r="C4685" s="2">
        <v>2151.33</v>
      </c>
      <c r="D4685" s="2">
        <v>5309.83</v>
      </c>
      <c r="E4685" s="2">
        <v>5309.83</v>
      </c>
      <c r="G4685" s="1" t="s">
        <v>9363</v>
      </c>
      <c r="H4685" s="2">
        <v>2047.74</v>
      </c>
      <c r="I4685" s="2">
        <v>2047.74</v>
      </c>
    </row>
    <row r="4686">
      <c r="A4686" s="1" t="s">
        <v>9364</v>
      </c>
      <c r="B4686" s="2">
        <v>2143.16</v>
      </c>
      <c r="C4686" s="2">
        <v>2143.16</v>
      </c>
      <c r="D4686" s="2">
        <v>5283.4</v>
      </c>
      <c r="E4686" s="2">
        <v>5283.4</v>
      </c>
      <c r="G4686" s="1" t="s">
        <v>9365</v>
      </c>
      <c r="H4686" s="2">
        <v>2037.17</v>
      </c>
      <c r="I4686" s="2">
        <v>2037.17</v>
      </c>
    </row>
    <row r="4687">
      <c r="A4687" s="1" t="s">
        <v>9366</v>
      </c>
      <c r="B4687" s="2">
        <v>2139.43</v>
      </c>
      <c r="C4687" s="2">
        <v>2139.43</v>
      </c>
      <c r="D4687" s="2">
        <v>5250.27</v>
      </c>
      <c r="E4687" s="2">
        <v>5250.27</v>
      </c>
      <c r="G4687" s="1" t="s">
        <v>9367</v>
      </c>
      <c r="H4687" s="2">
        <v>2013.89</v>
      </c>
      <c r="I4687" s="2">
        <v>2013.89</v>
      </c>
    </row>
    <row r="4688">
      <c r="A4688" s="1" t="s">
        <v>9368</v>
      </c>
      <c r="B4688" s="2">
        <v>2133.04</v>
      </c>
      <c r="C4688" s="2">
        <v>2133.04</v>
      </c>
      <c r="D4688" s="2">
        <v>5215.97</v>
      </c>
      <c r="E4688" s="2">
        <v>5215.97</v>
      </c>
      <c r="G4688" s="1" t="s">
        <v>9369</v>
      </c>
      <c r="H4688" s="2">
        <v>2024.12</v>
      </c>
      <c r="I4688" s="2">
        <v>2024.12</v>
      </c>
    </row>
    <row r="4689">
      <c r="A4689" s="1" t="s">
        <v>9370</v>
      </c>
      <c r="B4689" s="2">
        <v>2126.41</v>
      </c>
      <c r="C4689" s="2">
        <v>2126.41</v>
      </c>
      <c r="D4689" s="2">
        <v>5190.1</v>
      </c>
      <c r="E4689" s="2">
        <v>5190.1</v>
      </c>
      <c r="G4689" s="1" t="s">
        <v>9371</v>
      </c>
      <c r="H4689" s="2">
        <v>2019.42</v>
      </c>
      <c r="I4689" s="2">
        <v>2019.42</v>
      </c>
    </row>
    <row r="4690">
      <c r="A4690" s="1" t="s">
        <v>9372</v>
      </c>
      <c r="B4690" s="2" t="s">
        <v>0</v>
      </c>
      <c r="C4690" s="2">
        <v>2126.41</v>
      </c>
      <c r="D4690" s="2" t="s">
        <v>0</v>
      </c>
      <c r="E4690" s="2">
        <v>5190.1</v>
      </c>
      <c r="G4690" s="1" t="s">
        <v>9373</v>
      </c>
      <c r="H4690" s="2" t="s">
        <v>0</v>
      </c>
      <c r="I4690" s="2">
        <v>2019.42</v>
      </c>
    </row>
    <row r="4691">
      <c r="A4691" s="1" t="s">
        <v>9374</v>
      </c>
      <c r="B4691" s="2" t="s">
        <v>0</v>
      </c>
      <c r="C4691" s="2">
        <v>2126.41</v>
      </c>
      <c r="D4691" s="2" t="s">
        <v>0</v>
      </c>
      <c r="E4691" s="2">
        <v>5190.1</v>
      </c>
      <c r="G4691" s="1" t="s">
        <v>9375</v>
      </c>
      <c r="H4691" s="2" t="s">
        <v>0</v>
      </c>
      <c r="I4691" s="2">
        <v>2019.42</v>
      </c>
    </row>
    <row r="4692">
      <c r="A4692" s="1" t="s">
        <v>9376</v>
      </c>
      <c r="B4692" s="2">
        <v>2126.15</v>
      </c>
      <c r="C4692" s="2">
        <v>2126.15</v>
      </c>
      <c r="D4692" s="2">
        <v>5189.13</v>
      </c>
      <c r="E4692" s="2">
        <v>5189.13</v>
      </c>
      <c r="G4692" s="1" t="s">
        <v>9377</v>
      </c>
      <c r="H4692" s="2">
        <v>2008.19</v>
      </c>
      <c r="I4692" s="2">
        <v>2008.19</v>
      </c>
    </row>
    <row r="4693">
      <c r="A4693" s="1" t="s">
        <v>9378</v>
      </c>
      <c r="B4693" s="2">
        <v>2111.72</v>
      </c>
      <c r="C4693" s="2">
        <v>2111.72</v>
      </c>
      <c r="D4693" s="2">
        <v>5153.58</v>
      </c>
      <c r="E4693" s="2">
        <v>5153.58</v>
      </c>
      <c r="G4693" s="1" t="s">
        <v>9379</v>
      </c>
      <c r="H4693" s="2">
        <v>2007.39</v>
      </c>
      <c r="I4693" s="2">
        <v>2007.39</v>
      </c>
    </row>
    <row r="4694">
      <c r="A4694" s="1" t="s">
        <v>9380</v>
      </c>
      <c r="B4694" s="2">
        <v>2097.94</v>
      </c>
      <c r="C4694" s="2">
        <v>2097.94</v>
      </c>
      <c r="D4694" s="2">
        <v>5105.57</v>
      </c>
      <c r="E4694" s="2">
        <v>5105.57</v>
      </c>
      <c r="G4694" s="1" t="s">
        <v>9381</v>
      </c>
      <c r="H4694" s="2">
        <v>1978.94</v>
      </c>
      <c r="I4694" s="2">
        <v>1978.94</v>
      </c>
    </row>
    <row r="4695">
      <c r="A4695" s="1" t="s">
        <v>9382</v>
      </c>
      <c r="B4695" s="2">
        <v>2088.66</v>
      </c>
      <c r="C4695" s="2">
        <v>2088.66</v>
      </c>
      <c r="D4695" s="2">
        <v>5058.41</v>
      </c>
      <c r="E4695" s="2">
        <v>5058.41</v>
      </c>
      <c r="G4695" s="1" t="s">
        <v>9383</v>
      </c>
      <c r="H4695" s="2">
        <v>1983.8</v>
      </c>
      <c r="I4695" s="2">
        <v>1983.8</v>
      </c>
    </row>
    <row r="4696">
      <c r="A4696" s="1" t="s">
        <v>9384</v>
      </c>
      <c r="B4696" s="2">
        <v>2085.18</v>
      </c>
      <c r="C4696" s="2">
        <v>2085.18</v>
      </c>
      <c r="D4696" s="2">
        <v>5046.37</v>
      </c>
      <c r="E4696" s="2">
        <v>5046.37</v>
      </c>
      <c r="G4696" s="1" t="s">
        <v>9385</v>
      </c>
      <c r="H4696" s="2">
        <v>1982.02</v>
      </c>
      <c r="I4696" s="2">
        <v>1982.02</v>
      </c>
    </row>
    <row r="4697">
      <c r="A4697" s="1" t="s">
        <v>9386</v>
      </c>
      <c r="B4697" s="2" t="s">
        <v>0</v>
      </c>
      <c r="C4697" s="2">
        <v>2085.18</v>
      </c>
      <c r="D4697" s="2" t="s">
        <v>0</v>
      </c>
      <c r="E4697" s="2">
        <v>5046.37</v>
      </c>
      <c r="G4697" s="1" t="s">
        <v>9387</v>
      </c>
      <c r="H4697" s="2" t="s">
        <v>0</v>
      </c>
      <c r="I4697" s="2">
        <v>1982.02</v>
      </c>
    </row>
    <row r="4698">
      <c r="A4698" s="1" t="s">
        <v>9388</v>
      </c>
      <c r="B4698" s="2" t="s">
        <v>0</v>
      </c>
      <c r="C4698" s="2">
        <v>2085.18</v>
      </c>
      <c r="D4698" s="2" t="s">
        <v>0</v>
      </c>
      <c r="E4698" s="2">
        <v>5046.37</v>
      </c>
      <c r="G4698" s="1" t="s">
        <v>9389</v>
      </c>
      <c r="H4698" s="2" t="s">
        <v>0</v>
      </c>
      <c r="I4698" s="2">
        <v>1982.02</v>
      </c>
    </row>
    <row r="4699">
      <c r="A4699" s="1" t="s">
        <v>9390</v>
      </c>
      <c r="B4699" s="2">
        <v>2131.52</v>
      </c>
      <c r="C4699" s="2">
        <v>2131.52</v>
      </c>
      <c r="D4699" s="2">
        <v>5166.17</v>
      </c>
      <c r="E4699" s="2">
        <v>5166.17</v>
      </c>
      <c r="G4699" s="1" t="s">
        <v>9391</v>
      </c>
      <c r="H4699" s="2">
        <v>1997.58</v>
      </c>
      <c r="I4699" s="2">
        <v>1997.58</v>
      </c>
    </row>
    <row r="4700">
      <c r="A4700" s="1" t="s">
        <v>9392</v>
      </c>
      <c r="B4700" s="2">
        <v>2139.56</v>
      </c>
      <c r="C4700" s="2">
        <v>2139.56</v>
      </c>
      <c r="D4700" s="2">
        <v>5193.49</v>
      </c>
      <c r="E4700" s="2">
        <v>5193.49</v>
      </c>
      <c r="G4700" s="1" t="s">
        <v>9393</v>
      </c>
      <c r="H4700" s="2">
        <v>2003.38</v>
      </c>
      <c r="I4700" s="2">
        <v>2003.38</v>
      </c>
    </row>
    <row r="4701">
      <c r="A4701" s="1" t="s">
        <v>9394</v>
      </c>
      <c r="B4701" s="2">
        <v>2163.26</v>
      </c>
      <c r="C4701" s="2">
        <v>2163.26</v>
      </c>
      <c r="D4701" s="2">
        <v>5251.07</v>
      </c>
      <c r="E4701" s="2">
        <v>5251.07</v>
      </c>
      <c r="G4701" s="1" t="s">
        <v>9395</v>
      </c>
      <c r="H4701" s="2">
        <v>1958.38</v>
      </c>
      <c r="I4701" s="2">
        <v>1958.38</v>
      </c>
    </row>
    <row r="4702">
      <c r="A4702" s="1" t="s">
        <v>9396</v>
      </c>
      <c r="B4702" s="2">
        <v>2167.48</v>
      </c>
      <c r="C4702" s="2">
        <v>2167.48</v>
      </c>
      <c r="D4702" s="2">
        <v>5208.8</v>
      </c>
      <c r="E4702" s="2">
        <v>5208.8</v>
      </c>
      <c r="G4702" s="1" t="s">
        <v>9397</v>
      </c>
      <c r="H4702" s="2">
        <v>2002.6</v>
      </c>
      <c r="I4702" s="2">
        <v>2002.6</v>
      </c>
    </row>
    <row r="4703">
      <c r="A4703" s="1" t="s">
        <v>9398</v>
      </c>
      <c r="B4703" s="2">
        <v>2164.45</v>
      </c>
      <c r="C4703" s="2">
        <v>2164.45</v>
      </c>
      <c r="D4703" s="2">
        <v>5237.11</v>
      </c>
      <c r="E4703" s="2">
        <v>5237.11</v>
      </c>
      <c r="G4703" s="1" t="s">
        <v>9399</v>
      </c>
      <c r="H4703" s="2">
        <v>1984.43</v>
      </c>
      <c r="I4703" s="2">
        <v>1984.43</v>
      </c>
    </row>
    <row r="4704">
      <c r="A4704" s="1" t="s">
        <v>9400</v>
      </c>
      <c r="B4704" s="2" t="s">
        <v>0</v>
      </c>
      <c r="C4704" s="2">
        <v>2164.45</v>
      </c>
      <c r="D4704" s="2" t="s">
        <v>0</v>
      </c>
      <c r="E4704" s="2">
        <v>5237.11</v>
      </c>
      <c r="G4704" s="1" t="s">
        <v>9401</v>
      </c>
      <c r="H4704" s="2" t="s">
        <v>0</v>
      </c>
      <c r="I4704" s="2">
        <v>1984.43</v>
      </c>
    </row>
    <row r="4705">
      <c r="A4705" s="1" t="s">
        <v>9402</v>
      </c>
      <c r="B4705" s="2" t="s">
        <v>0</v>
      </c>
      <c r="C4705" s="2">
        <v>2164.45</v>
      </c>
      <c r="D4705" s="2" t="s">
        <v>0</v>
      </c>
      <c r="E4705" s="2">
        <v>5237.11</v>
      </c>
      <c r="G4705" s="1" t="s">
        <v>9403</v>
      </c>
      <c r="H4705" s="2" t="s">
        <v>0</v>
      </c>
      <c r="I4705" s="2">
        <v>1984.43</v>
      </c>
    </row>
    <row r="4706">
      <c r="A4706" s="1" t="s">
        <v>9404</v>
      </c>
      <c r="B4706" s="2">
        <v>2164.2</v>
      </c>
      <c r="C4706" s="2">
        <v>2164.2</v>
      </c>
      <c r="D4706" s="2">
        <v>5218.4</v>
      </c>
      <c r="E4706" s="2">
        <v>5218.4</v>
      </c>
      <c r="G4706" s="1" t="s">
        <v>9405</v>
      </c>
      <c r="H4706" s="2">
        <v>1974.4</v>
      </c>
      <c r="I4706" s="2">
        <v>1974.4</v>
      </c>
    </row>
    <row r="4707">
      <c r="A4707" s="1" t="s">
        <v>9406</v>
      </c>
      <c r="B4707" s="2">
        <v>2180.39</v>
      </c>
      <c r="C4707" s="2">
        <v>2180.39</v>
      </c>
      <c r="D4707" s="2">
        <v>5275.62</v>
      </c>
      <c r="E4707" s="2">
        <v>5275.62</v>
      </c>
      <c r="G4707" s="1" t="s">
        <v>9407</v>
      </c>
      <c r="H4707" s="2">
        <v>1967.53</v>
      </c>
      <c r="I4707" s="2">
        <v>1967.53</v>
      </c>
    </row>
    <row r="4708">
      <c r="A4708" s="1" t="s">
        <v>9408</v>
      </c>
      <c r="B4708" s="2">
        <v>2176.94</v>
      </c>
      <c r="C4708" s="2">
        <v>2176.94</v>
      </c>
      <c r="D4708" s="2">
        <v>5294.58</v>
      </c>
      <c r="E4708" s="2">
        <v>5294.58</v>
      </c>
      <c r="G4708" s="1" t="s">
        <v>9409</v>
      </c>
      <c r="H4708" s="2">
        <v>1979.65</v>
      </c>
      <c r="I4708" s="2">
        <v>1979.65</v>
      </c>
    </row>
    <row r="4709">
      <c r="A4709" s="1" t="s">
        <v>9410</v>
      </c>
      <c r="B4709" s="2">
        <v>2187.12</v>
      </c>
      <c r="C4709" s="2">
        <v>2187.12</v>
      </c>
      <c r="D4709" s="2">
        <v>5333.97</v>
      </c>
      <c r="E4709" s="2">
        <v>5333.97</v>
      </c>
      <c r="G4709" s="1" t="s">
        <v>9411</v>
      </c>
      <c r="H4709" s="2">
        <v>1980.55</v>
      </c>
      <c r="I4709" s="2">
        <v>1980.55</v>
      </c>
    </row>
    <row r="4710">
      <c r="A4710" s="1" t="s">
        <v>9412</v>
      </c>
      <c r="B4710" s="2">
        <v>2181.9</v>
      </c>
      <c r="C4710" s="2">
        <v>2181.9</v>
      </c>
      <c r="D4710" s="2">
        <v>5321.51</v>
      </c>
      <c r="E4710" s="2">
        <v>5321.51</v>
      </c>
      <c r="G4710" s="1" t="s">
        <v>9413</v>
      </c>
      <c r="H4710" s="2">
        <v>1974.58</v>
      </c>
      <c r="I4710" s="2">
        <v>1974.58</v>
      </c>
    </row>
    <row r="4711">
      <c r="A4711" s="1" t="s">
        <v>9414</v>
      </c>
      <c r="B4711" s="2" t="s">
        <v>0</v>
      </c>
      <c r="C4711" s="2">
        <v>2181.9</v>
      </c>
      <c r="D4711" s="2" t="s">
        <v>0</v>
      </c>
      <c r="E4711" s="2">
        <v>5321.51</v>
      </c>
      <c r="G4711" s="1" t="s">
        <v>9415</v>
      </c>
      <c r="H4711" s="2" t="s">
        <v>0</v>
      </c>
      <c r="I4711" s="2">
        <v>1974.58</v>
      </c>
    </row>
    <row r="4712">
      <c r="A4712" s="1" t="s">
        <v>9416</v>
      </c>
      <c r="B4712" s="2" t="s">
        <v>0</v>
      </c>
      <c r="C4712" s="2">
        <v>2181.9</v>
      </c>
      <c r="D4712" s="2" t="s">
        <v>0</v>
      </c>
      <c r="E4712" s="2">
        <v>5321.51</v>
      </c>
      <c r="G4712" s="1" t="s">
        <v>9417</v>
      </c>
      <c r="H4712" s="2" t="s">
        <v>0</v>
      </c>
      <c r="I4712" s="2">
        <v>1974.58</v>
      </c>
    </row>
    <row r="4713">
      <c r="A4713" s="1" t="s">
        <v>9418</v>
      </c>
      <c r="B4713" s="2">
        <v>2198.18</v>
      </c>
      <c r="C4713" s="2">
        <v>2198.18</v>
      </c>
      <c r="D4713" s="2">
        <v>5368.86</v>
      </c>
      <c r="E4713" s="2">
        <v>5368.86</v>
      </c>
      <c r="G4713" s="1" t="s">
        <v>9419</v>
      </c>
      <c r="H4713" s="2">
        <v>1966.05</v>
      </c>
      <c r="I4713" s="2">
        <v>1966.05</v>
      </c>
    </row>
    <row r="4714">
      <c r="A4714" s="1" t="s">
        <v>9420</v>
      </c>
      <c r="B4714" s="2">
        <v>2202.94</v>
      </c>
      <c r="C4714" s="2">
        <v>2202.94</v>
      </c>
      <c r="D4714" s="2">
        <v>5386.35</v>
      </c>
      <c r="E4714" s="2">
        <v>5386.35</v>
      </c>
      <c r="G4714" s="1" t="s">
        <v>9421</v>
      </c>
      <c r="H4714" s="2">
        <v>1983.47</v>
      </c>
      <c r="I4714" s="2">
        <v>1983.47</v>
      </c>
    </row>
    <row r="4715">
      <c r="A4715" s="1" t="s">
        <v>9422</v>
      </c>
      <c r="B4715" s="2">
        <v>2204.72</v>
      </c>
      <c r="C4715" s="2">
        <v>2204.72</v>
      </c>
      <c r="D4715" s="2">
        <v>5380.68</v>
      </c>
      <c r="E4715" s="2">
        <v>5380.68</v>
      </c>
      <c r="G4715" s="1" t="s">
        <v>9423</v>
      </c>
      <c r="H4715" s="2">
        <v>1987.95</v>
      </c>
      <c r="I4715" s="2">
        <v>1987.95</v>
      </c>
    </row>
    <row r="4716">
      <c r="A4716" s="1" t="s">
        <v>9424</v>
      </c>
      <c r="B4716" s="2" t="s">
        <v>0</v>
      </c>
      <c r="C4716" s="2">
        <v>2204.72</v>
      </c>
      <c r="D4716" s="2" t="s">
        <v>0</v>
      </c>
      <c r="E4716" s="2">
        <v>5380.68</v>
      </c>
      <c r="G4716" s="1" t="s">
        <v>9425</v>
      </c>
      <c r="H4716" s="2">
        <v>1971.26</v>
      </c>
      <c r="I4716" s="2">
        <v>1971.26</v>
      </c>
    </row>
    <row r="4717">
      <c r="A4717" s="1" t="s">
        <v>9426</v>
      </c>
      <c r="B4717" s="2">
        <v>2213.35</v>
      </c>
      <c r="C4717" s="2">
        <v>2213.35</v>
      </c>
      <c r="D4717" s="2">
        <v>5398.92</v>
      </c>
      <c r="E4717" s="2">
        <v>5398.92</v>
      </c>
      <c r="G4717" s="1" t="s">
        <v>9427</v>
      </c>
      <c r="H4717" s="2">
        <v>1974.46</v>
      </c>
      <c r="I4717" s="2">
        <v>1974.46</v>
      </c>
    </row>
    <row r="4718">
      <c r="A4718" s="1" t="s">
        <v>9428</v>
      </c>
      <c r="B4718" s="2" t="s">
        <v>0</v>
      </c>
      <c r="C4718" s="2">
        <v>2213.35</v>
      </c>
      <c r="D4718" s="2" t="s">
        <v>0</v>
      </c>
      <c r="E4718" s="2">
        <v>5398.92</v>
      </c>
      <c r="G4718" s="1" t="s">
        <v>9429</v>
      </c>
      <c r="H4718" s="2" t="s">
        <v>0</v>
      </c>
      <c r="I4718" s="2">
        <v>1974.46</v>
      </c>
    </row>
    <row r="4719">
      <c r="A4719" s="1" t="s">
        <v>9430</v>
      </c>
      <c r="B4719" s="2" t="s">
        <v>0</v>
      </c>
      <c r="C4719" s="2">
        <v>2213.35</v>
      </c>
      <c r="D4719" s="2" t="s">
        <v>0</v>
      </c>
      <c r="E4719" s="2">
        <v>5398.92</v>
      </c>
      <c r="G4719" s="1" t="s">
        <v>9431</v>
      </c>
      <c r="H4719" s="2" t="s">
        <v>0</v>
      </c>
      <c r="I4719" s="2">
        <v>1974.46</v>
      </c>
    </row>
    <row r="4720">
      <c r="A4720" s="1" t="s">
        <v>9432</v>
      </c>
      <c r="B4720" s="2">
        <v>2201.72</v>
      </c>
      <c r="C4720" s="2">
        <v>2201.72</v>
      </c>
      <c r="D4720" s="2">
        <v>5368.81</v>
      </c>
      <c r="E4720" s="2">
        <v>5368.81</v>
      </c>
      <c r="G4720" s="1" t="s">
        <v>9433</v>
      </c>
      <c r="H4720" s="2">
        <v>1978.13</v>
      </c>
      <c r="I4720" s="2">
        <v>1978.13</v>
      </c>
    </row>
    <row r="4721">
      <c r="A4721" s="1" t="s">
        <v>9434</v>
      </c>
      <c r="B4721" s="2">
        <v>2204.66</v>
      </c>
      <c r="C4721" s="2">
        <v>2204.66</v>
      </c>
      <c r="D4721" s="2">
        <v>5379.92</v>
      </c>
      <c r="E4721" s="2">
        <v>5379.92</v>
      </c>
      <c r="G4721" s="1" t="s">
        <v>9435</v>
      </c>
      <c r="H4721" s="2">
        <v>1978.39</v>
      </c>
      <c r="I4721" s="2">
        <v>1978.39</v>
      </c>
    </row>
    <row r="4722">
      <c r="A4722" s="1" t="s">
        <v>9436</v>
      </c>
      <c r="B4722" s="2">
        <v>2198.81</v>
      </c>
      <c r="C4722" s="2">
        <v>2198.81</v>
      </c>
      <c r="D4722" s="2">
        <v>5323.68</v>
      </c>
      <c r="E4722" s="2">
        <v>5323.68</v>
      </c>
      <c r="G4722" s="1" t="s">
        <v>9437</v>
      </c>
      <c r="H4722" s="2">
        <v>1983.48</v>
      </c>
      <c r="I4722" s="2">
        <v>1983.48</v>
      </c>
    </row>
    <row r="4723">
      <c r="A4723" s="1" t="s">
        <v>9438</v>
      </c>
      <c r="B4723" s="2">
        <v>2191.08</v>
      </c>
      <c r="C4723" s="2">
        <v>2191.08</v>
      </c>
      <c r="D4723" s="2">
        <v>5251.11</v>
      </c>
      <c r="E4723" s="2">
        <v>5251.11</v>
      </c>
      <c r="G4723" s="1" t="s">
        <v>9439</v>
      </c>
      <c r="H4723" s="2">
        <v>1983.75</v>
      </c>
      <c r="I4723" s="2">
        <v>1983.75</v>
      </c>
    </row>
    <row r="4724">
      <c r="A4724" s="1" t="s">
        <v>9440</v>
      </c>
      <c r="B4724" s="2">
        <v>2191.95</v>
      </c>
      <c r="C4724" s="2">
        <v>2191.95</v>
      </c>
      <c r="D4724" s="2">
        <v>5255.65</v>
      </c>
      <c r="E4724" s="2">
        <v>5255.65</v>
      </c>
      <c r="G4724" s="1" t="s">
        <v>9441</v>
      </c>
      <c r="H4724" s="2">
        <v>1970.61</v>
      </c>
      <c r="I4724" s="2">
        <v>1970.61</v>
      </c>
    </row>
    <row r="4725">
      <c r="A4725" s="1" t="s">
        <v>9442</v>
      </c>
      <c r="B4725" s="2" t="s">
        <v>0</v>
      </c>
      <c r="C4725" s="2">
        <v>2191.95</v>
      </c>
      <c r="D4725" s="2" t="s">
        <v>0</v>
      </c>
      <c r="E4725" s="2">
        <v>5255.65</v>
      </c>
      <c r="G4725" s="1" t="s">
        <v>9443</v>
      </c>
      <c r="H4725" s="2" t="s">
        <v>0</v>
      </c>
      <c r="I4725" s="2">
        <v>1970.61</v>
      </c>
    </row>
    <row r="4726">
      <c r="A4726" s="1" t="s">
        <v>9444</v>
      </c>
      <c r="B4726" s="2" t="s">
        <v>0</v>
      </c>
      <c r="C4726" s="2">
        <v>2191.95</v>
      </c>
      <c r="D4726" s="2" t="s">
        <v>0</v>
      </c>
      <c r="E4726" s="2">
        <v>5255.65</v>
      </c>
      <c r="G4726" s="1" t="s">
        <v>9445</v>
      </c>
      <c r="H4726" s="2" t="s">
        <v>0</v>
      </c>
      <c r="I4726" s="2">
        <v>1970.61</v>
      </c>
    </row>
    <row r="4727">
      <c r="A4727" s="1" t="s">
        <v>9446</v>
      </c>
      <c r="B4727" s="2">
        <v>2204.71</v>
      </c>
      <c r="C4727" s="2">
        <v>2204.71</v>
      </c>
      <c r="D4727" s="2">
        <v>5308.89</v>
      </c>
      <c r="E4727" s="2">
        <v>5308.89</v>
      </c>
      <c r="G4727" s="1" t="s">
        <v>9447</v>
      </c>
      <c r="H4727" s="2">
        <v>1963.36</v>
      </c>
      <c r="I4727" s="2">
        <v>1963.36</v>
      </c>
    </row>
    <row r="4728">
      <c r="A4728" s="1" t="s">
        <v>9448</v>
      </c>
      <c r="B4728" s="2">
        <v>2212.23</v>
      </c>
      <c r="C4728" s="2">
        <v>2212.23</v>
      </c>
      <c r="D4728" s="2">
        <v>5333.0</v>
      </c>
      <c r="E4728" s="2">
        <v>5333.0</v>
      </c>
      <c r="G4728" s="1" t="s">
        <v>9449</v>
      </c>
      <c r="H4728" s="2">
        <v>1989.86</v>
      </c>
      <c r="I4728" s="2">
        <v>1989.86</v>
      </c>
    </row>
    <row r="4729">
      <c r="A4729" s="1" t="s">
        <v>9450</v>
      </c>
      <c r="B4729" s="2">
        <v>2241.35</v>
      </c>
      <c r="C4729" s="2">
        <v>2241.35</v>
      </c>
      <c r="D4729" s="2">
        <v>5393.76</v>
      </c>
      <c r="E4729" s="2">
        <v>5393.76</v>
      </c>
      <c r="G4729" s="1" t="s">
        <v>9451</v>
      </c>
      <c r="H4729" s="2">
        <v>1991.89</v>
      </c>
      <c r="I4729" s="2">
        <v>1991.89</v>
      </c>
    </row>
    <row r="4730">
      <c r="A4730" s="1" t="s">
        <v>9452</v>
      </c>
      <c r="B4730" s="2">
        <v>2246.19</v>
      </c>
      <c r="C4730" s="2">
        <v>2246.19</v>
      </c>
      <c r="D4730" s="2">
        <v>5417.36</v>
      </c>
      <c r="E4730" s="2">
        <v>5417.36</v>
      </c>
      <c r="G4730" s="1" t="s">
        <v>9453</v>
      </c>
      <c r="H4730" s="2">
        <v>2031.07</v>
      </c>
      <c r="I4730" s="2">
        <v>2031.07</v>
      </c>
    </row>
    <row r="4731">
      <c r="A4731" s="1" t="s">
        <v>9454</v>
      </c>
      <c r="B4731" s="2">
        <v>2259.53</v>
      </c>
      <c r="C4731" s="2">
        <v>2259.53</v>
      </c>
      <c r="D4731" s="2">
        <v>5444.5</v>
      </c>
      <c r="E4731" s="2">
        <v>5444.5</v>
      </c>
      <c r="G4731" s="1" t="s">
        <v>9455</v>
      </c>
      <c r="H4731" s="2">
        <v>2024.69</v>
      </c>
      <c r="I4731" s="2">
        <v>2024.69</v>
      </c>
    </row>
    <row r="4732">
      <c r="A4732" s="1" t="s">
        <v>9456</v>
      </c>
      <c r="B4732" s="2" t="s">
        <v>0</v>
      </c>
      <c r="C4732" s="2">
        <v>2259.53</v>
      </c>
      <c r="D4732" s="2" t="s">
        <v>0</v>
      </c>
      <c r="E4732" s="2">
        <v>5444.5</v>
      </c>
      <c r="G4732" s="1" t="s">
        <v>9457</v>
      </c>
      <c r="H4732" s="2" t="s">
        <v>0</v>
      </c>
      <c r="I4732" s="2">
        <v>2024.69</v>
      </c>
    </row>
    <row r="4733">
      <c r="A4733" s="1" t="s">
        <v>9458</v>
      </c>
      <c r="B4733" s="2" t="s">
        <v>0</v>
      </c>
      <c r="C4733" s="2">
        <v>2259.53</v>
      </c>
      <c r="D4733" s="2" t="s">
        <v>0</v>
      </c>
      <c r="E4733" s="2">
        <v>5444.5</v>
      </c>
      <c r="G4733" s="1" t="s">
        <v>9459</v>
      </c>
      <c r="H4733" s="2" t="s">
        <v>0</v>
      </c>
      <c r="I4733" s="2">
        <v>2024.69</v>
      </c>
    </row>
    <row r="4734">
      <c r="A4734" s="1" t="s">
        <v>9460</v>
      </c>
      <c r="B4734" s="2">
        <v>2256.96</v>
      </c>
      <c r="C4734" s="2">
        <v>2256.96</v>
      </c>
      <c r="D4734" s="2">
        <v>5412.54</v>
      </c>
      <c r="E4734" s="2">
        <v>5412.54</v>
      </c>
      <c r="G4734" s="1" t="s">
        <v>9461</v>
      </c>
      <c r="H4734" s="2">
        <v>2027.24</v>
      </c>
      <c r="I4734" s="2">
        <v>2027.24</v>
      </c>
    </row>
    <row r="4735">
      <c r="A4735" s="1" t="s">
        <v>9462</v>
      </c>
      <c r="B4735" s="2">
        <v>2271.72</v>
      </c>
      <c r="C4735" s="2">
        <v>2271.72</v>
      </c>
      <c r="D4735" s="2">
        <v>5463.83</v>
      </c>
      <c r="E4735" s="2">
        <v>5463.83</v>
      </c>
      <c r="G4735" s="1" t="s">
        <v>9463</v>
      </c>
      <c r="H4735" s="2">
        <v>2035.98</v>
      </c>
      <c r="I4735" s="2">
        <v>2035.98</v>
      </c>
    </row>
    <row r="4736">
      <c r="A4736" s="1" t="s">
        <v>9464</v>
      </c>
      <c r="B4736" s="2">
        <v>2253.28</v>
      </c>
      <c r="C4736" s="2">
        <v>2253.28</v>
      </c>
      <c r="D4736" s="2">
        <v>5436.67</v>
      </c>
      <c r="E4736" s="2">
        <v>5436.67</v>
      </c>
      <c r="G4736" s="1" t="s">
        <v>9465</v>
      </c>
      <c r="H4736" s="2">
        <v>2036.87</v>
      </c>
      <c r="I4736" s="2">
        <v>2036.87</v>
      </c>
    </row>
    <row r="4737">
      <c r="A4737" s="1" t="s">
        <v>9466</v>
      </c>
      <c r="B4737" s="2">
        <v>2262.03</v>
      </c>
      <c r="C4737" s="2">
        <v>2262.03</v>
      </c>
      <c r="D4737" s="2">
        <v>5456.85</v>
      </c>
      <c r="E4737" s="2">
        <v>5456.85</v>
      </c>
      <c r="G4737" s="1" t="s">
        <v>9467</v>
      </c>
      <c r="H4737" s="2">
        <v>2036.65</v>
      </c>
      <c r="I4737" s="2">
        <v>2036.65</v>
      </c>
    </row>
    <row r="4738">
      <c r="A4738" s="1" t="s">
        <v>9468</v>
      </c>
      <c r="B4738" s="2">
        <v>2258.07</v>
      </c>
      <c r="C4738" s="2">
        <v>2258.07</v>
      </c>
      <c r="D4738" s="2">
        <v>5437.16</v>
      </c>
      <c r="E4738" s="2">
        <v>5437.16</v>
      </c>
      <c r="G4738" s="1" t="s">
        <v>9469</v>
      </c>
      <c r="H4738" s="2">
        <v>2042.24</v>
      </c>
      <c r="I4738" s="2">
        <v>2042.24</v>
      </c>
    </row>
    <row r="4739">
      <c r="A4739" s="1" t="s">
        <v>9470</v>
      </c>
      <c r="B4739" s="2" t="s">
        <v>0</v>
      </c>
      <c r="C4739" s="2">
        <v>2258.07</v>
      </c>
      <c r="D4739" s="2" t="s">
        <v>0</v>
      </c>
      <c r="E4739" s="2">
        <v>5437.16</v>
      </c>
      <c r="G4739" s="1" t="s">
        <v>9471</v>
      </c>
      <c r="H4739" s="2" t="s">
        <v>0</v>
      </c>
      <c r="I4739" s="2">
        <v>2042.24</v>
      </c>
    </row>
    <row r="4740">
      <c r="A4740" s="1" t="s">
        <v>9472</v>
      </c>
      <c r="B4740" s="2" t="s">
        <v>0</v>
      </c>
      <c r="C4740" s="2">
        <v>2258.07</v>
      </c>
      <c r="D4740" s="2" t="s">
        <v>0</v>
      </c>
      <c r="E4740" s="2">
        <v>5437.16</v>
      </c>
      <c r="G4740" s="1" t="s">
        <v>9473</v>
      </c>
      <c r="H4740" s="2" t="s">
        <v>0</v>
      </c>
      <c r="I4740" s="2">
        <v>2042.24</v>
      </c>
    </row>
    <row r="4741">
      <c r="A4741" s="1" t="s">
        <v>9474</v>
      </c>
      <c r="B4741" s="2">
        <v>2262.53</v>
      </c>
      <c r="C4741" s="2">
        <v>2262.53</v>
      </c>
      <c r="D4741" s="2">
        <v>5457.44</v>
      </c>
      <c r="E4741" s="2">
        <v>5457.44</v>
      </c>
      <c r="G4741" s="1" t="s">
        <v>9475</v>
      </c>
      <c r="H4741" s="2">
        <v>2038.39</v>
      </c>
      <c r="I4741" s="2">
        <v>2038.39</v>
      </c>
    </row>
    <row r="4742">
      <c r="A4742" s="1" t="s">
        <v>9476</v>
      </c>
      <c r="B4742" s="2">
        <v>2270.76</v>
      </c>
      <c r="C4742" s="2">
        <v>2270.76</v>
      </c>
      <c r="D4742" s="2">
        <v>5483.94</v>
      </c>
      <c r="E4742" s="2">
        <v>5483.94</v>
      </c>
      <c r="G4742" s="1" t="s">
        <v>9477</v>
      </c>
      <c r="H4742" s="2">
        <v>2041.94</v>
      </c>
      <c r="I4742" s="2">
        <v>2041.94</v>
      </c>
    </row>
    <row r="4743">
      <c r="A4743" s="1" t="s">
        <v>9478</v>
      </c>
      <c r="B4743" s="2">
        <v>2265.18</v>
      </c>
      <c r="C4743" s="2">
        <v>2265.18</v>
      </c>
      <c r="D4743" s="2">
        <v>5471.43</v>
      </c>
      <c r="E4743" s="2">
        <v>5471.43</v>
      </c>
      <c r="G4743" s="1" t="s">
        <v>9479</v>
      </c>
      <c r="H4743" s="2">
        <v>2037.96</v>
      </c>
      <c r="I4743" s="2">
        <v>2037.96</v>
      </c>
    </row>
    <row r="4744">
      <c r="A4744" s="1" t="s">
        <v>9480</v>
      </c>
      <c r="B4744" s="2">
        <v>2260.96</v>
      </c>
      <c r="C4744" s="2">
        <v>2260.96</v>
      </c>
      <c r="D4744" s="2">
        <v>5447.42</v>
      </c>
      <c r="E4744" s="2">
        <v>5447.42</v>
      </c>
      <c r="G4744" s="1" t="s">
        <v>9481</v>
      </c>
      <c r="H4744" s="2">
        <v>2035.73</v>
      </c>
      <c r="I4744" s="2">
        <v>2035.73</v>
      </c>
    </row>
    <row r="4745">
      <c r="A4745" s="1" t="s">
        <v>9482</v>
      </c>
      <c r="B4745" s="2">
        <v>2263.79</v>
      </c>
      <c r="C4745" s="2">
        <v>2263.79</v>
      </c>
      <c r="D4745" s="2">
        <v>5462.69</v>
      </c>
      <c r="E4745" s="2">
        <v>5462.69</v>
      </c>
      <c r="G4745" s="1" t="s">
        <v>9483</v>
      </c>
      <c r="H4745" s="2">
        <v>2035.9</v>
      </c>
      <c r="I4745" s="2">
        <v>2035.9</v>
      </c>
    </row>
    <row r="4746">
      <c r="A4746" s="1" t="s">
        <v>9484</v>
      </c>
      <c r="B4746" s="2" t="s">
        <v>0</v>
      </c>
      <c r="C4746" s="2">
        <v>2263.79</v>
      </c>
      <c r="D4746" s="2" t="s">
        <v>0</v>
      </c>
      <c r="E4746" s="2">
        <v>5462.69</v>
      </c>
      <c r="G4746" s="1" t="s">
        <v>9485</v>
      </c>
      <c r="H4746" s="2" t="s">
        <v>0</v>
      </c>
      <c r="I4746" s="2">
        <v>2035.9</v>
      </c>
    </row>
    <row r="4747">
      <c r="A4747" s="1" t="s">
        <v>9486</v>
      </c>
      <c r="B4747" s="2" t="s">
        <v>0</v>
      </c>
      <c r="C4747" s="2">
        <v>2263.79</v>
      </c>
      <c r="D4747" s="2" t="s">
        <v>0</v>
      </c>
      <c r="E4747" s="2">
        <v>5462.69</v>
      </c>
      <c r="G4747" s="1" t="s">
        <v>9487</v>
      </c>
      <c r="H4747" s="2" t="s">
        <v>0</v>
      </c>
      <c r="I4747" s="2">
        <v>2035.9</v>
      </c>
    </row>
    <row r="4748">
      <c r="A4748" s="1" t="s">
        <v>9488</v>
      </c>
      <c r="B4748" s="2" t="s">
        <v>0</v>
      </c>
      <c r="C4748" s="2">
        <v>2263.79</v>
      </c>
      <c r="D4748" s="2" t="s">
        <v>0</v>
      </c>
      <c r="E4748" s="2">
        <v>5462.69</v>
      </c>
      <c r="G4748" s="1" t="s">
        <v>9489</v>
      </c>
      <c r="H4748" s="2">
        <v>2037.75</v>
      </c>
      <c r="I4748" s="2">
        <v>2037.75</v>
      </c>
    </row>
    <row r="4749">
      <c r="A4749" s="1" t="s">
        <v>9490</v>
      </c>
      <c r="B4749" s="2">
        <v>2268.88</v>
      </c>
      <c r="C4749" s="2">
        <v>2268.88</v>
      </c>
      <c r="D4749" s="2">
        <v>5487.44</v>
      </c>
      <c r="E4749" s="2">
        <v>5487.44</v>
      </c>
      <c r="G4749" s="1" t="s">
        <v>9491</v>
      </c>
      <c r="H4749" s="2">
        <v>2042.17</v>
      </c>
      <c r="I4749" s="2">
        <v>2042.17</v>
      </c>
    </row>
    <row r="4750">
      <c r="A4750" s="1" t="s">
        <v>9492</v>
      </c>
      <c r="B4750" s="2">
        <v>2249.92</v>
      </c>
      <c r="C4750" s="2">
        <v>2249.92</v>
      </c>
      <c r="D4750" s="2">
        <v>5438.56</v>
      </c>
      <c r="E4750" s="2">
        <v>5438.56</v>
      </c>
      <c r="G4750" s="1" t="s">
        <v>9493</v>
      </c>
      <c r="H4750" s="2">
        <v>2024.49</v>
      </c>
      <c r="I4750" s="2">
        <v>2024.49</v>
      </c>
    </row>
    <row r="4751">
      <c r="A4751" s="1" t="s">
        <v>9494</v>
      </c>
      <c r="B4751" s="2">
        <v>2249.26</v>
      </c>
      <c r="C4751" s="2">
        <v>2249.26</v>
      </c>
      <c r="D4751" s="2">
        <v>5432.09</v>
      </c>
      <c r="E4751" s="2">
        <v>5432.09</v>
      </c>
      <c r="G4751" s="1" t="s">
        <v>9495</v>
      </c>
      <c r="H4751" s="2">
        <v>2026.46</v>
      </c>
      <c r="I4751" s="2">
        <v>2026.46</v>
      </c>
    </row>
    <row r="4752">
      <c r="A4752" s="1" t="s">
        <v>9496</v>
      </c>
      <c r="B4752" s="2">
        <v>2238.83</v>
      </c>
      <c r="C4752" s="2">
        <v>2238.83</v>
      </c>
      <c r="D4752" s="2">
        <v>5383.12</v>
      </c>
      <c r="E4752" s="2">
        <v>5383.12</v>
      </c>
      <c r="G4752" s="1" t="s">
        <v>9497</v>
      </c>
      <c r="H4752" s="2" t="s">
        <v>0</v>
      </c>
      <c r="I4752" s="2">
        <v>2026.46</v>
      </c>
    </row>
    <row r="4753">
      <c r="A4753" s="1" t="s">
        <v>9498</v>
      </c>
      <c r="B4753" s="2" t="s">
        <v>0</v>
      </c>
      <c r="C4753" s="2">
        <v>2238.83</v>
      </c>
      <c r="D4753" s="2" t="s">
        <v>0</v>
      </c>
      <c r="E4753" s="2">
        <v>5383.12</v>
      </c>
      <c r="G4753" s="1" t="s">
        <v>9499</v>
      </c>
      <c r="H4753" s="2" t="s">
        <v>0</v>
      </c>
      <c r="I4753" s="2">
        <v>2026.46</v>
      </c>
    </row>
    <row r="4754">
      <c r="A4754" s="1" t="s">
        <v>9500</v>
      </c>
      <c r="B4754" s="2" t="s">
        <v>0</v>
      </c>
      <c r="C4754" s="2">
        <v>2238.83</v>
      </c>
      <c r="D4754" s="2" t="s">
        <v>0</v>
      </c>
      <c r="E4754" s="2">
        <v>5383.12</v>
      </c>
      <c r="G4754" s="1" t="s">
        <v>9501</v>
      </c>
      <c r="H4754" s="2" t="s">
        <v>0</v>
      </c>
      <c r="I4754" s="2">
        <v>2026.46</v>
      </c>
    </row>
    <row r="4755">
      <c r="A4755" s="1" t="s">
        <v>9502</v>
      </c>
      <c r="B4755" s="2" t="s">
        <v>0</v>
      </c>
      <c r="C4755" s="2">
        <v>2238.83</v>
      </c>
      <c r="D4755" s="2" t="s">
        <v>0</v>
      </c>
      <c r="E4755" s="2">
        <v>5383.12</v>
      </c>
      <c r="G4755" s="1" t="s">
        <v>9503</v>
      </c>
      <c r="H4755" s="2">
        <v>2026.16</v>
      </c>
      <c r="I4755" s="2">
        <v>2026.16</v>
      </c>
    </row>
    <row r="4756">
      <c r="A4756" s="1" t="s">
        <v>9504</v>
      </c>
      <c r="B4756" s="2">
        <v>2257.83</v>
      </c>
      <c r="C4756" s="2">
        <v>2257.83</v>
      </c>
      <c r="D4756" s="2">
        <v>5429.08</v>
      </c>
      <c r="E4756" s="2">
        <v>5429.08</v>
      </c>
      <c r="G4756" s="1" t="s">
        <v>9505</v>
      </c>
      <c r="H4756" s="2">
        <v>2043.97</v>
      </c>
      <c r="I4756" s="2">
        <v>2043.97</v>
      </c>
    </row>
    <row r="4757">
      <c r="A4757" s="1" t="s">
        <v>9506</v>
      </c>
      <c r="B4757" s="2">
        <v>2270.75</v>
      </c>
      <c r="C4757" s="2">
        <v>2270.75</v>
      </c>
      <c r="D4757" s="2">
        <v>5477.0</v>
      </c>
      <c r="E4757" s="2">
        <v>5477.0</v>
      </c>
      <c r="G4757" s="1" t="s">
        <v>9507</v>
      </c>
      <c r="H4757" s="2">
        <v>2045.64</v>
      </c>
      <c r="I4757" s="2">
        <v>2045.64</v>
      </c>
    </row>
    <row r="4758">
      <c r="A4758" s="1" t="s">
        <v>9508</v>
      </c>
      <c r="B4758" s="2">
        <v>2269.0</v>
      </c>
      <c r="C4758" s="2">
        <v>2269.0</v>
      </c>
      <c r="D4758" s="2">
        <v>5487.94</v>
      </c>
      <c r="E4758" s="2">
        <v>5487.94</v>
      </c>
      <c r="G4758" s="1" t="s">
        <v>9509</v>
      </c>
      <c r="H4758" s="2">
        <v>2041.95</v>
      </c>
      <c r="I4758" s="2">
        <v>2041.95</v>
      </c>
    </row>
    <row r="4759">
      <c r="A4759" s="1" t="s">
        <v>9510</v>
      </c>
      <c r="B4759" s="2">
        <v>2276.98</v>
      </c>
      <c r="C4759" s="2">
        <v>2276.98</v>
      </c>
      <c r="D4759" s="2">
        <v>5521.06</v>
      </c>
      <c r="E4759" s="2">
        <v>5521.06</v>
      </c>
      <c r="G4759" s="1" t="s">
        <v>9511</v>
      </c>
      <c r="H4759" s="2">
        <v>2049.12</v>
      </c>
      <c r="I4759" s="2">
        <v>2049.12</v>
      </c>
    </row>
    <row r="4760">
      <c r="A4760" s="1" t="s">
        <v>9512</v>
      </c>
      <c r="B4760" s="2" t="s">
        <v>0</v>
      </c>
      <c r="C4760" s="2">
        <v>2276.98</v>
      </c>
      <c r="D4760" s="2" t="s">
        <v>0</v>
      </c>
      <c r="E4760" s="2">
        <v>5521.06</v>
      </c>
      <c r="G4760" s="1" t="s">
        <v>9513</v>
      </c>
      <c r="H4760" s="2" t="s">
        <v>0</v>
      </c>
      <c r="I4760" s="2">
        <v>2049.12</v>
      </c>
    </row>
    <row r="4761">
      <c r="A4761" s="1" t="s">
        <v>9514</v>
      </c>
      <c r="B4761" s="2" t="s">
        <v>0</v>
      </c>
      <c r="C4761" s="2">
        <v>2276.98</v>
      </c>
      <c r="D4761" s="2" t="s">
        <v>0</v>
      </c>
      <c r="E4761" s="2">
        <v>5521.06</v>
      </c>
      <c r="G4761" s="1" t="s">
        <v>9515</v>
      </c>
      <c r="H4761" s="2" t="s">
        <v>0</v>
      </c>
      <c r="I4761" s="2">
        <v>2049.12</v>
      </c>
    </row>
    <row r="4762">
      <c r="A4762" s="1" t="s">
        <v>9516</v>
      </c>
      <c r="B4762" s="2">
        <v>2268.9</v>
      </c>
      <c r="C4762" s="2">
        <v>2268.9</v>
      </c>
      <c r="D4762" s="2">
        <v>5531.82</v>
      </c>
      <c r="E4762" s="2">
        <v>5531.82</v>
      </c>
      <c r="G4762" s="1" t="s">
        <v>9517</v>
      </c>
      <c r="H4762" s="2">
        <v>2048.78</v>
      </c>
      <c r="I4762" s="2">
        <v>2048.78</v>
      </c>
    </row>
    <row r="4763">
      <c r="A4763" s="1" t="s">
        <v>9518</v>
      </c>
      <c r="B4763" s="2">
        <v>2268.9</v>
      </c>
      <c r="C4763" s="2">
        <v>2268.9</v>
      </c>
      <c r="D4763" s="2">
        <v>5551.82</v>
      </c>
      <c r="E4763" s="2">
        <v>5551.82</v>
      </c>
      <c r="G4763" s="1" t="s">
        <v>9519</v>
      </c>
      <c r="H4763" s="2">
        <v>2045.12</v>
      </c>
      <c r="I4763" s="2">
        <v>2045.12</v>
      </c>
    </row>
    <row r="4764">
      <c r="A4764" s="1" t="s">
        <v>9520</v>
      </c>
      <c r="B4764" s="2">
        <v>2275.32</v>
      </c>
      <c r="C4764" s="2">
        <v>2275.32</v>
      </c>
      <c r="D4764" s="2">
        <v>5563.65</v>
      </c>
      <c r="E4764" s="2">
        <v>5563.65</v>
      </c>
      <c r="G4764" s="1" t="s">
        <v>9521</v>
      </c>
      <c r="H4764" s="2">
        <v>2075.17</v>
      </c>
      <c r="I4764" s="2">
        <v>2075.17</v>
      </c>
    </row>
    <row r="4765">
      <c r="A4765" s="1" t="s">
        <v>9522</v>
      </c>
      <c r="B4765" s="2">
        <v>2270.44</v>
      </c>
      <c r="C4765" s="2">
        <v>2270.44</v>
      </c>
      <c r="D4765" s="2">
        <v>5547.49</v>
      </c>
      <c r="E4765" s="2">
        <v>5547.49</v>
      </c>
      <c r="G4765" s="1" t="s">
        <v>9523</v>
      </c>
      <c r="H4765" s="2">
        <v>2087.14</v>
      </c>
      <c r="I4765" s="2">
        <v>2087.14</v>
      </c>
    </row>
    <row r="4766">
      <c r="A4766" s="1" t="s">
        <v>9524</v>
      </c>
      <c r="B4766" s="2">
        <v>2274.64</v>
      </c>
      <c r="C4766" s="2">
        <v>2274.64</v>
      </c>
      <c r="D4766" s="2">
        <v>5574.12</v>
      </c>
      <c r="E4766" s="2">
        <v>5574.12</v>
      </c>
      <c r="G4766" s="1" t="s">
        <v>9525</v>
      </c>
      <c r="H4766" s="2">
        <v>2076.79</v>
      </c>
      <c r="I4766" s="2">
        <v>2076.79</v>
      </c>
    </row>
    <row r="4767">
      <c r="A4767" s="1" t="s">
        <v>9526</v>
      </c>
      <c r="B4767" s="2" t="s">
        <v>0</v>
      </c>
      <c r="C4767" s="2">
        <v>2274.64</v>
      </c>
      <c r="D4767" s="2" t="s">
        <v>0</v>
      </c>
      <c r="E4767" s="2">
        <v>5574.12</v>
      </c>
      <c r="G4767" s="1" t="s">
        <v>9527</v>
      </c>
      <c r="H4767" s="2" t="s">
        <v>0</v>
      </c>
      <c r="I4767" s="2">
        <v>2076.79</v>
      </c>
    </row>
    <row r="4768">
      <c r="A4768" s="1" t="s">
        <v>9528</v>
      </c>
      <c r="B4768" s="2" t="s">
        <v>0</v>
      </c>
      <c r="C4768" s="2">
        <v>2274.64</v>
      </c>
      <c r="D4768" s="2" t="s">
        <v>0</v>
      </c>
      <c r="E4768" s="2">
        <v>5574.12</v>
      </c>
      <c r="G4768" s="1" t="s">
        <v>9529</v>
      </c>
      <c r="H4768" s="2" t="s">
        <v>0</v>
      </c>
      <c r="I4768" s="2">
        <v>2076.79</v>
      </c>
    </row>
    <row r="4769">
      <c r="A4769" s="1" t="s">
        <v>9530</v>
      </c>
      <c r="B4769" s="2" t="s">
        <v>0</v>
      </c>
      <c r="C4769" s="2">
        <v>2274.64</v>
      </c>
      <c r="D4769" s="2" t="s">
        <v>0</v>
      </c>
      <c r="E4769" s="2">
        <v>5574.12</v>
      </c>
      <c r="G4769" s="1" t="s">
        <v>9531</v>
      </c>
      <c r="H4769" s="2">
        <v>2064.17</v>
      </c>
      <c r="I4769" s="2">
        <v>2064.17</v>
      </c>
    </row>
    <row r="4770">
      <c r="A4770" s="1" t="s">
        <v>9532</v>
      </c>
      <c r="B4770" s="2">
        <v>2267.89</v>
      </c>
      <c r="C4770" s="2">
        <v>2267.89</v>
      </c>
      <c r="D4770" s="2">
        <v>5538.73</v>
      </c>
      <c r="E4770" s="2">
        <v>5538.73</v>
      </c>
      <c r="G4770" s="1" t="s">
        <v>9533</v>
      </c>
      <c r="H4770" s="2">
        <v>2071.87</v>
      </c>
      <c r="I4770" s="2">
        <v>2071.87</v>
      </c>
    </row>
    <row r="4771">
      <c r="A4771" s="1" t="s">
        <v>9534</v>
      </c>
      <c r="B4771" s="2">
        <v>2271.89</v>
      </c>
      <c r="C4771" s="2">
        <v>2271.89</v>
      </c>
      <c r="D4771" s="2">
        <v>5555.65</v>
      </c>
      <c r="E4771" s="2">
        <v>5555.65</v>
      </c>
      <c r="G4771" s="1" t="s">
        <v>9535</v>
      </c>
      <c r="H4771" s="2">
        <v>2070.54</v>
      </c>
      <c r="I4771" s="2">
        <v>2070.54</v>
      </c>
    </row>
    <row r="4772">
      <c r="A4772" s="1" t="s">
        <v>9536</v>
      </c>
      <c r="B4772" s="2">
        <v>2263.69</v>
      </c>
      <c r="C4772" s="2">
        <v>2263.69</v>
      </c>
      <c r="D4772" s="2">
        <v>5540.08</v>
      </c>
      <c r="E4772" s="2">
        <v>5540.08</v>
      </c>
      <c r="G4772" s="1" t="s">
        <v>9537</v>
      </c>
      <c r="H4772" s="2">
        <v>2072.79</v>
      </c>
      <c r="I4772" s="2">
        <v>2072.79</v>
      </c>
    </row>
    <row r="4773">
      <c r="A4773" s="1" t="s">
        <v>9538</v>
      </c>
      <c r="B4773" s="2">
        <v>2271.31</v>
      </c>
      <c r="C4773" s="2">
        <v>2271.31</v>
      </c>
      <c r="D4773" s="2">
        <v>5555.33</v>
      </c>
      <c r="E4773" s="2">
        <v>5555.33</v>
      </c>
      <c r="G4773" s="1" t="s">
        <v>9539</v>
      </c>
      <c r="H4773" s="2">
        <v>2065.61</v>
      </c>
      <c r="I4773" s="2">
        <v>2065.61</v>
      </c>
    </row>
    <row r="4774">
      <c r="A4774" s="1" t="s">
        <v>9540</v>
      </c>
      <c r="B4774" s="2" t="s">
        <v>0</v>
      </c>
      <c r="C4774" s="2">
        <v>2271.31</v>
      </c>
      <c r="D4774" s="2" t="s">
        <v>0</v>
      </c>
      <c r="E4774" s="2">
        <v>5555.33</v>
      </c>
      <c r="G4774" s="1" t="s">
        <v>9541</v>
      </c>
      <c r="H4774" s="2" t="s">
        <v>0</v>
      </c>
      <c r="I4774" s="2">
        <v>2065.61</v>
      </c>
    </row>
    <row r="4775">
      <c r="A4775" s="1" t="s">
        <v>9542</v>
      </c>
      <c r="B4775" s="2" t="s">
        <v>0</v>
      </c>
      <c r="C4775" s="2">
        <v>2271.31</v>
      </c>
      <c r="D4775" s="2" t="s">
        <v>0</v>
      </c>
      <c r="E4775" s="2">
        <v>5555.33</v>
      </c>
      <c r="G4775" s="1" t="s">
        <v>9543</v>
      </c>
      <c r="H4775" s="2" t="s">
        <v>0</v>
      </c>
      <c r="I4775" s="2">
        <v>2065.61</v>
      </c>
    </row>
    <row r="4776">
      <c r="A4776" s="1" t="s">
        <v>9544</v>
      </c>
      <c r="B4776" s="2">
        <v>2265.2</v>
      </c>
      <c r="C4776" s="2">
        <v>2265.2</v>
      </c>
      <c r="D4776" s="2">
        <v>5552.94</v>
      </c>
      <c r="E4776" s="2">
        <v>5552.94</v>
      </c>
      <c r="G4776" s="1" t="s">
        <v>9545</v>
      </c>
      <c r="H4776" s="2">
        <v>2065.99</v>
      </c>
      <c r="I4776" s="2">
        <v>2065.99</v>
      </c>
    </row>
    <row r="4777">
      <c r="A4777" s="1" t="s">
        <v>9546</v>
      </c>
      <c r="B4777" s="2">
        <v>2280.07</v>
      </c>
      <c r="C4777" s="2">
        <v>2280.07</v>
      </c>
      <c r="D4777" s="2">
        <v>5600.96</v>
      </c>
      <c r="E4777" s="2">
        <v>5600.96</v>
      </c>
      <c r="G4777" s="1" t="s">
        <v>9547</v>
      </c>
      <c r="H4777" s="2">
        <v>2065.76</v>
      </c>
      <c r="I4777" s="2">
        <v>2065.76</v>
      </c>
    </row>
    <row r="4778">
      <c r="A4778" s="1" t="s">
        <v>9548</v>
      </c>
      <c r="B4778" s="2">
        <v>2298.37</v>
      </c>
      <c r="C4778" s="2">
        <v>2298.37</v>
      </c>
      <c r="D4778" s="2">
        <v>5656.34</v>
      </c>
      <c r="E4778" s="2">
        <v>5656.34</v>
      </c>
      <c r="G4778" s="1" t="s">
        <v>9549</v>
      </c>
      <c r="H4778" s="2">
        <v>2066.94</v>
      </c>
      <c r="I4778" s="2">
        <v>2066.94</v>
      </c>
    </row>
    <row r="4779">
      <c r="A4779" s="1" t="s">
        <v>9550</v>
      </c>
      <c r="B4779" s="2">
        <v>2296.68</v>
      </c>
      <c r="C4779" s="2">
        <v>2296.68</v>
      </c>
      <c r="D4779" s="2">
        <v>5655.18</v>
      </c>
      <c r="E4779" s="2">
        <v>5655.18</v>
      </c>
      <c r="G4779" s="1" t="s">
        <v>9551</v>
      </c>
      <c r="H4779" s="2">
        <v>2083.59</v>
      </c>
      <c r="I4779" s="2">
        <v>2083.59</v>
      </c>
    </row>
    <row r="4780">
      <c r="A4780" s="1" t="s">
        <v>9552</v>
      </c>
      <c r="B4780" s="2">
        <v>2294.69</v>
      </c>
      <c r="C4780" s="2">
        <v>2294.69</v>
      </c>
      <c r="D4780" s="2">
        <v>5660.78</v>
      </c>
      <c r="E4780" s="2">
        <v>5660.78</v>
      </c>
      <c r="G4780" s="1" t="s">
        <v>9553</v>
      </c>
      <c r="H4780" s="2" t="s">
        <v>0</v>
      </c>
      <c r="I4780" s="2">
        <v>2083.59</v>
      </c>
    </row>
    <row r="4781">
      <c r="A4781" s="1" t="s">
        <v>9554</v>
      </c>
      <c r="B4781" s="2" t="s">
        <v>0</v>
      </c>
      <c r="C4781" s="2">
        <v>2294.69</v>
      </c>
      <c r="D4781" s="2" t="s">
        <v>0</v>
      </c>
      <c r="E4781" s="2">
        <v>5660.78</v>
      </c>
      <c r="G4781" s="1" t="s">
        <v>9555</v>
      </c>
      <c r="H4781" s="2" t="s">
        <v>0</v>
      </c>
      <c r="I4781" s="2">
        <v>2083.59</v>
      </c>
    </row>
    <row r="4782">
      <c r="A4782" s="1" t="s">
        <v>9556</v>
      </c>
      <c r="B4782" s="2" t="s">
        <v>0</v>
      </c>
      <c r="C4782" s="2">
        <v>2294.69</v>
      </c>
      <c r="D4782" s="2" t="s">
        <v>0</v>
      </c>
      <c r="E4782" s="2">
        <v>5660.78</v>
      </c>
      <c r="G4782" s="1" t="s">
        <v>9557</v>
      </c>
      <c r="H4782" s="2" t="s">
        <v>0</v>
      </c>
      <c r="I4782" s="2">
        <v>2083.59</v>
      </c>
    </row>
    <row r="4783">
      <c r="A4783" s="1" t="s">
        <v>9558</v>
      </c>
      <c r="B4783" s="2">
        <v>2280.9</v>
      </c>
      <c r="C4783" s="2">
        <v>2280.9</v>
      </c>
      <c r="D4783" s="2">
        <v>5613.71</v>
      </c>
      <c r="E4783" s="2">
        <v>5613.71</v>
      </c>
      <c r="G4783" s="1" t="s">
        <v>9559</v>
      </c>
      <c r="H4783" s="2" t="s">
        <v>0</v>
      </c>
      <c r="I4783" s="2">
        <v>2083.59</v>
      </c>
    </row>
    <row r="4784">
      <c r="A4784" s="1" t="s">
        <v>9560</v>
      </c>
      <c r="B4784" s="2">
        <v>2278.87</v>
      </c>
      <c r="C4784" s="2">
        <v>2278.87</v>
      </c>
      <c r="D4784" s="2">
        <v>5614.79</v>
      </c>
      <c r="E4784" s="2">
        <v>5614.79</v>
      </c>
      <c r="G4784" s="1" t="s">
        <v>9561</v>
      </c>
      <c r="H4784" s="2">
        <v>2067.57</v>
      </c>
      <c r="I4784" s="2">
        <v>2067.57</v>
      </c>
    </row>
    <row r="4785">
      <c r="A4785" s="1" t="s">
        <v>9562</v>
      </c>
      <c r="B4785" s="2">
        <v>2279.55</v>
      </c>
      <c r="C4785" s="2">
        <v>2279.55</v>
      </c>
      <c r="D4785" s="2">
        <v>5642.65</v>
      </c>
      <c r="E4785" s="2">
        <v>5642.65</v>
      </c>
      <c r="G4785" s="1" t="s">
        <v>9563</v>
      </c>
      <c r="H4785" s="2">
        <v>2080.48</v>
      </c>
      <c r="I4785" s="2">
        <v>2080.48</v>
      </c>
    </row>
    <row r="4786">
      <c r="A4786" s="1" t="s">
        <v>9564</v>
      </c>
      <c r="B4786" s="2">
        <v>2280.85</v>
      </c>
      <c r="C4786" s="2">
        <v>2280.85</v>
      </c>
      <c r="D4786" s="2">
        <v>5636.2</v>
      </c>
      <c r="E4786" s="2">
        <v>5636.2</v>
      </c>
      <c r="G4786" s="1" t="s">
        <v>9565</v>
      </c>
      <c r="H4786" s="2">
        <v>2071.01</v>
      </c>
      <c r="I4786" s="2">
        <v>2071.01</v>
      </c>
    </row>
    <row r="4787">
      <c r="A4787" s="1" t="s">
        <v>9566</v>
      </c>
      <c r="B4787" s="2">
        <v>2297.42</v>
      </c>
      <c r="C4787" s="2">
        <v>2297.42</v>
      </c>
      <c r="D4787" s="2">
        <v>5666.77</v>
      </c>
      <c r="E4787" s="2">
        <v>5666.77</v>
      </c>
      <c r="G4787" s="1" t="s">
        <v>9567</v>
      </c>
      <c r="H4787" s="2">
        <v>2073.16</v>
      </c>
      <c r="I4787" s="2">
        <v>2073.16</v>
      </c>
    </row>
    <row r="4788">
      <c r="A4788" s="1" t="s">
        <v>9568</v>
      </c>
      <c r="B4788" s="2" t="s">
        <v>0</v>
      </c>
      <c r="C4788" s="2">
        <v>2297.42</v>
      </c>
      <c r="D4788" s="2" t="s">
        <v>0</v>
      </c>
      <c r="E4788" s="2">
        <v>5666.77</v>
      </c>
      <c r="G4788" s="1" t="s">
        <v>9569</v>
      </c>
      <c r="H4788" s="2" t="s">
        <v>0</v>
      </c>
      <c r="I4788" s="2">
        <v>2073.16</v>
      </c>
    </row>
    <row r="4789">
      <c r="A4789" s="1" t="s">
        <v>9570</v>
      </c>
      <c r="B4789" s="2" t="s">
        <v>0</v>
      </c>
      <c r="C4789" s="2">
        <v>2297.42</v>
      </c>
      <c r="D4789" s="2" t="s">
        <v>0</v>
      </c>
      <c r="E4789" s="2">
        <v>5666.77</v>
      </c>
      <c r="G4789" s="1" t="s">
        <v>9571</v>
      </c>
      <c r="H4789" s="2" t="s">
        <v>0</v>
      </c>
      <c r="I4789" s="2">
        <v>2073.16</v>
      </c>
    </row>
    <row r="4790">
      <c r="A4790" s="1" t="s">
        <v>9572</v>
      </c>
      <c r="B4790" s="2">
        <v>2292.56</v>
      </c>
      <c r="C4790" s="2">
        <v>2292.56</v>
      </c>
      <c r="D4790" s="2">
        <v>5663.55</v>
      </c>
      <c r="E4790" s="2">
        <v>5663.55</v>
      </c>
      <c r="G4790" s="1" t="s">
        <v>9573</v>
      </c>
      <c r="H4790" s="2">
        <v>2077.66</v>
      </c>
      <c r="I4790" s="2">
        <v>2077.66</v>
      </c>
    </row>
    <row r="4791">
      <c r="A4791" s="1" t="s">
        <v>9574</v>
      </c>
      <c r="B4791" s="2">
        <v>2293.08</v>
      </c>
      <c r="C4791" s="2">
        <v>2293.08</v>
      </c>
      <c r="D4791" s="2">
        <v>5674.22</v>
      </c>
      <c r="E4791" s="2">
        <v>5674.22</v>
      </c>
      <c r="G4791" s="1" t="s">
        <v>9575</v>
      </c>
      <c r="H4791" s="2">
        <v>2075.21</v>
      </c>
      <c r="I4791" s="2">
        <v>2075.21</v>
      </c>
    </row>
    <row r="4792">
      <c r="A4792" s="1" t="s">
        <v>9576</v>
      </c>
      <c r="B4792" s="2">
        <v>2294.67</v>
      </c>
      <c r="C4792" s="2">
        <v>2294.67</v>
      </c>
      <c r="D4792" s="2">
        <v>5682.45</v>
      </c>
      <c r="E4792" s="2">
        <v>5682.45</v>
      </c>
      <c r="G4792" s="1" t="s">
        <v>9577</v>
      </c>
      <c r="H4792" s="2">
        <v>2065.08</v>
      </c>
      <c r="I4792" s="2">
        <v>2065.08</v>
      </c>
    </row>
    <row r="4793">
      <c r="A4793" s="1" t="s">
        <v>9578</v>
      </c>
      <c r="B4793" s="2">
        <v>2307.87</v>
      </c>
      <c r="C4793" s="2">
        <v>2307.87</v>
      </c>
      <c r="D4793" s="2">
        <v>5715.18</v>
      </c>
      <c r="E4793" s="2">
        <v>5715.18</v>
      </c>
      <c r="G4793" s="1" t="s">
        <v>9579</v>
      </c>
      <c r="H4793" s="2">
        <v>2065.88</v>
      </c>
      <c r="I4793" s="2">
        <v>2065.88</v>
      </c>
    </row>
    <row r="4794">
      <c r="A4794" s="1" t="s">
        <v>9580</v>
      </c>
      <c r="B4794" s="2">
        <v>2316.1</v>
      </c>
      <c r="C4794" s="2">
        <v>2316.1</v>
      </c>
      <c r="D4794" s="2">
        <v>5734.13</v>
      </c>
      <c r="E4794" s="2">
        <v>5734.13</v>
      </c>
      <c r="G4794" s="1" t="s">
        <v>9581</v>
      </c>
      <c r="H4794" s="2">
        <v>2075.08</v>
      </c>
      <c r="I4794" s="2">
        <v>2075.08</v>
      </c>
    </row>
    <row r="4795">
      <c r="A4795" s="1" t="s">
        <v>9582</v>
      </c>
      <c r="B4795" s="2" t="s">
        <v>0</v>
      </c>
      <c r="C4795" s="2">
        <v>2316.1</v>
      </c>
      <c r="D4795" s="2" t="s">
        <v>0</v>
      </c>
      <c r="E4795" s="2">
        <v>5734.13</v>
      </c>
      <c r="G4795" s="1" t="s">
        <v>9583</v>
      </c>
      <c r="H4795" s="2" t="s">
        <v>0</v>
      </c>
      <c r="I4795" s="2">
        <v>2075.08</v>
      </c>
    </row>
    <row r="4796">
      <c r="A4796" s="1" t="s">
        <v>9584</v>
      </c>
      <c r="B4796" s="2" t="s">
        <v>0</v>
      </c>
      <c r="C4796" s="2">
        <v>2316.1</v>
      </c>
      <c r="D4796" s="2" t="s">
        <v>0</v>
      </c>
      <c r="E4796" s="2">
        <v>5734.13</v>
      </c>
      <c r="G4796" s="1" t="s">
        <v>9585</v>
      </c>
      <c r="H4796" s="2" t="s">
        <v>0</v>
      </c>
      <c r="I4796" s="2">
        <v>2075.08</v>
      </c>
    </row>
    <row r="4797">
      <c r="A4797" s="1" t="s">
        <v>9586</v>
      </c>
      <c r="B4797" s="2">
        <v>2328.25</v>
      </c>
      <c r="C4797" s="2">
        <v>2328.25</v>
      </c>
      <c r="D4797" s="2">
        <v>5763.96</v>
      </c>
      <c r="E4797" s="2">
        <v>5763.96</v>
      </c>
      <c r="G4797" s="1" t="s">
        <v>9587</v>
      </c>
      <c r="H4797" s="2">
        <v>2078.65</v>
      </c>
      <c r="I4797" s="2">
        <v>2078.65</v>
      </c>
    </row>
    <row r="4798">
      <c r="A4798" s="1" t="s">
        <v>9588</v>
      </c>
      <c r="B4798" s="2">
        <v>2337.58</v>
      </c>
      <c r="C4798" s="2">
        <v>2337.58</v>
      </c>
      <c r="D4798" s="2">
        <v>5782.57</v>
      </c>
      <c r="E4798" s="2">
        <v>5782.57</v>
      </c>
      <c r="G4798" s="1" t="s">
        <v>9589</v>
      </c>
      <c r="H4798" s="2">
        <v>2074.57</v>
      </c>
      <c r="I4798" s="2">
        <v>2074.57</v>
      </c>
    </row>
    <row r="4799">
      <c r="A4799" s="1" t="s">
        <v>9590</v>
      </c>
      <c r="B4799" s="2">
        <v>2349.25</v>
      </c>
      <c r="C4799" s="2">
        <v>2349.25</v>
      </c>
      <c r="D4799" s="2">
        <v>5819.44</v>
      </c>
      <c r="E4799" s="2">
        <v>5819.44</v>
      </c>
      <c r="G4799" s="1" t="s">
        <v>9591</v>
      </c>
      <c r="H4799" s="2">
        <v>2083.86</v>
      </c>
      <c r="I4799" s="2">
        <v>2083.86</v>
      </c>
    </row>
    <row r="4800">
      <c r="A4800" s="1" t="s">
        <v>9592</v>
      </c>
      <c r="B4800" s="2">
        <v>2347.22</v>
      </c>
      <c r="C4800" s="2">
        <v>2347.22</v>
      </c>
      <c r="D4800" s="2">
        <v>5814.9</v>
      </c>
      <c r="E4800" s="2">
        <v>5814.9</v>
      </c>
      <c r="G4800" s="1" t="s">
        <v>9593</v>
      </c>
      <c r="H4800" s="2">
        <v>2081.84</v>
      </c>
      <c r="I4800" s="2">
        <v>2081.84</v>
      </c>
    </row>
    <row r="4801">
      <c r="A4801" s="1" t="s">
        <v>9594</v>
      </c>
      <c r="B4801" s="2">
        <v>2351.16</v>
      </c>
      <c r="C4801" s="2">
        <v>2351.16</v>
      </c>
      <c r="D4801" s="2">
        <v>5838.58</v>
      </c>
      <c r="E4801" s="2">
        <v>5838.58</v>
      </c>
      <c r="G4801" s="1" t="s">
        <v>9595</v>
      </c>
      <c r="H4801" s="2">
        <v>2080.58</v>
      </c>
      <c r="I4801" s="2">
        <v>2080.58</v>
      </c>
    </row>
    <row r="4802">
      <c r="A4802" s="1" t="s">
        <v>9596</v>
      </c>
      <c r="B4802" s="2" t="s">
        <v>0</v>
      </c>
      <c r="C4802" s="2">
        <v>2351.16</v>
      </c>
      <c r="D4802" s="2" t="s">
        <v>0</v>
      </c>
      <c r="E4802" s="2">
        <v>5838.58</v>
      </c>
      <c r="G4802" s="1" t="s">
        <v>9597</v>
      </c>
      <c r="H4802" s="2" t="s">
        <v>0</v>
      </c>
      <c r="I4802" s="2">
        <v>2080.58</v>
      </c>
    </row>
    <row r="4803">
      <c r="A4803" s="1" t="s">
        <v>9598</v>
      </c>
      <c r="B4803" s="2" t="s">
        <v>0</v>
      </c>
      <c r="C4803" s="2">
        <v>2351.16</v>
      </c>
      <c r="D4803" s="2" t="s">
        <v>0</v>
      </c>
      <c r="E4803" s="2">
        <v>5838.58</v>
      </c>
      <c r="G4803" s="1" t="s">
        <v>9599</v>
      </c>
      <c r="H4803" s="2" t="s">
        <v>0</v>
      </c>
      <c r="I4803" s="2">
        <v>2080.58</v>
      </c>
    </row>
    <row r="4804">
      <c r="A4804" s="1" t="s">
        <v>9600</v>
      </c>
      <c r="B4804" s="2" t="s">
        <v>0</v>
      </c>
      <c r="C4804" s="2">
        <v>2351.16</v>
      </c>
      <c r="D4804" s="2" t="s">
        <v>0</v>
      </c>
      <c r="E4804" s="2">
        <v>5838.58</v>
      </c>
      <c r="G4804" s="1" t="s">
        <v>9601</v>
      </c>
      <c r="H4804" s="2">
        <v>2084.39</v>
      </c>
      <c r="I4804" s="2">
        <v>2084.39</v>
      </c>
    </row>
    <row r="4805">
      <c r="A4805" s="1" t="s">
        <v>9602</v>
      </c>
      <c r="B4805" s="2">
        <v>2365.38</v>
      </c>
      <c r="C4805" s="2">
        <v>2365.38</v>
      </c>
      <c r="D4805" s="2">
        <v>5865.95</v>
      </c>
      <c r="E4805" s="2">
        <v>5865.95</v>
      </c>
      <c r="G4805" s="1" t="s">
        <v>9603</v>
      </c>
      <c r="H4805" s="2">
        <v>2102.93</v>
      </c>
      <c r="I4805" s="2">
        <v>2102.93</v>
      </c>
    </row>
    <row r="4806">
      <c r="A4806" s="1" t="s">
        <v>9604</v>
      </c>
      <c r="B4806" s="2">
        <v>2362.82</v>
      </c>
      <c r="C4806" s="2">
        <v>2362.82</v>
      </c>
      <c r="D4806" s="2">
        <v>5860.63</v>
      </c>
      <c r="E4806" s="2">
        <v>5860.63</v>
      </c>
      <c r="G4806" s="1" t="s">
        <v>9605</v>
      </c>
      <c r="H4806" s="2">
        <v>2106.61</v>
      </c>
      <c r="I4806" s="2">
        <v>2106.61</v>
      </c>
    </row>
    <row r="4807">
      <c r="A4807" s="1" t="s">
        <v>9606</v>
      </c>
      <c r="B4807" s="2">
        <v>2363.81</v>
      </c>
      <c r="C4807" s="2">
        <v>2363.81</v>
      </c>
      <c r="D4807" s="2">
        <v>5835.51</v>
      </c>
      <c r="E4807" s="2">
        <v>5835.51</v>
      </c>
      <c r="G4807" s="1" t="s">
        <v>9607</v>
      </c>
      <c r="H4807" s="2">
        <v>2107.63</v>
      </c>
      <c r="I4807" s="2">
        <v>2107.63</v>
      </c>
    </row>
    <row r="4808">
      <c r="A4808" s="1" t="s">
        <v>9608</v>
      </c>
      <c r="B4808" s="2">
        <v>2367.34</v>
      </c>
      <c r="C4808" s="2">
        <v>2367.34</v>
      </c>
      <c r="D4808" s="2">
        <v>5845.31</v>
      </c>
      <c r="E4808" s="2">
        <v>5845.31</v>
      </c>
      <c r="G4808" s="1" t="s">
        <v>9609</v>
      </c>
      <c r="H4808" s="2">
        <v>2094.12</v>
      </c>
      <c r="I4808" s="2">
        <v>2094.12</v>
      </c>
    </row>
    <row r="4809">
      <c r="A4809" s="1" t="s">
        <v>9610</v>
      </c>
      <c r="B4809" s="2" t="s">
        <v>0</v>
      </c>
      <c r="C4809" s="2">
        <v>2367.34</v>
      </c>
      <c r="D4809" s="2" t="s">
        <v>0</v>
      </c>
      <c r="E4809" s="2">
        <v>5845.31</v>
      </c>
      <c r="G4809" s="1" t="s">
        <v>9611</v>
      </c>
      <c r="H4809" s="2" t="s">
        <v>0</v>
      </c>
      <c r="I4809" s="2">
        <v>2094.12</v>
      </c>
    </row>
    <row r="4810">
      <c r="A4810" s="1" t="s">
        <v>9612</v>
      </c>
      <c r="B4810" s="2" t="s">
        <v>0</v>
      </c>
      <c r="C4810" s="2">
        <v>2367.34</v>
      </c>
      <c r="D4810" s="2" t="s">
        <v>0</v>
      </c>
      <c r="E4810" s="2">
        <v>5845.31</v>
      </c>
      <c r="G4810" s="1" t="s">
        <v>9613</v>
      </c>
      <c r="H4810" s="2" t="s">
        <v>0</v>
      </c>
      <c r="I4810" s="2">
        <v>2094.12</v>
      </c>
    </row>
    <row r="4811">
      <c r="A4811" s="1" t="s">
        <v>9614</v>
      </c>
      <c r="B4811" s="2">
        <v>2369.75</v>
      </c>
      <c r="C4811" s="2">
        <v>2369.75</v>
      </c>
      <c r="D4811" s="2">
        <v>5861.9</v>
      </c>
      <c r="E4811" s="2">
        <v>5861.9</v>
      </c>
      <c r="G4811" s="1" t="s">
        <v>9615</v>
      </c>
      <c r="H4811" s="2">
        <v>2085.52</v>
      </c>
      <c r="I4811" s="2">
        <v>2085.52</v>
      </c>
    </row>
    <row r="4812">
      <c r="A4812" s="1" t="s">
        <v>9616</v>
      </c>
      <c r="B4812" s="2">
        <v>2363.64</v>
      </c>
      <c r="C4812" s="2">
        <v>2363.64</v>
      </c>
      <c r="D4812" s="2">
        <v>5825.44</v>
      </c>
      <c r="E4812" s="2">
        <v>5825.44</v>
      </c>
      <c r="G4812" s="1" t="s">
        <v>9617</v>
      </c>
      <c r="H4812" s="2">
        <v>2091.64</v>
      </c>
      <c r="I4812" s="2">
        <v>2091.64</v>
      </c>
    </row>
    <row r="4813">
      <c r="A4813" s="1" t="s">
        <v>9618</v>
      </c>
      <c r="B4813" s="2">
        <v>2395.96</v>
      </c>
      <c r="C4813" s="2">
        <v>2395.96</v>
      </c>
      <c r="D4813" s="2">
        <v>5904.03</v>
      </c>
      <c r="E4813" s="2">
        <v>5904.03</v>
      </c>
      <c r="G4813" s="1" t="s">
        <v>9619</v>
      </c>
      <c r="H4813" s="2" t="s">
        <v>0</v>
      </c>
      <c r="I4813" s="2">
        <v>2091.64</v>
      </c>
    </row>
    <row r="4814">
      <c r="A4814" s="1" t="s">
        <v>9620</v>
      </c>
      <c r="B4814" s="2">
        <v>2381.92</v>
      </c>
      <c r="C4814" s="2">
        <v>2381.92</v>
      </c>
      <c r="D4814" s="2">
        <v>5861.22</v>
      </c>
      <c r="E4814" s="2">
        <v>5861.22</v>
      </c>
      <c r="G4814" s="1" t="s">
        <v>9621</v>
      </c>
      <c r="H4814" s="2">
        <v>2102.65</v>
      </c>
      <c r="I4814" s="2">
        <v>2102.65</v>
      </c>
    </row>
    <row r="4815">
      <c r="A4815" s="1" t="s">
        <v>9622</v>
      </c>
      <c r="B4815" s="2">
        <v>2383.12</v>
      </c>
      <c r="C4815" s="2">
        <v>2383.12</v>
      </c>
      <c r="D4815" s="2">
        <v>5870.75</v>
      </c>
      <c r="E4815" s="2">
        <v>5870.75</v>
      </c>
      <c r="G4815" s="1" t="s">
        <v>9623</v>
      </c>
      <c r="H4815" s="2">
        <v>2078.75</v>
      </c>
      <c r="I4815" s="2">
        <v>2078.75</v>
      </c>
    </row>
    <row r="4816">
      <c r="A4816" s="1" t="s">
        <v>9624</v>
      </c>
      <c r="B4816" s="2" t="s">
        <v>0</v>
      </c>
      <c r="C4816" s="2">
        <v>2383.12</v>
      </c>
      <c r="D4816" s="2" t="s">
        <v>0</v>
      </c>
      <c r="E4816" s="2">
        <v>5870.75</v>
      </c>
      <c r="G4816" s="1" t="s">
        <v>9625</v>
      </c>
      <c r="H4816" s="2" t="s">
        <v>0</v>
      </c>
      <c r="I4816" s="2">
        <v>2078.75</v>
      </c>
    </row>
    <row r="4817">
      <c r="A4817" s="1" t="s">
        <v>9626</v>
      </c>
      <c r="B4817" s="2" t="s">
        <v>0</v>
      </c>
      <c r="C4817" s="2">
        <v>2383.12</v>
      </c>
      <c r="D4817" s="2" t="s">
        <v>0</v>
      </c>
      <c r="E4817" s="2">
        <v>5870.75</v>
      </c>
      <c r="G4817" s="1" t="s">
        <v>9627</v>
      </c>
      <c r="H4817" s="2" t="s">
        <v>0</v>
      </c>
      <c r="I4817" s="2">
        <v>2078.75</v>
      </c>
    </row>
    <row r="4818">
      <c r="A4818" s="1" t="s">
        <v>9628</v>
      </c>
      <c r="B4818" s="2">
        <v>2375.31</v>
      </c>
      <c r="C4818" s="2">
        <v>2375.31</v>
      </c>
      <c r="D4818" s="2">
        <v>5849.17</v>
      </c>
      <c r="E4818" s="2">
        <v>5849.17</v>
      </c>
      <c r="G4818" s="1" t="s">
        <v>9629</v>
      </c>
      <c r="H4818" s="2">
        <v>2081.36</v>
      </c>
      <c r="I4818" s="2">
        <v>2081.36</v>
      </c>
    </row>
    <row r="4819">
      <c r="A4819" s="1" t="s">
        <v>9630</v>
      </c>
      <c r="B4819" s="2">
        <v>2368.39</v>
      </c>
      <c r="C4819" s="2">
        <v>2368.39</v>
      </c>
      <c r="D4819" s="2">
        <v>5833.93</v>
      </c>
      <c r="E4819" s="2">
        <v>5833.93</v>
      </c>
      <c r="G4819" s="1" t="s">
        <v>9631</v>
      </c>
      <c r="H4819" s="2">
        <v>2094.05</v>
      </c>
      <c r="I4819" s="2">
        <v>2094.05</v>
      </c>
    </row>
    <row r="4820">
      <c r="A4820" s="1" t="s">
        <v>9632</v>
      </c>
      <c r="B4820" s="2">
        <v>2362.98</v>
      </c>
      <c r="C4820" s="2">
        <v>2362.98</v>
      </c>
      <c r="D4820" s="2">
        <v>5837.55</v>
      </c>
      <c r="E4820" s="2">
        <v>5837.55</v>
      </c>
      <c r="G4820" s="1" t="s">
        <v>9633</v>
      </c>
      <c r="H4820" s="2">
        <v>2095.41</v>
      </c>
      <c r="I4820" s="2">
        <v>2095.41</v>
      </c>
    </row>
    <row r="4821">
      <c r="A4821" s="1" t="s">
        <v>9634</v>
      </c>
      <c r="B4821" s="2">
        <v>2364.87</v>
      </c>
      <c r="C4821" s="2">
        <v>2364.87</v>
      </c>
      <c r="D4821" s="2">
        <v>5838.81</v>
      </c>
      <c r="E4821" s="2">
        <v>5838.81</v>
      </c>
      <c r="G4821" s="1" t="s">
        <v>9635</v>
      </c>
      <c r="H4821" s="2">
        <v>2091.06</v>
      </c>
      <c r="I4821" s="2">
        <v>2091.06</v>
      </c>
    </row>
    <row r="4822">
      <c r="A4822" s="1" t="s">
        <v>9636</v>
      </c>
      <c r="B4822" s="2">
        <v>2372.6</v>
      </c>
      <c r="C4822" s="2">
        <v>2372.6</v>
      </c>
      <c r="D4822" s="2">
        <v>5861.73</v>
      </c>
      <c r="E4822" s="2">
        <v>5861.73</v>
      </c>
      <c r="G4822" s="1" t="s">
        <v>9637</v>
      </c>
      <c r="H4822" s="2">
        <v>2097.35</v>
      </c>
      <c r="I4822" s="2">
        <v>2097.35</v>
      </c>
    </row>
    <row r="4823">
      <c r="A4823" s="1" t="s">
        <v>9638</v>
      </c>
      <c r="B4823" s="2" t="s">
        <v>0</v>
      </c>
      <c r="C4823" s="2">
        <v>2372.6</v>
      </c>
      <c r="D4823" s="2" t="s">
        <v>0</v>
      </c>
      <c r="E4823" s="2">
        <v>5861.73</v>
      </c>
      <c r="G4823" s="1" t="s">
        <v>9639</v>
      </c>
      <c r="H4823" s="2" t="s">
        <v>0</v>
      </c>
      <c r="I4823" s="2">
        <v>2097.35</v>
      </c>
    </row>
    <row r="4824">
      <c r="A4824" s="1" t="s">
        <v>9640</v>
      </c>
      <c r="B4824" s="2" t="s">
        <v>0</v>
      </c>
      <c r="C4824" s="2">
        <v>2372.6</v>
      </c>
      <c r="D4824" s="2" t="s">
        <v>0</v>
      </c>
      <c r="E4824" s="2">
        <v>5861.73</v>
      </c>
      <c r="G4824" s="1" t="s">
        <v>9641</v>
      </c>
      <c r="H4824" s="2" t="s">
        <v>0</v>
      </c>
      <c r="I4824" s="2">
        <v>2097.35</v>
      </c>
    </row>
    <row r="4825">
      <c r="A4825" s="1" t="s">
        <v>9642</v>
      </c>
      <c r="B4825" s="2">
        <v>2373.47</v>
      </c>
      <c r="C4825" s="2">
        <v>2373.47</v>
      </c>
      <c r="D4825" s="2">
        <v>5875.78</v>
      </c>
      <c r="E4825" s="2">
        <v>5875.78</v>
      </c>
      <c r="G4825" s="1" t="s">
        <v>9643</v>
      </c>
      <c r="H4825" s="2">
        <v>2117.59</v>
      </c>
      <c r="I4825" s="2">
        <v>2117.59</v>
      </c>
    </row>
    <row r="4826">
      <c r="A4826" s="1" t="s">
        <v>9644</v>
      </c>
      <c r="B4826" s="2">
        <v>2365.45</v>
      </c>
      <c r="C4826" s="2">
        <v>2365.45</v>
      </c>
      <c r="D4826" s="2">
        <v>5856.82</v>
      </c>
      <c r="E4826" s="2">
        <v>5856.82</v>
      </c>
      <c r="G4826" s="1" t="s">
        <v>9645</v>
      </c>
      <c r="H4826" s="2">
        <v>2133.78</v>
      </c>
      <c r="I4826" s="2">
        <v>2133.78</v>
      </c>
    </row>
    <row r="4827">
      <c r="A4827" s="1" t="s">
        <v>9646</v>
      </c>
      <c r="B4827" s="2">
        <v>2385.26</v>
      </c>
      <c r="C4827" s="2">
        <v>2385.26</v>
      </c>
      <c r="D4827" s="2">
        <v>5900.05</v>
      </c>
      <c r="E4827" s="2">
        <v>5900.05</v>
      </c>
      <c r="G4827" s="1" t="s">
        <v>9647</v>
      </c>
      <c r="H4827" s="2">
        <v>2133.0</v>
      </c>
      <c r="I4827" s="2">
        <v>2133.0</v>
      </c>
    </row>
    <row r="4828">
      <c r="A4828" s="1" t="s">
        <v>9648</v>
      </c>
      <c r="B4828" s="2">
        <v>2381.38</v>
      </c>
      <c r="C4828" s="2">
        <v>2381.38</v>
      </c>
      <c r="D4828" s="2">
        <v>5900.76</v>
      </c>
      <c r="E4828" s="2">
        <v>5900.76</v>
      </c>
      <c r="G4828" s="1" t="s">
        <v>9649</v>
      </c>
      <c r="H4828" s="2">
        <v>2150.08</v>
      </c>
      <c r="I4828" s="2">
        <v>2150.08</v>
      </c>
    </row>
    <row r="4829">
      <c r="A4829" s="1" t="s">
        <v>9650</v>
      </c>
      <c r="B4829" s="2">
        <v>2378.25</v>
      </c>
      <c r="C4829" s="2">
        <v>2378.25</v>
      </c>
      <c r="D4829" s="2">
        <v>5901.0</v>
      </c>
      <c r="E4829" s="2">
        <v>5901.0</v>
      </c>
      <c r="G4829" s="1" t="s">
        <v>9651</v>
      </c>
      <c r="H4829" s="2">
        <v>2164.58</v>
      </c>
      <c r="I4829" s="2">
        <v>2164.58</v>
      </c>
    </row>
    <row r="4830">
      <c r="A4830" s="1" t="s">
        <v>9652</v>
      </c>
      <c r="B4830" s="2" t="s">
        <v>0</v>
      </c>
      <c r="C4830" s="2">
        <v>2378.25</v>
      </c>
      <c r="D4830" s="2" t="s">
        <v>0</v>
      </c>
      <c r="E4830" s="2">
        <v>5901.0</v>
      </c>
      <c r="G4830" s="1" t="s">
        <v>9653</v>
      </c>
      <c r="H4830" s="2" t="s">
        <v>0</v>
      </c>
      <c r="I4830" s="2">
        <v>2164.58</v>
      </c>
    </row>
    <row r="4831">
      <c r="A4831" s="1" t="s">
        <v>9654</v>
      </c>
      <c r="B4831" s="2" t="s">
        <v>0</v>
      </c>
      <c r="C4831" s="2">
        <v>2378.25</v>
      </c>
      <c r="D4831" s="2" t="s">
        <v>0</v>
      </c>
      <c r="E4831" s="2">
        <v>5901.0</v>
      </c>
      <c r="G4831" s="1" t="s">
        <v>9655</v>
      </c>
      <c r="H4831" s="2" t="s">
        <v>0</v>
      </c>
      <c r="I4831" s="2">
        <v>2164.58</v>
      </c>
    </row>
    <row r="4832">
      <c r="A4832" s="1" t="s">
        <v>9656</v>
      </c>
      <c r="B4832" s="2">
        <v>2373.47</v>
      </c>
      <c r="C4832" s="2">
        <v>2373.47</v>
      </c>
      <c r="D4832" s="2">
        <v>5901.53</v>
      </c>
      <c r="E4832" s="2">
        <v>5901.53</v>
      </c>
      <c r="G4832" s="1" t="s">
        <v>9657</v>
      </c>
      <c r="H4832" s="2">
        <v>2157.01</v>
      </c>
      <c r="I4832" s="2">
        <v>2157.01</v>
      </c>
    </row>
    <row r="4833">
      <c r="A4833" s="1" t="s">
        <v>9658</v>
      </c>
      <c r="B4833" s="2">
        <v>2344.02</v>
      </c>
      <c r="C4833" s="2">
        <v>2344.02</v>
      </c>
      <c r="D4833" s="2">
        <v>5793.83</v>
      </c>
      <c r="E4833" s="2">
        <v>5793.83</v>
      </c>
      <c r="G4833" s="1" t="s">
        <v>9659</v>
      </c>
      <c r="H4833" s="2">
        <v>2178.38</v>
      </c>
      <c r="I4833" s="2">
        <v>2178.38</v>
      </c>
    </row>
    <row r="4834">
      <c r="A4834" s="1" t="s">
        <v>9660</v>
      </c>
      <c r="B4834" s="2">
        <v>2348.45</v>
      </c>
      <c r="C4834" s="2">
        <v>2348.45</v>
      </c>
      <c r="D4834" s="2">
        <v>5821.64</v>
      </c>
      <c r="E4834" s="2">
        <v>5821.64</v>
      </c>
      <c r="G4834" s="1" t="s">
        <v>9661</v>
      </c>
      <c r="H4834" s="2">
        <v>2168.3</v>
      </c>
      <c r="I4834" s="2">
        <v>2168.3</v>
      </c>
    </row>
    <row r="4835">
      <c r="A4835" s="1" t="s">
        <v>9662</v>
      </c>
      <c r="B4835" s="2">
        <v>2345.96</v>
      </c>
      <c r="C4835" s="2">
        <v>2345.96</v>
      </c>
      <c r="D4835" s="2">
        <v>5817.69</v>
      </c>
      <c r="E4835" s="2">
        <v>5817.69</v>
      </c>
      <c r="G4835" s="1" t="s">
        <v>9663</v>
      </c>
      <c r="H4835" s="2">
        <v>2172.72</v>
      </c>
      <c r="I4835" s="2">
        <v>2172.72</v>
      </c>
    </row>
    <row r="4836">
      <c r="A4836" s="1" t="s">
        <v>9664</v>
      </c>
      <c r="B4836" s="2">
        <v>2343.98</v>
      </c>
      <c r="C4836" s="2">
        <v>2343.98</v>
      </c>
      <c r="D4836" s="2">
        <v>5828.74</v>
      </c>
      <c r="E4836" s="2">
        <v>5828.74</v>
      </c>
      <c r="G4836" s="1" t="s">
        <v>9665</v>
      </c>
      <c r="H4836" s="2">
        <v>2168.95</v>
      </c>
      <c r="I4836" s="2">
        <v>2168.95</v>
      </c>
    </row>
    <row r="4837">
      <c r="A4837" s="1" t="s">
        <v>9666</v>
      </c>
      <c r="B4837" s="2" t="s">
        <v>0</v>
      </c>
      <c r="C4837" s="2">
        <v>2343.98</v>
      </c>
      <c r="D4837" s="2" t="s">
        <v>0</v>
      </c>
      <c r="E4837" s="2">
        <v>5828.74</v>
      </c>
      <c r="G4837" s="1" t="s">
        <v>9667</v>
      </c>
      <c r="H4837" s="2" t="s">
        <v>0</v>
      </c>
      <c r="I4837" s="2">
        <v>2168.95</v>
      </c>
    </row>
    <row r="4838">
      <c r="A4838" s="1" t="s">
        <v>9668</v>
      </c>
      <c r="B4838" s="2" t="s">
        <v>0</v>
      </c>
      <c r="C4838" s="2">
        <v>2343.98</v>
      </c>
      <c r="D4838" s="2" t="s">
        <v>0</v>
      </c>
      <c r="E4838" s="2">
        <v>5828.74</v>
      </c>
      <c r="G4838" s="1" t="s">
        <v>9669</v>
      </c>
      <c r="H4838" s="2" t="s">
        <v>0</v>
      </c>
      <c r="I4838" s="2">
        <v>2168.95</v>
      </c>
    </row>
    <row r="4839">
      <c r="A4839" s="1" t="s">
        <v>9670</v>
      </c>
      <c r="B4839" s="2">
        <v>2341.59</v>
      </c>
      <c r="C4839" s="2">
        <v>2341.59</v>
      </c>
      <c r="D4839" s="2">
        <v>5840.37</v>
      </c>
      <c r="E4839" s="2">
        <v>5840.37</v>
      </c>
      <c r="G4839" s="1" t="s">
        <v>9671</v>
      </c>
      <c r="H4839" s="2">
        <v>2155.66</v>
      </c>
      <c r="I4839" s="2">
        <v>2155.66</v>
      </c>
    </row>
    <row r="4840">
      <c r="A4840" s="1" t="s">
        <v>9672</v>
      </c>
      <c r="B4840" s="2">
        <v>2358.57</v>
      </c>
      <c r="C4840" s="2">
        <v>2358.57</v>
      </c>
      <c r="D4840" s="2">
        <v>5875.14</v>
      </c>
      <c r="E4840" s="2">
        <v>5875.14</v>
      </c>
      <c r="G4840" s="1" t="s">
        <v>9673</v>
      </c>
      <c r="H4840" s="2">
        <v>2163.31</v>
      </c>
      <c r="I4840" s="2">
        <v>2163.31</v>
      </c>
    </row>
    <row r="4841">
      <c r="A4841" s="1" t="s">
        <v>9674</v>
      </c>
      <c r="B4841" s="2">
        <v>2361.13</v>
      </c>
      <c r="C4841" s="2">
        <v>2361.13</v>
      </c>
      <c r="D4841" s="2">
        <v>5897.55</v>
      </c>
      <c r="E4841" s="2">
        <v>5897.55</v>
      </c>
      <c r="G4841" s="1" t="s">
        <v>9675</v>
      </c>
      <c r="H4841" s="2">
        <v>2166.98</v>
      </c>
      <c r="I4841" s="2">
        <v>2166.98</v>
      </c>
    </row>
    <row r="4842">
      <c r="A4842" s="1" t="s">
        <v>9676</v>
      </c>
      <c r="B4842" s="2">
        <v>2368.06</v>
      </c>
      <c r="C4842" s="2">
        <v>2368.06</v>
      </c>
      <c r="D4842" s="2">
        <v>5914.34</v>
      </c>
      <c r="E4842" s="2">
        <v>5914.34</v>
      </c>
      <c r="G4842" s="1" t="s">
        <v>9677</v>
      </c>
      <c r="H4842" s="2">
        <v>2164.64</v>
      </c>
      <c r="I4842" s="2">
        <v>2164.64</v>
      </c>
    </row>
    <row r="4843">
      <c r="A4843" s="1" t="s">
        <v>9678</v>
      </c>
      <c r="B4843" s="2">
        <v>2362.72</v>
      </c>
      <c r="C4843" s="2">
        <v>2362.72</v>
      </c>
      <c r="D4843" s="2">
        <v>5911.74</v>
      </c>
      <c r="E4843" s="2">
        <v>5911.74</v>
      </c>
      <c r="G4843" s="1" t="s">
        <v>9679</v>
      </c>
      <c r="H4843" s="2">
        <v>2160.23</v>
      </c>
      <c r="I4843" s="2">
        <v>2160.23</v>
      </c>
    </row>
    <row r="4844">
      <c r="A4844" s="1" t="s">
        <v>9680</v>
      </c>
      <c r="B4844" s="2" t="s">
        <v>0</v>
      </c>
      <c r="C4844" s="2">
        <v>2362.72</v>
      </c>
      <c r="D4844" s="2" t="s">
        <v>0</v>
      </c>
      <c r="E4844" s="2">
        <v>5911.74</v>
      </c>
      <c r="G4844" s="1" t="s">
        <v>9681</v>
      </c>
      <c r="H4844" s="2" t="s">
        <v>0</v>
      </c>
      <c r="I4844" s="2">
        <v>2160.23</v>
      </c>
    </row>
    <row r="4845">
      <c r="A4845" s="1" t="s">
        <v>9682</v>
      </c>
      <c r="B4845" s="2" t="s">
        <v>0</v>
      </c>
      <c r="C4845" s="2">
        <v>2362.72</v>
      </c>
      <c r="D4845" s="2" t="s">
        <v>0</v>
      </c>
      <c r="E4845" s="2">
        <v>5911.74</v>
      </c>
      <c r="G4845" s="1" t="s">
        <v>9683</v>
      </c>
      <c r="H4845" s="2" t="s">
        <v>0</v>
      </c>
      <c r="I4845" s="2">
        <v>2160.23</v>
      </c>
    </row>
    <row r="4846">
      <c r="A4846" s="1" t="s">
        <v>9684</v>
      </c>
      <c r="B4846" s="2">
        <v>2358.84</v>
      </c>
      <c r="C4846" s="2">
        <v>2358.84</v>
      </c>
      <c r="D4846" s="2">
        <v>5894.68</v>
      </c>
      <c r="E4846" s="2">
        <v>5894.68</v>
      </c>
      <c r="G4846" s="1" t="s">
        <v>9685</v>
      </c>
      <c r="H4846" s="2">
        <v>2167.51</v>
      </c>
      <c r="I4846" s="2">
        <v>2167.51</v>
      </c>
    </row>
    <row r="4847">
      <c r="A4847" s="1" t="s">
        <v>9686</v>
      </c>
      <c r="B4847" s="2">
        <v>2360.16</v>
      </c>
      <c r="C4847" s="2">
        <v>2360.16</v>
      </c>
      <c r="D4847" s="2">
        <v>5898.61</v>
      </c>
      <c r="E4847" s="2">
        <v>5898.61</v>
      </c>
      <c r="G4847" s="1" t="s">
        <v>9687</v>
      </c>
      <c r="H4847" s="2">
        <v>2161.1</v>
      </c>
      <c r="I4847" s="2">
        <v>2161.1</v>
      </c>
    </row>
    <row r="4848">
      <c r="A4848" s="1" t="s">
        <v>9688</v>
      </c>
      <c r="B4848" s="2">
        <v>2352.95</v>
      </c>
      <c r="C4848" s="2">
        <v>2352.95</v>
      </c>
      <c r="D4848" s="2">
        <v>5864.48</v>
      </c>
      <c r="E4848" s="2">
        <v>5864.48</v>
      </c>
      <c r="G4848" s="1" t="s">
        <v>9689</v>
      </c>
      <c r="H4848" s="2">
        <v>2160.85</v>
      </c>
      <c r="I4848" s="2">
        <v>2160.85</v>
      </c>
    </row>
    <row r="4849">
      <c r="A4849" s="1" t="s">
        <v>9690</v>
      </c>
      <c r="B4849" s="2">
        <v>2357.49</v>
      </c>
      <c r="C4849" s="2">
        <v>2357.49</v>
      </c>
      <c r="D4849" s="2">
        <v>5878.95</v>
      </c>
      <c r="E4849" s="2">
        <v>5878.95</v>
      </c>
      <c r="G4849" s="1" t="s">
        <v>9691</v>
      </c>
      <c r="H4849" s="2">
        <v>2152.75</v>
      </c>
      <c r="I4849" s="2">
        <v>2152.75</v>
      </c>
    </row>
    <row r="4850">
      <c r="A4850" s="1" t="s">
        <v>9692</v>
      </c>
      <c r="B4850" s="2">
        <v>2355.54</v>
      </c>
      <c r="C4850" s="2">
        <v>2355.54</v>
      </c>
      <c r="D4850" s="2">
        <v>5877.81</v>
      </c>
      <c r="E4850" s="2">
        <v>5877.81</v>
      </c>
      <c r="G4850" s="1" t="s">
        <v>9693</v>
      </c>
      <c r="H4850" s="2">
        <v>2151.73</v>
      </c>
      <c r="I4850" s="2">
        <v>2151.73</v>
      </c>
    </row>
    <row r="4851">
      <c r="A4851" s="1" t="s">
        <v>9694</v>
      </c>
      <c r="B4851" s="2" t="s">
        <v>0</v>
      </c>
      <c r="C4851" s="2">
        <v>2355.54</v>
      </c>
      <c r="D4851" s="2" t="s">
        <v>0</v>
      </c>
      <c r="E4851" s="2">
        <v>5877.81</v>
      </c>
      <c r="G4851" s="1" t="s">
        <v>9695</v>
      </c>
      <c r="H4851" s="2" t="s">
        <v>0</v>
      </c>
      <c r="I4851" s="2">
        <v>2151.73</v>
      </c>
    </row>
    <row r="4852">
      <c r="A4852" s="1" t="s">
        <v>9696</v>
      </c>
      <c r="B4852" s="2" t="s">
        <v>0</v>
      </c>
      <c r="C4852" s="2">
        <v>2355.54</v>
      </c>
      <c r="D4852" s="2" t="s">
        <v>0</v>
      </c>
      <c r="E4852" s="2">
        <v>5877.81</v>
      </c>
      <c r="G4852" s="1" t="s">
        <v>9697</v>
      </c>
      <c r="H4852" s="2" t="s">
        <v>0</v>
      </c>
      <c r="I4852" s="2">
        <v>2151.73</v>
      </c>
    </row>
    <row r="4853">
      <c r="A4853" s="1" t="s">
        <v>9698</v>
      </c>
      <c r="B4853" s="2">
        <v>2357.16</v>
      </c>
      <c r="C4853" s="2">
        <v>2357.16</v>
      </c>
      <c r="D4853" s="2">
        <v>5880.93</v>
      </c>
      <c r="E4853" s="2">
        <v>5880.93</v>
      </c>
      <c r="G4853" s="1" t="s">
        <v>9699</v>
      </c>
      <c r="H4853" s="2">
        <v>2133.32</v>
      </c>
      <c r="I4853" s="2">
        <v>2133.32</v>
      </c>
    </row>
    <row r="4854">
      <c r="A4854" s="1" t="s">
        <v>9700</v>
      </c>
      <c r="B4854" s="2">
        <v>2353.78</v>
      </c>
      <c r="C4854" s="2">
        <v>2353.78</v>
      </c>
      <c r="D4854" s="2">
        <v>5866.77</v>
      </c>
      <c r="E4854" s="2">
        <v>5866.77</v>
      </c>
      <c r="G4854" s="1" t="s">
        <v>9701</v>
      </c>
      <c r="H4854" s="2">
        <v>2123.85</v>
      </c>
      <c r="I4854" s="2">
        <v>2123.85</v>
      </c>
    </row>
    <row r="4855">
      <c r="A4855" s="1" t="s">
        <v>9702</v>
      </c>
      <c r="B4855" s="2">
        <v>2344.93</v>
      </c>
      <c r="C4855" s="2">
        <v>2344.93</v>
      </c>
      <c r="D4855" s="2">
        <v>5836.16</v>
      </c>
      <c r="E4855" s="2">
        <v>5836.16</v>
      </c>
      <c r="G4855" s="1" t="s">
        <v>9703</v>
      </c>
      <c r="H4855" s="2">
        <v>2128.91</v>
      </c>
      <c r="I4855" s="2">
        <v>2128.91</v>
      </c>
    </row>
    <row r="4856">
      <c r="A4856" s="1" t="s">
        <v>9704</v>
      </c>
      <c r="B4856" s="2">
        <v>2328.95</v>
      </c>
      <c r="C4856" s="2">
        <v>2328.95</v>
      </c>
      <c r="D4856" s="2">
        <v>5805.15</v>
      </c>
      <c r="E4856" s="2">
        <v>5805.15</v>
      </c>
      <c r="G4856" s="1" t="s">
        <v>9705</v>
      </c>
      <c r="H4856" s="2">
        <v>2148.61</v>
      </c>
      <c r="I4856" s="2">
        <v>2148.61</v>
      </c>
    </row>
    <row r="4857">
      <c r="A4857" s="1" t="s">
        <v>9706</v>
      </c>
      <c r="B4857" s="2" t="s">
        <v>0</v>
      </c>
      <c r="C4857" s="2">
        <v>2328.95</v>
      </c>
      <c r="D4857" s="2" t="s">
        <v>0</v>
      </c>
      <c r="E4857" s="2">
        <v>5805.15</v>
      </c>
      <c r="G4857" s="1" t="s">
        <v>9707</v>
      </c>
      <c r="H4857" s="2">
        <v>2134.88</v>
      </c>
      <c r="I4857" s="2">
        <v>2134.88</v>
      </c>
    </row>
    <row r="4858">
      <c r="A4858" s="1" t="s">
        <v>9708</v>
      </c>
      <c r="B4858" s="2" t="s">
        <v>0</v>
      </c>
      <c r="C4858" s="2">
        <v>2328.95</v>
      </c>
      <c r="D4858" s="2" t="s">
        <v>0</v>
      </c>
      <c r="E4858" s="2">
        <v>5805.15</v>
      </c>
      <c r="G4858" s="1" t="s">
        <v>9709</v>
      </c>
      <c r="H4858" s="2" t="s">
        <v>0</v>
      </c>
      <c r="I4858" s="2">
        <v>2134.88</v>
      </c>
    </row>
    <row r="4859">
      <c r="A4859" s="1" t="s">
        <v>9710</v>
      </c>
      <c r="B4859" s="2" t="s">
        <v>0</v>
      </c>
      <c r="C4859" s="2">
        <v>2328.95</v>
      </c>
      <c r="D4859" s="2" t="s">
        <v>0</v>
      </c>
      <c r="E4859" s="2">
        <v>5805.15</v>
      </c>
      <c r="G4859" s="1" t="s">
        <v>9711</v>
      </c>
      <c r="H4859" s="2" t="s">
        <v>0</v>
      </c>
      <c r="I4859" s="2">
        <v>2134.88</v>
      </c>
    </row>
    <row r="4860">
      <c r="A4860" s="1" t="s">
        <v>9712</v>
      </c>
      <c r="B4860" s="2">
        <v>2349.01</v>
      </c>
      <c r="C4860" s="2">
        <v>2349.01</v>
      </c>
      <c r="D4860" s="2">
        <v>5856.79</v>
      </c>
      <c r="E4860" s="2">
        <v>5856.79</v>
      </c>
      <c r="G4860" s="1" t="s">
        <v>9713</v>
      </c>
      <c r="H4860" s="2">
        <v>2145.76</v>
      </c>
      <c r="I4860" s="2">
        <v>2145.76</v>
      </c>
    </row>
    <row r="4861">
      <c r="A4861" s="1" t="s">
        <v>9714</v>
      </c>
      <c r="B4861" s="2">
        <v>2342.19</v>
      </c>
      <c r="C4861" s="2">
        <v>2342.19</v>
      </c>
      <c r="D4861" s="2">
        <v>5849.47</v>
      </c>
      <c r="E4861" s="2">
        <v>5849.47</v>
      </c>
      <c r="G4861" s="1" t="s">
        <v>9715</v>
      </c>
      <c r="H4861" s="2">
        <v>2148.46</v>
      </c>
      <c r="I4861" s="2">
        <v>2148.46</v>
      </c>
    </row>
    <row r="4862">
      <c r="A4862" s="1" t="s">
        <v>9716</v>
      </c>
      <c r="B4862" s="2">
        <v>2338.17</v>
      </c>
      <c r="C4862" s="2">
        <v>2338.17</v>
      </c>
      <c r="D4862" s="2">
        <v>5863.03</v>
      </c>
      <c r="E4862" s="2">
        <v>5863.03</v>
      </c>
      <c r="G4862" s="1" t="s">
        <v>9717</v>
      </c>
      <c r="H4862" s="2">
        <v>2138.4</v>
      </c>
      <c r="I4862" s="2">
        <v>2138.4</v>
      </c>
    </row>
    <row r="4863">
      <c r="A4863" s="1" t="s">
        <v>9718</v>
      </c>
      <c r="B4863" s="2">
        <v>2355.84</v>
      </c>
      <c r="C4863" s="2">
        <v>2355.84</v>
      </c>
      <c r="D4863" s="2">
        <v>5916.78</v>
      </c>
      <c r="E4863" s="2">
        <v>5916.78</v>
      </c>
      <c r="G4863" s="1" t="s">
        <v>9719</v>
      </c>
      <c r="H4863" s="2">
        <v>2149.15</v>
      </c>
      <c r="I4863" s="2">
        <v>2149.15</v>
      </c>
    </row>
    <row r="4864">
      <c r="A4864" s="1" t="s">
        <v>9720</v>
      </c>
      <c r="B4864" s="2">
        <v>2348.69</v>
      </c>
      <c r="C4864" s="2">
        <v>2348.69</v>
      </c>
      <c r="D4864" s="2">
        <v>5910.52</v>
      </c>
      <c r="E4864" s="2">
        <v>5910.52</v>
      </c>
      <c r="G4864" s="1" t="s">
        <v>9721</v>
      </c>
      <c r="H4864" s="2">
        <v>2165.04</v>
      </c>
      <c r="I4864" s="2">
        <v>2165.04</v>
      </c>
    </row>
    <row r="4865">
      <c r="A4865" s="1" t="s">
        <v>9722</v>
      </c>
      <c r="B4865" s="2" t="s">
        <v>0</v>
      </c>
      <c r="C4865" s="2">
        <v>2348.69</v>
      </c>
      <c r="D4865" s="2" t="s">
        <v>0</v>
      </c>
      <c r="E4865" s="2">
        <v>5910.52</v>
      </c>
      <c r="G4865" s="1" t="s">
        <v>9723</v>
      </c>
      <c r="H4865" s="2" t="s">
        <v>0</v>
      </c>
      <c r="I4865" s="2">
        <v>2165.04</v>
      </c>
    </row>
    <row r="4866">
      <c r="A4866" s="1" t="s">
        <v>9724</v>
      </c>
      <c r="B4866" s="2" t="s">
        <v>0</v>
      </c>
      <c r="C4866" s="2">
        <v>2348.69</v>
      </c>
      <c r="D4866" s="2" t="s">
        <v>0</v>
      </c>
      <c r="E4866" s="2">
        <v>5910.52</v>
      </c>
      <c r="G4866" s="1" t="s">
        <v>9725</v>
      </c>
      <c r="H4866" s="2" t="s">
        <v>0</v>
      </c>
      <c r="I4866" s="2">
        <v>2165.04</v>
      </c>
    </row>
    <row r="4867">
      <c r="A4867" s="1" t="s">
        <v>9726</v>
      </c>
      <c r="B4867" s="2">
        <v>2374.15</v>
      </c>
      <c r="C4867" s="2">
        <v>2374.15</v>
      </c>
      <c r="D4867" s="2">
        <v>5983.82</v>
      </c>
      <c r="E4867" s="2">
        <v>5983.82</v>
      </c>
      <c r="G4867" s="1" t="s">
        <v>9727</v>
      </c>
      <c r="H4867" s="2">
        <v>2173.74</v>
      </c>
      <c r="I4867" s="2">
        <v>2173.74</v>
      </c>
    </row>
    <row r="4868">
      <c r="A4868" s="1" t="s">
        <v>9728</v>
      </c>
      <c r="B4868" s="2">
        <v>2388.61</v>
      </c>
      <c r="C4868" s="2">
        <v>2388.61</v>
      </c>
      <c r="D4868" s="2">
        <v>6025.49</v>
      </c>
      <c r="E4868" s="2">
        <v>6025.49</v>
      </c>
      <c r="G4868" s="1" t="s">
        <v>9729</v>
      </c>
      <c r="H4868" s="2">
        <v>2196.85</v>
      </c>
      <c r="I4868" s="2">
        <v>2196.85</v>
      </c>
    </row>
    <row r="4869">
      <c r="A4869" s="1" t="s">
        <v>9730</v>
      </c>
      <c r="B4869" s="2">
        <v>2387.45</v>
      </c>
      <c r="C4869" s="2">
        <v>2387.45</v>
      </c>
      <c r="D4869" s="2">
        <v>6025.23</v>
      </c>
      <c r="E4869" s="2">
        <v>6025.23</v>
      </c>
      <c r="G4869" s="1" t="s">
        <v>9731</v>
      </c>
      <c r="H4869" s="2">
        <v>2207.84</v>
      </c>
      <c r="I4869" s="2">
        <v>2207.84</v>
      </c>
    </row>
    <row r="4870">
      <c r="A4870" s="1" t="s">
        <v>9732</v>
      </c>
      <c r="B4870" s="2">
        <v>2388.77</v>
      </c>
      <c r="C4870" s="2">
        <v>2388.77</v>
      </c>
      <c r="D4870" s="2">
        <v>6048.94</v>
      </c>
      <c r="E4870" s="2">
        <v>6048.94</v>
      </c>
      <c r="G4870" s="1" t="s">
        <v>9733</v>
      </c>
      <c r="H4870" s="2">
        <v>2209.46</v>
      </c>
      <c r="I4870" s="2">
        <v>2209.46</v>
      </c>
    </row>
    <row r="4871">
      <c r="A4871" s="1" t="s">
        <v>9734</v>
      </c>
      <c r="B4871" s="2">
        <v>2384.2</v>
      </c>
      <c r="C4871" s="2">
        <v>2384.2</v>
      </c>
      <c r="D4871" s="2">
        <v>6047.61</v>
      </c>
      <c r="E4871" s="2">
        <v>6047.61</v>
      </c>
      <c r="G4871" s="1" t="s">
        <v>9735</v>
      </c>
      <c r="H4871" s="2">
        <v>2205.44</v>
      </c>
      <c r="I4871" s="2">
        <v>2205.44</v>
      </c>
    </row>
    <row r="4872">
      <c r="A4872" s="1" t="s">
        <v>9736</v>
      </c>
      <c r="B4872" s="2" t="s">
        <v>0</v>
      </c>
      <c r="C4872" s="2">
        <v>2384.2</v>
      </c>
      <c r="D4872" s="2" t="s">
        <v>0</v>
      </c>
      <c r="E4872" s="2">
        <v>6047.61</v>
      </c>
      <c r="G4872" s="1" t="s">
        <v>9737</v>
      </c>
      <c r="H4872" s="2" t="s">
        <v>0</v>
      </c>
      <c r="I4872" s="2">
        <v>2205.44</v>
      </c>
    </row>
    <row r="4873">
      <c r="A4873" s="1" t="s">
        <v>9738</v>
      </c>
      <c r="B4873" s="2" t="s">
        <v>0</v>
      </c>
      <c r="C4873" s="2">
        <v>2384.2</v>
      </c>
      <c r="D4873" s="2" t="s">
        <v>0</v>
      </c>
      <c r="E4873" s="2">
        <v>6047.61</v>
      </c>
      <c r="G4873" s="1" t="s">
        <v>9739</v>
      </c>
      <c r="H4873" s="2" t="s">
        <v>0</v>
      </c>
      <c r="I4873" s="2">
        <v>2205.44</v>
      </c>
    </row>
    <row r="4874">
      <c r="A4874" s="1" t="s">
        <v>9740</v>
      </c>
      <c r="B4874" s="2">
        <v>2388.33</v>
      </c>
      <c r="C4874" s="2">
        <v>2388.33</v>
      </c>
      <c r="D4874" s="2">
        <v>6091.6</v>
      </c>
      <c r="E4874" s="2">
        <v>6091.6</v>
      </c>
      <c r="G4874" s="1" t="s">
        <v>9741</v>
      </c>
      <c r="H4874" s="2" t="s">
        <v>0</v>
      </c>
      <c r="I4874" s="2">
        <v>2205.44</v>
      </c>
    </row>
    <row r="4875">
      <c r="A4875" s="1" t="s">
        <v>9742</v>
      </c>
      <c r="B4875" s="2">
        <v>2391.17</v>
      </c>
      <c r="C4875" s="2">
        <v>2391.17</v>
      </c>
      <c r="D4875" s="2">
        <v>6095.37</v>
      </c>
      <c r="E4875" s="2">
        <v>6095.37</v>
      </c>
      <c r="G4875" s="1" t="s">
        <v>9743</v>
      </c>
      <c r="H4875" s="2">
        <v>2219.67</v>
      </c>
      <c r="I4875" s="2">
        <v>2219.67</v>
      </c>
    </row>
    <row r="4876">
      <c r="A4876" s="1" t="s">
        <v>9744</v>
      </c>
      <c r="B4876" s="2">
        <v>2388.13</v>
      </c>
      <c r="C4876" s="2">
        <v>2388.13</v>
      </c>
      <c r="D4876" s="2">
        <v>6072.55</v>
      </c>
      <c r="E4876" s="2">
        <v>6072.55</v>
      </c>
      <c r="G4876" s="1" t="s">
        <v>9745</v>
      </c>
      <c r="H4876" s="2" t="s">
        <v>0</v>
      </c>
      <c r="I4876" s="2">
        <v>2219.67</v>
      </c>
    </row>
    <row r="4877">
      <c r="A4877" s="1" t="s">
        <v>9746</v>
      </c>
      <c r="B4877" s="2">
        <v>2389.52</v>
      </c>
      <c r="C4877" s="2">
        <v>2389.52</v>
      </c>
      <c r="D4877" s="2">
        <v>6075.34</v>
      </c>
      <c r="E4877" s="2">
        <v>6075.34</v>
      </c>
      <c r="G4877" s="1" t="s">
        <v>9747</v>
      </c>
      <c r="H4877" s="2">
        <v>2241.24</v>
      </c>
      <c r="I4877" s="2">
        <v>2241.24</v>
      </c>
    </row>
    <row r="4878">
      <c r="A4878" s="1" t="s">
        <v>9748</v>
      </c>
      <c r="B4878" s="2">
        <v>2399.29</v>
      </c>
      <c r="C4878" s="2">
        <v>2399.29</v>
      </c>
      <c r="D4878" s="2">
        <v>6100.76</v>
      </c>
      <c r="E4878" s="2">
        <v>6100.76</v>
      </c>
      <c r="G4878" s="1" t="s">
        <v>9749</v>
      </c>
      <c r="H4878" s="2" t="s">
        <v>0</v>
      </c>
      <c r="I4878" s="2">
        <v>2241.24</v>
      </c>
    </row>
    <row r="4879">
      <c r="A4879" s="1" t="s">
        <v>9750</v>
      </c>
      <c r="B4879" s="2" t="s">
        <v>0</v>
      </c>
      <c r="C4879" s="2">
        <v>2399.29</v>
      </c>
      <c r="D4879" s="2" t="s">
        <v>0</v>
      </c>
      <c r="E4879" s="2">
        <v>6100.76</v>
      </c>
      <c r="G4879" s="1" t="s">
        <v>9751</v>
      </c>
      <c r="H4879" s="2" t="s">
        <v>0</v>
      </c>
      <c r="I4879" s="2">
        <v>2241.24</v>
      </c>
    </row>
    <row r="4880">
      <c r="A4880" s="1" t="s">
        <v>9752</v>
      </c>
      <c r="B4880" s="2" t="s">
        <v>0</v>
      </c>
      <c r="C4880" s="2">
        <v>2399.29</v>
      </c>
      <c r="D4880" s="2" t="s">
        <v>0</v>
      </c>
      <c r="E4880" s="2">
        <v>6100.76</v>
      </c>
      <c r="G4880" s="1" t="s">
        <v>9753</v>
      </c>
      <c r="H4880" s="2" t="s">
        <v>0</v>
      </c>
      <c r="I4880" s="2">
        <v>2241.24</v>
      </c>
    </row>
    <row r="4881">
      <c r="A4881" s="1" t="s">
        <v>9754</v>
      </c>
      <c r="B4881" s="2">
        <v>2399.38</v>
      </c>
      <c r="C4881" s="2">
        <v>2399.38</v>
      </c>
      <c r="D4881" s="2">
        <v>6102.66</v>
      </c>
      <c r="E4881" s="2">
        <v>6102.66</v>
      </c>
      <c r="G4881" s="1" t="s">
        <v>9755</v>
      </c>
      <c r="H4881" s="2">
        <v>2292.76</v>
      </c>
      <c r="I4881" s="2">
        <v>2292.76</v>
      </c>
    </row>
    <row r="4882">
      <c r="A4882" s="1" t="s">
        <v>9756</v>
      </c>
      <c r="B4882" s="2">
        <v>2396.92</v>
      </c>
      <c r="C4882" s="2">
        <v>2396.92</v>
      </c>
      <c r="D4882" s="2">
        <v>6120.59</v>
      </c>
      <c r="E4882" s="2">
        <v>6120.59</v>
      </c>
      <c r="G4882" s="1" t="s">
        <v>9757</v>
      </c>
      <c r="H4882" s="2" t="s">
        <v>0</v>
      </c>
      <c r="I4882" s="2">
        <v>2292.76</v>
      </c>
    </row>
    <row r="4883">
      <c r="A4883" s="1" t="s">
        <v>9758</v>
      </c>
      <c r="B4883" s="2">
        <v>2399.63</v>
      </c>
      <c r="C4883" s="2">
        <v>2399.63</v>
      </c>
      <c r="D4883" s="2">
        <v>6129.14</v>
      </c>
      <c r="E4883" s="2">
        <v>6129.14</v>
      </c>
      <c r="G4883" s="1" t="s">
        <v>9759</v>
      </c>
      <c r="H4883" s="2">
        <v>2270.12</v>
      </c>
      <c r="I4883" s="2">
        <v>2270.12</v>
      </c>
    </row>
    <row r="4884">
      <c r="A4884" s="1" t="s">
        <v>9760</v>
      </c>
      <c r="B4884" s="2">
        <v>2394.44</v>
      </c>
      <c r="C4884" s="2">
        <v>2394.44</v>
      </c>
      <c r="D4884" s="2">
        <v>6115.96</v>
      </c>
      <c r="E4884" s="2">
        <v>6115.96</v>
      </c>
      <c r="G4884" s="1" t="s">
        <v>9761</v>
      </c>
      <c r="H4884" s="2">
        <v>2296.37</v>
      </c>
      <c r="I4884" s="2">
        <v>2296.37</v>
      </c>
    </row>
    <row r="4885">
      <c r="A4885" s="1" t="s">
        <v>9762</v>
      </c>
      <c r="B4885" s="2">
        <v>2390.9</v>
      </c>
      <c r="C4885" s="2">
        <v>2390.9</v>
      </c>
      <c r="D4885" s="2">
        <v>6121.23</v>
      </c>
      <c r="E4885" s="2">
        <v>6121.23</v>
      </c>
      <c r="G4885" s="1" t="s">
        <v>9763</v>
      </c>
      <c r="H4885" s="2">
        <v>2286.02</v>
      </c>
      <c r="I4885" s="2">
        <v>2286.02</v>
      </c>
    </row>
    <row r="4886">
      <c r="A4886" s="1" t="s">
        <v>9764</v>
      </c>
      <c r="B4886" s="2" t="s">
        <v>0</v>
      </c>
      <c r="C4886" s="2">
        <v>2390.9</v>
      </c>
      <c r="D4886" s="2" t="s">
        <v>0</v>
      </c>
      <c r="E4886" s="2">
        <v>6121.23</v>
      </c>
      <c r="G4886" s="1" t="s">
        <v>9765</v>
      </c>
      <c r="H4886" s="2" t="s">
        <v>0</v>
      </c>
      <c r="I4886" s="2">
        <v>2286.02</v>
      </c>
    </row>
    <row r="4887">
      <c r="A4887" s="1" t="s">
        <v>9766</v>
      </c>
      <c r="B4887" s="2" t="s">
        <v>0</v>
      </c>
      <c r="C4887" s="2">
        <v>2390.9</v>
      </c>
      <c r="D4887" s="2" t="s">
        <v>0</v>
      </c>
      <c r="E4887" s="2">
        <v>6121.23</v>
      </c>
      <c r="G4887" s="1" t="s">
        <v>9767</v>
      </c>
      <c r="H4887" s="2" t="s">
        <v>0</v>
      </c>
      <c r="I4887" s="2">
        <v>2286.02</v>
      </c>
    </row>
    <row r="4888">
      <c r="A4888" s="1" t="s">
        <v>9768</v>
      </c>
      <c r="B4888" s="2">
        <v>2402.32</v>
      </c>
      <c r="C4888" s="2">
        <v>2402.32</v>
      </c>
      <c r="D4888" s="2">
        <v>6149.67</v>
      </c>
      <c r="E4888" s="2">
        <v>6149.67</v>
      </c>
      <c r="G4888" s="1" t="s">
        <v>9769</v>
      </c>
      <c r="H4888" s="2">
        <v>2290.65</v>
      </c>
      <c r="I4888" s="2">
        <v>2290.65</v>
      </c>
    </row>
    <row r="4889">
      <c r="A4889" s="1" t="s">
        <v>9770</v>
      </c>
      <c r="B4889" s="2">
        <v>2400.67</v>
      </c>
      <c r="C4889" s="2">
        <v>2400.67</v>
      </c>
      <c r="D4889" s="2">
        <v>6169.87</v>
      </c>
      <c r="E4889" s="2">
        <v>6169.87</v>
      </c>
      <c r="G4889" s="1" t="s">
        <v>9771</v>
      </c>
      <c r="H4889" s="2">
        <v>2295.33</v>
      </c>
      <c r="I4889" s="2">
        <v>2295.33</v>
      </c>
    </row>
    <row r="4890">
      <c r="A4890" s="1" t="s">
        <v>9772</v>
      </c>
      <c r="B4890" s="2">
        <v>2357.03</v>
      </c>
      <c r="C4890" s="2">
        <v>2357.03</v>
      </c>
      <c r="D4890" s="2">
        <v>6011.24</v>
      </c>
      <c r="E4890" s="2">
        <v>6011.24</v>
      </c>
      <c r="G4890" s="1" t="s">
        <v>9773</v>
      </c>
      <c r="H4890" s="2">
        <v>2293.08</v>
      </c>
      <c r="I4890" s="2">
        <v>2293.08</v>
      </c>
    </row>
    <row r="4891">
      <c r="A4891" s="1" t="s">
        <v>9774</v>
      </c>
      <c r="B4891" s="2">
        <v>2365.72</v>
      </c>
      <c r="C4891" s="2">
        <v>2365.72</v>
      </c>
      <c r="D4891" s="2">
        <v>6055.13</v>
      </c>
      <c r="E4891" s="2">
        <v>6055.13</v>
      </c>
      <c r="G4891" s="1" t="s">
        <v>9775</v>
      </c>
      <c r="H4891" s="2">
        <v>2286.82</v>
      </c>
      <c r="I4891" s="2">
        <v>2286.82</v>
      </c>
    </row>
    <row r="4892">
      <c r="A4892" s="1" t="s">
        <v>9776</v>
      </c>
      <c r="B4892" s="2">
        <v>2381.73</v>
      </c>
      <c r="C4892" s="2">
        <v>2381.73</v>
      </c>
      <c r="D4892" s="2">
        <v>6083.7</v>
      </c>
      <c r="E4892" s="2">
        <v>6083.7</v>
      </c>
      <c r="G4892" s="1" t="s">
        <v>9777</v>
      </c>
      <c r="H4892" s="2">
        <v>2288.48</v>
      </c>
      <c r="I4892" s="2">
        <v>2288.48</v>
      </c>
    </row>
    <row r="4893">
      <c r="A4893" s="1" t="s">
        <v>9778</v>
      </c>
      <c r="B4893" s="2" t="s">
        <v>0</v>
      </c>
      <c r="C4893" s="2">
        <v>2381.73</v>
      </c>
      <c r="D4893" s="2" t="s">
        <v>0</v>
      </c>
      <c r="E4893" s="2">
        <v>6083.7</v>
      </c>
      <c r="G4893" s="1" t="s">
        <v>9779</v>
      </c>
      <c r="H4893" s="2" t="s">
        <v>0</v>
      </c>
      <c r="I4893" s="2">
        <v>2288.48</v>
      </c>
    </row>
    <row r="4894">
      <c r="A4894" s="1" t="s">
        <v>9780</v>
      </c>
      <c r="B4894" s="2" t="s">
        <v>0</v>
      </c>
      <c r="C4894" s="2">
        <v>2381.73</v>
      </c>
      <c r="D4894" s="2" t="s">
        <v>0</v>
      </c>
      <c r="E4894" s="2">
        <v>6083.7</v>
      </c>
      <c r="G4894" s="1" t="s">
        <v>9781</v>
      </c>
      <c r="H4894" s="2" t="s">
        <v>0</v>
      </c>
      <c r="I4894" s="2">
        <v>2288.48</v>
      </c>
    </row>
    <row r="4895">
      <c r="A4895" s="1" t="s">
        <v>9782</v>
      </c>
      <c r="B4895" s="2">
        <v>2394.02</v>
      </c>
      <c r="C4895" s="2">
        <v>2394.02</v>
      </c>
      <c r="D4895" s="2">
        <v>6133.62</v>
      </c>
      <c r="E4895" s="2">
        <v>6133.62</v>
      </c>
      <c r="G4895" s="1" t="s">
        <v>9783</v>
      </c>
      <c r="H4895" s="2">
        <v>2304.03</v>
      </c>
      <c r="I4895" s="2">
        <v>2304.03</v>
      </c>
    </row>
    <row r="4896">
      <c r="A4896" s="1" t="s">
        <v>9784</v>
      </c>
      <c r="B4896" s="2">
        <v>2398.42</v>
      </c>
      <c r="C4896" s="2">
        <v>2398.42</v>
      </c>
      <c r="D4896" s="2">
        <v>6138.71</v>
      </c>
      <c r="E4896" s="2">
        <v>6138.71</v>
      </c>
      <c r="G4896" s="1" t="s">
        <v>9785</v>
      </c>
      <c r="H4896" s="2">
        <v>2311.74</v>
      </c>
      <c r="I4896" s="2">
        <v>2311.74</v>
      </c>
    </row>
    <row r="4897">
      <c r="A4897" s="1" t="s">
        <v>9786</v>
      </c>
      <c r="B4897" s="2">
        <v>2404.39</v>
      </c>
      <c r="C4897" s="2">
        <v>2404.39</v>
      </c>
      <c r="D4897" s="2">
        <v>6163.02</v>
      </c>
      <c r="E4897" s="2">
        <v>6163.02</v>
      </c>
      <c r="G4897" s="1" t="s">
        <v>9787</v>
      </c>
      <c r="H4897" s="2">
        <v>2317.34</v>
      </c>
      <c r="I4897" s="2">
        <v>2317.34</v>
      </c>
    </row>
    <row r="4898">
      <c r="A4898" s="1" t="s">
        <v>9788</v>
      </c>
      <c r="B4898" s="2">
        <v>2415.07</v>
      </c>
      <c r="C4898" s="2">
        <v>2415.07</v>
      </c>
      <c r="D4898" s="2">
        <v>6205.26</v>
      </c>
      <c r="E4898" s="2">
        <v>6205.26</v>
      </c>
      <c r="G4898" s="1" t="s">
        <v>9789</v>
      </c>
      <c r="H4898" s="2">
        <v>2342.93</v>
      </c>
      <c r="I4898" s="2">
        <v>2342.93</v>
      </c>
    </row>
    <row r="4899">
      <c r="A4899" s="1" t="s">
        <v>9790</v>
      </c>
      <c r="B4899" s="2">
        <v>2415.82</v>
      </c>
      <c r="C4899" s="2">
        <v>2415.82</v>
      </c>
      <c r="D4899" s="2">
        <v>6210.19</v>
      </c>
      <c r="E4899" s="2">
        <v>6210.19</v>
      </c>
      <c r="G4899" s="1" t="s">
        <v>9791</v>
      </c>
      <c r="H4899" s="2">
        <v>2355.3</v>
      </c>
      <c r="I4899" s="2">
        <v>2355.3</v>
      </c>
    </row>
    <row r="4900">
      <c r="A4900" s="1" t="s">
        <v>9792</v>
      </c>
      <c r="B4900" s="2" t="s">
        <v>0</v>
      </c>
      <c r="C4900" s="2">
        <v>2415.82</v>
      </c>
      <c r="D4900" s="2" t="s">
        <v>0</v>
      </c>
      <c r="E4900" s="2">
        <v>6210.19</v>
      </c>
      <c r="G4900" s="1" t="s">
        <v>9793</v>
      </c>
      <c r="H4900" s="2" t="s">
        <v>0</v>
      </c>
      <c r="I4900" s="2">
        <v>2355.3</v>
      </c>
    </row>
    <row r="4901">
      <c r="A4901" s="1" t="s">
        <v>9794</v>
      </c>
      <c r="B4901" s="2" t="s">
        <v>0</v>
      </c>
      <c r="C4901" s="2">
        <v>2415.82</v>
      </c>
      <c r="D4901" s="2" t="s">
        <v>0</v>
      </c>
      <c r="E4901" s="2">
        <v>6210.19</v>
      </c>
      <c r="G4901" s="1" t="s">
        <v>9795</v>
      </c>
      <c r="H4901" s="2" t="s">
        <v>0</v>
      </c>
      <c r="I4901" s="2">
        <v>2355.3</v>
      </c>
    </row>
    <row r="4902">
      <c r="A4902" s="1" t="s">
        <v>9796</v>
      </c>
      <c r="B4902" s="2" t="s">
        <v>0</v>
      </c>
      <c r="C4902" s="2">
        <v>2415.82</v>
      </c>
      <c r="D4902" s="2" t="s">
        <v>0</v>
      </c>
      <c r="E4902" s="2">
        <v>6210.19</v>
      </c>
      <c r="G4902" s="1" t="s">
        <v>9797</v>
      </c>
      <c r="H4902" s="2">
        <v>2352.97</v>
      </c>
      <c r="I4902" s="2">
        <v>2352.97</v>
      </c>
    </row>
    <row r="4903">
      <c r="A4903" s="1" t="s">
        <v>9798</v>
      </c>
      <c r="B4903" s="2">
        <v>2412.91</v>
      </c>
      <c r="C4903" s="2">
        <v>2412.91</v>
      </c>
      <c r="D4903" s="2">
        <v>6203.19</v>
      </c>
      <c r="E4903" s="2">
        <v>6203.19</v>
      </c>
      <c r="G4903" s="1" t="s">
        <v>9799</v>
      </c>
      <c r="H4903" s="2">
        <v>2343.68</v>
      </c>
      <c r="I4903" s="2">
        <v>2343.68</v>
      </c>
    </row>
    <row r="4904">
      <c r="A4904" s="1" t="s">
        <v>9800</v>
      </c>
      <c r="B4904" s="2">
        <v>2411.8</v>
      </c>
      <c r="C4904" s="2">
        <v>2411.8</v>
      </c>
      <c r="D4904" s="2">
        <v>6198.52</v>
      </c>
      <c r="E4904" s="2">
        <v>6198.52</v>
      </c>
      <c r="G4904" s="1" t="s">
        <v>9801</v>
      </c>
      <c r="H4904" s="2">
        <v>2347.38</v>
      </c>
      <c r="I4904" s="2">
        <v>2347.38</v>
      </c>
    </row>
    <row r="4905">
      <c r="A4905" s="1" t="s">
        <v>9802</v>
      </c>
      <c r="B4905" s="2">
        <v>2430.06</v>
      </c>
      <c r="C4905" s="2">
        <v>2430.06</v>
      </c>
      <c r="D4905" s="2">
        <v>6246.83</v>
      </c>
      <c r="E4905" s="2">
        <v>6246.83</v>
      </c>
      <c r="G4905" s="1" t="s">
        <v>9803</v>
      </c>
      <c r="H4905" s="2">
        <v>2344.61</v>
      </c>
      <c r="I4905" s="2">
        <v>2344.61</v>
      </c>
    </row>
    <row r="4906">
      <c r="A4906" s="1" t="s">
        <v>9804</v>
      </c>
      <c r="B4906" s="2">
        <v>2439.07</v>
      </c>
      <c r="C4906" s="2">
        <v>2439.07</v>
      </c>
      <c r="D4906" s="2">
        <v>6305.8</v>
      </c>
      <c r="E4906" s="2">
        <v>6305.8</v>
      </c>
      <c r="G4906" s="1" t="s">
        <v>9805</v>
      </c>
      <c r="H4906" s="2">
        <v>2371.72</v>
      </c>
      <c r="I4906" s="2">
        <v>2371.72</v>
      </c>
    </row>
    <row r="4907">
      <c r="A4907" s="1" t="s">
        <v>9806</v>
      </c>
      <c r="B4907" s="2" t="s">
        <v>0</v>
      </c>
      <c r="C4907" s="2">
        <v>2439.07</v>
      </c>
      <c r="D4907" s="2" t="s">
        <v>0</v>
      </c>
      <c r="E4907" s="2">
        <v>6305.8</v>
      </c>
      <c r="G4907" s="1" t="s">
        <v>9807</v>
      </c>
      <c r="H4907" s="2" t="s">
        <v>0</v>
      </c>
      <c r="I4907" s="2">
        <v>2371.72</v>
      </c>
    </row>
    <row r="4908">
      <c r="A4908" s="1" t="s">
        <v>9808</v>
      </c>
      <c r="B4908" s="2" t="s">
        <v>0</v>
      </c>
      <c r="C4908" s="2">
        <v>2439.07</v>
      </c>
      <c r="D4908" s="2" t="s">
        <v>0</v>
      </c>
      <c r="E4908" s="2">
        <v>6305.8</v>
      </c>
      <c r="G4908" s="1" t="s">
        <v>9809</v>
      </c>
      <c r="H4908" s="2" t="s">
        <v>0</v>
      </c>
      <c r="I4908" s="2">
        <v>2371.72</v>
      </c>
    </row>
    <row r="4909">
      <c r="A4909" s="1" t="s">
        <v>9810</v>
      </c>
      <c r="B4909" s="2">
        <v>2436.1</v>
      </c>
      <c r="C4909" s="2">
        <v>2436.1</v>
      </c>
      <c r="D4909" s="2">
        <v>6295.68</v>
      </c>
      <c r="E4909" s="2">
        <v>6295.68</v>
      </c>
      <c r="G4909" s="1" t="s">
        <v>9811</v>
      </c>
      <c r="H4909" s="2">
        <v>2368.62</v>
      </c>
      <c r="I4909" s="2">
        <v>2368.62</v>
      </c>
    </row>
    <row r="4910">
      <c r="A4910" s="1" t="s">
        <v>9812</v>
      </c>
      <c r="B4910" s="2">
        <v>2429.33</v>
      </c>
      <c r="C4910" s="2">
        <v>2429.33</v>
      </c>
      <c r="D4910" s="2">
        <v>6275.06</v>
      </c>
      <c r="E4910" s="2">
        <v>6275.06</v>
      </c>
      <c r="G4910" s="1" t="s">
        <v>9813</v>
      </c>
      <c r="H4910" s="2" t="s">
        <v>0</v>
      </c>
      <c r="I4910" s="2">
        <v>2368.62</v>
      </c>
    </row>
    <row r="4911">
      <c r="A4911" s="1" t="s">
        <v>9814</v>
      </c>
      <c r="B4911" s="2">
        <v>2433.14</v>
      </c>
      <c r="C4911" s="2">
        <v>2433.14</v>
      </c>
      <c r="D4911" s="2">
        <v>6297.38</v>
      </c>
      <c r="E4911" s="2">
        <v>6297.38</v>
      </c>
      <c r="G4911" s="1" t="s">
        <v>9815</v>
      </c>
      <c r="H4911" s="2">
        <v>2360.14</v>
      </c>
      <c r="I4911" s="2">
        <v>2360.14</v>
      </c>
    </row>
    <row r="4912">
      <c r="A4912" s="1" t="s">
        <v>9816</v>
      </c>
      <c r="B4912" s="2">
        <v>2433.79</v>
      </c>
      <c r="C4912" s="2">
        <v>2433.79</v>
      </c>
      <c r="D4912" s="2">
        <v>6321.76</v>
      </c>
      <c r="E4912" s="2">
        <v>6321.76</v>
      </c>
      <c r="G4912" s="1" t="s">
        <v>9817</v>
      </c>
      <c r="H4912" s="2">
        <v>2363.57</v>
      </c>
      <c r="I4912" s="2">
        <v>2363.57</v>
      </c>
    </row>
    <row r="4913">
      <c r="A4913" s="1" t="s">
        <v>9818</v>
      </c>
      <c r="B4913" s="2">
        <v>2431.77</v>
      </c>
      <c r="C4913" s="2">
        <v>2431.77</v>
      </c>
      <c r="D4913" s="2">
        <v>6207.92</v>
      </c>
      <c r="E4913" s="2">
        <v>6207.92</v>
      </c>
      <c r="G4913" s="1" t="s">
        <v>9819</v>
      </c>
      <c r="H4913" s="2">
        <v>2381.69</v>
      </c>
      <c r="I4913" s="2">
        <v>2381.69</v>
      </c>
    </row>
    <row r="4914">
      <c r="A4914" s="1" t="s">
        <v>9820</v>
      </c>
      <c r="B4914" s="2" t="s">
        <v>0</v>
      </c>
      <c r="C4914" s="2">
        <v>2431.77</v>
      </c>
      <c r="D4914" s="2" t="s">
        <v>0</v>
      </c>
      <c r="E4914" s="2">
        <v>6207.92</v>
      </c>
      <c r="G4914" s="1" t="s">
        <v>9821</v>
      </c>
      <c r="H4914" s="2" t="s">
        <v>0</v>
      </c>
      <c r="I4914" s="2">
        <v>2381.69</v>
      </c>
    </row>
    <row r="4915">
      <c r="A4915" s="1" t="s">
        <v>9822</v>
      </c>
      <c r="B4915" s="2" t="s">
        <v>0</v>
      </c>
      <c r="C4915" s="2">
        <v>2431.77</v>
      </c>
      <c r="D4915" s="2" t="s">
        <v>0</v>
      </c>
      <c r="E4915" s="2">
        <v>6207.92</v>
      </c>
      <c r="G4915" s="1" t="s">
        <v>9823</v>
      </c>
      <c r="H4915" s="2" t="s">
        <v>0</v>
      </c>
      <c r="I4915" s="2">
        <v>2381.69</v>
      </c>
    </row>
    <row r="4916">
      <c r="A4916" s="1" t="s">
        <v>9824</v>
      </c>
      <c r="B4916" s="2">
        <v>2429.39</v>
      </c>
      <c r="C4916" s="2">
        <v>2429.39</v>
      </c>
      <c r="D4916" s="2">
        <v>6175.46</v>
      </c>
      <c r="E4916" s="2">
        <v>6175.46</v>
      </c>
      <c r="G4916" s="1" t="s">
        <v>9825</v>
      </c>
      <c r="H4916" s="2">
        <v>2357.87</v>
      </c>
      <c r="I4916" s="2">
        <v>2357.87</v>
      </c>
    </row>
    <row r="4917">
      <c r="A4917" s="1" t="s">
        <v>9826</v>
      </c>
      <c r="B4917" s="2">
        <v>2440.35</v>
      </c>
      <c r="C4917" s="2">
        <v>2440.35</v>
      </c>
      <c r="D4917" s="2">
        <v>6220.37</v>
      </c>
      <c r="E4917" s="2">
        <v>6220.37</v>
      </c>
      <c r="G4917" s="1" t="s">
        <v>9827</v>
      </c>
      <c r="H4917" s="2">
        <v>2374.7</v>
      </c>
      <c r="I4917" s="2">
        <v>2374.7</v>
      </c>
    </row>
    <row r="4918">
      <c r="A4918" s="1" t="s">
        <v>9828</v>
      </c>
      <c r="B4918" s="2">
        <v>2437.92</v>
      </c>
      <c r="C4918" s="2">
        <v>2437.92</v>
      </c>
      <c r="D4918" s="2">
        <v>6194.89</v>
      </c>
      <c r="E4918" s="2">
        <v>6194.89</v>
      </c>
      <c r="G4918" s="1" t="s">
        <v>9829</v>
      </c>
      <c r="H4918" s="2">
        <v>2372.64</v>
      </c>
      <c r="I4918" s="2">
        <v>2372.64</v>
      </c>
    </row>
    <row r="4919">
      <c r="A4919" s="1" t="s">
        <v>9830</v>
      </c>
      <c r="B4919" s="2">
        <v>2432.46</v>
      </c>
      <c r="C4919" s="2">
        <v>2432.46</v>
      </c>
      <c r="D4919" s="2">
        <v>6165.5</v>
      </c>
      <c r="E4919" s="2">
        <v>6165.5</v>
      </c>
      <c r="G4919" s="1" t="s">
        <v>9831</v>
      </c>
      <c r="H4919" s="2">
        <v>2361.65</v>
      </c>
      <c r="I4919" s="2">
        <v>2361.65</v>
      </c>
    </row>
    <row r="4920">
      <c r="A4920" s="1" t="s">
        <v>9832</v>
      </c>
      <c r="B4920" s="2">
        <v>2433.15</v>
      </c>
      <c r="C4920" s="2">
        <v>2433.15</v>
      </c>
      <c r="D4920" s="2">
        <v>6151.76</v>
      </c>
      <c r="E4920" s="2">
        <v>6151.76</v>
      </c>
      <c r="G4920" s="1" t="s">
        <v>9833</v>
      </c>
      <c r="H4920" s="2" t="s">
        <v>0</v>
      </c>
      <c r="I4920" s="2">
        <v>2361.65</v>
      </c>
    </row>
    <row r="4921">
      <c r="A4921" s="1" t="s">
        <v>9834</v>
      </c>
      <c r="B4921" s="2" t="s">
        <v>0</v>
      </c>
      <c r="C4921" s="2">
        <v>2433.15</v>
      </c>
      <c r="D4921" s="2" t="s">
        <v>0</v>
      </c>
      <c r="E4921" s="2">
        <v>6151.76</v>
      </c>
      <c r="G4921" s="1" t="s">
        <v>9835</v>
      </c>
      <c r="H4921" s="2" t="s">
        <v>0</v>
      </c>
      <c r="I4921" s="2">
        <v>2361.65</v>
      </c>
    </row>
    <row r="4922">
      <c r="A4922" s="1" t="s">
        <v>9836</v>
      </c>
      <c r="B4922" s="2" t="s">
        <v>0</v>
      </c>
      <c r="C4922" s="2">
        <v>2433.15</v>
      </c>
      <c r="D4922" s="2" t="s">
        <v>0</v>
      </c>
      <c r="E4922" s="2">
        <v>6151.76</v>
      </c>
      <c r="G4922" s="1" t="s">
        <v>9837</v>
      </c>
      <c r="H4922" s="2" t="s">
        <v>0</v>
      </c>
      <c r="I4922" s="2">
        <v>2361.65</v>
      </c>
    </row>
    <row r="4923">
      <c r="A4923" s="1" t="s">
        <v>9838</v>
      </c>
      <c r="B4923" s="2">
        <v>2453.46</v>
      </c>
      <c r="C4923" s="2">
        <v>2453.46</v>
      </c>
      <c r="D4923" s="2">
        <v>6239.01</v>
      </c>
      <c r="E4923" s="2">
        <v>6239.01</v>
      </c>
      <c r="G4923" s="1" t="s">
        <v>9839</v>
      </c>
      <c r="H4923" s="2">
        <v>2370.9</v>
      </c>
      <c r="I4923" s="2">
        <v>2370.9</v>
      </c>
    </row>
    <row r="4924">
      <c r="A4924" s="1" t="s">
        <v>9840</v>
      </c>
      <c r="B4924" s="2">
        <v>2437.03</v>
      </c>
      <c r="C4924" s="2">
        <v>2437.03</v>
      </c>
      <c r="D4924" s="2">
        <v>6188.03</v>
      </c>
      <c r="E4924" s="2">
        <v>6188.03</v>
      </c>
      <c r="G4924" s="1" t="s">
        <v>9841</v>
      </c>
      <c r="H4924" s="2">
        <v>2369.23</v>
      </c>
      <c r="I4924" s="2">
        <v>2369.23</v>
      </c>
    </row>
    <row r="4925">
      <c r="A4925" s="1" t="s">
        <v>9842</v>
      </c>
      <c r="B4925" s="2">
        <v>2435.61</v>
      </c>
      <c r="C4925" s="2">
        <v>2435.61</v>
      </c>
      <c r="D4925" s="2">
        <v>6233.95</v>
      </c>
      <c r="E4925" s="2">
        <v>6233.95</v>
      </c>
      <c r="G4925" s="1" t="s">
        <v>9843</v>
      </c>
      <c r="H4925" s="2">
        <v>2357.53</v>
      </c>
      <c r="I4925" s="2">
        <v>2357.53</v>
      </c>
    </row>
    <row r="4926">
      <c r="A4926" s="1" t="s">
        <v>9844</v>
      </c>
      <c r="B4926" s="2">
        <v>2434.5</v>
      </c>
      <c r="C4926" s="2">
        <v>2434.5</v>
      </c>
      <c r="D4926" s="2">
        <v>6236.69</v>
      </c>
      <c r="E4926" s="2">
        <v>6236.69</v>
      </c>
      <c r="G4926" s="1" t="s">
        <v>9845</v>
      </c>
      <c r="H4926" s="2">
        <v>2370.37</v>
      </c>
      <c r="I4926" s="2">
        <v>2370.37</v>
      </c>
    </row>
    <row r="4927">
      <c r="A4927" s="1" t="s">
        <v>9846</v>
      </c>
      <c r="B4927" s="2">
        <v>2438.3</v>
      </c>
      <c r="C4927" s="2">
        <v>2438.3</v>
      </c>
      <c r="D4927" s="2">
        <v>6265.25</v>
      </c>
      <c r="E4927" s="2">
        <v>6265.25</v>
      </c>
      <c r="G4927" s="1" t="s">
        <v>9847</v>
      </c>
      <c r="H4927" s="2">
        <v>2378.6</v>
      </c>
      <c r="I4927" s="2">
        <v>2378.6</v>
      </c>
    </row>
    <row r="4928">
      <c r="A4928" s="1" t="s">
        <v>9848</v>
      </c>
      <c r="B4928" s="2" t="s">
        <v>0</v>
      </c>
      <c r="C4928" s="2">
        <v>2438.3</v>
      </c>
      <c r="D4928" s="2" t="s">
        <v>0</v>
      </c>
      <c r="E4928" s="2">
        <v>6265.25</v>
      </c>
      <c r="G4928" s="1" t="s">
        <v>9849</v>
      </c>
      <c r="H4928" s="2" t="s">
        <v>0</v>
      </c>
      <c r="I4928" s="2">
        <v>2378.6</v>
      </c>
    </row>
    <row r="4929">
      <c r="A4929" s="1" t="s">
        <v>9850</v>
      </c>
      <c r="B4929" s="2" t="s">
        <v>0</v>
      </c>
      <c r="C4929" s="2">
        <v>2438.3</v>
      </c>
      <c r="D4929" s="2" t="s">
        <v>0</v>
      </c>
      <c r="E4929" s="2">
        <v>6265.25</v>
      </c>
      <c r="G4929" s="1" t="s">
        <v>9851</v>
      </c>
      <c r="H4929" s="2" t="s">
        <v>0</v>
      </c>
      <c r="I4929" s="2">
        <v>2378.6</v>
      </c>
    </row>
    <row r="4930">
      <c r="A4930" s="1" t="s">
        <v>9852</v>
      </c>
      <c r="B4930" s="2">
        <v>2439.07</v>
      </c>
      <c r="C4930" s="2">
        <v>2439.07</v>
      </c>
      <c r="D4930" s="2">
        <v>6247.15</v>
      </c>
      <c r="E4930" s="2">
        <v>6247.15</v>
      </c>
      <c r="G4930" s="1" t="s">
        <v>9853</v>
      </c>
      <c r="H4930" s="2">
        <v>2388.66</v>
      </c>
      <c r="I4930" s="2">
        <v>2388.66</v>
      </c>
    </row>
    <row r="4931">
      <c r="A4931" s="1" t="s">
        <v>9854</v>
      </c>
      <c r="B4931" s="2">
        <v>2419.38</v>
      </c>
      <c r="C4931" s="2">
        <v>2419.38</v>
      </c>
      <c r="D4931" s="2">
        <v>6146.62</v>
      </c>
      <c r="E4931" s="2">
        <v>6146.62</v>
      </c>
      <c r="G4931" s="1" t="s">
        <v>9855</v>
      </c>
      <c r="H4931" s="2">
        <v>2391.95</v>
      </c>
      <c r="I4931" s="2">
        <v>2391.95</v>
      </c>
    </row>
    <row r="4932">
      <c r="A4932" s="1" t="s">
        <v>9856</v>
      </c>
      <c r="B4932" s="2">
        <v>2440.69</v>
      </c>
      <c r="C4932" s="2">
        <v>2440.69</v>
      </c>
      <c r="D4932" s="2">
        <v>6234.41</v>
      </c>
      <c r="E4932" s="2">
        <v>6234.41</v>
      </c>
      <c r="G4932" s="1" t="s">
        <v>9857</v>
      </c>
      <c r="H4932" s="2">
        <v>2382.56</v>
      </c>
      <c r="I4932" s="2">
        <v>2382.56</v>
      </c>
    </row>
    <row r="4933">
      <c r="A4933" s="1" t="s">
        <v>9858</v>
      </c>
      <c r="B4933" s="2">
        <v>2419.7</v>
      </c>
      <c r="C4933" s="2">
        <v>2419.7</v>
      </c>
      <c r="D4933" s="2">
        <v>6144.35</v>
      </c>
      <c r="E4933" s="2">
        <v>6144.35</v>
      </c>
      <c r="G4933" s="1" t="s">
        <v>9859</v>
      </c>
      <c r="H4933" s="2">
        <v>2395.66</v>
      </c>
      <c r="I4933" s="2">
        <v>2395.66</v>
      </c>
    </row>
    <row r="4934">
      <c r="A4934" s="1" t="s">
        <v>9860</v>
      </c>
      <c r="B4934" s="2">
        <v>2423.41</v>
      </c>
      <c r="C4934" s="2">
        <v>2423.41</v>
      </c>
      <c r="D4934" s="2">
        <v>6140.42</v>
      </c>
      <c r="E4934" s="2">
        <v>6140.42</v>
      </c>
      <c r="G4934" s="1" t="s">
        <v>9861</v>
      </c>
      <c r="H4934" s="2">
        <v>2391.79</v>
      </c>
      <c r="I4934" s="2">
        <v>2391.79</v>
      </c>
    </row>
    <row r="4935">
      <c r="A4935" s="1" t="s">
        <v>9862</v>
      </c>
      <c r="B4935" s="2" t="s">
        <v>0</v>
      </c>
      <c r="C4935" s="2">
        <v>2423.41</v>
      </c>
      <c r="D4935" s="2" t="s">
        <v>0</v>
      </c>
      <c r="E4935" s="2">
        <v>6140.42</v>
      </c>
      <c r="G4935" s="1" t="s">
        <v>9863</v>
      </c>
      <c r="H4935" s="2" t="s">
        <v>0</v>
      </c>
      <c r="I4935" s="2">
        <v>2391.79</v>
      </c>
    </row>
    <row r="4936">
      <c r="A4936" s="1" t="s">
        <v>9864</v>
      </c>
      <c r="B4936" s="2" t="s">
        <v>0</v>
      </c>
      <c r="C4936" s="2">
        <v>2423.41</v>
      </c>
      <c r="D4936" s="2" t="s">
        <v>0</v>
      </c>
      <c r="E4936" s="2">
        <v>6140.42</v>
      </c>
      <c r="G4936" s="1" t="s">
        <v>9865</v>
      </c>
      <c r="H4936" s="2" t="s">
        <v>0</v>
      </c>
      <c r="I4936" s="2">
        <v>2391.79</v>
      </c>
    </row>
    <row r="4937">
      <c r="A4937" s="1" t="s">
        <v>9866</v>
      </c>
      <c r="B4937" s="2">
        <v>2429.01</v>
      </c>
      <c r="C4937" s="2">
        <v>2429.01</v>
      </c>
      <c r="D4937" s="2">
        <v>6110.06</v>
      </c>
      <c r="E4937" s="2">
        <v>6110.06</v>
      </c>
      <c r="G4937" s="1" t="s">
        <v>9867</v>
      </c>
      <c r="H4937" s="2">
        <v>2394.48</v>
      </c>
      <c r="I4937" s="2">
        <v>2394.48</v>
      </c>
    </row>
    <row r="4938">
      <c r="A4938" s="1" t="s">
        <v>9868</v>
      </c>
      <c r="B4938" s="2" t="s">
        <v>0</v>
      </c>
      <c r="C4938" s="2">
        <v>2429.01</v>
      </c>
      <c r="D4938" s="2" t="s">
        <v>0</v>
      </c>
      <c r="E4938" s="2">
        <v>6110.06</v>
      </c>
      <c r="G4938" s="1" t="s">
        <v>9869</v>
      </c>
      <c r="H4938" s="2">
        <v>2380.52</v>
      </c>
      <c r="I4938" s="2">
        <v>2380.52</v>
      </c>
    </row>
    <row r="4939">
      <c r="A4939" s="1" t="s">
        <v>9870</v>
      </c>
      <c r="B4939" s="2">
        <v>2432.54</v>
      </c>
      <c r="C4939" s="2">
        <v>2432.54</v>
      </c>
      <c r="D4939" s="2">
        <v>6150.86</v>
      </c>
      <c r="E4939" s="2">
        <v>6150.86</v>
      </c>
      <c r="G4939" s="1" t="s">
        <v>9871</v>
      </c>
      <c r="H4939" s="2">
        <v>2388.35</v>
      </c>
      <c r="I4939" s="2">
        <v>2388.35</v>
      </c>
    </row>
    <row r="4940">
      <c r="A4940" s="1" t="s">
        <v>9872</v>
      </c>
      <c r="B4940" s="2">
        <v>2409.75</v>
      </c>
      <c r="C4940" s="2">
        <v>2409.75</v>
      </c>
      <c r="D4940" s="2">
        <v>6089.46</v>
      </c>
      <c r="E4940" s="2">
        <v>6089.46</v>
      </c>
      <c r="G4940" s="1" t="s">
        <v>9873</v>
      </c>
      <c r="H4940" s="2">
        <v>2387.81</v>
      </c>
      <c r="I4940" s="2">
        <v>2387.81</v>
      </c>
    </row>
    <row r="4941">
      <c r="A4941" s="1" t="s">
        <v>9874</v>
      </c>
      <c r="B4941" s="2">
        <v>2425.18</v>
      </c>
      <c r="C4941" s="2">
        <v>2425.18</v>
      </c>
      <c r="D4941" s="2">
        <v>6153.08</v>
      </c>
      <c r="E4941" s="2">
        <v>6153.08</v>
      </c>
      <c r="G4941" s="1" t="s">
        <v>9875</v>
      </c>
      <c r="H4941" s="2">
        <v>2379.87</v>
      </c>
      <c r="I4941" s="2">
        <v>2379.87</v>
      </c>
    </row>
    <row r="4942">
      <c r="A4942" s="1" t="s">
        <v>9876</v>
      </c>
      <c r="B4942" s="2" t="s">
        <v>0</v>
      </c>
      <c r="C4942" s="2">
        <v>2425.18</v>
      </c>
      <c r="D4942" s="2" t="s">
        <v>0</v>
      </c>
      <c r="E4942" s="2">
        <v>6153.08</v>
      </c>
      <c r="G4942" s="1" t="s">
        <v>9877</v>
      </c>
      <c r="H4942" s="2" t="s">
        <v>0</v>
      </c>
      <c r="I4942" s="2">
        <v>2379.87</v>
      </c>
    </row>
    <row r="4943">
      <c r="A4943" s="1" t="s">
        <v>9878</v>
      </c>
      <c r="B4943" s="2" t="s">
        <v>0</v>
      </c>
      <c r="C4943" s="2">
        <v>2425.18</v>
      </c>
      <c r="D4943" s="2" t="s">
        <v>0</v>
      </c>
      <c r="E4943" s="2">
        <v>6153.08</v>
      </c>
      <c r="G4943" s="1" t="s">
        <v>9879</v>
      </c>
      <c r="H4943" s="2" t="s">
        <v>0</v>
      </c>
      <c r="I4943" s="2">
        <v>2379.87</v>
      </c>
    </row>
    <row r="4944">
      <c r="A4944" s="1" t="s">
        <v>9880</v>
      </c>
      <c r="B4944" s="2">
        <v>2427.43</v>
      </c>
      <c r="C4944" s="2">
        <v>2427.43</v>
      </c>
      <c r="D4944" s="2">
        <v>6176.39</v>
      </c>
      <c r="E4944" s="2">
        <v>6176.39</v>
      </c>
      <c r="G4944" s="1" t="s">
        <v>9881</v>
      </c>
      <c r="H4944" s="2">
        <v>2382.1</v>
      </c>
      <c r="I4944" s="2">
        <v>2382.1</v>
      </c>
    </row>
    <row r="4945">
      <c r="A4945" s="1" t="s">
        <v>9882</v>
      </c>
      <c r="B4945" s="2">
        <v>2425.53</v>
      </c>
      <c r="C4945" s="2">
        <v>2425.53</v>
      </c>
      <c r="D4945" s="2">
        <v>6193.3</v>
      </c>
      <c r="E4945" s="2">
        <v>6193.3</v>
      </c>
      <c r="G4945" s="1" t="s">
        <v>9883</v>
      </c>
      <c r="H4945" s="2">
        <v>2396.0</v>
      </c>
      <c r="I4945" s="2">
        <v>2396.0</v>
      </c>
    </row>
    <row r="4946">
      <c r="A4946" s="1" t="s">
        <v>9884</v>
      </c>
      <c r="B4946" s="2">
        <v>2443.25</v>
      </c>
      <c r="C4946" s="2">
        <v>2443.25</v>
      </c>
      <c r="D4946" s="2">
        <v>6261.17</v>
      </c>
      <c r="E4946" s="2">
        <v>6261.17</v>
      </c>
      <c r="G4946" s="1" t="s">
        <v>9885</v>
      </c>
      <c r="H4946" s="2">
        <v>2391.77</v>
      </c>
      <c r="I4946" s="2">
        <v>2391.77</v>
      </c>
    </row>
    <row r="4947">
      <c r="A4947" s="1" t="s">
        <v>9886</v>
      </c>
      <c r="B4947" s="2">
        <v>2447.83</v>
      </c>
      <c r="C4947" s="2">
        <v>2447.83</v>
      </c>
      <c r="D4947" s="2">
        <v>6274.44</v>
      </c>
      <c r="E4947" s="2">
        <v>6274.44</v>
      </c>
      <c r="G4947" s="1" t="s">
        <v>9887</v>
      </c>
      <c r="H4947" s="2">
        <v>2409.49</v>
      </c>
      <c r="I4947" s="2">
        <v>2409.49</v>
      </c>
    </row>
    <row r="4948">
      <c r="A4948" s="1" t="s">
        <v>9888</v>
      </c>
      <c r="B4948" s="2">
        <v>2459.27</v>
      </c>
      <c r="C4948" s="2">
        <v>2459.27</v>
      </c>
      <c r="D4948" s="2">
        <v>6312.47</v>
      </c>
      <c r="E4948" s="2">
        <v>6312.47</v>
      </c>
      <c r="G4948" s="1" t="s">
        <v>9889</v>
      </c>
      <c r="H4948" s="2">
        <v>2414.63</v>
      </c>
      <c r="I4948" s="2">
        <v>2414.63</v>
      </c>
    </row>
    <row r="4949">
      <c r="A4949" s="1" t="s">
        <v>9890</v>
      </c>
      <c r="B4949" s="2" t="s">
        <v>0</v>
      </c>
      <c r="C4949" s="2">
        <v>2459.27</v>
      </c>
      <c r="D4949" s="2" t="s">
        <v>0</v>
      </c>
      <c r="E4949" s="2">
        <v>6312.47</v>
      </c>
      <c r="G4949" s="1" t="s">
        <v>9891</v>
      </c>
      <c r="H4949" s="2" t="s">
        <v>0</v>
      </c>
      <c r="I4949" s="2">
        <v>2414.63</v>
      </c>
    </row>
    <row r="4950">
      <c r="A4950" s="1" t="s">
        <v>9892</v>
      </c>
      <c r="B4950" s="2" t="s">
        <v>0</v>
      </c>
      <c r="C4950" s="2">
        <v>2459.27</v>
      </c>
      <c r="D4950" s="2" t="s">
        <v>0</v>
      </c>
      <c r="E4950" s="2">
        <v>6312.47</v>
      </c>
      <c r="G4950" s="1" t="s">
        <v>9893</v>
      </c>
      <c r="H4950" s="2" t="s">
        <v>0</v>
      </c>
      <c r="I4950" s="2">
        <v>2414.63</v>
      </c>
    </row>
    <row r="4951">
      <c r="A4951" s="1" t="s">
        <v>9894</v>
      </c>
      <c r="B4951" s="2">
        <v>2459.14</v>
      </c>
      <c r="C4951" s="2">
        <v>2459.14</v>
      </c>
      <c r="D4951" s="2">
        <v>6314.43</v>
      </c>
      <c r="E4951" s="2">
        <v>6314.43</v>
      </c>
      <c r="G4951" s="1" t="s">
        <v>9895</v>
      </c>
      <c r="H4951" s="2">
        <v>2425.1</v>
      </c>
      <c r="I4951" s="2">
        <v>2425.1</v>
      </c>
    </row>
    <row r="4952">
      <c r="A4952" s="1" t="s">
        <v>9896</v>
      </c>
      <c r="B4952" s="2">
        <v>2460.61</v>
      </c>
      <c r="C4952" s="2">
        <v>2460.61</v>
      </c>
      <c r="D4952" s="2">
        <v>6344.31</v>
      </c>
      <c r="E4952" s="2">
        <v>6344.31</v>
      </c>
      <c r="G4952" s="1" t="s">
        <v>9897</v>
      </c>
      <c r="H4952" s="2">
        <v>2426.04</v>
      </c>
      <c r="I4952" s="2">
        <v>2426.04</v>
      </c>
    </row>
    <row r="4953">
      <c r="A4953" s="1" t="s">
        <v>9898</v>
      </c>
      <c r="B4953" s="2">
        <v>2473.83</v>
      </c>
      <c r="C4953" s="2">
        <v>2473.83</v>
      </c>
      <c r="D4953" s="2">
        <v>6385.04</v>
      </c>
      <c r="E4953" s="2">
        <v>6385.04</v>
      </c>
      <c r="G4953" s="1" t="s">
        <v>9899</v>
      </c>
      <c r="H4953" s="2">
        <v>2429.94</v>
      </c>
      <c r="I4953" s="2">
        <v>2429.94</v>
      </c>
    </row>
    <row r="4954">
      <c r="A4954" s="1" t="s">
        <v>9900</v>
      </c>
      <c r="B4954" s="2">
        <v>2473.45</v>
      </c>
      <c r="C4954" s="2">
        <v>2473.45</v>
      </c>
      <c r="D4954" s="2">
        <v>6390.0</v>
      </c>
      <c r="E4954" s="2">
        <v>6390.0</v>
      </c>
      <c r="G4954" s="1" t="s">
        <v>9901</v>
      </c>
      <c r="H4954" s="2">
        <v>2441.84</v>
      </c>
      <c r="I4954" s="2">
        <v>2441.84</v>
      </c>
    </row>
    <row r="4955">
      <c r="A4955" s="1" t="s">
        <v>9902</v>
      </c>
      <c r="B4955" s="2">
        <v>2472.54</v>
      </c>
      <c r="C4955" s="2">
        <v>2472.54</v>
      </c>
      <c r="D4955" s="2">
        <v>6387.75</v>
      </c>
      <c r="E4955" s="2">
        <v>6387.75</v>
      </c>
      <c r="G4955" s="1" t="s">
        <v>9903</v>
      </c>
      <c r="H4955" s="2">
        <v>2450.06</v>
      </c>
      <c r="I4955" s="2">
        <v>2450.06</v>
      </c>
    </row>
    <row r="4956">
      <c r="A4956" s="1" t="s">
        <v>9904</v>
      </c>
      <c r="B4956" s="2" t="s">
        <v>0</v>
      </c>
      <c r="C4956" s="2">
        <v>2472.54</v>
      </c>
      <c r="D4956" s="2" t="s">
        <v>0</v>
      </c>
      <c r="E4956" s="2">
        <v>6387.75</v>
      </c>
      <c r="G4956" s="1" t="s">
        <v>9905</v>
      </c>
      <c r="H4956" s="2" t="s">
        <v>0</v>
      </c>
      <c r="I4956" s="2">
        <v>2450.06</v>
      </c>
    </row>
    <row r="4957">
      <c r="A4957" s="1" t="s">
        <v>9906</v>
      </c>
      <c r="B4957" s="2" t="s">
        <v>0</v>
      </c>
      <c r="C4957" s="2">
        <v>2472.54</v>
      </c>
      <c r="D4957" s="2" t="s">
        <v>0</v>
      </c>
      <c r="E4957" s="2">
        <v>6387.75</v>
      </c>
      <c r="G4957" s="1" t="s">
        <v>9907</v>
      </c>
      <c r="H4957" s="2" t="s">
        <v>0</v>
      </c>
      <c r="I4957" s="2">
        <v>2450.06</v>
      </c>
    </row>
    <row r="4958">
      <c r="A4958" s="1" t="s">
        <v>9908</v>
      </c>
      <c r="B4958" s="2">
        <v>2469.91</v>
      </c>
      <c r="C4958" s="2">
        <v>2469.91</v>
      </c>
      <c r="D4958" s="2">
        <v>6410.81</v>
      </c>
      <c r="E4958" s="2">
        <v>6410.81</v>
      </c>
      <c r="G4958" s="1" t="s">
        <v>9909</v>
      </c>
      <c r="H4958" s="2">
        <v>2451.53</v>
      </c>
      <c r="I4958" s="2">
        <v>2451.53</v>
      </c>
    </row>
    <row r="4959">
      <c r="A4959" s="1" t="s">
        <v>9910</v>
      </c>
      <c r="B4959" s="2">
        <v>2477.13</v>
      </c>
      <c r="C4959" s="2">
        <v>2477.13</v>
      </c>
      <c r="D4959" s="2">
        <v>6412.17</v>
      </c>
      <c r="E4959" s="2">
        <v>6412.17</v>
      </c>
      <c r="G4959" s="1" t="s">
        <v>9911</v>
      </c>
      <c r="H4959" s="2">
        <v>2439.9</v>
      </c>
      <c r="I4959" s="2">
        <v>2439.9</v>
      </c>
    </row>
    <row r="4960">
      <c r="A4960" s="1" t="s">
        <v>9912</v>
      </c>
      <c r="B4960" s="2">
        <v>2477.83</v>
      </c>
      <c r="C4960" s="2">
        <v>2477.83</v>
      </c>
      <c r="D4960" s="2">
        <v>6422.75</v>
      </c>
      <c r="E4960" s="2">
        <v>6422.75</v>
      </c>
      <c r="G4960" s="1" t="s">
        <v>9913</v>
      </c>
      <c r="H4960" s="2">
        <v>2434.51</v>
      </c>
      <c r="I4960" s="2">
        <v>2434.51</v>
      </c>
    </row>
    <row r="4961">
      <c r="A4961" s="1" t="s">
        <v>9914</v>
      </c>
      <c r="B4961" s="2">
        <v>2475.42</v>
      </c>
      <c r="C4961" s="2">
        <v>2475.42</v>
      </c>
      <c r="D4961" s="2">
        <v>6382.19</v>
      </c>
      <c r="E4961" s="2">
        <v>6382.19</v>
      </c>
      <c r="G4961" s="1" t="s">
        <v>9915</v>
      </c>
      <c r="H4961" s="2">
        <v>2443.24</v>
      </c>
      <c r="I4961" s="2">
        <v>2443.24</v>
      </c>
    </row>
    <row r="4962">
      <c r="A4962" s="1" t="s">
        <v>9916</v>
      </c>
      <c r="B4962" s="2">
        <v>2472.1</v>
      </c>
      <c r="C4962" s="2">
        <v>2472.1</v>
      </c>
      <c r="D4962" s="2">
        <v>6374.68</v>
      </c>
      <c r="E4962" s="2">
        <v>6374.68</v>
      </c>
      <c r="G4962" s="1" t="s">
        <v>9917</v>
      </c>
      <c r="H4962" s="2">
        <v>2400.99</v>
      </c>
      <c r="I4962" s="2">
        <v>2400.99</v>
      </c>
    </row>
    <row r="4963">
      <c r="A4963" s="1" t="s">
        <v>9918</v>
      </c>
      <c r="B4963" s="2" t="s">
        <v>0</v>
      </c>
      <c r="C4963" s="2">
        <v>2472.1</v>
      </c>
      <c r="D4963" s="2" t="s">
        <v>0</v>
      </c>
      <c r="E4963" s="2">
        <v>6374.68</v>
      </c>
      <c r="G4963" s="1" t="s">
        <v>9919</v>
      </c>
      <c r="H4963" s="2" t="s">
        <v>0</v>
      </c>
      <c r="I4963" s="2">
        <v>2400.99</v>
      </c>
    </row>
    <row r="4964">
      <c r="A4964" s="1" t="s">
        <v>9920</v>
      </c>
      <c r="B4964" s="2" t="s">
        <v>0</v>
      </c>
      <c r="C4964" s="2">
        <v>2472.1</v>
      </c>
      <c r="D4964" s="2" t="s">
        <v>0</v>
      </c>
      <c r="E4964" s="2">
        <v>6374.68</v>
      </c>
      <c r="G4964" s="1" t="s">
        <v>9921</v>
      </c>
      <c r="H4964" s="2" t="s">
        <v>0</v>
      </c>
      <c r="I4964" s="2">
        <v>2400.99</v>
      </c>
    </row>
    <row r="4965">
      <c r="A4965" s="1" t="s">
        <v>9922</v>
      </c>
      <c r="B4965" s="2">
        <v>2470.3</v>
      </c>
      <c r="C4965" s="2">
        <v>2470.3</v>
      </c>
      <c r="D4965" s="2">
        <v>6348.12</v>
      </c>
      <c r="E4965" s="2">
        <v>6348.12</v>
      </c>
      <c r="G4965" s="1" t="s">
        <v>9923</v>
      </c>
      <c r="H4965" s="2">
        <v>2402.71</v>
      </c>
      <c r="I4965" s="2">
        <v>2402.71</v>
      </c>
    </row>
    <row r="4966">
      <c r="A4966" s="1" t="s">
        <v>9924</v>
      </c>
      <c r="B4966" s="2">
        <v>2476.35</v>
      </c>
      <c r="C4966" s="2">
        <v>2476.35</v>
      </c>
      <c r="D4966" s="2">
        <v>6362.94</v>
      </c>
      <c r="E4966" s="2">
        <v>6362.94</v>
      </c>
      <c r="G4966" s="1" t="s">
        <v>9925</v>
      </c>
      <c r="H4966" s="2">
        <v>2422.96</v>
      </c>
      <c r="I4966" s="2">
        <v>2422.96</v>
      </c>
    </row>
    <row r="4967">
      <c r="A4967" s="1" t="s">
        <v>9926</v>
      </c>
      <c r="B4967" s="2">
        <v>2477.57</v>
      </c>
      <c r="C4967" s="2">
        <v>2477.57</v>
      </c>
      <c r="D4967" s="2">
        <v>6362.65</v>
      </c>
      <c r="E4967" s="2">
        <v>6362.65</v>
      </c>
      <c r="G4967" s="1" t="s">
        <v>9927</v>
      </c>
      <c r="H4967" s="2">
        <v>2427.63</v>
      </c>
      <c r="I4967" s="2">
        <v>2427.63</v>
      </c>
    </row>
    <row r="4968">
      <c r="A4968" s="1" t="s">
        <v>9928</v>
      </c>
      <c r="B4968" s="2">
        <v>2472.16</v>
      </c>
      <c r="C4968" s="2">
        <v>2472.16</v>
      </c>
      <c r="D4968" s="2">
        <v>6340.34</v>
      </c>
      <c r="E4968" s="2">
        <v>6340.34</v>
      </c>
      <c r="G4968" s="1" t="s">
        <v>9929</v>
      </c>
      <c r="H4968" s="2">
        <v>2386.85</v>
      </c>
      <c r="I4968" s="2">
        <v>2386.85</v>
      </c>
    </row>
    <row r="4969">
      <c r="A4969" s="1" t="s">
        <v>9930</v>
      </c>
      <c r="B4969" s="2">
        <v>2476.83</v>
      </c>
      <c r="C4969" s="2">
        <v>2476.83</v>
      </c>
      <c r="D4969" s="2">
        <v>6351.56</v>
      </c>
      <c r="E4969" s="2">
        <v>6351.56</v>
      </c>
      <c r="G4969" s="1" t="s">
        <v>9931</v>
      </c>
      <c r="H4969" s="2">
        <v>2395.45</v>
      </c>
      <c r="I4969" s="2">
        <v>2395.45</v>
      </c>
    </row>
    <row r="4970">
      <c r="A4970" s="1" t="s">
        <v>9932</v>
      </c>
      <c r="B4970" s="2" t="s">
        <v>0</v>
      </c>
      <c r="C4970" s="2">
        <v>2476.83</v>
      </c>
      <c r="D4970" s="2" t="s">
        <v>0</v>
      </c>
      <c r="E4970" s="2">
        <v>6351.56</v>
      </c>
      <c r="G4970" s="1" t="s">
        <v>9933</v>
      </c>
      <c r="H4970" s="2" t="s">
        <v>0</v>
      </c>
      <c r="I4970" s="2">
        <v>2395.45</v>
      </c>
    </row>
    <row r="4971">
      <c r="A4971" s="1" t="s">
        <v>9934</v>
      </c>
      <c r="B4971" s="2" t="s">
        <v>0</v>
      </c>
      <c r="C4971" s="2">
        <v>2476.83</v>
      </c>
      <c r="D4971" s="2" t="s">
        <v>0</v>
      </c>
      <c r="E4971" s="2">
        <v>6351.56</v>
      </c>
      <c r="G4971" s="1" t="s">
        <v>9935</v>
      </c>
      <c r="H4971" s="2" t="s">
        <v>0</v>
      </c>
      <c r="I4971" s="2">
        <v>2395.45</v>
      </c>
    </row>
    <row r="4972">
      <c r="A4972" s="1" t="s">
        <v>9936</v>
      </c>
      <c r="B4972" s="2">
        <v>2480.91</v>
      </c>
      <c r="C4972" s="2">
        <v>2480.91</v>
      </c>
      <c r="D4972" s="2">
        <v>6383.77</v>
      </c>
      <c r="E4972" s="2">
        <v>6383.77</v>
      </c>
      <c r="G4972" s="1" t="s">
        <v>9937</v>
      </c>
      <c r="H4972" s="2">
        <v>2398.75</v>
      </c>
      <c r="I4972" s="2">
        <v>2398.75</v>
      </c>
    </row>
    <row r="4973">
      <c r="A4973" s="1" t="s">
        <v>9938</v>
      </c>
      <c r="B4973" s="2">
        <v>2474.92</v>
      </c>
      <c r="C4973" s="2">
        <v>2474.92</v>
      </c>
      <c r="D4973" s="2">
        <v>6370.46</v>
      </c>
      <c r="E4973" s="2">
        <v>6370.46</v>
      </c>
      <c r="G4973" s="1" t="s">
        <v>9939</v>
      </c>
      <c r="H4973" s="2">
        <v>2394.73</v>
      </c>
      <c r="I4973" s="2">
        <v>2394.73</v>
      </c>
    </row>
    <row r="4974">
      <c r="A4974" s="1" t="s">
        <v>9940</v>
      </c>
      <c r="B4974" s="2">
        <v>2474.02</v>
      </c>
      <c r="C4974" s="2">
        <v>2474.02</v>
      </c>
      <c r="D4974" s="2">
        <v>6352.33</v>
      </c>
      <c r="E4974" s="2">
        <v>6352.33</v>
      </c>
      <c r="G4974" s="1" t="s">
        <v>9941</v>
      </c>
      <c r="H4974" s="2">
        <v>2368.39</v>
      </c>
      <c r="I4974" s="2">
        <v>2368.39</v>
      </c>
    </row>
    <row r="4975">
      <c r="A4975" s="1" t="s">
        <v>9942</v>
      </c>
      <c r="B4975" s="2">
        <v>2438.21</v>
      </c>
      <c r="C4975" s="2">
        <v>2438.21</v>
      </c>
      <c r="D4975" s="2">
        <v>6216.87</v>
      </c>
      <c r="E4975" s="2">
        <v>6216.87</v>
      </c>
      <c r="G4975" s="1" t="s">
        <v>9943</v>
      </c>
      <c r="H4975" s="2">
        <v>2359.47</v>
      </c>
      <c r="I4975" s="2">
        <v>2359.47</v>
      </c>
    </row>
    <row r="4976">
      <c r="A4976" s="1" t="s">
        <v>9944</v>
      </c>
      <c r="B4976" s="2">
        <v>2441.32</v>
      </c>
      <c r="C4976" s="2">
        <v>2441.32</v>
      </c>
      <c r="D4976" s="2">
        <v>6256.56</v>
      </c>
      <c r="E4976" s="2">
        <v>6256.56</v>
      </c>
      <c r="G4976" s="1" t="s">
        <v>9945</v>
      </c>
      <c r="H4976" s="2">
        <v>2319.71</v>
      </c>
      <c r="I4976" s="2">
        <v>2319.71</v>
      </c>
    </row>
    <row r="4977">
      <c r="A4977" s="1" t="s">
        <v>9946</v>
      </c>
      <c r="B4977" s="2" t="s">
        <v>0</v>
      </c>
      <c r="C4977" s="2">
        <v>2441.32</v>
      </c>
      <c r="D4977" s="2" t="s">
        <v>0</v>
      </c>
      <c r="E4977" s="2">
        <v>6256.56</v>
      </c>
      <c r="G4977" s="1" t="s">
        <v>9947</v>
      </c>
      <c r="H4977" s="2" t="s">
        <v>0</v>
      </c>
      <c r="I4977" s="2">
        <v>2319.71</v>
      </c>
    </row>
    <row r="4978">
      <c r="A4978" s="1" t="s">
        <v>9948</v>
      </c>
      <c r="B4978" s="2" t="s">
        <v>0</v>
      </c>
      <c r="C4978" s="2">
        <v>2441.32</v>
      </c>
      <c r="D4978" s="2" t="s">
        <v>0</v>
      </c>
      <c r="E4978" s="2">
        <v>6256.56</v>
      </c>
      <c r="G4978" s="1" t="s">
        <v>9949</v>
      </c>
      <c r="H4978" s="2" t="s">
        <v>0</v>
      </c>
      <c r="I4978" s="2">
        <v>2319.71</v>
      </c>
    </row>
    <row r="4979">
      <c r="A4979" s="1" t="s">
        <v>9950</v>
      </c>
      <c r="B4979" s="2">
        <v>2465.84</v>
      </c>
      <c r="C4979" s="2">
        <v>2465.84</v>
      </c>
      <c r="D4979" s="2">
        <v>6340.23</v>
      </c>
      <c r="E4979" s="2">
        <v>6340.23</v>
      </c>
      <c r="G4979" s="1" t="s">
        <v>9951</v>
      </c>
      <c r="H4979" s="2">
        <v>2334.22</v>
      </c>
      <c r="I4979" s="2">
        <v>2334.22</v>
      </c>
    </row>
    <row r="4980">
      <c r="A4980" s="1" t="s">
        <v>9952</v>
      </c>
      <c r="B4980" s="2">
        <v>2464.61</v>
      </c>
      <c r="C4980" s="2">
        <v>2464.61</v>
      </c>
      <c r="D4980" s="2">
        <v>6333.01</v>
      </c>
      <c r="E4980" s="2">
        <v>6333.01</v>
      </c>
      <c r="G4980" s="1" t="s">
        <v>9953</v>
      </c>
      <c r="H4980" s="2" t="s">
        <v>0</v>
      </c>
      <c r="I4980" s="2">
        <v>2334.22</v>
      </c>
    </row>
    <row r="4981">
      <c r="A4981" s="1" t="s">
        <v>9954</v>
      </c>
      <c r="B4981" s="2">
        <v>2468.11</v>
      </c>
      <c r="C4981" s="2">
        <v>2468.11</v>
      </c>
      <c r="D4981" s="2">
        <v>6345.11</v>
      </c>
      <c r="E4981" s="2">
        <v>6345.11</v>
      </c>
      <c r="G4981" s="1" t="s">
        <v>9955</v>
      </c>
      <c r="H4981" s="2">
        <v>2348.26</v>
      </c>
      <c r="I4981" s="2">
        <v>2348.26</v>
      </c>
    </row>
    <row r="4982">
      <c r="A4982" s="1" t="s">
        <v>9956</v>
      </c>
      <c r="B4982" s="2">
        <v>2430.01</v>
      </c>
      <c r="C4982" s="2">
        <v>2430.01</v>
      </c>
      <c r="D4982" s="2">
        <v>6221.91</v>
      </c>
      <c r="E4982" s="2">
        <v>6221.91</v>
      </c>
      <c r="G4982" s="1" t="s">
        <v>9957</v>
      </c>
      <c r="H4982" s="2">
        <v>2361.67</v>
      </c>
      <c r="I4982" s="2">
        <v>2361.67</v>
      </c>
    </row>
    <row r="4983">
      <c r="A4983" s="1" t="s">
        <v>9958</v>
      </c>
      <c r="B4983" s="2">
        <v>2425.55</v>
      </c>
      <c r="C4983" s="2">
        <v>2425.55</v>
      </c>
      <c r="D4983" s="2">
        <v>6216.53</v>
      </c>
      <c r="E4983" s="2">
        <v>6216.53</v>
      </c>
      <c r="G4983" s="1" t="s">
        <v>9959</v>
      </c>
      <c r="H4983" s="2">
        <v>2358.37</v>
      </c>
      <c r="I4983" s="2">
        <v>2358.37</v>
      </c>
    </row>
    <row r="4984">
      <c r="A4984" s="1" t="s">
        <v>9960</v>
      </c>
      <c r="B4984" s="2" t="s">
        <v>0</v>
      </c>
      <c r="C4984" s="2">
        <v>2425.55</v>
      </c>
      <c r="D4984" s="2" t="s">
        <v>0</v>
      </c>
      <c r="E4984" s="2">
        <v>6216.53</v>
      </c>
      <c r="G4984" s="1" t="s">
        <v>9961</v>
      </c>
      <c r="H4984" s="2" t="s">
        <v>0</v>
      </c>
      <c r="I4984" s="2">
        <v>2358.37</v>
      </c>
    </row>
    <row r="4985">
      <c r="A4985" s="1" t="s">
        <v>9962</v>
      </c>
      <c r="B4985" s="2" t="s">
        <v>0</v>
      </c>
      <c r="C4985" s="2">
        <v>2425.55</v>
      </c>
      <c r="D4985" s="2" t="s">
        <v>0</v>
      </c>
      <c r="E4985" s="2">
        <v>6216.53</v>
      </c>
      <c r="G4985" s="1" t="s">
        <v>9963</v>
      </c>
      <c r="H4985" s="2" t="s">
        <v>0</v>
      </c>
      <c r="I4985" s="2">
        <v>2358.37</v>
      </c>
    </row>
    <row r="4986">
      <c r="A4986" s="1" t="s">
        <v>9964</v>
      </c>
      <c r="B4986" s="2">
        <v>2428.37</v>
      </c>
      <c r="C4986" s="2">
        <v>2428.37</v>
      </c>
      <c r="D4986" s="2">
        <v>6213.13</v>
      </c>
      <c r="E4986" s="2">
        <v>6213.13</v>
      </c>
      <c r="G4986" s="1" t="s">
        <v>9965</v>
      </c>
      <c r="H4986" s="2">
        <v>2355.0</v>
      </c>
      <c r="I4986" s="2">
        <v>2355.0</v>
      </c>
    </row>
    <row r="4987">
      <c r="A4987" s="1" t="s">
        <v>9966</v>
      </c>
      <c r="B4987" s="2">
        <v>2452.51</v>
      </c>
      <c r="C4987" s="2">
        <v>2452.51</v>
      </c>
      <c r="D4987" s="2">
        <v>6297.48</v>
      </c>
      <c r="E4987" s="2">
        <v>6297.48</v>
      </c>
      <c r="G4987" s="1" t="s">
        <v>9967</v>
      </c>
      <c r="H4987" s="2">
        <v>2365.33</v>
      </c>
      <c r="I4987" s="2">
        <v>2365.33</v>
      </c>
    </row>
    <row r="4988">
      <c r="A4988" s="1" t="s">
        <v>9968</v>
      </c>
      <c r="B4988" s="2">
        <v>2444.04</v>
      </c>
      <c r="C4988" s="2">
        <v>2444.04</v>
      </c>
      <c r="D4988" s="2">
        <v>6278.41</v>
      </c>
      <c r="E4988" s="2">
        <v>6278.41</v>
      </c>
      <c r="G4988" s="1" t="s">
        <v>9969</v>
      </c>
      <c r="H4988" s="2">
        <v>2366.4</v>
      </c>
      <c r="I4988" s="2">
        <v>2366.4</v>
      </c>
    </row>
    <row r="4989">
      <c r="A4989" s="1" t="s">
        <v>9970</v>
      </c>
      <c r="B4989" s="2">
        <v>2438.97</v>
      </c>
      <c r="C4989" s="2">
        <v>2438.97</v>
      </c>
      <c r="D4989" s="2">
        <v>6271.33</v>
      </c>
      <c r="E4989" s="2">
        <v>6271.33</v>
      </c>
      <c r="G4989" s="1" t="s">
        <v>9971</v>
      </c>
      <c r="H4989" s="2">
        <v>2375.84</v>
      </c>
      <c r="I4989" s="2">
        <v>2375.84</v>
      </c>
    </row>
    <row r="4990">
      <c r="A4990" s="1" t="s">
        <v>9972</v>
      </c>
      <c r="B4990" s="2">
        <v>2443.05</v>
      </c>
      <c r="C4990" s="2">
        <v>2443.05</v>
      </c>
      <c r="D4990" s="2">
        <v>6265.64</v>
      </c>
      <c r="E4990" s="2">
        <v>6265.64</v>
      </c>
      <c r="G4990" s="1" t="s">
        <v>9973</v>
      </c>
      <c r="H4990" s="2">
        <v>2378.51</v>
      </c>
      <c r="I4990" s="2">
        <v>2378.51</v>
      </c>
    </row>
    <row r="4991">
      <c r="A4991" s="1" t="s">
        <v>9974</v>
      </c>
      <c r="B4991" s="2" t="s">
        <v>0</v>
      </c>
      <c r="C4991" s="2">
        <v>2443.05</v>
      </c>
      <c r="D4991" s="2" t="s">
        <v>0</v>
      </c>
      <c r="E4991" s="2">
        <v>6265.64</v>
      </c>
      <c r="G4991" s="1" t="s">
        <v>9975</v>
      </c>
      <c r="H4991" s="2" t="s">
        <v>0</v>
      </c>
      <c r="I4991" s="2">
        <v>2378.51</v>
      </c>
    </row>
    <row r="4992">
      <c r="A4992" s="1" t="s">
        <v>9976</v>
      </c>
      <c r="B4992" s="2" t="s">
        <v>0</v>
      </c>
      <c r="C4992" s="2">
        <v>2443.05</v>
      </c>
      <c r="D4992" s="2" t="s">
        <v>0</v>
      </c>
      <c r="E4992" s="2">
        <v>6265.64</v>
      </c>
      <c r="G4992" s="1" t="s">
        <v>9977</v>
      </c>
      <c r="H4992" s="2" t="s">
        <v>0</v>
      </c>
      <c r="I4992" s="2">
        <v>2378.51</v>
      </c>
    </row>
    <row r="4993">
      <c r="A4993" s="1" t="s">
        <v>9978</v>
      </c>
      <c r="B4993" s="2">
        <v>2444.24</v>
      </c>
      <c r="C4993" s="2">
        <v>2444.24</v>
      </c>
      <c r="D4993" s="2">
        <v>6283.02</v>
      </c>
      <c r="E4993" s="2">
        <v>6283.02</v>
      </c>
      <c r="G4993" s="1" t="s">
        <v>9979</v>
      </c>
      <c r="H4993" s="2">
        <v>2370.3</v>
      </c>
      <c r="I4993" s="2">
        <v>2370.3</v>
      </c>
    </row>
    <row r="4994">
      <c r="A4994" s="1" t="s">
        <v>9980</v>
      </c>
      <c r="B4994" s="2">
        <v>2446.3</v>
      </c>
      <c r="C4994" s="2">
        <v>2446.3</v>
      </c>
      <c r="D4994" s="2">
        <v>6301.89</v>
      </c>
      <c r="E4994" s="2">
        <v>6301.89</v>
      </c>
      <c r="G4994" s="1" t="s">
        <v>9981</v>
      </c>
      <c r="H4994" s="2">
        <v>2364.74</v>
      </c>
      <c r="I4994" s="2">
        <v>2364.74</v>
      </c>
    </row>
    <row r="4995">
      <c r="A4995" s="1" t="s">
        <v>9982</v>
      </c>
      <c r="B4995" s="2">
        <v>2457.59</v>
      </c>
      <c r="C4995" s="2">
        <v>2457.59</v>
      </c>
      <c r="D4995" s="2">
        <v>6368.31</v>
      </c>
      <c r="E4995" s="2">
        <v>6368.31</v>
      </c>
      <c r="G4995" s="1" t="s">
        <v>9983</v>
      </c>
      <c r="H4995" s="2">
        <v>2372.29</v>
      </c>
      <c r="I4995" s="2">
        <v>2372.29</v>
      </c>
    </row>
    <row r="4996">
      <c r="A4996" s="1" t="s">
        <v>9984</v>
      </c>
      <c r="B4996" s="2">
        <v>2471.65</v>
      </c>
      <c r="C4996" s="2">
        <v>2471.65</v>
      </c>
      <c r="D4996" s="2">
        <v>6428.66</v>
      </c>
      <c r="E4996" s="2">
        <v>6428.66</v>
      </c>
      <c r="G4996" s="1" t="s">
        <v>9985</v>
      </c>
      <c r="H4996" s="2">
        <v>2363.19</v>
      </c>
      <c r="I4996" s="2">
        <v>2363.19</v>
      </c>
    </row>
    <row r="4997">
      <c r="A4997" s="1" t="s">
        <v>9986</v>
      </c>
      <c r="B4997" s="2">
        <v>2476.55</v>
      </c>
      <c r="C4997" s="2">
        <v>2476.55</v>
      </c>
      <c r="D4997" s="2">
        <v>6435.33</v>
      </c>
      <c r="E4997" s="2">
        <v>6435.33</v>
      </c>
      <c r="G4997" s="1" t="s">
        <v>9987</v>
      </c>
      <c r="H4997" s="2">
        <v>2357.69</v>
      </c>
      <c r="I4997" s="2">
        <v>2357.69</v>
      </c>
    </row>
    <row r="4998">
      <c r="A4998" s="1" t="s">
        <v>9988</v>
      </c>
      <c r="B4998" s="2" t="s">
        <v>0</v>
      </c>
      <c r="C4998" s="2">
        <v>2476.55</v>
      </c>
      <c r="D4998" s="2" t="s">
        <v>0</v>
      </c>
      <c r="E4998" s="2">
        <v>6435.33</v>
      </c>
      <c r="G4998" s="1" t="s">
        <v>9989</v>
      </c>
      <c r="H4998" s="2" t="s">
        <v>0</v>
      </c>
      <c r="I4998" s="2">
        <v>2357.69</v>
      </c>
    </row>
    <row r="4999">
      <c r="A4999" s="1" t="s">
        <v>9990</v>
      </c>
      <c r="B4999" s="2" t="s">
        <v>0</v>
      </c>
      <c r="C4999" s="2">
        <v>2476.55</v>
      </c>
      <c r="D4999" s="2" t="s">
        <v>0</v>
      </c>
      <c r="E4999" s="2">
        <v>6435.33</v>
      </c>
      <c r="G4999" s="1" t="s">
        <v>9991</v>
      </c>
      <c r="H4999" s="2" t="s">
        <v>0</v>
      </c>
      <c r="I4999" s="2">
        <v>2357.69</v>
      </c>
    </row>
    <row r="5000">
      <c r="A5000" s="1" t="s">
        <v>9992</v>
      </c>
      <c r="B5000" s="2" t="s">
        <v>0</v>
      </c>
      <c r="C5000" s="2">
        <v>2476.55</v>
      </c>
      <c r="D5000" s="2" t="s">
        <v>0</v>
      </c>
      <c r="E5000" s="2">
        <v>6435.33</v>
      </c>
      <c r="G5000" s="1" t="s">
        <v>9993</v>
      </c>
      <c r="H5000" s="2">
        <v>2329.65</v>
      </c>
      <c r="I5000" s="2">
        <v>2329.65</v>
      </c>
    </row>
    <row r="5001">
      <c r="A5001" s="1" t="s">
        <v>9994</v>
      </c>
      <c r="B5001" s="2">
        <v>2457.85</v>
      </c>
      <c r="C5001" s="2">
        <v>2457.85</v>
      </c>
      <c r="D5001" s="2">
        <v>6375.57</v>
      </c>
      <c r="E5001" s="2">
        <v>6375.57</v>
      </c>
      <c r="G5001" s="1" t="s">
        <v>9995</v>
      </c>
      <c r="H5001" s="2">
        <v>2326.62</v>
      </c>
      <c r="I5001" s="2">
        <v>2326.62</v>
      </c>
    </row>
    <row r="5002">
      <c r="A5002" s="1" t="s">
        <v>9996</v>
      </c>
      <c r="B5002" s="2">
        <v>2465.54</v>
      </c>
      <c r="C5002" s="2">
        <v>2465.54</v>
      </c>
      <c r="D5002" s="2">
        <v>6393.31</v>
      </c>
      <c r="E5002" s="2">
        <v>6393.31</v>
      </c>
      <c r="G5002" s="1" t="s">
        <v>9997</v>
      </c>
      <c r="H5002" s="2">
        <v>2319.82</v>
      </c>
      <c r="I5002" s="2">
        <v>2319.82</v>
      </c>
    </row>
    <row r="5003">
      <c r="A5003" s="1" t="s">
        <v>9998</v>
      </c>
      <c r="B5003" s="2">
        <v>2465.1</v>
      </c>
      <c r="C5003" s="2">
        <v>2465.1</v>
      </c>
      <c r="D5003" s="2">
        <v>6397.87</v>
      </c>
      <c r="E5003" s="2">
        <v>6397.87</v>
      </c>
      <c r="G5003" s="1" t="s">
        <v>9999</v>
      </c>
      <c r="H5003" s="2">
        <v>2346.19</v>
      </c>
      <c r="I5003" s="2">
        <v>2346.19</v>
      </c>
    </row>
    <row r="5004">
      <c r="A5004" s="1" t="s">
        <v>10000</v>
      </c>
      <c r="B5004" s="2">
        <v>2461.43</v>
      </c>
      <c r="C5004" s="2">
        <v>2461.43</v>
      </c>
      <c r="D5004" s="2">
        <v>6360.19</v>
      </c>
      <c r="E5004" s="2">
        <v>6360.19</v>
      </c>
      <c r="G5004" s="1" t="s">
        <v>10001</v>
      </c>
      <c r="H5004" s="2">
        <v>2343.72</v>
      </c>
      <c r="I5004" s="2">
        <v>2343.72</v>
      </c>
    </row>
    <row r="5005">
      <c r="A5005" s="1" t="s">
        <v>10002</v>
      </c>
      <c r="B5005" s="2" t="s">
        <v>0</v>
      </c>
      <c r="C5005" s="2">
        <v>2461.43</v>
      </c>
      <c r="D5005" s="2" t="s">
        <v>0</v>
      </c>
      <c r="E5005" s="2">
        <v>6360.19</v>
      </c>
      <c r="G5005" s="1" t="s">
        <v>10003</v>
      </c>
      <c r="H5005" s="2" t="s">
        <v>0</v>
      </c>
      <c r="I5005" s="2">
        <v>2343.72</v>
      </c>
    </row>
    <row r="5006">
      <c r="A5006" s="1" t="s">
        <v>10004</v>
      </c>
      <c r="B5006" s="2" t="s">
        <v>0</v>
      </c>
      <c r="C5006" s="2">
        <v>2461.43</v>
      </c>
      <c r="D5006" s="2" t="s">
        <v>0</v>
      </c>
      <c r="E5006" s="2">
        <v>6360.19</v>
      </c>
      <c r="G5006" s="1" t="s">
        <v>10005</v>
      </c>
      <c r="H5006" s="2" t="s">
        <v>0</v>
      </c>
      <c r="I5006" s="2">
        <v>2343.72</v>
      </c>
    </row>
    <row r="5007">
      <c r="A5007" s="1" t="s">
        <v>10006</v>
      </c>
      <c r="B5007" s="2">
        <v>2488.11</v>
      </c>
      <c r="C5007" s="2">
        <v>2488.11</v>
      </c>
      <c r="D5007" s="2">
        <v>6432.26</v>
      </c>
      <c r="E5007" s="2">
        <v>6432.26</v>
      </c>
      <c r="G5007" s="1" t="s">
        <v>10007</v>
      </c>
      <c r="H5007" s="2">
        <v>2359.08</v>
      </c>
      <c r="I5007" s="2">
        <v>2359.08</v>
      </c>
    </row>
    <row r="5008">
      <c r="A5008" s="1" t="s">
        <v>10008</v>
      </c>
      <c r="B5008" s="2">
        <v>2496.48</v>
      </c>
      <c r="C5008" s="2">
        <v>2496.48</v>
      </c>
      <c r="D5008" s="2">
        <v>6454.28</v>
      </c>
      <c r="E5008" s="2">
        <v>6454.28</v>
      </c>
      <c r="G5008" s="1" t="s">
        <v>10009</v>
      </c>
      <c r="H5008" s="2">
        <v>2365.47</v>
      </c>
      <c r="I5008" s="2">
        <v>2365.47</v>
      </c>
    </row>
    <row r="5009">
      <c r="A5009" s="1" t="s">
        <v>10010</v>
      </c>
      <c r="B5009" s="2">
        <v>2498.37</v>
      </c>
      <c r="C5009" s="2">
        <v>2498.37</v>
      </c>
      <c r="D5009" s="2">
        <v>6460.19</v>
      </c>
      <c r="E5009" s="2">
        <v>6460.19</v>
      </c>
      <c r="G5009" s="1" t="s">
        <v>10011</v>
      </c>
      <c r="H5009" s="2" t="s">
        <v>0</v>
      </c>
      <c r="I5009" s="2">
        <v>2365.47</v>
      </c>
    </row>
    <row r="5010">
      <c r="A5010" s="1" t="s">
        <v>10012</v>
      </c>
      <c r="B5010" s="2">
        <v>2495.62</v>
      </c>
      <c r="C5010" s="2">
        <v>2495.62</v>
      </c>
      <c r="D5010" s="2">
        <v>6429.08</v>
      </c>
      <c r="E5010" s="2">
        <v>6429.08</v>
      </c>
      <c r="G5010" s="1" t="s">
        <v>10013</v>
      </c>
      <c r="H5010" s="2">
        <v>2377.66</v>
      </c>
      <c r="I5010" s="2">
        <v>2377.66</v>
      </c>
    </row>
    <row r="5011">
      <c r="A5011" s="1" t="s">
        <v>10014</v>
      </c>
      <c r="B5011" s="2">
        <v>2500.23</v>
      </c>
      <c r="C5011" s="2">
        <v>2500.23</v>
      </c>
      <c r="D5011" s="2">
        <v>6448.47</v>
      </c>
      <c r="E5011" s="2">
        <v>6448.47</v>
      </c>
      <c r="G5011" s="1" t="s">
        <v>10015</v>
      </c>
      <c r="H5011" s="2">
        <v>2386.07</v>
      </c>
      <c r="I5011" s="2">
        <v>2386.07</v>
      </c>
    </row>
    <row r="5012">
      <c r="A5012" s="1" t="s">
        <v>10016</v>
      </c>
      <c r="B5012" s="2" t="s">
        <v>0</v>
      </c>
      <c r="C5012" s="2">
        <v>2500.23</v>
      </c>
      <c r="D5012" s="2" t="s">
        <v>0</v>
      </c>
      <c r="E5012" s="2">
        <v>6448.47</v>
      </c>
      <c r="G5012" s="1" t="s">
        <v>10017</v>
      </c>
      <c r="H5012" s="2" t="s">
        <v>0</v>
      </c>
      <c r="I5012" s="2">
        <v>2386.07</v>
      </c>
    </row>
    <row r="5013">
      <c r="A5013" s="1" t="s">
        <v>10018</v>
      </c>
      <c r="B5013" s="2" t="s">
        <v>0</v>
      </c>
      <c r="C5013" s="2">
        <v>2500.23</v>
      </c>
      <c r="D5013" s="2" t="s">
        <v>0</v>
      </c>
      <c r="E5013" s="2">
        <v>6448.47</v>
      </c>
      <c r="G5013" s="1" t="s">
        <v>10019</v>
      </c>
      <c r="H5013" s="2" t="s">
        <v>0</v>
      </c>
      <c r="I5013" s="2">
        <v>2386.07</v>
      </c>
    </row>
    <row r="5014">
      <c r="A5014" s="1" t="s">
        <v>10020</v>
      </c>
      <c r="B5014" s="2">
        <v>2503.87</v>
      </c>
      <c r="C5014" s="2">
        <v>2503.87</v>
      </c>
      <c r="D5014" s="2">
        <v>6454.64</v>
      </c>
      <c r="E5014" s="2">
        <v>6454.64</v>
      </c>
      <c r="G5014" s="1" t="s">
        <v>10021</v>
      </c>
      <c r="H5014" s="2">
        <v>2418.21</v>
      </c>
      <c r="I5014" s="2">
        <v>2418.21</v>
      </c>
    </row>
    <row r="5015">
      <c r="A5015" s="1" t="s">
        <v>10022</v>
      </c>
      <c r="B5015" s="2">
        <v>2506.65</v>
      </c>
      <c r="C5015" s="2">
        <v>2506.65</v>
      </c>
      <c r="D5015" s="2">
        <v>6461.32</v>
      </c>
      <c r="E5015" s="2">
        <v>6461.32</v>
      </c>
      <c r="G5015" s="1" t="s">
        <v>10023</v>
      </c>
      <c r="H5015" s="2">
        <v>2416.05</v>
      </c>
      <c r="I5015" s="2">
        <v>2416.05</v>
      </c>
    </row>
    <row r="5016">
      <c r="A5016" s="1" t="s">
        <v>10024</v>
      </c>
      <c r="B5016" s="2">
        <v>2508.24</v>
      </c>
      <c r="C5016" s="2">
        <v>2508.24</v>
      </c>
      <c r="D5016" s="2">
        <v>6456.04</v>
      </c>
      <c r="E5016" s="2">
        <v>6456.04</v>
      </c>
      <c r="G5016" s="1" t="s">
        <v>10025</v>
      </c>
      <c r="H5016" s="2">
        <v>2412.2</v>
      </c>
      <c r="I5016" s="2">
        <v>2412.2</v>
      </c>
    </row>
    <row r="5017">
      <c r="A5017" s="1" t="s">
        <v>10026</v>
      </c>
      <c r="B5017" s="2">
        <v>2500.6</v>
      </c>
      <c r="C5017" s="2">
        <v>2500.6</v>
      </c>
      <c r="D5017" s="2">
        <v>6422.69</v>
      </c>
      <c r="E5017" s="2">
        <v>6422.69</v>
      </c>
      <c r="G5017" s="1" t="s">
        <v>10027</v>
      </c>
      <c r="H5017" s="2">
        <v>2406.5</v>
      </c>
      <c r="I5017" s="2">
        <v>2406.5</v>
      </c>
    </row>
    <row r="5018">
      <c r="A5018" s="1" t="s">
        <v>10028</v>
      </c>
      <c r="B5018" s="2">
        <v>2502.22</v>
      </c>
      <c r="C5018" s="2">
        <v>2502.22</v>
      </c>
      <c r="D5018" s="2">
        <v>6426.92</v>
      </c>
      <c r="E5018" s="2">
        <v>6426.92</v>
      </c>
      <c r="G5018" s="1" t="s">
        <v>10029</v>
      </c>
      <c r="H5018" s="2">
        <v>2388.71</v>
      </c>
      <c r="I5018" s="2">
        <v>2388.71</v>
      </c>
    </row>
    <row r="5019">
      <c r="A5019" s="1" t="s">
        <v>10030</v>
      </c>
      <c r="B5019" s="2" t="s">
        <v>0</v>
      </c>
      <c r="C5019" s="2">
        <v>2502.22</v>
      </c>
      <c r="D5019" s="2" t="s">
        <v>0</v>
      </c>
      <c r="E5019" s="2">
        <v>6426.92</v>
      </c>
      <c r="G5019" s="1" t="s">
        <v>10031</v>
      </c>
      <c r="H5019" s="2" t="s">
        <v>0</v>
      </c>
      <c r="I5019" s="2">
        <v>2388.71</v>
      </c>
    </row>
    <row r="5020">
      <c r="A5020" s="1" t="s">
        <v>10032</v>
      </c>
      <c r="B5020" s="2" t="s">
        <v>0</v>
      </c>
      <c r="C5020" s="2">
        <v>2502.22</v>
      </c>
      <c r="D5020" s="2" t="s">
        <v>0</v>
      </c>
      <c r="E5020" s="2">
        <v>6426.92</v>
      </c>
      <c r="G5020" s="1" t="s">
        <v>10033</v>
      </c>
      <c r="H5020" s="2" t="s">
        <v>0</v>
      </c>
      <c r="I5020" s="2">
        <v>2388.71</v>
      </c>
    </row>
    <row r="5021">
      <c r="A5021" s="1" t="s">
        <v>10034</v>
      </c>
      <c r="B5021" s="2">
        <v>2496.66</v>
      </c>
      <c r="C5021" s="2">
        <v>2496.66</v>
      </c>
      <c r="D5021" s="2">
        <v>6370.59</v>
      </c>
      <c r="E5021" s="2">
        <v>6370.59</v>
      </c>
      <c r="G5021" s="1" t="s">
        <v>10035</v>
      </c>
      <c r="H5021" s="2">
        <v>2380.4</v>
      </c>
      <c r="I5021" s="2">
        <v>2380.4</v>
      </c>
    </row>
    <row r="5022">
      <c r="A5022" s="1" t="s">
        <v>10036</v>
      </c>
      <c r="B5022" s="2">
        <v>2496.84</v>
      </c>
      <c r="C5022" s="2">
        <v>2496.84</v>
      </c>
      <c r="D5022" s="2">
        <v>6380.16</v>
      </c>
      <c r="E5022" s="2">
        <v>6380.16</v>
      </c>
      <c r="G5022" s="1" t="s">
        <v>10037</v>
      </c>
      <c r="H5022" s="2">
        <v>2374.32</v>
      </c>
      <c r="I5022" s="2">
        <v>2374.32</v>
      </c>
    </row>
    <row r="5023">
      <c r="A5023" s="1" t="s">
        <v>10038</v>
      </c>
      <c r="B5023" s="2">
        <v>2507.04</v>
      </c>
      <c r="C5023" s="2">
        <v>2507.04</v>
      </c>
      <c r="D5023" s="2">
        <v>6453.26</v>
      </c>
      <c r="E5023" s="2">
        <v>6453.26</v>
      </c>
      <c r="G5023" s="1" t="s">
        <v>10039</v>
      </c>
      <c r="H5023" s="2">
        <v>2372.57</v>
      </c>
      <c r="I5023" s="2">
        <v>2372.57</v>
      </c>
    </row>
    <row r="5024">
      <c r="A5024" s="1" t="s">
        <v>10040</v>
      </c>
      <c r="B5024" s="2">
        <v>2510.06</v>
      </c>
      <c r="C5024" s="2">
        <v>2510.06</v>
      </c>
      <c r="D5024" s="2">
        <v>6453.45</v>
      </c>
      <c r="E5024" s="2">
        <v>6453.45</v>
      </c>
      <c r="G5024" s="1" t="s">
        <v>10041</v>
      </c>
      <c r="H5024" s="2">
        <v>2373.14</v>
      </c>
      <c r="I5024" s="2">
        <v>2373.14</v>
      </c>
    </row>
    <row r="5025">
      <c r="A5025" s="1" t="s">
        <v>10042</v>
      </c>
      <c r="B5025" s="2">
        <v>2519.36</v>
      </c>
      <c r="C5025" s="2">
        <v>2519.36</v>
      </c>
      <c r="D5025" s="2">
        <v>6495.96</v>
      </c>
      <c r="E5025" s="2">
        <v>6495.96</v>
      </c>
      <c r="G5025" s="1" t="s">
        <v>10043</v>
      </c>
      <c r="H5025" s="2">
        <v>2394.47</v>
      </c>
      <c r="I5025" s="2">
        <v>2394.47</v>
      </c>
    </row>
    <row r="5026">
      <c r="A5026" s="1" t="s">
        <v>10044</v>
      </c>
      <c r="B5026" s="2" t="s">
        <v>0</v>
      </c>
      <c r="C5026" s="2">
        <v>2519.36</v>
      </c>
      <c r="D5026" s="2" t="s">
        <v>0</v>
      </c>
      <c r="E5026" s="2">
        <v>6495.96</v>
      </c>
      <c r="G5026" s="1" t="s">
        <v>10045</v>
      </c>
      <c r="H5026" s="2" t="s">
        <v>0</v>
      </c>
      <c r="I5026" s="2">
        <v>2394.47</v>
      </c>
    </row>
    <row r="5027">
      <c r="A5027" s="1" t="s">
        <v>10046</v>
      </c>
      <c r="B5027" s="2" t="s">
        <v>0</v>
      </c>
      <c r="C5027" s="2">
        <v>2519.36</v>
      </c>
      <c r="D5027" s="2" t="s">
        <v>0</v>
      </c>
      <c r="E5027" s="2">
        <v>6495.96</v>
      </c>
      <c r="G5027" s="1" t="s">
        <v>10047</v>
      </c>
      <c r="H5027" s="2" t="s">
        <v>0</v>
      </c>
      <c r="I5027" s="2">
        <v>2394.47</v>
      </c>
    </row>
    <row r="5028">
      <c r="A5028" s="1" t="s">
        <v>10048</v>
      </c>
      <c r="B5028" s="2">
        <v>2529.12</v>
      </c>
      <c r="C5028" s="2">
        <v>2529.12</v>
      </c>
      <c r="D5028" s="2">
        <v>6516.72</v>
      </c>
      <c r="E5028" s="2">
        <v>6516.72</v>
      </c>
      <c r="G5028" s="1" t="s">
        <v>10049</v>
      </c>
      <c r="H5028" s="2" t="s">
        <v>0</v>
      </c>
      <c r="I5028" s="2">
        <v>2394.47</v>
      </c>
    </row>
    <row r="5029">
      <c r="A5029" s="1" t="s">
        <v>10050</v>
      </c>
      <c r="B5029" s="2">
        <v>2534.58</v>
      </c>
      <c r="C5029" s="2">
        <v>2534.58</v>
      </c>
      <c r="D5029" s="2">
        <v>6531.71</v>
      </c>
      <c r="E5029" s="2">
        <v>6531.71</v>
      </c>
      <c r="G5029" s="1" t="s">
        <v>10051</v>
      </c>
      <c r="H5029" s="2" t="s">
        <v>0</v>
      </c>
      <c r="I5029" s="2">
        <v>2394.47</v>
      </c>
    </row>
    <row r="5030">
      <c r="A5030" s="1" t="s">
        <v>10052</v>
      </c>
      <c r="B5030" s="2">
        <v>2537.74</v>
      </c>
      <c r="C5030" s="2">
        <v>2537.74</v>
      </c>
      <c r="D5030" s="2">
        <v>6534.63</v>
      </c>
      <c r="E5030" s="2">
        <v>6534.63</v>
      </c>
      <c r="G5030" s="1" t="s">
        <v>10053</v>
      </c>
      <c r="H5030" s="2" t="s">
        <v>0</v>
      </c>
      <c r="I5030" s="2">
        <v>2394.47</v>
      </c>
    </row>
    <row r="5031">
      <c r="A5031" s="1" t="s">
        <v>10054</v>
      </c>
      <c r="B5031" s="2">
        <v>2552.07</v>
      </c>
      <c r="C5031" s="2">
        <v>2552.07</v>
      </c>
      <c r="D5031" s="2">
        <v>6585.36</v>
      </c>
      <c r="E5031" s="2">
        <v>6585.36</v>
      </c>
      <c r="G5031" s="1" t="s">
        <v>10055</v>
      </c>
      <c r="H5031" s="2" t="s">
        <v>0</v>
      </c>
      <c r="I5031" s="2">
        <v>2394.47</v>
      </c>
    </row>
    <row r="5032">
      <c r="A5032" s="1" t="s">
        <v>10056</v>
      </c>
      <c r="B5032" s="2">
        <v>2549.33</v>
      </c>
      <c r="C5032" s="2">
        <v>2549.33</v>
      </c>
      <c r="D5032" s="2">
        <v>6590.18</v>
      </c>
      <c r="E5032" s="2">
        <v>6590.18</v>
      </c>
      <c r="G5032" s="1" t="s">
        <v>10057</v>
      </c>
      <c r="H5032" s="2" t="s">
        <v>0</v>
      </c>
      <c r="I5032" s="2">
        <v>2394.47</v>
      </c>
    </row>
    <row r="5033">
      <c r="A5033" s="1" t="s">
        <v>10058</v>
      </c>
      <c r="B5033" s="2" t="s">
        <v>0</v>
      </c>
      <c r="C5033" s="2">
        <v>2549.33</v>
      </c>
      <c r="D5033" s="2" t="s">
        <v>0</v>
      </c>
      <c r="E5033" s="2">
        <v>6590.18</v>
      </c>
      <c r="G5033" s="1" t="s">
        <v>10059</v>
      </c>
      <c r="H5033" s="2" t="s">
        <v>0</v>
      </c>
      <c r="I5033" s="2">
        <v>2394.47</v>
      </c>
    </row>
    <row r="5034">
      <c r="A5034" s="1" t="s">
        <v>10060</v>
      </c>
      <c r="B5034" s="2" t="s">
        <v>0</v>
      </c>
      <c r="C5034" s="2">
        <v>2549.33</v>
      </c>
      <c r="D5034" s="2" t="s">
        <v>0</v>
      </c>
      <c r="E5034" s="2">
        <v>6590.18</v>
      </c>
      <c r="G5034" s="1" t="s">
        <v>10061</v>
      </c>
      <c r="H5034" s="2" t="s">
        <v>0</v>
      </c>
      <c r="I5034" s="2">
        <v>2394.47</v>
      </c>
    </row>
    <row r="5035">
      <c r="A5035" s="1" t="s">
        <v>10062</v>
      </c>
      <c r="B5035" s="2">
        <v>2544.73</v>
      </c>
      <c r="C5035" s="2">
        <v>2544.73</v>
      </c>
      <c r="D5035" s="2">
        <v>6579.73</v>
      </c>
      <c r="E5035" s="2">
        <v>6579.73</v>
      </c>
      <c r="G5035" s="1" t="s">
        <v>10063</v>
      </c>
      <c r="H5035" s="2" t="s">
        <v>0</v>
      </c>
      <c r="I5035" s="2">
        <v>2394.47</v>
      </c>
    </row>
    <row r="5036">
      <c r="A5036" s="1" t="s">
        <v>10064</v>
      </c>
      <c r="B5036" s="2">
        <v>2550.64</v>
      </c>
      <c r="C5036" s="2">
        <v>2550.64</v>
      </c>
      <c r="D5036" s="2">
        <v>6587.25</v>
      </c>
      <c r="E5036" s="2">
        <v>6587.25</v>
      </c>
      <c r="G5036" s="1" t="s">
        <v>10065</v>
      </c>
      <c r="H5036" s="2">
        <v>2433.81</v>
      </c>
      <c r="I5036" s="2">
        <v>2433.81</v>
      </c>
    </row>
    <row r="5037">
      <c r="A5037" s="1" t="s">
        <v>10066</v>
      </c>
      <c r="B5037" s="2">
        <v>2555.24</v>
      </c>
      <c r="C5037" s="2">
        <v>2555.24</v>
      </c>
      <c r="D5037" s="2">
        <v>6603.55</v>
      </c>
      <c r="E5037" s="2">
        <v>6603.55</v>
      </c>
      <c r="G5037" s="1" t="s">
        <v>10067</v>
      </c>
      <c r="H5037" s="2">
        <v>2458.16</v>
      </c>
      <c r="I5037" s="2">
        <v>2458.16</v>
      </c>
    </row>
    <row r="5038">
      <c r="A5038" s="1" t="s">
        <v>10068</v>
      </c>
      <c r="B5038" s="2">
        <v>2550.93</v>
      </c>
      <c r="C5038" s="2">
        <v>2550.93</v>
      </c>
      <c r="D5038" s="2">
        <v>6591.51</v>
      </c>
      <c r="E5038" s="2">
        <v>6591.51</v>
      </c>
      <c r="G5038" s="1" t="s">
        <v>10069</v>
      </c>
      <c r="H5038" s="2">
        <v>2474.76</v>
      </c>
      <c r="I5038" s="2">
        <v>2474.76</v>
      </c>
    </row>
    <row r="5039">
      <c r="A5039" s="1" t="s">
        <v>10070</v>
      </c>
      <c r="B5039" s="2">
        <v>2553.17</v>
      </c>
      <c r="C5039" s="2">
        <v>2553.17</v>
      </c>
      <c r="D5039" s="2">
        <v>6605.8</v>
      </c>
      <c r="E5039" s="2">
        <v>6605.8</v>
      </c>
      <c r="G5039" s="1" t="s">
        <v>10071</v>
      </c>
      <c r="H5039" s="2">
        <v>2473.62</v>
      </c>
      <c r="I5039" s="2">
        <v>2473.62</v>
      </c>
    </row>
    <row r="5040">
      <c r="A5040" s="1" t="s">
        <v>10072</v>
      </c>
      <c r="B5040" s="2" t="s">
        <v>0</v>
      </c>
      <c r="C5040" s="2">
        <v>2553.17</v>
      </c>
      <c r="D5040" s="2" t="s">
        <v>0</v>
      </c>
      <c r="E5040" s="2">
        <v>6605.8</v>
      </c>
      <c r="G5040" s="1" t="s">
        <v>10073</v>
      </c>
      <c r="H5040" s="2" t="s">
        <v>0</v>
      </c>
      <c r="I5040" s="2">
        <v>2473.62</v>
      </c>
    </row>
    <row r="5041">
      <c r="A5041" s="1" t="s">
        <v>10074</v>
      </c>
      <c r="B5041" s="2" t="s">
        <v>0</v>
      </c>
      <c r="C5041" s="2">
        <v>2553.17</v>
      </c>
      <c r="D5041" s="2" t="s">
        <v>0</v>
      </c>
      <c r="E5041" s="2">
        <v>6605.8</v>
      </c>
      <c r="G5041" s="1" t="s">
        <v>10075</v>
      </c>
      <c r="H5041" s="2" t="s">
        <v>0</v>
      </c>
      <c r="I5041" s="2">
        <v>2473.62</v>
      </c>
    </row>
    <row r="5042">
      <c r="A5042" s="1" t="s">
        <v>10076</v>
      </c>
      <c r="B5042" s="2">
        <v>2557.64</v>
      </c>
      <c r="C5042" s="2">
        <v>2557.64</v>
      </c>
      <c r="D5042" s="2">
        <v>6624.0</v>
      </c>
      <c r="E5042" s="2">
        <v>6624.0</v>
      </c>
      <c r="G5042" s="1" t="s">
        <v>10077</v>
      </c>
      <c r="H5042" s="2">
        <v>2480.05</v>
      </c>
      <c r="I5042" s="2">
        <v>2480.05</v>
      </c>
    </row>
    <row r="5043">
      <c r="A5043" s="1" t="s">
        <v>10078</v>
      </c>
      <c r="B5043" s="2">
        <v>2559.36</v>
      </c>
      <c r="C5043" s="2">
        <v>2559.36</v>
      </c>
      <c r="D5043" s="2">
        <v>6623.66</v>
      </c>
      <c r="E5043" s="2">
        <v>6623.66</v>
      </c>
      <c r="G5043" s="1" t="s">
        <v>10079</v>
      </c>
      <c r="H5043" s="2">
        <v>2484.37</v>
      </c>
      <c r="I5043" s="2">
        <v>2484.37</v>
      </c>
    </row>
    <row r="5044">
      <c r="A5044" s="1" t="s">
        <v>10080</v>
      </c>
      <c r="B5044" s="2">
        <v>2561.26</v>
      </c>
      <c r="C5044" s="2">
        <v>2561.26</v>
      </c>
      <c r="D5044" s="2">
        <v>6624.22</v>
      </c>
      <c r="E5044" s="2">
        <v>6624.22</v>
      </c>
      <c r="G5044" s="1" t="s">
        <v>10081</v>
      </c>
      <c r="H5044" s="2">
        <v>2482.91</v>
      </c>
      <c r="I5044" s="2">
        <v>2482.91</v>
      </c>
    </row>
    <row r="5045">
      <c r="A5045" s="1" t="s">
        <v>10082</v>
      </c>
      <c r="B5045" s="2">
        <v>2562.1</v>
      </c>
      <c r="C5045" s="2">
        <v>2562.1</v>
      </c>
      <c r="D5045" s="2">
        <v>6605.07</v>
      </c>
      <c r="E5045" s="2">
        <v>6605.07</v>
      </c>
      <c r="G5045" s="1" t="s">
        <v>10083</v>
      </c>
      <c r="H5045" s="2">
        <v>2473.06</v>
      </c>
      <c r="I5045" s="2">
        <v>2473.06</v>
      </c>
    </row>
    <row r="5046">
      <c r="A5046" s="1" t="s">
        <v>10084</v>
      </c>
      <c r="B5046" s="2">
        <v>2575.21</v>
      </c>
      <c r="C5046" s="2">
        <v>2575.21</v>
      </c>
      <c r="D5046" s="2">
        <v>6629.05</v>
      </c>
      <c r="E5046" s="2">
        <v>6629.05</v>
      </c>
      <c r="G5046" s="1" t="s">
        <v>10085</v>
      </c>
      <c r="H5046" s="2">
        <v>2489.54</v>
      </c>
      <c r="I5046" s="2">
        <v>2489.54</v>
      </c>
    </row>
    <row r="5047">
      <c r="A5047" s="1" t="s">
        <v>10086</v>
      </c>
      <c r="B5047" s="2" t="s">
        <v>0</v>
      </c>
      <c r="C5047" s="2">
        <v>2575.21</v>
      </c>
      <c r="D5047" s="2" t="s">
        <v>0</v>
      </c>
      <c r="E5047" s="2">
        <v>6629.05</v>
      </c>
      <c r="G5047" s="1" t="s">
        <v>10087</v>
      </c>
      <c r="H5047" s="2" t="s">
        <v>0</v>
      </c>
      <c r="I5047" s="2">
        <v>2489.54</v>
      </c>
    </row>
    <row r="5048">
      <c r="A5048" s="1" t="s">
        <v>10088</v>
      </c>
      <c r="B5048" s="2" t="s">
        <v>0</v>
      </c>
      <c r="C5048" s="2">
        <v>2575.21</v>
      </c>
      <c r="D5048" s="2" t="s">
        <v>0</v>
      </c>
      <c r="E5048" s="2">
        <v>6629.05</v>
      </c>
      <c r="G5048" s="1" t="s">
        <v>10089</v>
      </c>
      <c r="H5048" s="2" t="s">
        <v>0</v>
      </c>
      <c r="I5048" s="2">
        <v>2489.54</v>
      </c>
    </row>
    <row r="5049">
      <c r="A5049" s="1" t="s">
        <v>10090</v>
      </c>
      <c r="B5049" s="2">
        <v>2564.98</v>
      </c>
      <c r="C5049" s="2">
        <v>2564.98</v>
      </c>
      <c r="D5049" s="2">
        <v>6586.83</v>
      </c>
      <c r="E5049" s="2">
        <v>6586.83</v>
      </c>
      <c r="G5049" s="1" t="s">
        <v>10091</v>
      </c>
      <c r="H5049" s="2">
        <v>2490.05</v>
      </c>
      <c r="I5049" s="2">
        <v>2490.05</v>
      </c>
    </row>
    <row r="5050">
      <c r="A5050" s="1" t="s">
        <v>10092</v>
      </c>
      <c r="B5050" s="2">
        <v>2569.13</v>
      </c>
      <c r="C5050" s="2">
        <v>2569.13</v>
      </c>
      <c r="D5050" s="2">
        <v>6598.43</v>
      </c>
      <c r="E5050" s="2">
        <v>6598.43</v>
      </c>
      <c r="G5050" s="1" t="s">
        <v>10093</v>
      </c>
      <c r="H5050" s="2">
        <v>2490.49</v>
      </c>
      <c r="I5050" s="2">
        <v>2490.49</v>
      </c>
    </row>
    <row r="5051">
      <c r="A5051" s="1" t="s">
        <v>10094</v>
      </c>
      <c r="B5051" s="2">
        <v>2557.15</v>
      </c>
      <c r="C5051" s="2">
        <v>2557.15</v>
      </c>
      <c r="D5051" s="2">
        <v>6563.89</v>
      </c>
      <c r="E5051" s="2">
        <v>6563.89</v>
      </c>
      <c r="G5051" s="1" t="s">
        <v>10095</v>
      </c>
      <c r="H5051" s="2">
        <v>2492.5</v>
      </c>
      <c r="I5051" s="2">
        <v>2492.5</v>
      </c>
    </row>
    <row r="5052">
      <c r="A5052" s="1" t="s">
        <v>10096</v>
      </c>
      <c r="B5052" s="2">
        <v>2560.4</v>
      </c>
      <c r="C5052" s="2">
        <v>2560.4</v>
      </c>
      <c r="D5052" s="2">
        <v>6556.77</v>
      </c>
      <c r="E5052" s="2">
        <v>6556.77</v>
      </c>
      <c r="G5052" s="1" t="s">
        <v>10097</v>
      </c>
      <c r="H5052" s="2">
        <v>2480.63</v>
      </c>
      <c r="I5052" s="2">
        <v>2480.63</v>
      </c>
    </row>
    <row r="5053">
      <c r="A5053" s="1" t="s">
        <v>10098</v>
      </c>
      <c r="B5053" s="2">
        <v>2581.07</v>
      </c>
      <c r="C5053" s="2">
        <v>2581.07</v>
      </c>
      <c r="D5053" s="2">
        <v>6701.26</v>
      </c>
      <c r="E5053" s="2">
        <v>6701.26</v>
      </c>
      <c r="G5053" s="1" t="s">
        <v>10099</v>
      </c>
      <c r="H5053" s="2">
        <v>2496.63</v>
      </c>
      <c r="I5053" s="2">
        <v>2496.63</v>
      </c>
    </row>
    <row r="5054">
      <c r="A5054" s="1" t="s">
        <v>10100</v>
      </c>
      <c r="B5054" s="2" t="s">
        <v>0</v>
      </c>
      <c r="C5054" s="2">
        <v>2581.07</v>
      </c>
      <c r="D5054" s="2" t="s">
        <v>0</v>
      </c>
      <c r="E5054" s="2">
        <v>6701.26</v>
      </c>
      <c r="G5054" s="1" t="s">
        <v>10101</v>
      </c>
      <c r="H5054" s="2" t="s">
        <v>0</v>
      </c>
      <c r="I5054" s="2">
        <v>2496.63</v>
      </c>
    </row>
    <row r="5055">
      <c r="A5055" s="1" t="s">
        <v>10102</v>
      </c>
      <c r="B5055" s="2" t="s">
        <v>0</v>
      </c>
      <c r="C5055" s="2">
        <v>2581.07</v>
      </c>
      <c r="D5055" s="2" t="s">
        <v>0</v>
      </c>
      <c r="E5055" s="2">
        <v>6701.26</v>
      </c>
      <c r="G5055" s="1" t="s">
        <v>10103</v>
      </c>
      <c r="H5055" s="2" t="s">
        <v>0</v>
      </c>
      <c r="I5055" s="2">
        <v>2496.63</v>
      </c>
    </row>
    <row r="5056">
      <c r="A5056" s="1" t="s">
        <v>10104</v>
      </c>
      <c r="B5056" s="2">
        <v>2572.83</v>
      </c>
      <c r="C5056" s="2">
        <v>2572.83</v>
      </c>
      <c r="D5056" s="2">
        <v>6698.96</v>
      </c>
      <c r="E5056" s="2">
        <v>6698.96</v>
      </c>
      <c r="G5056" s="1" t="s">
        <v>10105</v>
      </c>
      <c r="H5056" s="2">
        <v>2501.93</v>
      </c>
      <c r="I5056" s="2">
        <v>2501.93</v>
      </c>
    </row>
    <row r="5057">
      <c r="A5057" s="1" t="s">
        <v>10106</v>
      </c>
      <c r="B5057" s="2">
        <v>2575.26</v>
      </c>
      <c r="C5057" s="2">
        <v>2575.26</v>
      </c>
      <c r="D5057" s="2">
        <v>6727.67</v>
      </c>
      <c r="E5057" s="2">
        <v>6727.67</v>
      </c>
      <c r="G5057" s="1" t="s">
        <v>10107</v>
      </c>
      <c r="H5057" s="2">
        <v>2523.43</v>
      </c>
      <c r="I5057" s="2">
        <v>2523.43</v>
      </c>
    </row>
    <row r="5058">
      <c r="A5058" s="1" t="s">
        <v>10108</v>
      </c>
      <c r="B5058" s="2">
        <v>2579.36</v>
      </c>
      <c r="C5058" s="2">
        <v>2579.36</v>
      </c>
      <c r="D5058" s="2">
        <v>6716.53</v>
      </c>
      <c r="E5058" s="2">
        <v>6716.53</v>
      </c>
      <c r="G5058" s="1" t="s">
        <v>10109</v>
      </c>
      <c r="H5058" s="2">
        <v>2556.47</v>
      </c>
      <c r="I5058" s="2">
        <v>2556.47</v>
      </c>
    </row>
    <row r="5059">
      <c r="A5059" s="1" t="s">
        <v>10110</v>
      </c>
      <c r="B5059" s="2">
        <v>2579.85</v>
      </c>
      <c r="C5059" s="2">
        <v>2579.85</v>
      </c>
      <c r="D5059" s="2">
        <v>6714.94</v>
      </c>
      <c r="E5059" s="2">
        <v>6714.94</v>
      </c>
      <c r="G5059" s="1" t="s">
        <v>10111</v>
      </c>
      <c r="H5059" s="2">
        <v>2546.36</v>
      </c>
      <c r="I5059" s="2">
        <v>2546.36</v>
      </c>
    </row>
    <row r="5060">
      <c r="A5060" s="1" t="s">
        <v>10112</v>
      </c>
      <c r="B5060" s="2">
        <v>2587.84</v>
      </c>
      <c r="C5060" s="2">
        <v>2587.84</v>
      </c>
      <c r="D5060" s="2">
        <v>6764.44</v>
      </c>
      <c r="E5060" s="2">
        <v>6764.44</v>
      </c>
      <c r="G5060" s="1" t="s">
        <v>10113</v>
      </c>
      <c r="H5060" s="2">
        <v>2557.97</v>
      </c>
      <c r="I5060" s="2">
        <v>2557.97</v>
      </c>
    </row>
    <row r="5061">
      <c r="A5061" s="1" t="s">
        <v>10114</v>
      </c>
      <c r="B5061" s="2" t="s">
        <v>0</v>
      </c>
      <c r="C5061" s="2">
        <v>2587.84</v>
      </c>
      <c r="D5061" s="2" t="s">
        <v>0</v>
      </c>
      <c r="E5061" s="2">
        <v>6764.44</v>
      </c>
      <c r="G5061" s="1" t="s">
        <v>10115</v>
      </c>
      <c r="H5061" s="2" t="s">
        <v>0</v>
      </c>
      <c r="I5061" s="2">
        <v>2557.97</v>
      </c>
    </row>
    <row r="5062">
      <c r="A5062" s="1" t="s">
        <v>10116</v>
      </c>
      <c r="B5062" s="2" t="s">
        <v>0</v>
      </c>
      <c r="C5062" s="2">
        <v>2587.84</v>
      </c>
      <c r="D5062" s="2" t="s">
        <v>0</v>
      </c>
      <c r="E5062" s="2">
        <v>6764.44</v>
      </c>
      <c r="G5062" s="1" t="s">
        <v>10117</v>
      </c>
      <c r="H5062" s="2" t="s">
        <v>0</v>
      </c>
      <c r="I5062" s="2">
        <v>2557.97</v>
      </c>
    </row>
    <row r="5063">
      <c r="A5063" s="1" t="s">
        <v>10118</v>
      </c>
      <c r="B5063" s="2">
        <v>2591.13</v>
      </c>
      <c r="C5063" s="2">
        <v>2591.13</v>
      </c>
      <c r="D5063" s="2">
        <v>6786.44</v>
      </c>
      <c r="E5063" s="2">
        <v>6786.44</v>
      </c>
      <c r="G5063" s="1" t="s">
        <v>10119</v>
      </c>
      <c r="H5063" s="2">
        <v>2549.41</v>
      </c>
      <c r="I5063" s="2">
        <v>2549.41</v>
      </c>
    </row>
    <row r="5064">
      <c r="A5064" s="1" t="s">
        <v>10120</v>
      </c>
      <c r="B5064" s="2">
        <v>2590.64</v>
      </c>
      <c r="C5064" s="2">
        <v>2590.64</v>
      </c>
      <c r="D5064" s="2">
        <v>6767.78</v>
      </c>
      <c r="E5064" s="2">
        <v>6767.78</v>
      </c>
      <c r="G5064" s="1" t="s">
        <v>10121</v>
      </c>
      <c r="H5064" s="2">
        <v>2545.44</v>
      </c>
      <c r="I5064" s="2">
        <v>2545.44</v>
      </c>
    </row>
    <row r="5065">
      <c r="A5065" s="1" t="s">
        <v>10122</v>
      </c>
      <c r="B5065" s="2">
        <v>2594.38</v>
      </c>
      <c r="C5065" s="2">
        <v>2594.38</v>
      </c>
      <c r="D5065" s="2">
        <v>6789.12</v>
      </c>
      <c r="E5065" s="2">
        <v>6789.12</v>
      </c>
      <c r="G5065" s="1" t="s">
        <v>10123</v>
      </c>
      <c r="H5065" s="2">
        <v>2552.4</v>
      </c>
      <c r="I5065" s="2">
        <v>2552.4</v>
      </c>
    </row>
    <row r="5066">
      <c r="A5066" s="1" t="s">
        <v>10124</v>
      </c>
      <c r="B5066" s="2">
        <v>2584.62</v>
      </c>
      <c r="C5066" s="2">
        <v>2584.62</v>
      </c>
      <c r="D5066" s="2">
        <v>6750.05</v>
      </c>
      <c r="E5066" s="2">
        <v>6750.05</v>
      </c>
      <c r="G5066" s="1" t="s">
        <v>10125</v>
      </c>
      <c r="H5066" s="2">
        <v>2550.57</v>
      </c>
      <c r="I5066" s="2">
        <v>2550.57</v>
      </c>
    </row>
    <row r="5067">
      <c r="A5067" s="1" t="s">
        <v>10126</v>
      </c>
      <c r="B5067" s="2">
        <v>2582.3</v>
      </c>
      <c r="C5067" s="2">
        <v>2582.3</v>
      </c>
      <c r="D5067" s="2">
        <v>6750.94</v>
      </c>
      <c r="E5067" s="2">
        <v>6750.94</v>
      </c>
      <c r="G5067" s="1" t="s">
        <v>10127</v>
      </c>
      <c r="H5067" s="2">
        <v>2542.95</v>
      </c>
      <c r="I5067" s="2">
        <v>2542.95</v>
      </c>
    </row>
    <row r="5068">
      <c r="A5068" s="1" t="s">
        <v>10128</v>
      </c>
      <c r="B5068" s="2" t="s">
        <v>0</v>
      </c>
      <c r="C5068" s="2">
        <v>2582.3</v>
      </c>
      <c r="D5068" s="2" t="s">
        <v>0</v>
      </c>
      <c r="E5068" s="2">
        <v>6750.94</v>
      </c>
      <c r="G5068" s="1" t="s">
        <v>10129</v>
      </c>
      <c r="H5068" s="2" t="s">
        <v>0</v>
      </c>
      <c r="I5068" s="2">
        <v>2542.95</v>
      </c>
    </row>
    <row r="5069">
      <c r="A5069" s="1" t="s">
        <v>10130</v>
      </c>
      <c r="B5069" s="2" t="s">
        <v>0</v>
      </c>
      <c r="C5069" s="2">
        <v>2582.3</v>
      </c>
      <c r="D5069" s="2" t="s">
        <v>0</v>
      </c>
      <c r="E5069" s="2">
        <v>6750.94</v>
      </c>
      <c r="G5069" s="1" t="s">
        <v>10131</v>
      </c>
      <c r="H5069" s="2" t="s">
        <v>0</v>
      </c>
      <c r="I5069" s="2">
        <v>2542.95</v>
      </c>
    </row>
    <row r="5070">
      <c r="A5070" s="1" t="s">
        <v>10132</v>
      </c>
      <c r="B5070" s="2">
        <v>2584.84</v>
      </c>
      <c r="C5070" s="2">
        <v>2584.84</v>
      </c>
      <c r="D5070" s="2">
        <v>6757.6</v>
      </c>
      <c r="E5070" s="2">
        <v>6757.6</v>
      </c>
      <c r="G5070" s="1" t="s">
        <v>10133</v>
      </c>
      <c r="H5070" s="2">
        <v>2530.35</v>
      </c>
      <c r="I5070" s="2">
        <v>2530.35</v>
      </c>
    </row>
    <row r="5071">
      <c r="A5071" s="1" t="s">
        <v>10134</v>
      </c>
      <c r="B5071" s="2">
        <v>2578.87</v>
      </c>
      <c r="C5071" s="2">
        <v>2578.87</v>
      </c>
      <c r="D5071" s="2">
        <v>6737.87</v>
      </c>
      <c r="E5071" s="2">
        <v>6737.87</v>
      </c>
      <c r="G5071" s="1" t="s">
        <v>10135</v>
      </c>
      <c r="H5071" s="2">
        <v>2526.64</v>
      </c>
      <c r="I5071" s="2">
        <v>2526.64</v>
      </c>
    </row>
    <row r="5072">
      <c r="A5072" s="1" t="s">
        <v>10136</v>
      </c>
      <c r="B5072" s="2">
        <v>2564.62</v>
      </c>
      <c r="C5072" s="2">
        <v>2564.62</v>
      </c>
      <c r="D5072" s="2">
        <v>6706.21</v>
      </c>
      <c r="E5072" s="2">
        <v>6706.21</v>
      </c>
      <c r="G5072" s="1" t="s">
        <v>10137</v>
      </c>
      <c r="H5072" s="2">
        <v>2518.25</v>
      </c>
      <c r="I5072" s="2">
        <v>2518.25</v>
      </c>
    </row>
    <row r="5073">
      <c r="A5073" s="1" t="s">
        <v>10138</v>
      </c>
      <c r="B5073" s="2">
        <v>2585.64</v>
      </c>
      <c r="C5073" s="2">
        <v>2585.64</v>
      </c>
      <c r="D5073" s="2">
        <v>6793.29</v>
      </c>
      <c r="E5073" s="2">
        <v>6793.29</v>
      </c>
      <c r="G5073" s="1" t="s">
        <v>10139</v>
      </c>
      <c r="H5073" s="2">
        <v>2534.79</v>
      </c>
      <c r="I5073" s="2">
        <v>2534.79</v>
      </c>
    </row>
    <row r="5074">
      <c r="A5074" s="1" t="s">
        <v>10140</v>
      </c>
      <c r="B5074" s="2">
        <v>2578.85</v>
      </c>
      <c r="C5074" s="2">
        <v>2578.85</v>
      </c>
      <c r="D5074" s="2">
        <v>6782.79</v>
      </c>
      <c r="E5074" s="2">
        <v>6782.79</v>
      </c>
      <c r="G5074" s="1" t="s">
        <v>10141</v>
      </c>
      <c r="H5074" s="2">
        <v>2533.99</v>
      </c>
      <c r="I5074" s="2">
        <v>2533.99</v>
      </c>
    </row>
    <row r="5075">
      <c r="A5075" s="1" t="s">
        <v>10142</v>
      </c>
      <c r="B5075" s="2" t="s">
        <v>0</v>
      </c>
      <c r="C5075" s="2">
        <v>2578.85</v>
      </c>
      <c r="D5075" s="2" t="s">
        <v>0</v>
      </c>
      <c r="E5075" s="2">
        <v>6782.79</v>
      </c>
      <c r="G5075" s="1" t="s">
        <v>10143</v>
      </c>
      <c r="H5075" s="2" t="s">
        <v>0</v>
      </c>
      <c r="I5075" s="2">
        <v>2533.99</v>
      </c>
    </row>
    <row r="5076">
      <c r="A5076" s="1" t="s">
        <v>10144</v>
      </c>
      <c r="B5076" s="2" t="s">
        <v>0</v>
      </c>
      <c r="C5076" s="2">
        <v>2578.85</v>
      </c>
      <c r="D5076" s="2" t="s">
        <v>0</v>
      </c>
      <c r="E5076" s="2">
        <v>6782.79</v>
      </c>
      <c r="G5076" s="1" t="s">
        <v>10145</v>
      </c>
      <c r="H5076" s="2" t="s">
        <v>0</v>
      </c>
      <c r="I5076" s="2">
        <v>2533.99</v>
      </c>
    </row>
    <row r="5077">
      <c r="A5077" s="1" t="s">
        <v>10146</v>
      </c>
      <c r="B5077" s="2">
        <v>2582.14</v>
      </c>
      <c r="C5077" s="2">
        <v>2582.14</v>
      </c>
      <c r="D5077" s="2">
        <v>6790.71</v>
      </c>
      <c r="E5077" s="2">
        <v>6790.71</v>
      </c>
      <c r="G5077" s="1" t="s">
        <v>10147</v>
      </c>
      <c r="H5077" s="2">
        <v>2527.67</v>
      </c>
      <c r="I5077" s="2">
        <v>2527.67</v>
      </c>
    </row>
    <row r="5078">
      <c r="A5078" s="1" t="s">
        <v>10148</v>
      </c>
      <c r="B5078" s="2">
        <v>2599.03</v>
      </c>
      <c r="C5078" s="2">
        <v>2599.03</v>
      </c>
      <c r="D5078" s="2">
        <v>6862.48</v>
      </c>
      <c r="E5078" s="2">
        <v>6862.48</v>
      </c>
      <c r="G5078" s="1" t="s">
        <v>10149</v>
      </c>
      <c r="H5078" s="2">
        <v>2530.7</v>
      </c>
      <c r="I5078" s="2">
        <v>2530.7</v>
      </c>
    </row>
    <row r="5079">
      <c r="A5079" s="1" t="s">
        <v>10150</v>
      </c>
      <c r="B5079" s="2">
        <v>2597.08</v>
      </c>
      <c r="C5079" s="2">
        <v>2597.08</v>
      </c>
      <c r="D5079" s="2">
        <v>6867.36</v>
      </c>
      <c r="E5079" s="2">
        <v>6867.36</v>
      </c>
      <c r="G5079" s="1" t="s">
        <v>10151</v>
      </c>
      <c r="H5079" s="2">
        <v>2540.51</v>
      </c>
      <c r="I5079" s="2">
        <v>2540.51</v>
      </c>
    </row>
    <row r="5080">
      <c r="A5080" s="1" t="s">
        <v>10152</v>
      </c>
      <c r="B5080" s="2" t="s">
        <v>0</v>
      </c>
      <c r="C5080" s="2">
        <v>2597.08</v>
      </c>
      <c r="D5080" s="2" t="s">
        <v>0</v>
      </c>
      <c r="E5080" s="2">
        <v>6867.36</v>
      </c>
      <c r="G5080" s="1" t="s">
        <v>10153</v>
      </c>
      <c r="H5080" s="2" t="s">
        <v>0</v>
      </c>
      <c r="I5080" s="2">
        <v>2540.51</v>
      </c>
    </row>
    <row r="5081">
      <c r="A5081" s="1" t="s">
        <v>10154</v>
      </c>
      <c r="B5081" s="2" t="s">
        <v>0</v>
      </c>
      <c r="C5081" s="2">
        <v>2597.08</v>
      </c>
      <c r="D5081" s="2" t="s">
        <v>0</v>
      </c>
      <c r="E5081" s="2">
        <v>6867.36</v>
      </c>
      <c r="G5081" s="1" t="s">
        <v>10155</v>
      </c>
      <c r="H5081" s="2">
        <v>2544.33</v>
      </c>
      <c r="I5081" s="2">
        <v>2544.33</v>
      </c>
    </row>
    <row r="5082">
      <c r="A5082" s="1" t="s">
        <v>10156</v>
      </c>
      <c r="B5082" s="2" t="s">
        <v>0</v>
      </c>
      <c r="C5082" s="2">
        <v>2597.08</v>
      </c>
      <c r="D5082" s="2" t="s">
        <v>0</v>
      </c>
      <c r="E5082" s="2">
        <v>6867.36</v>
      </c>
      <c r="G5082" s="1" t="s">
        <v>10157</v>
      </c>
      <c r="H5082" s="2" t="s">
        <v>0</v>
      </c>
      <c r="I5082" s="2">
        <v>2544.33</v>
      </c>
    </row>
    <row r="5083">
      <c r="A5083" s="1" t="s">
        <v>10158</v>
      </c>
      <c r="B5083" s="2" t="s">
        <v>0</v>
      </c>
      <c r="C5083" s="2">
        <v>2597.08</v>
      </c>
      <c r="D5083" s="2" t="s">
        <v>0</v>
      </c>
      <c r="E5083" s="2">
        <v>6867.36</v>
      </c>
      <c r="G5083" s="1" t="s">
        <v>10159</v>
      </c>
      <c r="H5083" s="2" t="s">
        <v>0</v>
      </c>
      <c r="I5083" s="2">
        <v>2544.33</v>
      </c>
    </row>
    <row r="5084">
      <c r="A5084" s="1" t="s">
        <v>10160</v>
      </c>
      <c r="B5084" s="2">
        <v>2601.42</v>
      </c>
      <c r="C5084" s="2">
        <v>2601.42</v>
      </c>
      <c r="D5084" s="2">
        <v>6878.52</v>
      </c>
      <c r="E5084" s="2">
        <v>6878.52</v>
      </c>
      <c r="G5084" s="1" t="s">
        <v>10161</v>
      </c>
      <c r="H5084" s="2">
        <v>2507.81</v>
      </c>
      <c r="I5084" s="2">
        <v>2507.81</v>
      </c>
    </row>
    <row r="5085">
      <c r="A5085" s="1" t="s">
        <v>10162</v>
      </c>
      <c r="B5085" s="2">
        <v>2627.04</v>
      </c>
      <c r="C5085" s="2">
        <v>2627.04</v>
      </c>
      <c r="D5085" s="2">
        <v>6912.36</v>
      </c>
      <c r="E5085" s="2">
        <v>6912.36</v>
      </c>
      <c r="G5085" s="1" t="s">
        <v>10163</v>
      </c>
      <c r="H5085" s="2">
        <v>2514.19</v>
      </c>
      <c r="I5085" s="2">
        <v>2514.19</v>
      </c>
    </row>
    <row r="5086">
      <c r="A5086" s="1" t="s">
        <v>10164</v>
      </c>
      <c r="B5086" s="2">
        <v>2626.07</v>
      </c>
      <c r="C5086" s="2">
        <v>2626.07</v>
      </c>
      <c r="D5086" s="2">
        <v>6824.39</v>
      </c>
      <c r="E5086" s="2">
        <v>6824.39</v>
      </c>
      <c r="G5086" s="1" t="s">
        <v>10165</v>
      </c>
      <c r="H5086" s="2">
        <v>2512.9</v>
      </c>
      <c r="I5086" s="2">
        <v>2512.9</v>
      </c>
    </row>
    <row r="5087">
      <c r="A5087" s="1" t="s">
        <v>10166</v>
      </c>
      <c r="B5087" s="2">
        <v>2647.58</v>
      </c>
      <c r="C5087" s="2">
        <v>2647.58</v>
      </c>
      <c r="D5087" s="2">
        <v>6873.97</v>
      </c>
      <c r="E5087" s="2">
        <v>6873.97</v>
      </c>
      <c r="G5087" s="1" t="s">
        <v>10167</v>
      </c>
      <c r="H5087" s="2">
        <v>2476.37</v>
      </c>
      <c r="I5087" s="2">
        <v>2476.37</v>
      </c>
    </row>
    <row r="5088">
      <c r="A5088" s="1" t="s">
        <v>10168</v>
      </c>
      <c r="B5088" s="2">
        <v>2642.22</v>
      </c>
      <c r="C5088" s="2">
        <v>2642.22</v>
      </c>
      <c r="D5088" s="2">
        <v>6847.59</v>
      </c>
      <c r="E5088" s="2">
        <v>6847.59</v>
      </c>
      <c r="G5088" s="1" t="s">
        <v>10169</v>
      </c>
      <c r="H5088" s="2">
        <v>2475.41</v>
      </c>
      <c r="I5088" s="2">
        <v>2475.41</v>
      </c>
    </row>
    <row r="5089">
      <c r="A5089" s="1" t="s">
        <v>10170</v>
      </c>
      <c r="B5089" s="2" t="s">
        <v>0</v>
      </c>
      <c r="C5089" s="2">
        <v>2642.22</v>
      </c>
      <c r="D5089" s="2" t="s">
        <v>0</v>
      </c>
      <c r="E5089" s="2">
        <v>6847.59</v>
      </c>
      <c r="G5089" s="1" t="s">
        <v>10171</v>
      </c>
      <c r="H5089" s="2" t="s">
        <v>0</v>
      </c>
      <c r="I5089" s="2">
        <v>2475.41</v>
      </c>
    </row>
    <row r="5090">
      <c r="A5090" s="1" t="s">
        <v>10172</v>
      </c>
      <c r="B5090" s="2" t="s">
        <v>0</v>
      </c>
      <c r="C5090" s="2">
        <v>2642.22</v>
      </c>
      <c r="D5090" s="2" t="s">
        <v>0</v>
      </c>
      <c r="E5090" s="2">
        <v>6847.59</v>
      </c>
      <c r="G5090" s="1" t="s">
        <v>10173</v>
      </c>
      <c r="H5090" s="2" t="s">
        <v>0</v>
      </c>
      <c r="I5090" s="2">
        <v>2475.41</v>
      </c>
    </row>
    <row r="5091">
      <c r="A5091" s="1" t="s">
        <v>10174</v>
      </c>
      <c r="B5091" s="2">
        <v>2639.44</v>
      </c>
      <c r="C5091" s="2">
        <v>2639.44</v>
      </c>
      <c r="D5091" s="2">
        <v>6775.37</v>
      </c>
      <c r="E5091" s="2">
        <v>6775.37</v>
      </c>
      <c r="G5091" s="1" t="s">
        <v>10175</v>
      </c>
      <c r="H5091" s="2">
        <v>2501.67</v>
      </c>
      <c r="I5091" s="2">
        <v>2501.67</v>
      </c>
    </row>
    <row r="5092">
      <c r="A5092" s="1" t="s">
        <v>10176</v>
      </c>
      <c r="B5092" s="2">
        <v>2629.57</v>
      </c>
      <c r="C5092" s="2">
        <v>2629.57</v>
      </c>
      <c r="D5092" s="2">
        <v>6762.21</v>
      </c>
      <c r="E5092" s="2">
        <v>6762.21</v>
      </c>
      <c r="G5092" s="1" t="s">
        <v>10177</v>
      </c>
      <c r="H5092" s="2">
        <v>2510.12</v>
      </c>
      <c r="I5092" s="2">
        <v>2510.12</v>
      </c>
    </row>
    <row r="5093">
      <c r="A5093" s="1" t="s">
        <v>10178</v>
      </c>
      <c r="B5093" s="2">
        <v>2629.27</v>
      </c>
      <c r="C5093" s="2">
        <v>2629.27</v>
      </c>
      <c r="D5093" s="2">
        <v>6776.38</v>
      </c>
      <c r="E5093" s="2">
        <v>6776.38</v>
      </c>
      <c r="G5093" s="1" t="s">
        <v>10179</v>
      </c>
      <c r="H5093" s="2">
        <v>2474.37</v>
      </c>
      <c r="I5093" s="2">
        <v>2474.37</v>
      </c>
    </row>
    <row r="5094">
      <c r="A5094" s="1" t="s">
        <v>10180</v>
      </c>
      <c r="B5094" s="2">
        <v>2636.98</v>
      </c>
      <c r="C5094" s="2">
        <v>2636.98</v>
      </c>
      <c r="D5094" s="2">
        <v>6812.84</v>
      </c>
      <c r="E5094" s="2">
        <v>6812.84</v>
      </c>
      <c r="G5094" s="1" t="s">
        <v>10181</v>
      </c>
      <c r="H5094" s="2">
        <v>2461.98</v>
      </c>
      <c r="I5094" s="2">
        <v>2461.98</v>
      </c>
    </row>
    <row r="5095">
      <c r="A5095" s="1" t="s">
        <v>10182</v>
      </c>
      <c r="B5095" s="2">
        <v>2651.5</v>
      </c>
      <c r="C5095" s="2">
        <v>2651.5</v>
      </c>
      <c r="D5095" s="2">
        <v>6840.08</v>
      </c>
      <c r="E5095" s="2">
        <v>6840.08</v>
      </c>
      <c r="G5095" s="1" t="s">
        <v>10183</v>
      </c>
      <c r="H5095" s="2">
        <v>2464.0</v>
      </c>
      <c r="I5095" s="2">
        <v>2464.0</v>
      </c>
    </row>
    <row r="5096">
      <c r="A5096" s="1" t="s">
        <v>10184</v>
      </c>
      <c r="B5096" s="2" t="s">
        <v>0</v>
      </c>
      <c r="C5096" s="2">
        <v>2651.5</v>
      </c>
      <c r="D5096" s="2" t="s">
        <v>0</v>
      </c>
      <c r="E5096" s="2">
        <v>6840.08</v>
      </c>
      <c r="G5096" s="1" t="s">
        <v>10185</v>
      </c>
      <c r="H5096" s="2" t="s">
        <v>0</v>
      </c>
      <c r="I5096" s="2">
        <v>2464.0</v>
      </c>
    </row>
    <row r="5097">
      <c r="A5097" s="1" t="s">
        <v>10186</v>
      </c>
      <c r="B5097" s="2" t="s">
        <v>0</v>
      </c>
      <c r="C5097" s="2">
        <v>2651.5</v>
      </c>
      <c r="D5097" s="2" t="s">
        <v>0</v>
      </c>
      <c r="E5097" s="2">
        <v>6840.08</v>
      </c>
      <c r="G5097" s="1" t="s">
        <v>10187</v>
      </c>
      <c r="H5097" s="2" t="s">
        <v>0</v>
      </c>
      <c r="I5097" s="2">
        <v>2464.0</v>
      </c>
    </row>
    <row r="5098">
      <c r="A5098" s="1" t="s">
        <v>10188</v>
      </c>
      <c r="B5098" s="2">
        <v>2659.99</v>
      </c>
      <c r="C5098" s="2">
        <v>2659.99</v>
      </c>
      <c r="D5098" s="2">
        <v>6875.08</v>
      </c>
      <c r="E5098" s="2">
        <v>6875.08</v>
      </c>
      <c r="G5098" s="1" t="s">
        <v>10189</v>
      </c>
      <c r="H5098" s="2">
        <v>2471.49</v>
      </c>
      <c r="I5098" s="2">
        <v>2471.49</v>
      </c>
    </row>
    <row r="5099">
      <c r="A5099" s="1" t="s">
        <v>10190</v>
      </c>
      <c r="B5099" s="2">
        <v>2664.11</v>
      </c>
      <c r="C5099" s="2">
        <v>2664.11</v>
      </c>
      <c r="D5099" s="2">
        <v>6862.32</v>
      </c>
      <c r="E5099" s="2">
        <v>6862.32</v>
      </c>
      <c r="G5099" s="1" t="s">
        <v>10191</v>
      </c>
      <c r="H5099" s="2">
        <v>2461.0</v>
      </c>
      <c r="I5099" s="2">
        <v>2461.0</v>
      </c>
    </row>
    <row r="5100">
      <c r="A5100" s="1" t="s">
        <v>10192</v>
      </c>
      <c r="B5100" s="2">
        <v>2662.85</v>
      </c>
      <c r="C5100" s="2">
        <v>2662.85</v>
      </c>
      <c r="D5100" s="2">
        <v>6875.8</v>
      </c>
      <c r="E5100" s="2">
        <v>6875.8</v>
      </c>
      <c r="G5100" s="1" t="s">
        <v>10193</v>
      </c>
      <c r="H5100" s="2" t="s">
        <v>0</v>
      </c>
      <c r="I5100" s="2">
        <v>2461.0</v>
      </c>
    </row>
    <row r="5101">
      <c r="A5101" s="1" t="s">
        <v>10194</v>
      </c>
      <c r="B5101" s="2">
        <v>2652.01</v>
      </c>
      <c r="C5101" s="2">
        <v>2652.01</v>
      </c>
      <c r="D5101" s="2">
        <v>6856.53</v>
      </c>
      <c r="E5101" s="2">
        <v>6856.53</v>
      </c>
      <c r="G5101" s="1" t="s">
        <v>10195</v>
      </c>
      <c r="H5101" s="2">
        <v>2469.48</v>
      </c>
      <c r="I5101" s="2">
        <v>2469.48</v>
      </c>
    </row>
    <row r="5102">
      <c r="A5102" s="1" t="s">
        <v>10196</v>
      </c>
      <c r="B5102" s="2">
        <v>2675.81</v>
      </c>
      <c r="C5102" s="2">
        <v>2675.81</v>
      </c>
      <c r="D5102" s="2">
        <v>6936.58</v>
      </c>
      <c r="E5102" s="2">
        <v>6936.58</v>
      </c>
      <c r="G5102" s="1" t="s">
        <v>10197</v>
      </c>
      <c r="H5102" s="2">
        <v>2482.07</v>
      </c>
      <c r="I5102" s="2">
        <v>2482.07</v>
      </c>
    </row>
    <row r="5103">
      <c r="A5103" s="1" t="s">
        <v>10198</v>
      </c>
      <c r="B5103" s="2" t="s">
        <v>0</v>
      </c>
      <c r="C5103" s="2">
        <v>2675.81</v>
      </c>
      <c r="D5103" s="2" t="s">
        <v>0</v>
      </c>
      <c r="E5103" s="2">
        <v>6936.58</v>
      </c>
      <c r="G5103" s="1" t="s">
        <v>10199</v>
      </c>
      <c r="H5103" s="2" t="s">
        <v>0</v>
      </c>
      <c r="I5103" s="2">
        <v>2482.07</v>
      </c>
    </row>
    <row r="5104">
      <c r="A5104" s="1" t="s">
        <v>10200</v>
      </c>
      <c r="B5104" s="2" t="s">
        <v>0</v>
      </c>
      <c r="C5104" s="2">
        <v>2675.81</v>
      </c>
      <c r="D5104" s="2" t="s">
        <v>0</v>
      </c>
      <c r="E5104" s="2">
        <v>6936.58</v>
      </c>
      <c r="G5104" s="1" t="s">
        <v>10201</v>
      </c>
      <c r="H5104" s="2" t="s">
        <v>0</v>
      </c>
      <c r="I5104" s="2">
        <v>2482.07</v>
      </c>
    </row>
    <row r="5105">
      <c r="A5105" s="1" t="s">
        <v>10202</v>
      </c>
      <c r="B5105" s="2">
        <v>2690.16</v>
      </c>
      <c r="C5105" s="2">
        <v>2690.16</v>
      </c>
      <c r="D5105" s="2">
        <v>6994.76</v>
      </c>
      <c r="E5105" s="2">
        <v>6994.76</v>
      </c>
      <c r="G5105" s="1" t="s">
        <v>10203</v>
      </c>
      <c r="H5105" s="2">
        <v>2481.88</v>
      </c>
      <c r="I5105" s="2">
        <v>2481.88</v>
      </c>
    </row>
    <row r="5106">
      <c r="A5106" s="1" t="s">
        <v>10204</v>
      </c>
      <c r="B5106" s="2">
        <v>2681.47</v>
      </c>
      <c r="C5106" s="2">
        <v>2681.47</v>
      </c>
      <c r="D5106" s="2">
        <v>6963.85</v>
      </c>
      <c r="E5106" s="2">
        <v>6963.85</v>
      </c>
      <c r="G5106" s="1" t="s">
        <v>10205</v>
      </c>
      <c r="H5106" s="2">
        <v>2478.53</v>
      </c>
      <c r="I5106" s="2">
        <v>2478.53</v>
      </c>
    </row>
    <row r="5107">
      <c r="A5107" s="1" t="s">
        <v>10206</v>
      </c>
      <c r="B5107" s="2">
        <v>2679.25</v>
      </c>
      <c r="C5107" s="2">
        <v>2679.25</v>
      </c>
      <c r="D5107" s="2">
        <v>6960.96</v>
      </c>
      <c r="E5107" s="2">
        <v>6960.96</v>
      </c>
      <c r="G5107" s="1" t="s">
        <v>10207</v>
      </c>
      <c r="H5107" s="2">
        <v>2472.37</v>
      </c>
      <c r="I5107" s="2">
        <v>2472.37</v>
      </c>
    </row>
    <row r="5108">
      <c r="A5108" s="1" t="s">
        <v>10208</v>
      </c>
      <c r="B5108" s="2">
        <v>2684.57</v>
      </c>
      <c r="C5108" s="2">
        <v>2684.57</v>
      </c>
      <c r="D5108" s="2">
        <v>6965.36</v>
      </c>
      <c r="E5108" s="2">
        <v>6965.36</v>
      </c>
      <c r="G5108" s="1" t="s">
        <v>10209</v>
      </c>
      <c r="H5108" s="2">
        <v>2429.83</v>
      </c>
      <c r="I5108" s="2">
        <v>2429.83</v>
      </c>
    </row>
    <row r="5109">
      <c r="A5109" s="1" t="s">
        <v>10210</v>
      </c>
      <c r="B5109" s="2">
        <v>2683.34</v>
      </c>
      <c r="C5109" s="2">
        <v>2683.34</v>
      </c>
      <c r="D5109" s="2">
        <v>6959.96</v>
      </c>
      <c r="E5109" s="2">
        <v>6959.96</v>
      </c>
      <c r="G5109" s="1" t="s">
        <v>10211</v>
      </c>
      <c r="H5109" s="2">
        <v>2440.54</v>
      </c>
      <c r="I5109" s="2">
        <v>2440.54</v>
      </c>
    </row>
    <row r="5110">
      <c r="A5110" s="1" t="s">
        <v>10212</v>
      </c>
      <c r="B5110" s="2" t="s">
        <v>0</v>
      </c>
      <c r="C5110" s="2">
        <v>2683.34</v>
      </c>
      <c r="D5110" s="2" t="s">
        <v>0</v>
      </c>
      <c r="E5110" s="2">
        <v>6959.96</v>
      </c>
      <c r="G5110" s="1" t="s">
        <v>10213</v>
      </c>
      <c r="H5110" s="2" t="s">
        <v>0</v>
      </c>
      <c r="I5110" s="2">
        <v>2440.54</v>
      </c>
    </row>
    <row r="5111">
      <c r="A5111" s="1" t="s">
        <v>10214</v>
      </c>
      <c r="B5111" s="2" t="s">
        <v>0</v>
      </c>
      <c r="C5111" s="2">
        <v>2683.34</v>
      </c>
      <c r="D5111" s="2" t="s">
        <v>0</v>
      </c>
      <c r="E5111" s="2">
        <v>6959.96</v>
      </c>
      <c r="G5111" s="1" t="s">
        <v>10215</v>
      </c>
      <c r="H5111" s="2" t="s">
        <v>0</v>
      </c>
      <c r="I5111" s="2">
        <v>2440.54</v>
      </c>
    </row>
    <row r="5112">
      <c r="A5112" s="1" t="s">
        <v>10216</v>
      </c>
      <c r="B5112" s="2" t="s">
        <v>0</v>
      </c>
      <c r="C5112" s="2">
        <v>2683.34</v>
      </c>
      <c r="D5112" s="2" t="s">
        <v>0</v>
      </c>
      <c r="E5112" s="2">
        <v>6959.96</v>
      </c>
      <c r="G5112" s="1" t="s">
        <v>10217</v>
      </c>
      <c r="H5112" s="2" t="s">
        <v>0</v>
      </c>
      <c r="I5112" s="2">
        <v>2440.54</v>
      </c>
    </row>
    <row r="5113">
      <c r="A5113" s="1" t="s">
        <v>10218</v>
      </c>
      <c r="B5113" s="2">
        <v>2680.5</v>
      </c>
      <c r="C5113" s="2">
        <v>2680.5</v>
      </c>
      <c r="D5113" s="2">
        <v>6936.25</v>
      </c>
      <c r="E5113" s="2">
        <v>6936.25</v>
      </c>
      <c r="G5113" s="1" t="s">
        <v>10219</v>
      </c>
      <c r="H5113" s="2">
        <v>2427.34</v>
      </c>
      <c r="I5113" s="2">
        <v>2427.34</v>
      </c>
    </row>
    <row r="5114">
      <c r="A5114" s="1" t="s">
        <v>10220</v>
      </c>
      <c r="B5114" s="2">
        <v>2682.62</v>
      </c>
      <c r="C5114" s="2">
        <v>2682.62</v>
      </c>
      <c r="D5114" s="2">
        <v>6939.34</v>
      </c>
      <c r="E5114" s="2">
        <v>6939.34</v>
      </c>
      <c r="G5114" s="1" t="s">
        <v>10221</v>
      </c>
      <c r="H5114" s="2">
        <v>2436.67</v>
      </c>
      <c r="I5114" s="2">
        <v>2436.67</v>
      </c>
    </row>
    <row r="5115">
      <c r="A5115" s="1" t="s">
        <v>10222</v>
      </c>
      <c r="B5115" s="2">
        <v>2687.54</v>
      </c>
      <c r="C5115" s="2">
        <v>2687.54</v>
      </c>
      <c r="D5115" s="2">
        <v>6950.16</v>
      </c>
      <c r="E5115" s="2">
        <v>6950.16</v>
      </c>
      <c r="G5115" s="1" t="s">
        <v>10223</v>
      </c>
      <c r="H5115" s="2">
        <v>2467.49</v>
      </c>
      <c r="I5115" s="2">
        <v>2467.49</v>
      </c>
    </row>
    <row r="5116">
      <c r="A5116" s="1" t="s">
        <v>10224</v>
      </c>
      <c r="B5116" s="2">
        <v>2673.61</v>
      </c>
      <c r="C5116" s="2">
        <v>2673.61</v>
      </c>
      <c r="D5116" s="2">
        <v>6903.39</v>
      </c>
      <c r="E5116" s="2">
        <v>6903.39</v>
      </c>
      <c r="G5116" s="1" t="s">
        <v>10225</v>
      </c>
      <c r="H5116" s="2" t="s">
        <v>0</v>
      </c>
      <c r="I5116" s="2">
        <v>2467.49</v>
      </c>
    </row>
    <row r="5117">
      <c r="A5117" s="1" t="s">
        <v>10226</v>
      </c>
      <c r="B5117" s="2" t="s">
        <v>0</v>
      </c>
      <c r="C5117" s="2">
        <v>2673.61</v>
      </c>
      <c r="D5117" s="2" t="s">
        <v>0</v>
      </c>
      <c r="E5117" s="2">
        <v>6903.39</v>
      </c>
      <c r="G5117" s="1" t="s">
        <v>10227</v>
      </c>
      <c r="H5117" s="2" t="s">
        <v>0</v>
      </c>
      <c r="I5117" s="2">
        <v>2467.49</v>
      </c>
    </row>
    <row r="5118">
      <c r="A5118" s="1" t="s">
        <v>10228</v>
      </c>
      <c r="B5118" s="2" t="s">
        <v>0</v>
      </c>
      <c r="C5118" s="2">
        <v>2673.61</v>
      </c>
      <c r="D5118" s="2" t="s">
        <v>0</v>
      </c>
      <c r="E5118" s="2">
        <v>6903.39</v>
      </c>
      <c r="G5118" s="1" t="s">
        <v>10229</v>
      </c>
      <c r="H5118" s="2" t="s">
        <v>0</v>
      </c>
      <c r="I5118" s="2">
        <v>2467.49</v>
      </c>
    </row>
    <row r="5119">
      <c r="A5119" s="1" t="s">
        <v>10230</v>
      </c>
      <c r="B5119" s="2" t="s">
        <v>0</v>
      </c>
      <c r="C5119" s="2">
        <v>2673.61</v>
      </c>
      <c r="D5119" s="2" t="s">
        <v>0</v>
      </c>
      <c r="E5119" s="2">
        <v>6903.39</v>
      </c>
      <c r="G5119" s="1" t="s">
        <v>10231</v>
      </c>
      <c r="H5119" s="2" t="s">
        <v>0</v>
      </c>
      <c r="I5119" s="2">
        <v>2467.49</v>
      </c>
    </row>
    <row r="5120">
      <c r="A5120" s="1" t="s">
        <v>10232</v>
      </c>
      <c r="B5120" s="2">
        <v>2695.81</v>
      </c>
      <c r="C5120" s="2">
        <v>2695.81</v>
      </c>
      <c r="D5120" s="2">
        <v>7006.9</v>
      </c>
      <c r="E5120" s="2">
        <v>7006.9</v>
      </c>
      <c r="G5120" s="1" t="s">
        <v>10233</v>
      </c>
      <c r="H5120" s="2">
        <v>2479.65</v>
      </c>
      <c r="I5120" s="2">
        <v>2479.65</v>
      </c>
    </row>
    <row r="5121">
      <c r="A5121" s="1" t="s">
        <v>10234</v>
      </c>
      <c r="B5121" s="2">
        <v>2713.06</v>
      </c>
      <c r="C5121" s="2">
        <v>2713.06</v>
      </c>
      <c r="D5121" s="2">
        <v>7065.53</v>
      </c>
      <c r="E5121" s="2">
        <v>7065.53</v>
      </c>
      <c r="G5121" s="1" t="s">
        <v>10235</v>
      </c>
      <c r="H5121" s="2">
        <v>2486.35</v>
      </c>
      <c r="I5121" s="2">
        <v>2486.35</v>
      </c>
    </row>
    <row r="5122">
      <c r="A5122" s="1" t="s">
        <v>10236</v>
      </c>
      <c r="B5122" s="2">
        <v>2723.99</v>
      </c>
      <c r="C5122" s="2">
        <v>2723.99</v>
      </c>
      <c r="D5122" s="2">
        <v>7077.92</v>
      </c>
      <c r="E5122" s="2">
        <v>7077.92</v>
      </c>
      <c r="G5122" s="1" t="s">
        <v>10237</v>
      </c>
      <c r="H5122" s="2">
        <v>2466.46</v>
      </c>
      <c r="I5122" s="2">
        <v>2466.46</v>
      </c>
    </row>
    <row r="5123">
      <c r="A5123" s="1" t="s">
        <v>10238</v>
      </c>
      <c r="B5123" s="2">
        <v>2743.15</v>
      </c>
      <c r="C5123" s="2">
        <v>2743.15</v>
      </c>
      <c r="D5123" s="2">
        <v>7136.56</v>
      </c>
      <c r="E5123" s="2">
        <v>7136.56</v>
      </c>
      <c r="G5123" s="1" t="s">
        <v>10239</v>
      </c>
      <c r="H5123" s="2">
        <v>2497.52</v>
      </c>
      <c r="I5123" s="2">
        <v>2497.52</v>
      </c>
    </row>
    <row r="5124">
      <c r="A5124" s="1" t="s">
        <v>10240</v>
      </c>
      <c r="B5124" s="2" t="s">
        <v>0</v>
      </c>
      <c r="C5124" s="2">
        <v>2743.15</v>
      </c>
      <c r="D5124" s="2" t="s">
        <v>0</v>
      </c>
      <c r="E5124" s="2">
        <v>7136.56</v>
      </c>
      <c r="G5124" s="1" t="s">
        <v>10241</v>
      </c>
      <c r="H5124" s="2" t="s">
        <v>0</v>
      </c>
      <c r="I5124" s="2">
        <v>2497.52</v>
      </c>
    </row>
    <row r="5125">
      <c r="A5125" s="1" t="s">
        <v>10242</v>
      </c>
      <c r="B5125" s="2" t="s">
        <v>0</v>
      </c>
      <c r="C5125" s="2">
        <v>2743.15</v>
      </c>
      <c r="D5125" s="2" t="s">
        <v>0</v>
      </c>
      <c r="E5125" s="2">
        <v>7136.56</v>
      </c>
      <c r="G5125" s="1" t="s">
        <v>10243</v>
      </c>
      <c r="H5125" s="2" t="s">
        <v>0</v>
      </c>
      <c r="I5125" s="2">
        <v>2497.52</v>
      </c>
    </row>
    <row r="5126">
      <c r="A5126" s="1" t="s">
        <v>10244</v>
      </c>
      <c r="B5126" s="2">
        <v>2747.71</v>
      </c>
      <c r="C5126" s="2">
        <v>2747.71</v>
      </c>
      <c r="D5126" s="2">
        <v>7157.39</v>
      </c>
      <c r="E5126" s="2">
        <v>7157.39</v>
      </c>
      <c r="G5126" s="1" t="s">
        <v>10245</v>
      </c>
      <c r="H5126" s="2">
        <v>2513.28</v>
      </c>
      <c r="I5126" s="2">
        <v>2513.28</v>
      </c>
    </row>
    <row r="5127">
      <c r="A5127" s="1" t="s">
        <v>10246</v>
      </c>
      <c r="B5127" s="2">
        <v>2751.29</v>
      </c>
      <c r="C5127" s="2">
        <v>2751.29</v>
      </c>
      <c r="D5127" s="2">
        <v>7163.58</v>
      </c>
      <c r="E5127" s="2">
        <v>7163.58</v>
      </c>
      <c r="G5127" s="1" t="s">
        <v>10247</v>
      </c>
      <c r="H5127" s="2">
        <v>2510.23</v>
      </c>
      <c r="I5127" s="2">
        <v>2510.23</v>
      </c>
    </row>
    <row r="5128">
      <c r="A5128" s="1" t="s">
        <v>10248</v>
      </c>
      <c r="B5128" s="2">
        <v>2748.23</v>
      </c>
      <c r="C5128" s="2">
        <v>2748.23</v>
      </c>
      <c r="D5128" s="2">
        <v>7153.57</v>
      </c>
      <c r="E5128" s="2">
        <v>7153.57</v>
      </c>
      <c r="G5128" s="1" t="s">
        <v>10249</v>
      </c>
      <c r="H5128" s="2">
        <v>2499.75</v>
      </c>
      <c r="I5128" s="2">
        <v>2499.75</v>
      </c>
    </row>
    <row r="5129">
      <c r="A5129" s="1" t="s">
        <v>10250</v>
      </c>
      <c r="B5129" s="2">
        <v>2767.56</v>
      </c>
      <c r="C5129" s="2">
        <v>2767.56</v>
      </c>
      <c r="D5129" s="2">
        <v>7211.78</v>
      </c>
      <c r="E5129" s="2">
        <v>7211.78</v>
      </c>
      <c r="G5129" s="1" t="s">
        <v>10251</v>
      </c>
      <c r="H5129" s="2">
        <v>2487.91</v>
      </c>
      <c r="I5129" s="2">
        <v>2487.91</v>
      </c>
    </row>
    <row r="5130">
      <c r="A5130" s="1" t="s">
        <v>10252</v>
      </c>
      <c r="B5130" s="2">
        <v>2786.24</v>
      </c>
      <c r="C5130" s="2">
        <v>2786.24</v>
      </c>
      <c r="D5130" s="2">
        <v>7261.06</v>
      </c>
      <c r="E5130" s="2">
        <v>7261.06</v>
      </c>
      <c r="G5130" s="1" t="s">
        <v>10253</v>
      </c>
      <c r="H5130" s="2">
        <v>2496.42</v>
      </c>
      <c r="I5130" s="2">
        <v>2496.42</v>
      </c>
    </row>
    <row r="5131">
      <c r="A5131" s="1" t="s">
        <v>10254</v>
      </c>
      <c r="B5131" s="2" t="s">
        <v>0</v>
      </c>
      <c r="C5131" s="2">
        <v>2786.24</v>
      </c>
      <c r="D5131" s="2" t="s">
        <v>0</v>
      </c>
      <c r="E5131" s="2">
        <v>7261.06</v>
      </c>
      <c r="G5131" s="1" t="s">
        <v>10255</v>
      </c>
      <c r="H5131" s="2" t="s">
        <v>0</v>
      </c>
      <c r="I5131" s="2">
        <v>2496.42</v>
      </c>
    </row>
    <row r="5132">
      <c r="A5132" s="1" t="s">
        <v>10256</v>
      </c>
      <c r="B5132" s="2" t="s">
        <v>0</v>
      </c>
      <c r="C5132" s="2">
        <v>2786.24</v>
      </c>
      <c r="D5132" s="2" t="s">
        <v>0</v>
      </c>
      <c r="E5132" s="2">
        <v>7261.06</v>
      </c>
      <c r="G5132" s="1" t="s">
        <v>10257</v>
      </c>
      <c r="H5132" s="2" t="s">
        <v>0</v>
      </c>
      <c r="I5132" s="2">
        <v>2496.42</v>
      </c>
    </row>
    <row r="5133">
      <c r="A5133" s="1" t="s">
        <v>10258</v>
      </c>
      <c r="B5133" s="2" t="s">
        <v>0</v>
      </c>
      <c r="C5133" s="2">
        <v>2786.24</v>
      </c>
      <c r="D5133" s="2" t="s">
        <v>0</v>
      </c>
      <c r="E5133" s="2">
        <v>7261.06</v>
      </c>
      <c r="G5133" s="1" t="s">
        <v>10259</v>
      </c>
      <c r="H5133" s="2">
        <v>2503.73</v>
      </c>
      <c r="I5133" s="2">
        <v>2503.73</v>
      </c>
    </row>
    <row r="5134">
      <c r="A5134" s="1" t="s">
        <v>10260</v>
      </c>
      <c r="B5134" s="2">
        <v>2776.42</v>
      </c>
      <c r="C5134" s="2">
        <v>2776.42</v>
      </c>
      <c r="D5134" s="2">
        <v>7223.69</v>
      </c>
      <c r="E5134" s="2">
        <v>7223.69</v>
      </c>
      <c r="G5134" s="1" t="s">
        <v>10261</v>
      </c>
      <c r="H5134" s="2">
        <v>2521.74</v>
      </c>
      <c r="I5134" s="2">
        <v>2521.74</v>
      </c>
    </row>
    <row r="5135">
      <c r="A5135" s="1" t="s">
        <v>10262</v>
      </c>
      <c r="B5135" s="2">
        <v>2802.56</v>
      </c>
      <c r="C5135" s="2">
        <v>2802.56</v>
      </c>
      <c r="D5135" s="2">
        <v>7298.28</v>
      </c>
      <c r="E5135" s="2">
        <v>7298.28</v>
      </c>
      <c r="G5135" s="1" t="s">
        <v>10263</v>
      </c>
      <c r="H5135" s="2">
        <v>2515.43</v>
      </c>
      <c r="I5135" s="2">
        <v>2515.43</v>
      </c>
    </row>
    <row r="5136">
      <c r="A5136" s="1" t="s">
        <v>10264</v>
      </c>
      <c r="B5136" s="2">
        <v>2798.03</v>
      </c>
      <c r="C5136" s="2">
        <v>2798.03</v>
      </c>
      <c r="D5136" s="2">
        <v>7296.05</v>
      </c>
      <c r="E5136" s="2">
        <v>7296.05</v>
      </c>
      <c r="G5136" s="1" t="s">
        <v>10265</v>
      </c>
      <c r="H5136" s="2">
        <v>2515.81</v>
      </c>
      <c r="I5136" s="2">
        <v>2515.81</v>
      </c>
    </row>
    <row r="5137">
      <c r="A5137" s="1" t="s">
        <v>10266</v>
      </c>
      <c r="B5137" s="2">
        <v>2810.3</v>
      </c>
      <c r="C5137" s="2">
        <v>2810.3</v>
      </c>
      <c r="D5137" s="2">
        <v>7336.38</v>
      </c>
      <c r="E5137" s="2">
        <v>7336.38</v>
      </c>
      <c r="G5137" s="1" t="s">
        <v>10267</v>
      </c>
      <c r="H5137" s="2">
        <v>2520.26</v>
      </c>
      <c r="I5137" s="2">
        <v>2520.26</v>
      </c>
    </row>
    <row r="5138">
      <c r="A5138" s="1" t="s">
        <v>10268</v>
      </c>
      <c r="B5138" s="2" t="s">
        <v>0</v>
      </c>
      <c r="C5138" s="2">
        <v>2810.3</v>
      </c>
      <c r="D5138" s="2" t="s">
        <v>0</v>
      </c>
      <c r="E5138" s="2">
        <v>7336.38</v>
      </c>
      <c r="G5138" s="1" t="s">
        <v>10269</v>
      </c>
      <c r="H5138" s="2" t="s">
        <v>0</v>
      </c>
      <c r="I5138" s="2">
        <v>2520.26</v>
      </c>
    </row>
    <row r="5139">
      <c r="A5139" s="1" t="s">
        <v>10270</v>
      </c>
      <c r="B5139" s="2" t="s">
        <v>0</v>
      </c>
      <c r="C5139" s="2">
        <v>2810.3</v>
      </c>
      <c r="D5139" s="2" t="s">
        <v>0</v>
      </c>
      <c r="E5139" s="2">
        <v>7336.38</v>
      </c>
      <c r="G5139" s="1" t="s">
        <v>10271</v>
      </c>
      <c r="H5139" s="2" t="s">
        <v>0</v>
      </c>
      <c r="I5139" s="2">
        <v>2520.26</v>
      </c>
    </row>
    <row r="5140">
      <c r="A5140" s="1" t="s">
        <v>10272</v>
      </c>
      <c r="B5140" s="2">
        <v>2832.97</v>
      </c>
      <c r="C5140" s="2">
        <v>2832.97</v>
      </c>
      <c r="D5140" s="2">
        <v>7408.03</v>
      </c>
      <c r="E5140" s="2">
        <v>7408.03</v>
      </c>
      <c r="G5140" s="1" t="s">
        <v>10273</v>
      </c>
      <c r="H5140" s="2">
        <v>2502.11</v>
      </c>
      <c r="I5140" s="2">
        <v>2502.11</v>
      </c>
    </row>
    <row r="5141">
      <c r="A5141" s="1" t="s">
        <v>10274</v>
      </c>
      <c r="B5141" s="2">
        <v>2839.13</v>
      </c>
      <c r="C5141" s="2">
        <v>2839.13</v>
      </c>
      <c r="D5141" s="2">
        <v>7460.29</v>
      </c>
      <c r="E5141" s="2">
        <v>7460.29</v>
      </c>
      <c r="G5141" s="1" t="s">
        <v>10275</v>
      </c>
      <c r="H5141" s="2">
        <v>2536.6</v>
      </c>
      <c r="I5141" s="2">
        <v>2536.6</v>
      </c>
    </row>
    <row r="5142">
      <c r="A5142" s="1" t="s">
        <v>10276</v>
      </c>
      <c r="B5142" s="2">
        <v>2837.54</v>
      </c>
      <c r="C5142" s="2">
        <v>2837.54</v>
      </c>
      <c r="D5142" s="2">
        <v>7415.06</v>
      </c>
      <c r="E5142" s="2">
        <v>7415.06</v>
      </c>
      <c r="G5142" s="1" t="s">
        <v>10277</v>
      </c>
      <c r="H5142" s="2">
        <v>2538.0</v>
      </c>
      <c r="I5142" s="2">
        <v>2538.0</v>
      </c>
    </row>
    <row r="5143">
      <c r="A5143" s="1" t="s">
        <v>10278</v>
      </c>
      <c r="B5143" s="2">
        <v>2839.25</v>
      </c>
      <c r="C5143" s="2">
        <v>2839.25</v>
      </c>
      <c r="D5143" s="2">
        <v>7411.16</v>
      </c>
      <c r="E5143" s="2">
        <v>7411.16</v>
      </c>
      <c r="G5143" s="1" t="s">
        <v>10279</v>
      </c>
      <c r="H5143" s="2">
        <v>2562.23</v>
      </c>
      <c r="I5143" s="2">
        <v>2562.23</v>
      </c>
    </row>
    <row r="5144">
      <c r="A5144" s="1" t="s">
        <v>10280</v>
      </c>
      <c r="B5144" s="2">
        <v>2872.87</v>
      </c>
      <c r="C5144" s="2">
        <v>2872.87</v>
      </c>
      <c r="D5144" s="2">
        <v>7505.77</v>
      </c>
      <c r="E5144" s="2">
        <v>7505.77</v>
      </c>
      <c r="G5144" s="1" t="s">
        <v>10281</v>
      </c>
      <c r="H5144" s="2">
        <v>2574.76</v>
      </c>
      <c r="I5144" s="2">
        <v>2574.76</v>
      </c>
    </row>
    <row r="5145">
      <c r="A5145" s="1" t="s">
        <v>10282</v>
      </c>
      <c r="B5145" s="2" t="s">
        <v>0</v>
      </c>
      <c r="C5145" s="2">
        <v>2872.87</v>
      </c>
      <c r="D5145" s="2" t="s">
        <v>0</v>
      </c>
      <c r="E5145" s="2">
        <v>7505.77</v>
      </c>
      <c r="G5145" s="1" t="s">
        <v>10283</v>
      </c>
      <c r="H5145" s="2" t="s">
        <v>0</v>
      </c>
      <c r="I5145" s="2">
        <v>2574.76</v>
      </c>
    </row>
    <row r="5146">
      <c r="A5146" s="1" t="s">
        <v>10284</v>
      </c>
      <c r="B5146" s="2" t="s">
        <v>0</v>
      </c>
      <c r="C5146" s="2">
        <v>2872.87</v>
      </c>
      <c r="D5146" s="2" t="s">
        <v>0</v>
      </c>
      <c r="E5146" s="2">
        <v>7505.77</v>
      </c>
      <c r="G5146" s="1" t="s">
        <v>10285</v>
      </c>
      <c r="H5146" s="2" t="s">
        <v>0</v>
      </c>
      <c r="I5146" s="2">
        <v>2574.76</v>
      </c>
    </row>
    <row r="5147">
      <c r="A5147" s="1" t="s">
        <v>10286</v>
      </c>
      <c r="B5147" s="2">
        <v>2853.53</v>
      </c>
      <c r="C5147" s="2">
        <v>2853.53</v>
      </c>
      <c r="D5147" s="2">
        <v>7466.51</v>
      </c>
      <c r="E5147" s="2">
        <v>7466.51</v>
      </c>
      <c r="G5147" s="1" t="s">
        <v>10287</v>
      </c>
      <c r="H5147" s="2">
        <v>2598.19</v>
      </c>
      <c r="I5147" s="2">
        <v>2598.19</v>
      </c>
    </row>
    <row r="5148">
      <c r="A5148" s="1" t="s">
        <v>10288</v>
      </c>
      <c r="B5148" s="2">
        <v>2822.43</v>
      </c>
      <c r="C5148" s="2">
        <v>2822.43</v>
      </c>
      <c r="D5148" s="2">
        <v>7402.48</v>
      </c>
      <c r="E5148" s="2">
        <v>7402.48</v>
      </c>
      <c r="G5148" s="1" t="s">
        <v>10289</v>
      </c>
      <c r="H5148" s="2">
        <v>2567.74</v>
      </c>
      <c r="I5148" s="2">
        <v>2567.74</v>
      </c>
    </row>
    <row r="5149">
      <c r="A5149" s="1" t="s">
        <v>10290</v>
      </c>
      <c r="B5149" s="2">
        <v>2823.81</v>
      </c>
      <c r="C5149" s="2">
        <v>2823.81</v>
      </c>
      <c r="D5149" s="2">
        <v>7411.48</v>
      </c>
      <c r="E5149" s="2">
        <v>7411.48</v>
      </c>
      <c r="G5149" s="1" t="s">
        <v>10291</v>
      </c>
      <c r="H5149" s="2">
        <v>2566.46</v>
      </c>
      <c r="I5149" s="2">
        <v>2566.46</v>
      </c>
    </row>
    <row r="5150">
      <c r="A5150" s="1" t="s">
        <v>10292</v>
      </c>
      <c r="B5150" s="2">
        <v>2821.98</v>
      </c>
      <c r="C5150" s="2">
        <v>2821.98</v>
      </c>
      <c r="D5150" s="2">
        <v>7385.86</v>
      </c>
      <c r="E5150" s="2">
        <v>7385.86</v>
      </c>
      <c r="G5150" s="1" t="s">
        <v>10293</v>
      </c>
      <c r="H5150" s="2">
        <v>2568.54</v>
      </c>
      <c r="I5150" s="2">
        <v>2568.54</v>
      </c>
    </row>
    <row r="5151">
      <c r="A5151" s="1" t="s">
        <v>10294</v>
      </c>
      <c r="B5151" s="2">
        <v>2762.13</v>
      </c>
      <c r="C5151" s="2">
        <v>2762.13</v>
      </c>
      <c r="D5151" s="2">
        <v>7240.95</v>
      </c>
      <c r="E5151" s="2">
        <v>7240.95</v>
      </c>
      <c r="G5151" s="1" t="s">
        <v>10295</v>
      </c>
      <c r="H5151" s="2">
        <v>2525.39</v>
      </c>
      <c r="I5151" s="2">
        <v>2525.39</v>
      </c>
    </row>
    <row r="5152">
      <c r="A5152" s="1" t="s">
        <v>10296</v>
      </c>
      <c r="B5152" s="2" t="s">
        <v>0</v>
      </c>
      <c r="C5152" s="2">
        <v>2762.13</v>
      </c>
      <c r="D5152" s="2" t="s">
        <v>0</v>
      </c>
      <c r="E5152" s="2">
        <v>7240.95</v>
      </c>
      <c r="G5152" s="1" t="s">
        <v>10297</v>
      </c>
      <c r="H5152" s="2" t="s">
        <v>0</v>
      </c>
      <c r="I5152" s="2">
        <v>2525.39</v>
      </c>
    </row>
    <row r="5153">
      <c r="A5153" s="1" t="s">
        <v>10298</v>
      </c>
      <c r="B5153" s="2" t="s">
        <v>0</v>
      </c>
      <c r="C5153" s="2">
        <v>2762.13</v>
      </c>
      <c r="D5153" s="2" t="s">
        <v>0</v>
      </c>
      <c r="E5153" s="2">
        <v>7240.95</v>
      </c>
      <c r="G5153" s="1" t="s">
        <v>10299</v>
      </c>
      <c r="H5153" s="2" t="s">
        <v>0</v>
      </c>
      <c r="I5153" s="2">
        <v>2525.39</v>
      </c>
    </row>
    <row r="5154">
      <c r="A5154" s="1" t="s">
        <v>10300</v>
      </c>
      <c r="B5154" s="2">
        <v>2648.94</v>
      </c>
      <c r="C5154" s="2">
        <v>2648.94</v>
      </c>
      <c r="D5154" s="2">
        <v>6967.53</v>
      </c>
      <c r="E5154" s="2">
        <v>6967.53</v>
      </c>
      <c r="G5154" s="1" t="s">
        <v>10301</v>
      </c>
      <c r="H5154" s="2">
        <v>2491.75</v>
      </c>
      <c r="I5154" s="2">
        <v>2491.75</v>
      </c>
    </row>
    <row r="5155">
      <c r="A5155" s="1" t="s">
        <v>10302</v>
      </c>
      <c r="B5155" s="2">
        <v>2695.14</v>
      </c>
      <c r="C5155" s="2">
        <v>2695.14</v>
      </c>
      <c r="D5155" s="2">
        <v>7115.88</v>
      </c>
      <c r="E5155" s="2">
        <v>7115.88</v>
      </c>
      <c r="G5155" s="1" t="s">
        <v>10303</v>
      </c>
      <c r="H5155" s="2">
        <v>2453.31</v>
      </c>
      <c r="I5155" s="2">
        <v>2453.31</v>
      </c>
    </row>
    <row r="5156">
      <c r="A5156" s="1" t="s">
        <v>10304</v>
      </c>
      <c r="B5156" s="2">
        <v>2681.66</v>
      </c>
      <c r="C5156" s="2">
        <v>2681.66</v>
      </c>
      <c r="D5156" s="2">
        <v>7051.98</v>
      </c>
      <c r="E5156" s="2">
        <v>7051.98</v>
      </c>
      <c r="G5156" s="1" t="s">
        <v>10305</v>
      </c>
      <c r="H5156" s="2">
        <v>2396.56</v>
      </c>
      <c r="I5156" s="2">
        <v>2396.56</v>
      </c>
    </row>
    <row r="5157">
      <c r="A5157" s="1" t="s">
        <v>10306</v>
      </c>
      <c r="B5157" s="2">
        <v>2581.0</v>
      </c>
      <c r="C5157" s="2">
        <v>2581.0</v>
      </c>
      <c r="D5157" s="2">
        <v>6777.16</v>
      </c>
      <c r="E5157" s="2">
        <v>6777.16</v>
      </c>
      <c r="G5157" s="1" t="s">
        <v>10307</v>
      </c>
      <c r="H5157" s="2">
        <v>2407.62</v>
      </c>
      <c r="I5157" s="2">
        <v>2407.62</v>
      </c>
    </row>
    <row r="5158">
      <c r="A5158" s="1" t="s">
        <v>10308</v>
      </c>
      <c r="B5158" s="2">
        <v>2619.55</v>
      </c>
      <c r="C5158" s="2">
        <v>2619.55</v>
      </c>
      <c r="D5158" s="2">
        <v>6874.49</v>
      </c>
      <c r="E5158" s="2">
        <v>6874.49</v>
      </c>
      <c r="G5158" s="1" t="s">
        <v>10309</v>
      </c>
      <c r="H5158" s="2">
        <v>2363.77</v>
      </c>
      <c r="I5158" s="2">
        <v>2363.77</v>
      </c>
    </row>
    <row r="5159">
      <c r="A5159" s="1" t="s">
        <v>10310</v>
      </c>
      <c r="B5159" s="2" t="s">
        <v>0</v>
      </c>
      <c r="C5159" s="2">
        <v>2619.55</v>
      </c>
      <c r="D5159" s="2" t="s">
        <v>0</v>
      </c>
      <c r="E5159" s="2">
        <v>6874.49</v>
      </c>
      <c r="G5159" s="1" t="s">
        <v>10311</v>
      </c>
      <c r="H5159" s="2" t="s">
        <v>0</v>
      </c>
      <c r="I5159" s="2">
        <v>2363.77</v>
      </c>
    </row>
    <row r="5160">
      <c r="A5160" s="1" t="s">
        <v>10312</v>
      </c>
      <c r="B5160" s="2" t="s">
        <v>0</v>
      </c>
      <c r="C5160" s="2">
        <v>2619.55</v>
      </c>
      <c r="D5160" s="2" t="s">
        <v>0</v>
      </c>
      <c r="E5160" s="2">
        <v>6874.49</v>
      </c>
      <c r="G5160" s="1" t="s">
        <v>10313</v>
      </c>
      <c r="H5160" s="2" t="s">
        <v>0</v>
      </c>
      <c r="I5160" s="2">
        <v>2363.77</v>
      </c>
    </row>
    <row r="5161">
      <c r="A5161" s="1" t="s">
        <v>10314</v>
      </c>
      <c r="B5161" s="2">
        <v>2656.0</v>
      </c>
      <c r="C5161" s="2">
        <v>2656.0</v>
      </c>
      <c r="D5161" s="2">
        <v>6981.96</v>
      </c>
      <c r="E5161" s="2">
        <v>6981.96</v>
      </c>
      <c r="G5161" s="1" t="s">
        <v>10315</v>
      </c>
      <c r="H5161" s="2">
        <v>2385.38</v>
      </c>
      <c r="I5161" s="2">
        <v>2385.38</v>
      </c>
    </row>
    <row r="5162">
      <c r="A5162" s="1" t="s">
        <v>10316</v>
      </c>
      <c r="B5162" s="2">
        <v>2662.94</v>
      </c>
      <c r="C5162" s="2">
        <v>2662.94</v>
      </c>
      <c r="D5162" s="2">
        <v>7013.51</v>
      </c>
      <c r="E5162" s="2">
        <v>7013.51</v>
      </c>
      <c r="G5162" s="1" t="s">
        <v>10317</v>
      </c>
      <c r="H5162" s="2">
        <v>2395.19</v>
      </c>
      <c r="I5162" s="2">
        <v>2395.19</v>
      </c>
    </row>
    <row r="5163">
      <c r="A5163" s="1" t="s">
        <v>10318</v>
      </c>
      <c r="B5163" s="2">
        <v>2698.63</v>
      </c>
      <c r="C5163" s="2">
        <v>2698.63</v>
      </c>
      <c r="D5163" s="2">
        <v>7143.62</v>
      </c>
      <c r="E5163" s="2">
        <v>7143.62</v>
      </c>
      <c r="G5163" s="1" t="s">
        <v>10319</v>
      </c>
      <c r="H5163" s="2">
        <v>2421.83</v>
      </c>
      <c r="I5163" s="2">
        <v>2421.83</v>
      </c>
    </row>
    <row r="5164">
      <c r="A5164" s="1" t="s">
        <v>10320</v>
      </c>
      <c r="B5164" s="2">
        <v>2731.2</v>
      </c>
      <c r="C5164" s="2">
        <v>2731.2</v>
      </c>
      <c r="D5164" s="2">
        <v>7256.43</v>
      </c>
      <c r="E5164" s="2">
        <v>7256.43</v>
      </c>
      <c r="G5164" s="1" t="s">
        <v>10321</v>
      </c>
      <c r="H5164" s="2" t="s">
        <v>0</v>
      </c>
      <c r="I5164" s="2">
        <v>2421.83</v>
      </c>
    </row>
    <row r="5165">
      <c r="A5165" s="1" t="s">
        <v>10322</v>
      </c>
      <c r="B5165" s="2">
        <v>2732.22</v>
      </c>
      <c r="C5165" s="2">
        <v>2732.22</v>
      </c>
      <c r="D5165" s="2">
        <v>7239.47</v>
      </c>
      <c r="E5165" s="2">
        <v>7239.47</v>
      </c>
      <c r="G5165" s="1" t="s">
        <v>10323</v>
      </c>
      <c r="H5165" s="2" t="s">
        <v>0</v>
      </c>
      <c r="I5165" s="2">
        <v>2421.83</v>
      </c>
    </row>
    <row r="5166">
      <c r="A5166" s="1" t="s">
        <v>10324</v>
      </c>
      <c r="B5166" s="2" t="s">
        <v>0</v>
      </c>
      <c r="C5166" s="2">
        <v>2732.22</v>
      </c>
      <c r="D5166" s="2" t="s">
        <v>0</v>
      </c>
      <c r="E5166" s="2">
        <v>7239.47</v>
      </c>
      <c r="G5166" s="1" t="s">
        <v>10325</v>
      </c>
      <c r="H5166" s="2" t="s">
        <v>0</v>
      </c>
      <c r="I5166" s="2">
        <v>2421.83</v>
      </c>
    </row>
    <row r="5167">
      <c r="A5167" s="1" t="s">
        <v>10326</v>
      </c>
      <c r="B5167" s="2" t="s">
        <v>0</v>
      </c>
      <c r="C5167" s="2">
        <v>2732.22</v>
      </c>
      <c r="D5167" s="2" t="s">
        <v>0</v>
      </c>
      <c r="E5167" s="2">
        <v>7239.47</v>
      </c>
      <c r="G5167" s="1" t="s">
        <v>10327</v>
      </c>
      <c r="H5167" s="2" t="s">
        <v>0</v>
      </c>
      <c r="I5167" s="2">
        <v>2421.83</v>
      </c>
    </row>
    <row r="5168">
      <c r="A5168" s="1" t="s">
        <v>10328</v>
      </c>
      <c r="B5168" s="2" t="s">
        <v>0</v>
      </c>
      <c r="C5168" s="2">
        <v>2732.22</v>
      </c>
      <c r="D5168" s="2" t="s">
        <v>0</v>
      </c>
      <c r="E5168" s="2">
        <v>7239.47</v>
      </c>
      <c r="G5168" s="1" t="s">
        <v>10329</v>
      </c>
      <c r="H5168" s="2">
        <v>2442.82</v>
      </c>
      <c r="I5168" s="2">
        <v>2442.82</v>
      </c>
    </row>
    <row r="5169">
      <c r="A5169" s="1" t="s">
        <v>10330</v>
      </c>
      <c r="B5169" s="2">
        <v>2716.26</v>
      </c>
      <c r="C5169" s="2">
        <v>2716.26</v>
      </c>
      <c r="D5169" s="2">
        <v>7234.31</v>
      </c>
      <c r="E5169" s="2">
        <v>7234.31</v>
      </c>
      <c r="G5169" s="1" t="s">
        <v>10331</v>
      </c>
      <c r="H5169" s="2">
        <v>2415.12</v>
      </c>
      <c r="I5169" s="2">
        <v>2415.12</v>
      </c>
    </row>
    <row r="5170">
      <c r="A5170" s="1" t="s">
        <v>10332</v>
      </c>
      <c r="B5170" s="2">
        <v>2701.33</v>
      </c>
      <c r="C5170" s="2">
        <v>2701.33</v>
      </c>
      <c r="D5170" s="2">
        <v>7218.23</v>
      </c>
      <c r="E5170" s="2">
        <v>7218.23</v>
      </c>
      <c r="G5170" s="1" t="s">
        <v>10333</v>
      </c>
      <c r="H5170" s="2">
        <v>2429.65</v>
      </c>
      <c r="I5170" s="2">
        <v>2429.65</v>
      </c>
    </row>
    <row r="5171">
      <c r="A5171" s="1" t="s">
        <v>10334</v>
      </c>
      <c r="B5171" s="2">
        <v>2703.96</v>
      </c>
      <c r="C5171" s="2">
        <v>2703.96</v>
      </c>
      <c r="D5171" s="2">
        <v>7210.09</v>
      </c>
      <c r="E5171" s="2">
        <v>7210.09</v>
      </c>
      <c r="G5171" s="1" t="s">
        <v>10335</v>
      </c>
      <c r="H5171" s="2">
        <v>2414.28</v>
      </c>
      <c r="I5171" s="2">
        <v>2414.28</v>
      </c>
    </row>
    <row r="5172">
      <c r="A5172" s="1" t="s">
        <v>10336</v>
      </c>
      <c r="B5172" s="2">
        <v>2747.3</v>
      </c>
      <c r="C5172" s="2">
        <v>2747.3</v>
      </c>
      <c r="D5172" s="2">
        <v>7337.39</v>
      </c>
      <c r="E5172" s="2">
        <v>7337.39</v>
      </c>
      <c r="G5172" s="1" t="s">
        <v>10337</v>
      </c>
      <c r="H5172" s="2">
        <v>2451.52</v>
      </c>
      <c r="I5172" s="2">
        <v>2451.52</v>
      </c>
    </row>
    <row r="5173">
      <c r="A5173" s="1" t="s">
        <v>10338</v>
      </c>
      <c r="B5173" s="2" t="s">
        <v>0</v>
      </c>
      <c r="C5173" s="2">
        <v>2747.3</v>
      </c>
      <c r="D5173" s="2" t="s">
        <v>0</v>
      </c>
      <c r="E5173" s="2">
        <v>7337.39</v>
      </c>
      <c r="G5173" s="1" t="s">
        <v>10339</v>
      </c>
      <c r="H5173" s="2" t="s">
        <v>0</v>
      </c>
      <c r="I5173" s="2">
        <v>2451.52</v>
      </c>
    </row>
    <row r="5174">
      <c r="A5174" s="1" t="s">
        <v>10340</v>
      </c>
      <c r="B5174" s="2" t="s">
        <v>0</v>
      </c>
      <c r="C5174" s="2">
        <v>2747.3</v>
      </c>
      <c r="D5174" s="2" t="s">
        <v>0</v>
      </c>
      <c r="E5174" s="2">
        <v>7337.39</v>
      </c>
      <c r="G5174" s="1" t="s">
        <v>10341</v>
      </c>
      <c r="H5174" s="2" t="s">
        <v>0</v>
      </c>
      <c r="I5174" s="2">
        <v>2451.52</v>
      </c>
    </row>
    <row r="5175">
      <c r="A5175" s="1" t="s">
        <v>10342</v>
      </c>
      <c r="B5175" s="2">
        <v>2779.6</v>
      </c>
      <c r="C5175" s="2">
        <v>2779.6</v>
      </c>
      <c r="D5175" s="2">
        <v>7421.46</v>
      </c>
      <c r="E5175" s="2">
        <v>7421.46</v>
      </c>
      <c r="G5175" s="1" t="s">
        <v>10343</v>
      </c>
      <c r="H5175" s="2">
        <v>2457.65</v>
      </c>
      <c r="I5175" s="2">
        <v>2457.65</v>
      </c>
    </row>
    <row r="5176">
      <c r="A5176" s="1" t="s">
        <v>10344</v>
      </c>
      <c r="B5176" s="2">
        <v>2744.28</v>
      </c>
      <c r="C5176" s="2">
        <v>2744.28</v>
      </c>
      <c r="D5176" s="2">
        <v>7330.35</v>
      </c>
      <c r="E5176" s="2">
        <v>7330.35</v>
      </c>
      <c r="G5176" s="1" t="s">
        <v>10345</v>
      </c>
      <c r="H5176" s="2">
        <v>2456.14</v>
      </c>
      <c r="I5176" s="2">
        <v>2456.14</v>
      </c>
    </row>
    <row r="5177">
      <c r="A5177" s="1" t="s">
        <v>10346</v>
      </c>
      <c r="B5177" s="2">
        <v>2713.83</v>
      </c>
      <c r="C5177" s="2">
        <v>2713.83</v>
      </c>
      <c r="D5177" s="2">
        <v>7273.01</v>
      </c>
      <c r="E5177" s="2">
        <v>7273.01</v>
      </c>
      <c r="G5177" s="1" t="s">
        <v>10347</v>
      </c>
      <c r="H5177" s="2">
        <v>2427.36</v>
      </c>
      <c r="I5177" s="2">
        <v>2427.36</v>
      </c>
    </row>
    <row r="5178">
      <c r="A5178" s="1" t="s">
        <v>10348</v>
      </c>
      <c r="B5178" s="2">
        <v>2677.67</v>
      </c>
      <c r="C5178" s="2">
        <v>2677.67</v>
      </c>
      <c r="D5178" s="2">
        <v>7180.56</v>
      </c>
      <c r="E5178" s="2">
        <v>7180.56</v>
      </c>
      <c r="G5178" s="1" t="s">
        <v>10349</v>
      </c>
      <c r="H5178" s="2" t="s">
        <v>0</v>
      </c>
      <c r="I5178" s="2">
        <v>2427.36</v>
      </c>
    </row>
    <row r="5179">
      <c r="A5179" s="1" t="s">
        <v>10350</v>
      </c>
      <c r="B5179" s="2">
        <v>2691.25</v>
      </c>
      <c r="C5179" s="2">
        <v>2691.25</v>
      </c>
      <c r="D5179" s="2">
        <v>7257.87</v>
      </c>
      <c r="E5179" s="2">
        <v>7257.87</v>
      </c>
      <c r="G5179" s="1" t="s">
        <v>10351</v>
      </c>
      <c r="H5179" s="2">
        <v>2402.16</v>
      </c>
      <c r="I5179" s="2">
        <v>2402.16</v>
      </c>
    </row>
    <row r="5180">
      <c r="A5180" s="1" t="s">
        <v>10352</v>
      </c>
      <c r="B5180" s="2" t="s">
        <v>0</v>
      </c>
      <c r="C5180" s="2">
        <v>2691.25</v>
      </c>
      <c r="D5180" s="2" t="s">
        <v>0</v>
      </c>
      <c r="E5180" s="2">
        <v>7257.87</v>
      </c>
      <c r="G5180" s="1" t="s">
        <v>10353</v>
      </c>
      <c r="H5180" s="2" t="s">
        <v>0</v>
      </c>
      <c r="I5180" s="2">
        <v>2402.16</v>
      </c>
    </row>
    <row r="5181">
      <c r="A5181" s="1" t="s">
        <v>10354</v>
      </c>
      <c r="B5181" s="2" t="s">
        <v>0</v>
      </c>
      <c r="C5181" s="2">
        <v>2691.25</v>
      </c>
      <c r="D5181" s="2" t="s">
        <v>0</v>
      </c>
      <c r="E5181" s="2">
        <v>7257.87</v>
      </c>
      <c r="G5181" s="1" t="s">
        <v>10355</v>
      </c>
      <c r="H5181" s="2" t="s">
        <v>0</v>
      </c>
      <c r="I5181" s="2">
        <v>2402.16</v>
      </c>
    </row>
    <row r="5182">
      <c r="A5182" s="1" t="s">
        <v>10356</v>
      </c>
      <c r="B5182" s="2">
        <v>2720.94</v>
      </c>
      <c r="C5182" s="2">
        <v>2720.94</v>
      </c>
      <c r="D5182" s="2">
        <v>7330.71</v>
      </c>
      <c r="E5182" s="2">
        <v>7330.71</v>
      </c>
      <c r="G5182" s="1" t="s">
        <v>10357</v>
      </c>
      <c r="H5182" s="2">
        <v>2375.06</v>
      </c>
      <c r="I5182" s="2">
        <v>2375.06</v>
      </c>
    </row>
    <row r="5183">
      <c r="A5183" s="1" t="s">
        <v>10358</v>
      </c>
      <c r="B5183" s="2">
        <v>2728.12</v>
      </c>
      <c r="C5183" s="2">
        <v>2728.12</v>
      </c>
      <c r="D5183" s="2">
        <v>7372.01</v>
      </c>
      <c r="E5183" s="2">
        <v>7372.01</v>
      </c>
      <c r="G5183" s="1" t="s">
        <v>10359</v>
      </c>
      <c r="H5183" s="2">
        <v>2411.41</v>
      </c>
      <c r="I5183" s="2">
        <v>2411.41</v>
      </c>
    </row>
    <row r="5184">
      <c r="A5184" s="1" t="s">
        <v>10360</v>
      </c>
      <c r="B5184" s="2">
        <v>2726.8</v>
      </c>
      <c r="C5184" s="2">
        <v>2726.8</v>
      </c>
      <c r="D5184" s="2">
        <v>7396.65</v>
      </c>
      <c r="E5184" s="2">
        <v>7396.65</v>
      </c>
      <c r="G5184" s="1" t="s">
        <v>10361</v>
      </c>
      <c r="H5184" s="2" t="s">
        <v>0</v>
      </c>
      <c r="I5184" s="2">
        <v>2411.41</v>
      </c>
    </row>
    <row r="5185">
      <c r="A5185" s="1" t="s">
        <v>10362</v>
      </c>
      <c r="B5185" s="2">
        <v>2738.97</v>
      </c>
      <c r="C5185" s="2">
        <v>2738.97</v>
      </c>
      <c r="D5185" s="2">
        <v>7427.95</v>
      </c>
      <c r="E5185" s="2">
        <v>7427.95</v>
      </c>
      <c r="G5185" s="1" t="s">
        <v>10363</v>
      </c>
      <c r="H5185" s="2">
        <v>2433.08</v>
      </c>
      <c r="I5185" s="2">
        <v>2433.08</v>
      </c>
    </row>
    <row r="5186">
      <c r="A5186" s="1" t="s">
        <v>10364</v>
      </c>
      <c r="B5186" s="2">
        <v>2786.57</v>
      </c>
      <c r="C5186" s="2">
        <v>2786.57</v>
      </c>
      <c r="D5186" s="2">
        <v>7560.81</v>
      </c>
      <c r="E5186" s="2">
        <v>7560.81</v>
      </c>
      <c r="G5186" s="1" t="s">
        <v>10365</v>
      </c>
      <c r="H5186" s="2">
        <v>2459.45</v>
      </c>
      <c r="I5186" s="2">
        <v>2459.45</v>
      </c>
    </row>
    <row r="5187">
      <c r="A5187" s="1" t="s">
        <v>10366</v>
      </c>
      <c r="B5187" s="2" t="s">
        <v>0</v>
      </c>
      <c r="C5187" s="2">
        <v>2786.57</v>
      </c>
      <c r="D5187" s="2" t="s">
        <v>0</v>
      </c>
      <c r="E5187" s="2">
        <v>7560.81</v>
      </c>
      <c r="G5187" s="1" t="s">
        <v>10367</v>
      </c>
      <c r="H5187" s="2" t="s">
        <v>0</v>
      </c>
      <c r="I5187" s="2">
        <v>2459.45</v>
      </c>
    </row>
    <row r="5188">
      <c r="A5188" s="1" t="s">
        <v>10368</v>
      </c>
      <c r="B5188" s="2" t="s">
        <v>0</v>
      </c>
      <c r="C5188" s="2">
        <v>2786.57</v>
      </c>
      <c r="D5188" s="2" t="s">
        <v>0</v>
      </c>
      <c r="E5188" s="2">
        <v>7560.81</v>
      </c>
      <c r="G5188" s="1" t="s">
        <v>10369</v>
      </c>
      <c r="H5188" s="2" t="s">
        <v>0</v>
      </c>
      <c r="I5188" s="2">
        <v>2459.45</v>
      </c>
    </row>
    <row r="5189">
      <c r="A5189" s="1" t="s">
        <v>10370</v>
      </c>
      <c r="B5189" s="2">
        <v>2783.02</v>
      </c>
      <c r="C5189" s="2">
        <v>2783.02</v>
      </c>
      <c r="D5189" s="2">
        <v>7588.33</v>
      </c>
      <c r="E5189" s="2">
        <v>7588.33</v>
      </c>
      <c r="G5189" s="1" t="s">
        <v>10371</v>
      </c>
      <c r="H5189" s="2">
        <v>2484.12</v>
      </c>
      <c r="I5189" s="2">
        <v>2484.12</v>
      </c>
    </row>
    <row r="5190">
      <c r="A5190" s="1" t="s">
        <v>10372</v>
      </c>
      <c r="B5190" s="2">
        <v>2765.31</v>
      </c>
      <c r="C5190" s="2">
        <v>2765.31</v>
      </c>
      <c r="D5190" s="2">
        <v>7511.01</v>
      </c>
      <c r="E5190" s="2">
        <v>7511.01</v>
      </c>
      <c r="G5190" s="1" t="s">
        <v>10373</v>
      </c>
      <c r="H5190" s="2">
        <v>2494.49</v>
      </c>
      <c r="I5190" s="2">
        <v>2494.49</v>
      </c>
    </row>
    <row r="5191">
      <c r="A5191" s="1" t="s">
        <v>10374</v>
      </c>
      <c r="B5191" s="2">
        <v>2749.48</v>
      </c>
      <c r="C5191" s="2">
        <v>2749.48</v>
      </c>
      <c r="D5191" s="2">
        <v>7496.81</v>
      </c>
      <c r="E5191" s="2">
        <v>7496.81</v>
      </c>
      <c r="G5191" s="1" t="s">
        <v>10375</v>
      </c>
      <c r="H5191" s="2">
        <v>2486.08</v>
      </c>
      <c r="I5191" s="2">
        <v>2486.08</v>
      </c>
    </row>
    <row r="5192">
      <c r="A5192" s="1" t="s">
        <v>10376</v>
      </c>
      <c r="B5192" s="2">
        <v>2747.33</v>
      </c>
      <c r="C5192" s="2">
        <v>2747.33</v>
      </c>
      <c r="D5192" s="2">
        <v>7481.74</v>
      </c>
      <c r="E5192" s="2">
        <v>7481.74</v>
      </c>
      <c r="G5192" s="1" t="s">
        <v>10377</v>
      </c>
      <c r="H5192" s="2">
        <v>2492.38</v>
      </c>
      <c r="I5192" s="2">
        <v>2492.38</v>
      </c>
    </row>
    <row r="5193">
      <c r="A5193" s="1" t="s">
        <v>10378</v>
      </c>
      <c r="B5193" s="2">
        <v>2752.01</v>
      </c>
      <c r="C5193" s="2">
        <v>2752.01</v>
      </c>
      <c r="D5193" s="2">
        <v>7481.99</v>
      </c>
      <c r="E5193" s="2">
        <v>7481.99</v>
      </c>
      <c r="G5193" s="1" t="s">
        <v>10379</v>
      </c>
      <c r="H5193" s="2">
        <v>2493.97</v>
      </c>
      <c r="I5193" s="2">
        <v>2493.97</v>
      </c>
    </row>
    <row r="5194">
      <c r="A5194" s="1" t="s">
        <v>10380</v>
      </c>
      <c r="B5194" s="2" t="s">
        <v>0</v>
      </c>
      <c r="C5194" s="2">
        <v>2752.01</v>
      </c>
      <c r="D5194" s="2" t="s">
        <v>0</v>
      </c>
      <c r="E5194" s="2">
        <v>7481.99</v>
      </c>
      <c r="G5194" s="1" t="s">
        <v>10381</v>
      </c>
      <c r="H5194" s="2" t="s">
        <v>0</v>
      </c>
      <c r="I5194" s="2">
        <v>2493.97</v>
      </c>
    </row>
    <row r="5195">
      <c r="A5195" s="1" t="s">
        <v>10382</v>
      </c>
      <c r="B5195" s="2" t="s">
        <v>0</v>
      </c>
      <c r="C5195" s="2">
        <v>2752.01</v>
      </c>
      <c r="D5195" s="2" t="s">
        <v>0</v>
      </c>
      <c r="E5195" s="2">
        <v>7481.99</v>
      </c>
      <c r="G5195" s="1" t="s">
        <v>10383</v>
      </c>
      <c r="H5195" s="2" t="s">
        <v>0</v>
      </c>
      <c r="I5195" s="2">
        <v>2493.97</v>
      </c>
    </row>
    <row r="5196">
      <c r="A5196" s="1" t="s">
        <v>10384</v>
      </c>
      <c r="B5196" s="2">
        <v>2712.92</v>
      </c>
      <c r="C5196" s="2">
        <v>2712.92</v>
      </c>
      <c r="D5196" s="2">
        <v>7344.24</v>
      </c>
      <c r="E5196" s="2">
        <v>7344.24</v>
      </c>
      <c r="G5196" s="1" t="s">
        <v>10385</v>
      </c>
      <c r="H5196" s="2">
        <v>2475.03</v>
      </c>
      <c r="I5196" s="2">
        <v>2475.03</v>
      </c>
    </row>
    <row r="5197">
      <c r="A5197" s="1" t="s">
        <v>10386</v>
      </c>
      <c r="B5197" s="2">
        <v>2716.94</v>
      </c>
      <c r="C5197" s="2">
        <v>2716.94</v>
      </c>
      <c r="D5197" s="2">
        <v>7364.3</v>
      </c>
      <c r="E5197" s="2">
        <v>7364.3</v>
      </c>
      <c r="G5197" s="1" t="s">
        <v>10387</v>
      </c>
      <c r="H5197" s="2">
        <v>2485.52</v>
      </c>
      <c r="I5197" s="2">
        <v>2485.52</v>
      </c>
    </row>
    <row r="5198">
      <c r="A5198" s="1" t="s">
        <v>10388</v>
      </c>
      <c r="B5198" s="2">
        <v>2711.93</v>
      </c>
      <c r="C5198" s="2">
        <v>2711.93</v>
      </c>
      <c r="D5198" s="2">
        <v>7345.29</v>
      </c>
      <c r="E5198" s="2">
        <v>7345.29</v>
      </c>
      <c r="G5198" s="1" t="s">
        <v>10389</v>
      </c>
      <c r="H5198" s="2">
        <v>2484.97</v>
      </c>
      <c r="I5198" s="2">
        <v>2484.97</v>
      </c>
    </row>
    <row r="5199">
      <c r="A5199" s="1" t="s">
        <v>10390</v>
      </c>
      <c r="B5199" s="2">
        <v>2643.69</v>
      </c>
      <c r="C5199" s="2">
        <v>2643.69</v>
      </c>
      <c r="D5199" s="2">
        <v>7166.68</v>
      </c>
      <c r="E5199" s="2">
        <v>7166.68</v>
      </c>
      <c r="G5199" s="1" t="s">
        <v>10391</v>
      </c>
      <c r="H5199" s="2">
        <v>2496.02</v>
      </c>
      <c r="I5199" s="2">
        <v>2496.02</v>
      </c>
    </row>
    <row r="5200">
      <c r="A5200" s="1" t="s">
        <v>10392</v>
      </c>
      <c r="B5200" s="2">
        <v>2588.26</v>
      </c>
      <c r="C5200" s="2">
        <v>2588.26</v>
      </c>
      <c r="D5200" s="2">
        <v>6992.67</v>
      </c>
      <c r="E5200" s="2">
        <v>6992.67</v>
      </c>
      <c r="G5200" s="1" t="s">
        <v>10393</v>
      </c>
      <c r="H5200" s="2">
        <v>2416.76</v>
      </c>
      <c r="I5200" s="2">
        <v>2416.76</v>
      </c>
    </row>
    <row r="5201">
      <c r="A5201" s="1" t="s">
        <v>10394</v>
      </c>
      <c r="B5201" s="2" t="s">
        <v>0</v>
      </c>
      <c r="C5201" s="2">
        <v>2588.26</v>
      </c>
      <c r="D5201" s="2" t="s">
        <v>0</v>
      </c>
      <c r="E5201" s="2">
        <v>6992.67</v>
      </c>
      <c r="G5201" s="1" t="s">
        <v>10395</v>
      </c>
      <c r="H5201" s="2" t="s">
        <v>0</v>
      </c>
      <c r="I5201" s="2">
        <v>2416.76</v>
      </c>
    </row>
    <row r="5202">
      <c r="A5202" s="1" t="s">
        <v>10396</v>
      </c>
      <c r="B5202" s="2" t="s">
        <v>0</v>
      </c>
      <c r="C5202" s="2">
        <v>2588.26</v>
      </c>
      <c r="D5202" s="2" t="s">
        <v>0</v>
      </c>
      <c r="E5202" s="2">
        <v>6992.67</v>
      </c>
      <c r="G5202" s="1" t="s">
        <v>10397</v>
      </c>
      <c r="H5202" s="2" t="s">
        <v>0</v>
      </c>
      <c r="I5202" s="2">
        <v>2416.76</v>
      </c>
    </row>
    <row r="5203">
      <c r="A5203" s="1" t="s">
        <v>10398</v>
      </c>
      <c r="B5203" s="2">
        <v>2658.55</v>
      </c>
      <c r="C5203" s="2">
        <v>2658.55</v>
      </c>
      <c r="D5203" s="2">
        <v>7220.54</v>
      </c>
      <c r="E5203" s="2">
        <v>7220.54</v>
      </c>
      <c r="G5203" s="1" t="s">
        <v>10399</v>
      </c>
      <c r="H5203" s="2">
        <v>2437.08</v>
      </c>
      <c r="I5203" s="2">
        <v>2437.08</v>
      </c>
    </row>
    <row r="5204">
      <c r="A5204" s="1" t="s">
        <v>10400</v>
      </c>
      <c r="B5204" s="2">
        <v>2612.62</v>
      </c>
      <c r="C5204" s="2">
        <v>2612.62</v>
      </c>
      <c r="D5204" s="2">
        <v>7008.81</v>
      </c>
      <c r="E5204" s="2">
        <v>7008.81</v>
      </c>
      <c r="G5204" s="1" t="s">
        <v>10401</v>
      </c>
      <c r="H5204" s="2">
        <v>2452.06</v>
      </c>
      <c r="I5204" s="2">
        <v>2452.06</v>
      </c>
    </row>
    <row r="5205">
      <c r="A5205" s="1" t="s">
        <v>10402</v>
      </c>
      <c r="B5205" s="2">
        <v>2605.0</v>
      </c>
      <c r="C5205" s="2">
        <v>2605.0</v>
      </c>
      <c r="D5205" s="2">
        <v>6949.23</v>
      </c>
      <c r="E5205" s="2">
        <v>6949.23</v>
      </c>
      <c r="G5205" s="1" t="s">
        <v>10403</v>
      </c>
      <c r="H5205" s="2">
        <v>2419.29</v>
      </c>
      <c r="I5205" s="2">
        <v>2419.29</v>
      </c>
    </row>
    <row r="5206">
      <c r="A5206" s="1" t="s">
        <v>10404</v>
      </c>
      <c r="B5206" s="2">
        <v>2640.87</v>
      </c>
      <c r="C5206" s="2">
        <v>2640.87</v>
      </c>
      <c r="D5206" s="2">
        <v>7063.45</v>
      </c>
      <c r="E5206" s="2">
        <v>7063.45</v>
      </c>
      <c r="G5206" s="1" t="s">
        <v>10405</v>
      </c>
      <c r="H5206" s="2">
        <v>2436.37</v>
      </c>
      <c r="I5206" s="2">
        <v>2436.37</v>
      </c>
    </row>
    <row r="5207">
      <c r="A5207" s="1" t="s">
        <v>10406</v>
      </c>
      <c r="B5207" s="2" t="s">
        <v>0</v>
      </c>
      <c r="C5207" s="2">
        <v>2640.87</v>
      </c>
      <c r="D5207" s="2" t="s">
        <v>0</v>
      </c>
      <c r="E5207" s="2">
        <v>7063.45</v>
      </c>
      <c r="G5207" s="1" t="s">
        <v>10407</v>
      </c>
      <c r="H5207" s="2">
        <v>2445.85</v>
      </c>
      <c r="I5207" s="2">
        <v>2445.85</v>
      </c>
    </row>
    <row r="5208">
      <c r="A5208" s="1" t="s">
        <v>10408</v>
      </c>
      <c r="B5208" s="2" t="s">
        <v>0</v>
      </c>
      <c r="C5208" s="2">
        <v>2640.87</v>
      </c>
      <c r="D5208" s="2" t="s">
        <v>0</v>
      </c>
      <c r="E5208" s="2">
        <v>7063.45</v>
      </c>
      <c r="G5208" s="1" t="s">
        <v>10409</v>
      </c>
      <c r="H5208" s="2" t="s">
        <v>0</v>
      </c>
      <c r="I5208" s="2">
        <v>2445.85</v>
      </c>
    </row>
    <row r="5209">
      <c r="A5209" s="1" t="s">
        <v>10410</v>
      </c>
      <c r="B5209" s="2" t="s">
        <v>0</v>
      </c>
      <c r="C5209" s="2">
        <v>2640.87</v>
      </c>
      <c r="D5209" s="2" t="s">
        <v>0</v>
      </c>
      <c r="E5209" s="2">
        <v>7063.45</v>
      </c>
      <c r="G5209" s="1" t="s">
        <v>10411</v>
      </c>
      <c r="H5209" s="2" t="s">
        <v>0</v>
      </c>
      <c r="I5209" s="2">
        <v>2445.85</v>
      </c>
    </row>
    <row r="5210">
      <c r="A5210" s="1" t="s">
        <v>10412</v>
      </c>
      <c r="B5210" s="2">
        <v>2581.88</v>
      </c>
      <c r="C5210" s="2">
        <v>2581.88</v>
      </c>
      <c r="D5210" s="2">
        <v>6870.12</v>
      </c>
      <c r="E5210" s="2">
        <v>6870.12</v>
      </c>
      <c r="G5210" s="1" t="s">
        <v>10413</v>
      </c>
      <c r="H5210" s="2">
        <v>2444.16</v>
      </c>
      <c r="I5210" s="2">
        <v>2444.16</v>
      </c>
    </row>
    <row r="5211">
      <c r="A5211" s="1" t="s">
        <v>10414</v>
      </c>
      <c r="B5211" s="2">
        <v>2614.45</v>
      </c>
      <c r="C5211" s="2">
        <v>2614.45</v>
      </c>
      <c r="D5211" s="2">
        <v>6941.28</v>
      </c>
      <c r="E5211" s="2">
        <v>6941.28</v>
      </c>
      <c r="G5211" s="1" t="s">
        <v>10415</v>
      </c>
      <c r="H5211" s="2">
        <v>2442.43</v>
      </c>
      <c r="I5211" s="2">
        <v>2442.43</v>
      </c>
    </row>
    <row r="5212">
      <c r="A5212" s="1" t="s">
        <v>10416</v>
      </c>
      <c r="B5212" s="2">
        <v>2644.69</v>
      </c>
      <c r="C5212" s="2">
        <v>2644.69</v>
      </c>
      <c r="D5212" s="2">
        <v>7042.11</v>
      </c>
      <c r="E5212" s="2">
        <v>7042.11</v>
      </c>
      <c r="G5212" s="1" t="s">
        <v>10417</v>
      </c>
      <c r="H5212" s="2">
        <v>2408.06</v>
      </c>
      <c r="I5212" s="2">
        <v>2408.06</v>
      </c>
    </row>
    <row r="5213">
      <c r="A5213" s="1" t="s">
        <v>10418</v>
      </c>
      <c r="B5213" s="2">
        <v>2662.84</v>
      </c>
      <c r="C5213" s="2">
        <v>2662.84</v>
      </c>
      <c r="D5213" s="2">
        <v>7076.55</v>
      </c>
      <c r="E5213" s="2">
        <v>7076.55</v>
      </c>
      <c r="G5213" s="1" t="s">
        <v>10419</v>
      </c>
      <c r="H5213" s="2">
        <v>2437.52</v>
      </c>
      <c r="I5213" s="2">
        <v>2437.52</v>
      </c>
    </row>
    <row r="5214">
      <c r="A5214" s="1" t="s">
        <v>10420</v>
      </c>
      <c r="B5214" s="2">
        <v>2604.47</v>
      </c>
      <c r="C5214" s="2">
        <v>2604.47</v>
      </c>
      <c r="D5214" s="2">
        <v>6915.11</v>
      </c>
      <c r="E5214" s="2">
        <v>6915.11</v>
      </c>
      <c r="G5214" s="1" t="s">
        <v>10421</v>
      </c>
      <c r="H5214" s="2">
        <v>2429.58</v>
      </c>
      <c r="I5214" s="2">
        <v>2429.58</v>
      </c>
    </row>
    <row r="5215">
      <c r="A5215" s="1" t="s">
        <v>10422</v>
      </c>
      <c r="B5215" s="2" t="s">
        <v>0</v>
      </c>
      <c r="C5215" s="2">
        <v>2604.47</v>
      </c>
      <c r="D5215" s="2" t="s">
        <v>0</v>
      </c>
      <c r="E5215" s="2">
        <v>6915.11</v>
      </c>
      <c r="G5215" s="1" t="s">
        <v>10423</v>
      </c>
      <c r="H5215" s="2" t="s">
        <v>0</v>
      </c>
      <c r="I5215" s="2">
        <v>2429.58</v>
      </c>
    </row>
    <row r="5216">
      <c r="A5216" s="1" t="s">
        <v>10424</v>
      </c>
      <c r="B5216" s="2" t="s">
        <v>0</v>
      </c>
      <c r="C5216" s="2">
        <v>2604.47</v>
      </c>
      <c r="D5216" s="2" t="s">
        <v>0</v>
      </c>
      <c r="E5216" s="2">
        <v>6915.11</v>
      </c>
      <c r="G5216" s="1" t="s">
        <v>10425</v>
      </c>
      <c r="H5216" s="2" t="s">
        <v>0</v>
      </c>
      <c r="I5216" s="2">
        <v>2429.58</v>
      </c>
    </row>
    <row r="5217">
      <c r="A5217" s="1" t="s">
        <v>10426</v>
      </c>
      <c r="B5217" s="2">
        <v>2613.16</v>
      </c>
      <c r="C5217" s="2">
        <v>2613.16</v>
      </c>
      <c r="D5217" s="2">
        <v>6950.34</v>
      </c>
      <c r="E5217" s="2">
        <v>6950.34</v>
      </c>
      <c r="G5217" s="1" t="s">
        <v>10427</v>
      </c>
      <c r="H5217" s="2">
        <v>2444.08</v>
      </c>
      <c r="I5217" s="2">
        <v>2444.08</v>
      </c>
    </row>
    <row r="5218">
      <c r="A5218" s="1" t="s">
        <v>10428</v>
      </c>
      <c r="B5218" s="2">
        <v>2656.87</v>
      </c>
      <c r="C5218" s="2">
        <v>2656.87</v>
      </c>
      <c r="D5218" s="2">
        <v>7094.3</v>
      </c>
      <c r="E5218" s="2">
        <v>7094.3</v>
      </c>
      <c r="G5218" s="1" t="s">
        <v>10429</v>
      </c>
      <c r="H5218" s="2">
        <v>2450.74</v>
      </c>
      <c r="I5218" s="2">
        <v>2450.74</v>
      </c>
    </row>
    <row r="5219">
      <c r="A5219" s="1" t="s">
        <v>10430</v>
      </c>
      <c r="B5219" s="2">
        <v>2642.19</v>
      </c>
      <c r="C5219" s="2">
        <v>2642.19</v>
      </c>
      <c r="D5219" s="2">
        <v>7069.03</v>
      </c>
      <c r="E5219" s="2">
        <v>7069.03</v>
      </c>
      <c r="G5219" s="1" t="s">
        <v>10431</v>
      </c>
      <c r="H5219" s="2">
        <v>2444.22</v>
      </c>
      <c r="I5219" s="2">
        <v>2444.22</v>
      </c>
    </row>
    <row r="5220">
      <c r="A5220" s="1" t="s">
        <v>10432</v>
      </c>
      <c r="B5220" s="2">
        <v>2663.99</v>
      </c>
      <c r="C5220" s="2">
        <v>2663.99</v>
      </c>
      <c r="D5220" s="2">
        <v>7140.25</v>
      </c>
      <c r="E5220" s="2">
        <v>7140.25</v>
      </c>
      <c r="G5220" s="1" t="s">
        <v>10433</v>
      </c>
      <c r="H5220" s="2">
        <v>2442.71</v>
      </c>
      <c r="I5220" s="2">
        <v>2442.71</v>
      </c>
    </row>
    <row r="5221">
      <c r="A5221" s="1" t="s">
        <v>10434</v>
      </c>
      <c r="B5221" s="2">
        <v>2656.3</v>
      </c>
      <c r="C5221" s="2">
        <v>2656.3</v>
      </c>
      <c r="D5221" s="2">
        <v>7106.65</v>
      </c>
      <c r="E5221" s="2">
        <v>7106.65</v>
      </c>
      <c r="G5221" s="1" t="s">
        <v>10435</v>
      </c>
      <c r="H5221" s="2">
        <v>2455.07</v>
      </c>
      <c r="I5221" s="2">
        <v>2455.07</v>
      </c>
    </row>
    <row r="5222">
      <c r="A5222" s="1" t="s">
        <v>10436</v>
      </c>
      <c r="B5222" s="2" t="s">
        <v>0</v>
      </c>
      <c r="C5222" s="2">
        <v>2656.3</v>
      </c>
      <c r="D5222" s="2" t="s">
        <v>0</v>
      </c>
      <c r="E5222" s="2">
        <v>7106.65</v>
      </c>
      <c r="G5222" s="1" t="s">
        <v>10437</v>
      </c>
      <c r="H5222" s="2" t="s">
        <v>0</v>
      </c>
      <c r="I5222" s="2">
        <v>2455.07</v>
      </c>
    </row>
    <row r="5223">
      <c r="A5223" s="1" t="s">
        <v>10438</v>
      </c>
      <c r="B5223" s="2" t="s">
        <v>0</v>
      </c>
      <c r="C5223" s="2">
        <v>2656.3</v>
      </c>
      <c r="D5223" s="2" t="s">
        <v>0</v>
      </c>
      <c r="E5223" s="2">
        <v>7106.65</v>
      </c>
      <c r="G5223" s="1" t="s">
        <v>10439</v>
      </c>
      <c r="H5223" s="2" t="s">
        <v>0</v>
      </c>
      <c r="I5223" s="2">
        <v>2455.07</v>
      </c>
    </row>
    <row r="5224">
      <c r="A5224" s="1" t="s">
        <v>10440</v>
      </c>
      <c r="B5224" s="2">
        <v>2677.84</v>
      </c>
      <c r="C5224" s="2">
        <v>2677.84</v>
      </c>
      <c r="D5224" s="2">
        <v>7156.29</v>
      </c>
      <c r="E5224" s="2">
        <v>7156.29</v>
      </c>
      <c r="G5224" s="1" t="s">
        <v>10441</v>
      </c>
      <c r="H5224" s="2">
        <v>2457.49</v>
      </c>
      <c r="I5224" s="2">
        <v>2457.49</v>
      </c>
    </row>
    <row r="5225">
      <c r="A5225" s="1" t="s">
        <v>10442</v>
      </c>
      <c r="B5225" s="2">
        <v>2706.39</v>
      </c>
      <c r="C5225" s="2">
        <v>2706.39</v>
      </c>
      <c r="D5225" s="2">
        <v>7281.1</v>
      </c>
      <c r="E5225" s="2">
        <v>7281.1</v>
      </c>
      <c r="G5225" s="1" t="s">
        <v>10443</v>
      </c>
      <c r="H5225" s="2">
        <v>2453.77</v>
      </c>
      <c r="I5225" s="2">
        <v>2453.77</v>
      </c>
    </row>
    <row r="5226">
      <c r="A5226" s="1" t="s">
        <v>10444</v>
      </c>
      <c r="B5226" s="2">
        <v>2708.64</v>
      </c>
      <c r="C5226" s="2">
        <v>2708.64</v>
      </c>
      <c r="D5226" s="2">
        <v>7295.24</v>
      </c>
      <c r="E5226" s="2">
        <v>7295.24</v>
      </c>
      <c r="G5226" s="1" t="s">
        <v>10445</v>
      </c>
      <c r="H5226" s="2">
        <v>2479.98</v>
      </c>
      <c r="I5226" s="2">
        <v>2479.98</v>
      </c>
    </row>
    <row r="5227">
      <c r="A5227" s="1" t="s">
        <v>10446</v>
      </c>
      <c r="B5227" s="2">
        <v>2693.13</v>
      </c>
      <c r="C5227" s="2">
        <v>2693.13</v>
      </c>
      <c r="D5227" s="2">
        <v>7238.06</v>
      </c>
      <c r="E5227" s="2">
        <v>7238.06</v>
      </c>
      <c r="G5227" s="1" t="s">
        <v>10447</v>
      </c>
      <c r="H5227" s="2">
        <v>2486.1</v>
      </c>
      <c r="I5227" s="2">
        <v>2486.1</v>
      </c>
    </row>
    <row r="5228">
      <c r="A5228" s="1" t="s">
        <v>10448</v>
      </c>
      <c r="B5228" s="2">
        <v>2670.14</v>
      </c>
      <c r="C5228" s="2">
        <v>2670.14</v>
      </c>
      <c r="D5228" s="2">
        <v>7146.13</v>
      </c>
      <c r="E5228" s="2">
        <v>7146.13</v>
      </c>
      <c r="G5228" s="1" t="s">
        <v>10449</v>
      </c>
      <c r="H5228" s="2">
        <v>2476.33</v>
      </c>
      <c r="I5228" s="2">
        <v>2476.33</v>
      </c>
    </row>
    <row r="5229">
      <c r="A5229" s="1" t="s">
        <v>10450</v>
      </c>
      <c r="B5229" s="2" t="s">
        <v>0</v>
      </c>
      <c r="C5229" s="2">
        <v>2670.14</v>
      </c>
      <c r="D5229" s="2" t="s">
        <v>0</v>
      </c>
      <c r="E5229" s="2">
        <v>7146.13</v>
      </c>
      <c r="G5229" s="1" t="s">
        <v>10451</v>
      </c>
      <c r="H5229" s="2" t="s">
        <v>0</v>
      </c>
      <c r="I5229" s="2">
        <v>2476.33</v>
      </c>
    </row>
    <row r="5230">
      <c r="A5230" s="1" t="s">
        <v>10452</v>
      </c>
      <c r="B5230" s="2" t="s">
        <v>0</v>
      </c>
      <c r="C5230" s="2">
        <v>2670.14</v>
      </c>
      <c r="D5230" s="2" t="s">
        <v>0</v>
      </c>
      <c r="E5230" s="2">
        <v>7146.13</v>
      </c>
      <c r="G5230" s="1" t="s">
        <v>10453</v>
      </c>
      <c r="H5230" s="2" t="s">
        <v>0</v>
      </c>
      <c r="I5230" s="2">
        <v>2476.33</v>
      </c>
    </row>
    <row r="5231">
      <c r="A5231" s="1" t="s">
        <v>10454</v>
      </c>
      <c r="B5231" s="2">
        <v>2670.29</v>
      </c>
      <c r="C5231" s="2">
        <v>2670.29</v>
      </c>
      <c r="D5231" s="2">
        <v>7128.6</v>
      </c>
      <c r="E5231" s="2">
        <v>7128.6</v>
      </c>
      <c r="G5231" s="1" t="s">
        <v>10455</v>
      </c>
      <c r="H5231" s="2">
        <v>2474.11</v>
      </c>
      <c r="I5231" s="2">
        <v>2474.11</v>
      </c>
    </row>
    <row r="5232">
      <c r="A5232" s="1" t="s">
        <v>10456</v>
      </c>
      <c r="B5232" s="2">
        <v>2634.56</v>
      </c>
      <c r="C5232" s="2">
        <v>2634.56</v>
      </c>
      <c r="D5232" s="2">
        <v>7007.35</v>
      </c>
      <c r="E5232" s="2">
        <v>7007.35</v>
      </c>
      <c r="G5232" s="1" t="s">
        <v>10457</v>
      </c>
      <c r="H5232" s="2">
        <v>2464.14</v>
      </c>
      <c r="I5232" s="2">
        <v>2464.14</v>
      </c>
    </row>
    <row r="5233">
      <c r="A5233" s="1" t="s">
        <v>10458</v>
      </c>
      <c r="B5233" s="2">
        <v>2639.4</v>
      </c>
      <c r="C5233" s="2">
        <v>2639.4</v>
      </c>
      <c r="D5233" s="2">
        <v>7003.74</v>
      </c>
      <c r="E5233" s="2">
        <v>7003.74</v>
      </c>
      <c r="G5233" s="1" t="s">
        <v>10459</v>
      </c>
      <c r="H5233" s="2">
        <v>2448.81</v>
      </c>
      <c r="I5233" s="2">
        <v>2448.81</v>
      </c>
    </row>
    <row r="5234">
      <c r="A5234" s="1" t="s">
        <v>10460</v>
      </c>
      <c r="B5234" s="2">
        <v>2666.94</v>
      </c>
      <c r="C5234" s="2">
        <v>2666.94</v>
      </c>
      <c r="D5234" s="2">
        <v>7118.68</v>
      </c>
      <c r="E5234" s="2">
        <v>7118.68</v>
      </c>
      <c r="G5234" s="1" t="s">
        <v>10461</v>
      </c>
      <c r="H5234" s="2">
        <v>2475.64</v>
      </c>
      <c r="I5234" s="2">
        <v>2475.64</v>
      </c>
    </row>
    <row r="5235">
      <c r="A5235" s="1" t="s">
        <v>10462</v>
      </c>
      <c r="B5235" s="2">
        <v>2669.91</v>
      </c>
      <c r="C5235" s="2">
        <v>2669.91</v>
      </c>
      <c r="D5235" s="2">
        <v>7119.8</v>
      </c>
      <c r="E5235" s="2">
        <v>7119.8</v>
      </c>
      <c r="G5235" s="1" t="s">
        <v>10463</v>
      </c>
      <c r="H5235" s="2">
        <v>2492.4</v>
      </c>
      <c r="I5235" s="2">
        <v>2492.4</v>
      </c>
    </row>
    <row r="5236">
      <c r="A5236" s="1" t="s">
        <v>10464</v>
      </c>
      <c r="B5236" s="2" t="s">
        <v>0</v>
      </c>
      <c r="C5236" s="2">
        <v>2669.91</v>
      </c>
      <c r="D5236" s="2" t="s">
        <v>0</v>
      </c>
      <c r="E5236" s="2">
        <v>7119.8</v>
      </c>
      <c r="G5236" s="1" t="s">
        <v>10465</v>
      </c>
      <c r="H5236" s="2" t="s">
        <v>0</v>
      </c>
      <c r="I5236" s="2">
        <v>2492.4</v>
      </c>
    </row>
    <row r="5237">
      <c r="A5237" s="1" t="s">
        <v>10466</v>
      </c>
      <c r="B5237" s="2" t="s">
        <v>0</v>
      </c>
      <c r="C5237" s="2">
        <v>2669.91</v>
      </c>
      <c r="D5237" s="2" t="s">
        <v>0</v>
      </c>
      <c r="E5237" s="2">
        <v>7119.8</v>
      </c>
      <c r="G5237" s="1" t="s">
        <v>10467</v>
      </c>
      <c r="H5237" s="2" t="s">
        <v>0</v>
      </c>
      <c r="I5237" s="2">
        <v>2492.4</v>
      </c>
    </row>
    <row r="5238">
      <c r="A5238" s="1" t="s">
        <v>10468</v>
      </c>
      <c r="B5238" s="2">
        <v>2648.05</v>
      </c>
      <c r="C5238" s="2">
        <v>2648.05</v>
      </c>
      <c r="D5238" s="2">
        <v>7066.27</v>
      </c>
      <c r="E5238" s="2">
        <v>7066.27</v>
      </c>
      <c r="G5238" s="1" t="s">
        <v>10469</v>
      </c>
      <c r="H5238" s="2">
        <v>2515.38</v>
      </c>
      <c r="I5238" s="2">
        <v>2515.38</v>
      </c>
    </row>
    <row r="5239">
      <c r="A5239" s="1" t="s">
        <v>10470</v>
      </c>
      <c r="B5239" s="2">
        <v>2654.8</v>
      </c>
      <c r="C5239" s="2">
        <v>2654.8</v>
      </c>
      <c r="D5239" s="2">
        <v>7130.7</v>
      </c>
      <c r="E5239" s="2">
        <v>7130.7</v>
      </c>
      <c r="G5239" s="1" t="s">
        <v>10471</v>
      </c>
      <c r="H5239" s="2" t="s">
        <v>0</v>
      </c>
      <c r="I5239" s="2">
        <v>2515.38</v>
      </c>
    </row>
    <row r="5240">
      <c r="A5240" s="1" t="s">
        <v>10472</v>
      </c>
      <c r="B5240" s="2">
        <v>2635.67</v>
      </c>
      <c r="C5240" s="2">
        <v>2635.67</v>
      </c>
      <c r="D5240" s="2">
        <v>7100.9</v>
      </c>
      <c r="E5240" s="2">
        <v>7100.9</v>
      </c>
      <c r="G5240" s="1" t="s">
        <v>10473</v>
      </c>
      <c r="H5240" s="2">
        <v>2505.61</v>
      </c>
      <c r="I5240" s="2">
        <v>2505.61</v>
      </c>
    </row>
    <row r="5241">
      <c r="A5241" s="1" t="s">
        <v>10474</v>
      </c>
      <c r="B5241" s="2">
        <v>2629.73</v>
      </c>
      <c r="C5241" s="2">
        <v>2629.73</v>
      </c>
      <c r="D5241" s="2">
        <v>7088.15</v>
      </c>
      <c r="E5241" s="2">
        <v>7088.15</v>
      </c>
      <c r="G5241" s="1" t="s">
        <v>10475</v>
      </c>
      <c r="H5241" s="2">
        <v>2487.25</v>
      </c>
      <c r="I5241" s="2">
        <v>2487.25</v>
      </c>
    </row>
    <row r="5242">
      <c r="A5242" s="1" t="s">
        <v>10476</v>
      </c>
      <c r="B5242" s="2">
        <v>2663.42</v>
      </c>
      <c r="C5242" s="2">
        <v>2663.42</v>
      </c>
      <c r="D5242" s="2">
        <v>7209.62</v>
      </c>
      <c r="E5242" s="2">
        <v>7209.62</v>
      </c>
      <c r="G5242" s="1" t="s">
        <v>10477</v>
      </c>
      <c r="H5242" s="2">
        <v>2461.38</v>
      </c>
      <c r="I5242" s="2">
        <v>2461.38</v>
      </c>
    </row>
    <row r="5243">
      <c r="A5243" s="1" t="s">
        <v>10478</v>
      </c>
      <c r="B5243" s="2" t="s">
        <v>0</v>
      </c>
      <c r="C5243" s="2">
        <v>2663.42</v>
      </c>
      <c r="D5243" s="2" t="s">
        <v>0</v>
      </c>
      <c r="E5243" s="2">
        <v>7209.62</v>
      </c>
      <c r="G5243" s="1" t="s">
        <v>10479</v>
      </c>
      <c r="H5243" s="2" t="s">
        <v>0</v>
      </c>
      <c r="I5243" s="2">
        <v>2461.38</v>
      </c>
    </row>
    <row r="5244">
      <c r="A5244" s="1" t="s">
        <v>10480</v>
      </c>
      <c r="B5244" s="2" t="s">
        <v>0</v>
      </c>
      <c r="C5244" s="2">
        <v>2663.42</v>
      </c>
      <c r="D5244" s="2" t="s">
        <v>0</v>
      </c>
      <c r="E5244" s="2">
        <v>7209.62</v>
      </c>
      <c r="G5244" s="1" t="s">
        <v>10481</v>
      </c>
      <c r="H5244" s="2" t="s">
        <v>0</v>
      </c>
      <c r="I5244" s="2">
        <v>2461.38</v>
      </c>
    </row>
    <row r="5245">
      <c r="A5245" s="1" t="s">
        <v>10482</v>
      </c>
      <c r="B5245" s="2">
        <v>2672.63</v>
      </c>
      <c r="C5245" s="2">
        <v>2672.63</v>
      </c>
      <c r="D5245" s="2">
        <v>7265.21</v>
      </c>
      <c r="E5245" s="2">
        <v>7265.21</v>
      </c>
      <c r="G5245" s="1" t="s">
        <v>10483</v>
      </c>
      <c r="H5245" s="2" t="s">
        <v>0</v>
      </c>
      <c r="I5245" s="2">
        <v>2461.38</v>
      </c>
    </row>
    <row r="5246">
      <c r="A5246" s="1" t="s">
        <v>10484</v>
      </c>
      <c r="B5246" s="2">
        <v>2671.92</v>
      </c>
      <c r="C5246" s="2">
        <v>2671.92</v>
      </c>
      <c r="D5246" s="2">
        <v>7266.9</v>
      </c>
      <c r="E5246" s="2">
        <v>7266.9</v>
      </c>
      <c r="G5246" s="1" t="s">
        <v>10485</v>
      </c>
      <c r="H5246" s="2">
        <v>2449.81</v>
      </c>
      <c r="I5246" s="2">
        <v>2449.81</v>
      </c>
    </row>
    <row r="5247">
      <c r="A5247" s="1" t="s">
        <v>10486</v>
      </c>
      <c r="B5247" s="2">
        <v>2697.79</v>
      </c>
      <c r="C5247" s="2">
        <v>2697.79</v>
      </c>
      <c r="D5247" s="2">
        <v>7339.91</v>
      </c>
      <c r="E5247" s="2">
        <v>7339.91</v>
      </c>
      <c r="G5247" s="1" t="s">
        <v>10487</v>
      </c>
      <c r="H5247" s="2">
        <v>2443.98</v>
      </c>
      <c r="I5247" s="2">
        <v>2443.98</v>
      </c>
    </row>
    <row r="5248">
      <c r="A5248" s="1" t="s">
        <v>10488</v>
      </c>
      <c r="B5248" s="2">
        <v>2723.07</v>
      </c>
      <c r="C5248" s="2">
        <v>2723.07</v>
      </c>
      <c r="D5248" s="2">
        <v>7404.98</v>
      </c>
      <c r="E5248" s="2">
        <v>7404.98</v>
      </c>
      <c r="G5248" s="1" t="s">
        <v>10489</v>
      </c>
      <c r="H5248" s="2">
        <v>2464.16</v>
      </c>
      <c r="I5248" s="2">
        <v>2464.16</v>
      </c>
    </row>
    <row r="5249">
      <c r="A5249" s="1" t="s">
        <v>10490</v>
      </c>
      <c r="B5249" s="2">
        <v>2727.72</v>
      </c>
      <c r="C5249" s="2">
        <v>2727.72</v>
      </c>
      <c r="D5249" s="2">
        <v>7402.88</v>
      </c>
      <c r="E5249" s="2">
        <v>7402.88</v>
      </c>
      <c r="G5249" s="1" t="s">
        <v>10491</v>
      </c>
      <c r="H5249" s="2">
        <v>2477.71</v>
      </c>
      <c r="I5249" s="2">
        <v>2477.71</v>
      </c>
    </row>
    <row r="5250">
      <c r="A5250" s="1" t="s">
        <v>10492</v>
      </c>
      <c r="B5250" s="2" t="s">
        <v>0</v>
      </c>
      <c r="C5250" s="2">
        <v>2727.72</v>
      </c>
      <c r="D5250" s="2" t="s">
        <v>0</v>
      </c>
      <c r="E5250" s="2">
        <v>7402.88</v>
      </c>
      <c r="G5250" s="1" t="s">
        <v>10493</v>
      </c>
      <c r="H5250" s="2" t="s">
        <v>0</v>
      </c>
      <c r="I5250" s="2">
        <v>2477.71</v>
      </c>
    </row>
    <row r="5251">
      <c r="A5251" s="1" t="s">
        <v>10494</v>
      </c>
      <c r="B5251" s="2" t="s">
        <v>0</v>
      </c>
      <c r="C5251" s="2">
        <v>2727.72</v>
      </c>
      <c r="D5251" s="2" t="s">
        <v>0</v>
      </c>
      <c r="E5251" s="2">
        <v>7402.88</v>
      </c>
      <c r="G5251" s="1" t="s">
        <v>10495</v>
      </c>
      <c r="H5251" s="2" t="s">
        <v>0</v>
      </c>
      <c r="I5251" s="2">
        <v>2477.71</v>
      </c>
    </row>
    <row r="5252">
      <c r="A5252" s="1" t="s">
        <v>10496</v>
      </c>
      <c r="B5252" s="2">
        <v>2730.13</v>
      </c>
      <c r="C5252" s="2">
        <v>2730.13</v>
      </c>
      <c r="D5252" s="2">
        <v>7411.32</v>
      </c>
      <c r="E5252" s="2">
        <v>7411.32</v>
      </c>
      <c r="G5252" s="1" t="s">
        <v>10497</v>
      </c>
      <c r="H5252" s="2">
        <v>2476.11</v>
      </c>
      <c r="I5252" s="2">
        <v>2476.11</v>
      </c>
    </row>
    <row r="5253">
      <c r="A5253" s="1" t="s">
        <v>10498</v>
      </c>
      <c r="B5253" s="2">
        <v>2711.45</v>
      </c>
      <c r="C5253" s="2">
        <v>2711.45</v>
      </c>
      <c r="D5253" s="2">
        <v>7351.63</v>
      </c>
      <c r="E5253" s="2">
        <v>7351.63</v>
      </c>
      <c r="G5253" s="1" t="s">
        <v>10499</v>
      </c>
      <c r="H5253" s="2">
        <v>2458.54</v>
      </c>
      <c r="I5253" s="2">
        <v>2458.54</v>
      </c>
    </row>
    <row r="5254">
      <c r="A5254" s="1" t="s">
        <v>10500</v>
      </c>
      <c r="B5254" s="2">
        <v>2722.46</v>
      </c>
      <c r="C5254" s="2">
        <v>2722.46</v>
      </c>
      <c r="D5254" s="2">
        <v>7398.3</v>
      </c>
      <c r="E5254" s="2">
        <v>7398.3</v>
      </c>
      <c r="G5254" s="1" t="s">
        <v>10501</v>
      </c>
      <c r="H5254" s="2">
        <v>2459.82</v>
      </c>
      <c r="I5254" s="2">
        <v>2459.82</v>
      </c>
    </row>
    <row r="5255">
      <c r="A5255" s="1" t="s">
        <v>10502</v>
      </c>
      <c r="B5255" s="2">
        <v>2720.13</v>
      </c>
      <c r="C5255" s="2">
        <v>2720.13</v>
      </c>
      <c r="D5255" s="2">
        <v>7382.47</v>
      </c>
      <c r="E5255" s="2">
        <v>7382.47</v>
      </c>
      <c r="G5255" s="1" t="s">
        <v>10503</v>
      </c>
      <c r="H5255" s="2">
        <v>2448.45</v>
      </c>
      <c r="I5255" s="2">
        <v>2448.45</v>
      </c>
    </row>
    <row r="5256">
      <c r="A5256" s="1" t="s">
        <v>10504</v>
      </c>
      <c r="B5256" s="2">
        <v>2712.97</v>
      </c>
      <c r="C5256" s="2">
        <v>2712.97</v>
      </c>
      <c r="D5256" s="2">
        <v>7354.34</v>
      </c>
      <c r="E5256" s="2">
        <v>7354.34</v>
      </c>
      <c r="G5256" s="1" t="s">
        <v>10505</v>
      </c>
      <c r="H5256" s="2">
        <v>2460.65</v>
      </c>
      <c r="I5256" s="2">
        <v>2460.65</v>
      </c>
    </row>
    <row r="5257">
      <c r="A5257" s="1" t="s">
        <v>10506</v>
      </c>
      <c r="B5257" s="2" t="s">
        <v>0</v>
      </c>
      <c r="C5257" s="2">
        <v>2712.97</v>
      </c>
      <c r="D5257" s="2" t="s">
        <v>0</v>
      </c>
      <c r="E5257" s="2">
        <v>7354.34</v>
      </c>
      <c r="G5257" s="1" t="s">
        <v>10507</v>
      </c>
      <c r="H5257" s="2" t="s">
        <v>0</v>
      </c>
      <c r="I5257" s="2">
        <v>2460.65</v>
      </c>
    </row>
    <row r="5258">
      <c r="A5258" s="1" t="s">
        <v>10508</v>
      </c>
      <c r="B5258" s="2" t="s">
        <v>0</v>
      </c>
      <c r="C5258" s="2">
        <v>2712.97</v>
      </c>
      <c r="D5258" s="2" t="s">
        <v>0</v>
      </c>
      <c r="E5258" s="2">
        <v>7354.34</v>
      </c>
      <c r="G5258" s="1" t="s">
        <v>10509</v>
      </c>
      <c r="H5258" s="2" t="s">
        <v>0</v>
      </c>
      <c r="I5258" s="2">
        <v>2460.65</v>
      </c>
    </row>
    <row r="5259">
      <c r="A5259" s="1" t="s">
        <v>10510</v>
      </c>
      <c r="B5259" s="2">
        <v>2733.01</v>
      </c>
      <c r="C5259" s="2">
        <v>2733.01</v>
      </c>
      <c r="D5259" s="2">
        <v>7394.04</v>
      </c>
      <c r="E5259" s="2">
        <v>7394.04</v>
      </c>
      <c r="G5259" s="1" t="s">
        <v>10511</v>
      </c>
      <c r="H5259" s="2">
        <v>2465.57</v>
      </c>
      <c r="I5259" s="2">
        <v>2465.57</v>
      </c>
    </row>
    <row r="5260">
      <c r="A5260" s="1" t="s">
        <v>10512</v>
      </c>
      <c r="B5260" s="2">
        <v>2724.44</v>
      </c>
      <c r="C5260" s="2">
        <v>2724.44</v>
      </c>
      <c r="D5260" s="2">
        <v>7378.46</v>
      </c>
      <c r="E5260" s="2">
        <v>7378.46</v>
      </c>
      <c r="G5260" s="1" t="s">
        <v>10513</v>
      </c>
      <c r="H5260" s="2" t="s">
        <v>0</v>
      </c>
      <c r="I5260" s="2">
        <v>2465.57</v>
      </c>
    </row>
    <row r="5261">
      <c r="A5261" s="1" t="s">
        <v>10514</v>
      </c>
      <c r="B5261" s="2">
        <v>2733.29</v>
      </c>
      <c r="C5261" s="2">
        <v>2733.29</v>
      </c>
      <c r="D5261" s="2">
        <v>7425.96</v>
      </c>
      <c r="E5261" s="2">
        <v>7425.96</v>
      </c>
      <c r="G5261" s="1" t="s">
        <v>10515</v>
      </c>
      <c r="H5261" s="2">
        <v>2471.91</v>
      </c>
      <c r="I5261" s="2">
        <v>2471.91</v>
      </c>
    </row>
    <row r="5262">
      <c r="A5262" s="1" t="s">
        <v>10516</v>
      </c>
      <c r="B5262" s="2">
        <v>2727.76</v>
      </c>
      <c r="C5262" s="2">
        <v>2727.76</v>
      </c>
      <c r="D5262" s="2">
        <v>7424.43</v>
      </c>
      <c r="E5262" s="2">
        <v>7424.43</v>
      </c>
      <c r="G5262" s="1" t="s">
        <v>10517</v>
      </c>
      <c r="H5262" s="2">
        <v>2466.01</v>
      </c>
      <c r="I5262" s="2">
        <v>2466.01</v>
      </c>
    </row>
    <row r="5263">
      <c r="A5263" s="1" t="s">
        <v>10518</v>
      </c>
      <c r="B5263" s="2">
        <v>2721.33</v>
      </c>
      <c r="C5263" s="2">
        <v>2721.33</v>
      </c>
      <c r="D5263" s="2">
        <v>7433.85</v>
      </c>
      <c r="E5263" s="2">
        <v>7433.85</v>
      </c>
      <c r="G5263" s="1" t="s">
        <v>10519</v>
      </c>
      <c r="H5263" s="2">
        <v>2460.8</v>
      </c>
      <c r="I5263" s="2">
        <v>2460.8</v>
      </c>
    </row>
    <row r="5264">
      <c r="A5264" s="1" t="s">
        <v>10520</v>
      </c>
      <c r="B5264" s="2" t="s">
        <v>0</v>
      </c>
      <c r="C5264" s="2">
        <v>2721.33</v>
      </c>
      <c r="D5264" s="2" t="s">
        <v>0</v>
      </c>
      <c r="E5264" s="2">
        <v>7433.85</v>
      </c>
      <c r="G5264" s="1" t="s">
        <v>10521</v>
      </c>
      <c r="H5264" s="2" t="s">
        <v>0</v>
      </c>
      <c r="I5264" s="2">
        <v>2460.8</v>
      </c>
    </row>
    <row r="5265">
      <c r="A5265" s="1" t="s">
        <v>10522</v>
      </c>
      <c r="B5265" s="2" t="s">
        <v>0</v>
      </c>
      <c r="C5265" s="2">
        <v>2721.33</v>
      </c>
      <c r="D5265" s="2" t="s">
        <v>0</v>
      </c>
      <c r="E5265" s="2">
        <v>7433.85</v>
      </c>
      <c r="G5265" s="1" t="s">
        <v>10523</v>
      </c>
      <c r="H5265" s="2" t="s">
        <v>0</v>
      </c>
      <c r="I5265" s="2">
        <v>2460.8</v>
      </c>
    </row>
    <row r="5266">
      <c r="A5266" s="1" t="s">
        <v>10524</v>
      </c>
      <c r="B5266" s="2" t="s">
        <v>0</v>
      </c>
      <c r="C5266" s="2">
        <v>2721.33</v>
      </c>
      <c r="D5266" s="2" t="s">
        <v>0</v>
      </c>
      <c r="E5266" s="2">
        <v>7433.85</v>
      </c>
      <c r="G5266" s="1" t="s">
        <v>10525</v>
      </c>
      <c r="H5266" s="2">
        <v>2478.96</v>
      </c>
      <c r="I5266" s="2">
        <v>2478.96</v>
      </c>
    </row>
    <row r="5267">
      <c r="A5267" s="1" t="s">
        <v>10526</v>
      </c>
      <c r="B5267" s="2">
        <v>2689.86</v>
      </c>
      <c r="C5267" s="2">
        <v>2689.86</v>
      </c>
      <c r="D5267" s="2">
        <v>7396.59</v>
      </c>
      <c r="E5267" s="2">
        <v>7396.59</v>
      </c>
      <c r="G5267" s="1" t="s">
        <v>10527</v>
      </c>
      <c r="H5267" s="2">
        <v>2457.25</v>
      </c>
      <c r="I5267" s="2">
        <v>2457.25</v>
      </c>
    </row>
    <row r="5268">
      <c r="A5268" s="1" t="s">
        <v>10528</v>
      </c>
      <c r="B5268" s="2">
        <v>2724.01</v>
      </c>
      <c r="C5268" s="2">
        <v>2724.01</v>
      </c>
      <c r="D5268" s="2">
        <v>7462.45</v>
      </c>
      <c r="E5268" s="2">
        <v>7462.45</v>
      </c>
      <c r="G5268" s="1" t="s">
        <v>10529</v>
      </c>
      <c r="H5268" s="2">
        <v>2409.03</v>
      </c>
      <c r="I5268" s="2">
        <v>2409.03</v>
      </c>
    </row>
    <row r="5269">
      <c r="A5269" s="1" t="s">
        <v>10530</v>
      </c>
      <c r="B5269" s="2">
        <v>2705.27</v>
      </c>
      <c r="C5269" s="2">
        <v>2705.27</v>
      </c>
      <c r="D5269" s="2">
        <v>7442.12</v>
      </c>
      <c r="E5269" s="2">
        <v>7442.12</v>
      </c>
      <c r="G5269" s="1" t="s">
        <v>10531</v>
      </c>
      <c r="H5269" s="2">
        <v>2423.01</v>
      </c>
      <c r="I5269" s="2">
        <v>2423.01</v>
      </c>
    </row>
    <row r="5270">
      <c r="A5270" s="1" t="s">
        <v>10532</v>
      </c>
      <c r="B5270" s="2">
        <v>2734.62</v>
      </c>
      <c r="C5270" s="2">
        <v>2734.62</v>
      </c>
      <c r="D5270" s="2">
        <v>7554.33</v>
      </c>
      <c r="E5270" s="2">
        <v>7554.33</v>
      </c>
      <c r="G5270" s="1" t="s">
        <v>10533</v>
      </c>
      <c r="H5270" s="2">
        <v>2438.96</v>
      </c>
      <c r="I5270" s="2">
        <v>2438.96</v>
      </c>
    </row>
    <row r="5271">
      <c r="A5271" s="1" t="s">
        <v>10534</v>
      </c>
      <c r="B5271" s="2" t="s">
        <v>0</v>
      </c>
      <c r="C5271" s="2">
        <v>2734.62</v>
      </c>
      <c r="D5271" s="2" t="s">
        <v>0</v>
      </c>
      <c r="E5271" s="2">
        <v>7554.33</v>
      </c>
      <c r="G5271" s="1" t="s">
        <v>10535</v>
      </c>
      <c r="H5271" s="2" t="s">
        <v>0</v>
      </c>
      <c r="I5271" s="2">
        <v>2438.96</v>
      </c>
    </row>
    <row r="5272">
      <c r="A5272" s="1" t="s">
        <v>10536</v>
      </c>
      <c r="B5272" s="2" t="s">
        <v>0</v>
      </c>
      <c r="C5272" s="2">
        <v>2734.62</v>
      </c>
      <c r="D5272" s="2" t="s">
        <v>0</v>
      </c>
      <c r="E5272" s="2">
        <v>7554.33</v>
      </c>
      <c r="G5272" s="1" t="s">
        <v>10537</v>
      </c>
      <c r="H5272" s="2" t="s">
        <v>0</v>
      </c>
      <c r="I5272" s="2">
        <v>2438.96</v>
      </c>
    </row>
    <row r="5273">
      <c r="A5273" s="1" t="s">
        <v>10538</v>
      </c>
      <c r="B5273" s="2">
        <v>2746.87</v>
      </c>
      <c r="C5273" s="2">
        <v>2746.87</v>
      </c>
      <c r="D5273" s="2">
        <v>7606.46</v>
      </c>
      <c r="E5273" s="2">
        <v>7606.46</v>
      </c>
      <c r="G5273" s="1" t="s">
        <v>10539</v>
      </c>
      <c r="H5273" s="2">
        <v>2447.76</v>
      </c>
      <c r="I5273" s="2">
        <v>2447.76</v>
      </c>
    </row>
    <row r="5274">
      <c r="A5274" s="1" t="s">
        <v>10540</v>
      </c>
      <c r="B5274" s="2">
        <v>2748.8</v>
      </c>
      <c r="C5274" s="2">
        <v>2748.8</v>
      </c>
      <c r="D5274" s="2">
        <v>7637.86</v>
      </c>
      <c r="E5274" s="2">
        <v>7637.86</v>
      </c>
      <c r="G5274" s="1" t="s">
        <v>10541</v>
      </c>
      <c r="H5274" s="2">
        <v>2453.76</v>
      </c>
      <c r="I5274" s="2">
        <v>2453.76</v>
      </c>
    </row>
    <row r="5275">
      <c r="A5275" s="1" t="s">
        <v>10542</v>
      </c>
      <c r="B5275" s="2">
        <v>2772.35</v>
      </c>
      <c r="C5275" s="2">
        <v>2772.35</v>
      </c>
      <c r="D5275" s="2">
        <v>7689.24</v>
      </c>
      <c r="E5275" s="2">
        <v>7689.24</v>
      </c>
      <c r="G5275" s="1" t="s">
        <v>10543</v>
      </c>
      <c r="H5275" s="2" t="s">
        <v>0</v>
      </c>
      <c r="I5275" s="2">
        <v>2453.76</v>
      </c>
    </row>
    <row r="5276">
      <c r="A5276" s="1" t="s">
        <v>10544</v>
      </c>
      <c r="B5276" s="2">
        <v>2770.37</v>
      </c>
      <c r="C5276" s="2">
        <v>2770.37</v>
      </c>
      <c r="D5276" s="2">
        <v>7635.07</v>
      </c>
      <c r="E5276" s="2">
        <v>7635.07</v>
      </c>
      <c r="G5276" s="1" t="s">
        <v>10545</v>
      </c>
      <c r="H5276" s="2" t="s">
        <v>0</v>
      </c>
      <c r="I5276" s="2">
        <v>2453.76</v>
      </c>
    </row>
    <row r="5277">
      <c r="A5277" s="1" t="s">
        <v>10546</v>
      </c>
      <c r="B5277" s="2">
        <v>2779.03</v>
      </c>
      <c r="C5277" s="2">
        <v>2779.03</v>
      </c>
      <c r="D5277" s="2">
        <v>7645.51</v>
      </c>
      <c r="E5277" s="2">
        <v>7645.51</v>
      </c>
      <c r="G5277" s="1" t="s">
        <v>10547</v>
      </c>
      <c r="H5277" s="2">
        <v>2451.58</v>
      </c>
      <c r="I5277" s="2">
        <v>2451.58</v>
      </c>
    </row>
    <row r="5278">
      <c r="A5278" s="1" t="s">
        <v>10548</v>
      </c>
      <c r="B5278" s="2" t="s">
        <v>0</v>
      </c>
      <c r="C5278" s="2">
        <v>2779.03</v>
      </c>
      <c r="D5278" s="2" t="s">
        <v>0</v>
      </c>
      <c r="E5278" s="2">
        <v>7645.51</v>
      </c>
      <c r="G5278" s="1" t="s">
        <v>10549</v>
      </c>
      <c r="H5278" s="2" t="s">
        <v>0</v>
      </c>
      <c r="I5278" s="2">
        <v>2451.58</v>
      </c>
    </row>
    <row r="5279">
      <c r="A5279" s="1" t="s">
        <v>10550</v>
      </c>
      <c r="B5279" s="2" t="s">
        <v>0</v>
      </c>
      <c r="C5279" s="2">
        <v>2779.03</v>
      </c>
      <c r="D5279" s="2" t="s">
        <v>0</v>
      </c>
      <c r="E5279" s="2">
        <v>7645.51</v>
      </c>
      <c r="G5279" s="1" t="s">
        <v>10551</v>
      </c>
      <c r="H5279" s="2" t="s">
        <v>0</v>
      </c>
      <c r="I5279" s="2">
        <v>2451.58</v>
      </c>
    </row>
    <row r="5280">
      <c r="A5280" s="1" t="s">
        <v>10552</v>
      </c>
      <c r="B5280" s="2">
        <v>2782.0</v>
      </c>
      <c r="C5280" s="2">
        <v>2782.0</v>
      </c>
      <c r="D5280" s="2">
        <v>7659.93</v>
      </c>
      <c r="E5280" s="2">
        <v>7659.93</v>
      </c>
      <c r="G5280" s="1" t="s">
        <v>10553</v>
      </c>
      <c r="H5280" s="2">
        <v>2470.15</v>
      </c>
      <c r="I5280" s="2">
        <v>2470.15</v>
      </c>
    </row>
    <row r="5281">
      <c r="A5281" s="1" t="s">
        <v>10554</v>
      </c>
      <c r="B5281" s="2">
        <v>2786.85</v>
      </c>
      <c r="C5281" s="2">
        <v>2786.85</v>
      </c>
      <c r="D5281" s="2">
        <v>7703.79</v>
      </c>
      <c r="E5281" s="2">
        <v>7703.79</v>
      </c>
      <c r="G5281" s="1" t="s">
        <v>10555</v>
      </c>
      <c r="H5281" s="2">
        <v>2468.83</v>
      </c>
      <c r="I5281" s="2">
        <v>2468.83</v>
      </c>
    </row>
    <row r="5282">
      <c r="A5282" s="1" t="s">
        <v>10556</v>
      </c>
      <c r="B5282" s="2">
        <v>2775.63</v>
      </c>
      <c r="C5282" s="2">
        <v>2775.63</v>
      </c>
      <c r="D5282" s="2">
        <v>7695.7</v>
      </c>
      <c r="E5282" s="2">
        <v>7695.7</v>
      </c>
      <c r="G5282" s="1" t="s">
        <v>10557</v>
      </c>
      <c r="H5282" s="2" t="s">
        <v>0</v>
      </c>
      <c r="I5282" s="2">
        <v>2468.83</v>
      </c>
    </row>
    <row r="5283">
      <c r="A5283" s="1" t="s">
        <v>10558</v>
      </c>
      <c r="B5283" s="2">
        <v>2782.49</v>
      </c>
      <c r="C5283" s="2">
        <v>2782.49</v>
      </c>
      <c r="D5283" s="2">
        <v>7761.04</v>
      </c>
      <c r="E5283" s="2">
        <v>7761.04</v>
      </c>
      <c r="G5283" s="1" t="s">
        <v>10559</v>
      </c>
      <c r="H5283" s="2" t="s">
        <v>0</v>
      </c>
      <c r="I5283" s="2">
        <v>2468.83</v>
      </c>
    </row>
    <row r="5284">
      <c r="A5284" s="1" t="s">
        <v>10560</v>
      </c>
      <c r="B5284" s="2">
        <v>2779.66</v>
      </c>
      <c r="C5284" s="2">
        <v>2779.66</v>
      </c>
      <c r="D5284" s="2">
        <v>7746.38</v>
      </c>
      <c r="E5284" s="2">
        <v>7746.38</v>
      </c>
      <c r="G5284" s="1" t="s">
        <v>10561</v>
      </c>
      <c r="H5284" s="2">
        <v>2404.04</v>
      </c>
      <c r="I5284" s="2">
        <v>2404.04</v>
      </c>
    </row>
    <row r="5285">
      <c r="A5285" s="1" t="s">
        <v>10562</v>
      </c>
      <c r="B5285" s="2" t="s">
        <v>0</v>
      </c>
      <c r="C5285" s="2">
        <v>2779.66</v>
      </c>
      <c r="D5285" s="2" t="s">
        <v>0</v>
      </c>
      <c r="E5285" s="2">
        <v>7746.38</v>
      </c>
      <c r="G5285" s="1" t="s">
        <v>10563</v>
      </c>
      <c r="H5285" s="2" t="s">
        <v>0</v>
      </c>
      <c r="I5285" s="2">
        <v>2404.04</v>
      </c>
    </row>
    <row r="5286">
      <c r="A5286" s="1" t="s">
        <v>10564</v>
      </c>
      <c r="B5286" s="2" t="s">
        <v>0</v>
      </c>
      <c r="C5286" s="2">
        <v>2779.66</v>
      </c>
      <c r="D5286" s="2" t="s">
        <v>0</v>
      </c>
      <c r="E5286" s="2">
        <v>7746.38</v>
      </c>
      <c r="G5286" s="1" t="s">
        <v>10565</v>
      </c>
      <c r="H5286" s="2" t="s">
        <v>0</v>
      </c>
      <c r="I5286" s="2">
        <v>2404.04</v>
      </c>
    </row>
    <row r="5287">
      <c r="A5287" s="1" t="s">
        <v>10566</v>
      </c>
      <c r="B5287" s="2">
        <v>2773.75</v>
      </c>
      <c r="C5287" s="2">
        <v>2773.75</v>
      </c>
      <c r="D5287" s="2">
        <v>7747.03</v>
      </c>
      <c r="E5287" s="2">
        <v>7747.03</v>
      </c>
      <c r="G5287" s="1" t="s">
        <v>10567</v>
      </c>
      <c r="H5287" s="2">
        <v>2376.24</v>
      </c>
      <c r="I5287" s="2">
        <v>2376.24</v>
      </c>
    </row>
    <row r="5288">
      <c r="A5288" s="1" t="s">
        <v>10568</v>
      </c>
      <c r="B5288" s="2">
        <v>2762.59</v>
      </c>
      <c r="C5288" s="2">
        <v>2762.59</v>
      </c>
      <c r="D5288" s="2">
        <v>7725.59</v>
      </c>
      <c r="E5288" s="2">
        <v>7725.59</v>
      </c>
      <c r="G5288" s="1" t="s">
        <v>10569</v>
      </c>
      <c r="H5288" s="2">
        <v>2340.11</v>
      </c>
      <c r="I5288" s="2">
        <v>2340.11</v>
      </c>
    </row>
    <row r="5289">
      <c r="A5289" s="1" t="s">
        <v>10570</v>
      </c>
      <c r="B5289" s="2">
        <v>2767.32</v>
      </c>
      <c r="C5289" s="2">
        <v>2767.32</v>
      </c>
      <c r="D5289" s="2">
        <v>7781.52</v>
      </c>
      <c r="E5289" s="2">
        <v>7781.52</v>
      </c>
      <c r="G5289" s="1" t="s">
        <v>10571</v>
      </c>
      <c r="H5289" s="2">
        <v>2363.91</v>
      </c>
      <c r="I5289" s="2">
        <v>2363.91</v>
      </c>
    </row>
    <row r="5290">
      <c r="A5290" s="1" t="s">
        <v>10572</v>
      </c>
      <c r="B5290" s="2">
        <v>2749.76</v>
      </c>
      <c r="C5290" s="2">
        <v>2749.76</v>
      </c>
      <c r="D5290" s="2">
        <v>7712.95</v>
      </c>
      <c r="E5290" s="2">
        <v>7712.95</v>
      </c>
      <c r="G5290" s="1" t="s">
        <v>10573</v>
      </c>
      <c r="H5290" s="2">
        <v>2337.83</v>
      </c>
      <c r="I5290" s="2">
        <v>2337.83</v>
      </c>
    </row>
    <row r="5291">
      <c r="A5291" s="1" t="s">
        <v>10574</v>
      </c>
      <c r="B5291" s="2">
        <v>2754.88</v>
      </c>
      <c r="C5291" s="2">
        <v>2754.88</v>
      </c>
      <c r="D5291" s="2">
        <v>7692.82</v>
      </c>
      <c r="E5291" s="2">
        <v>7692.82</v>
      </c>
      <c r="G5291" s="1" t="s">
        <v>10575</v>
      </c>
      <c r="H5291" s="2">
        <v>2357.22</v>
      </c>
      <c r="I5291" s="2">
        <v>2357.22</v>
      </c>
    </row>
    <row r="5292">
      <c r="A5292" s="1" t="s">
        <v>10576</v>
      </c>
      <c r="B5292" s="2" t="s">
        <v>0</v>
      </c>
      <c r="C5292" s="2">
        <v>2754.88</v>
      </c>
      <c r="D5292" s="2" t="s">
        <v>0</v>
      </c>
      <c r="E5292" s="2">
        <v>7692.82</v>
      </c>
      <c r="G5292" s="1" t="s">
        <v>10577</v>
      </c>
      <c r="H5292" s="2" t="s">
        <v>0</v>
      </c>
      <c r="I5292" s="2">
        <v>2357.22</v>
      </c>
    </row>
    <row r="5293">
      <c r="A5293" s="1" t="s">
        <v>10578</v>
      </c>
      <c r="B5293" s="2" t="s">
        <v>0</v>
      </c>
      <c r="C5293" s="2">
        <v>2754.88</v>
      </c>
      <c r="D5293" s="2" t="s">
        <v>0</v>
      </c>
      <c r="E5293" s="2">
        <v>7692.82</v>
      </c>
      <c r="G5293" s="1" t="s">
        <v>10579</v>
      </c>
      <c r="H5293" s="2" t="s">
        <v>0</v>
      </c>
      <c r="I5293" s="2">
        <v>2357.22</v>
      </c>
    </row>
    <row r="5294">
      <c r="A5294" s="1" t="s">
        <v>10580</v>
      </c>
      <c r="B5294" s="2">
        <v>2717.07</v>
      </c>
      <c r="C5294" s="2">
        <v>2717.07</v>
      </c>
      <c r="D5294" s="2">
        <v>7532.01</v>
      </c>
      <c r="E5294" s="2">
        <v>7532.01</v>
      </c>
      <c r="G5294" s="1" t="s">
        <v>10581</v>
      </c>
      <c r="H5294" s="2">
        <v>2357.88</v>
      </c>
      <c r="I5294" s="2">
        <v>2357.88</v>
      </c>
    </row>
    <row r="5295">
      <c r="A5295" s="1" t="s">
        <v>10582</v>
      </c>
      <c r="B5295" s="2">
        <v>2723.06</v>
      </c>
      <c r="C5295" s="2">
        <v>2723.06</v>
      </c>
      <c r="D5295" s="2">
        <v>7561.63</v>
      </c>
      <c r="E5295" s="2">
        <v>7561.63</v>
      </c>
      <c r="G5295" s="1" t="s">
        <v>10583</v>
      </c>
      <c r="H5295" s="2">
        <v>2350.92</v>
      </c>
      <c r="I5295" s="2">
        <v>2350.92</v>
      </c>
    </row>
    <row r="5296">
      <c r="A5296" s="1" t="s">
        <v>10584</v>
      </c>
      <c r="B5296" s="2">
        <v>2699.63</v>
      </c>
      <c r="C5296" s="2">
        <v>2699.63</v>
      </c>
      <c r="D5296" s="2">
        <v>7445.09</v>
      </c>
      <c r="E5296" s="2">
        <v>7445.09</v>
      </c>
      <c r="G5296" s="1" t="s">
        <v>10585</v>
      </c>
      <c r="H5296" s="2">
        <v>2342.03</v>
      </c>
      <c r="I5296" s="2">
        <v>2342.03</v>
      </c>
    </row>
    <row r="5297">
      <c r="A5297" s="1" t="s">
        <v>10586</v>
      </c>
      <c r="B5297" s="2">
        <v>2716.31</v>
      </c>
      <c r="C5297" s="2">
        <v>2716.31</v>
      </c>
      <c r="D5297" s="2">
        <v>7503.68</v>
      </c>
      <c r="E5297" s="2">
        <v>7503.68</v>
      </c>
      <c r="G5297" s="1" t="s">
        <v>10587</v>
      </c>
      <c r="H5297" s="2">
        <v>2314.24</v>
      </c>
      <c r="I5297" s="2">
        <v>2314.24</v>
      </c>
    </row>
    <row r="5298">
      <c r="A5298" s="1" t="s">
        <v>10588</v>
      </c>
      <c r="B5298" s="2">
        <v>2718.37</v>
      </c>
      <c r="C5298" s="2">
        <v>2718.37</v>
      </c>
      <c r="D5298" s="2">
        <v>7510.3</v>
      </c>
      <c r="E5298" s="2">
        <v>7510.3</v>
      </c>
      <c r="G5298" s="1" t="s">
        <v>10589</v>
      </c>
      <c r="H5298" s="2">
        <v>2326.13</v>
      </c>
      <c r="I5298" s="2">
        <v>2326.13</v>
      </c>
    </row>
    <row r="5299">
      <c r="A5299" s="1" t="s">
        <v>10590</v>
      </c>
      <c r="B5299" s="2" t="s">
        <v>0</v>
      </c>
      <c r="C5299" s="2">
        <v>2718.37</v>
      </c>
      <c r="D5299" s="2" t="s">
        <v>0</v>
      </c>
      <c r="E5299" s="2">
        <v>7510.3</v>
      </c>
      <c r="G5299" s="1" t="s">
        <v>10591</v>
      </c>
      <c r="H5299" s="2" t="s">
        <v>0</v>
      </c>
      <c r="I5299" s="2">
        <v>2326.13</v>
      </c>
    </row>
    <row r="5300">
      <c r="A5300" s="1" t="s">
        <v>10592</v>
      </c>
      <c r="B5300" s="2" t="s">
        <v>0</v>
      </c>
      <c r="C5300" s="2">
        <v>2718.37</v>
      </c>
      <c r="D5300" s="2" t="s">
        <v>0</v>
      </c>
      <c r="E5300" s="2">
        <v>7510.3</v>
      </c>
      <c r="G5300" s="1" t="s">
        <v>10593</v>
      </c>
      <c r="H5300" s="2" t="s">
        <v>0</v>
      </c>
      <c r="I5300" s="2">
        <v>2326.13</v>
      </c>
    </row>
    <row r="5301">
      <c r="A5301" s="1" t="s">
        <v>10594</v>
      </c>
      <c r="B5301" s="2">
        <v>2726.71</v>
      </c>
      <c r="C5301" s="2">
        <v>2726.71</v>
      </c>
      <c r="D5301" s="2">
        <v>7567.69</v>
      </c>
      <c r="E5301" s="2">
        <v>7567.69</v>
      </c>
      <c r="G5301" s="1" t="s">
        <v>10595</v>
      </c>
      <c r="H5301" s="2">
        <v>2271.54</v>
      </c>
      <c r="I5301" s="2">
        <v>2271.54</v>
      </c>
    </row>
    <row r="5302">
      <c r="A5302" s="1" t="s">
        <v>10596</v>
      </c>
      <c r="B5302" s="2" t="s">
        <v>0</v>
      </c>
      <c r="C5302" s="2">
        <v>2726.71</v>
      </c>
      <c r="D5302" s="2" t="s">
        <v>0</v>
      </c>
      <c r="E5302" s="2">
        <v>7567.69</v>
      </c>
      <c r="G5302" s="1" t="s">
        <v>10597</v>
      </c>
      <c r="H5302" s="2">
        <v>2272.76</v>
      </c>
      <c r="I5302" s="2">
        <v>2272.76</v>
      </c>
    </row>
    <row r="5303">
      <c r="A5303" s="1" t="s">
        <v>10598</v>
      </c>
      <c r="B5303" s="2" t="s">
        <v>0</v>
      </c>
      <c r="C5303" s="2">
        <v>2726.71</v>
      </c>
      <c r="D5303" s="2" t="s">
        <v>0</v>
      </c>
      <c r="E5303" s="2">
        <v>7567.69</v>
      </c>
      <c r="G5303" s="1" t="s">
        <v>10599</v>
      </c>
      <c r="H5303" s="2">
        <v>2265.46</v>
      </c>
      <c r="I5303" s="2">
        <v>2265.46</v>
      </c>
    </row>
    <row r="5304">
      <c r="A5304" s="1" t="s">
        <v>10600</v>
      </c>
      <c r="B5304" s="2">
        <v>2736.61</v>
      </c>
      <c r="C5304" s="2">
        <v>2736.61</v>
      </c>
      <c r="D5304" s="2">
        <v>7586.43</v>
      </c>
      <c r="E5304" s="2">
        <v>7586.43</v>
      </c>
      <c r="G5304" s="1" t="s">
        <v>10601</v>
      </c>
      <c r="H5304" s="2">
        <v>2257.55</v>
      </c>
      <c r="I5304" s="2">
        <v>2257.55</v>
      </c>
    </row>
    <row r="5305">
      <c r="A5305" s="1" t="s">
        <v>10602</v>
      </c>
      <c r="B5305" s="2">
        <v>2759.82</v>
      </c>
      <c r="C5305" s="2">
        <v>2759.82</v>
      </c>
      <c r="D5305" s="2">
        <v>7688.39</v>
      </c>
      <c r="E5305" s="2">
        <v>7688.39</v>
      </c>
      <c r="G5305" s="1" t="s">
        <v>10603</v>
      </c>
      <c r="H5305" s="2">
        <v>2272.87</v>
      </c>
      <c r="I5305" s="2">
        <v>2272.87</v>
      </c>
    </row>
    <row r="5306">
      <c r="A5306" s="1" t="s">
        <v>10604</v>
      </c>
      <c r="B5306" s="2" t="s">
        <v>0</v>
      </c>
      <c r="C5306" s="2">
        <v>2759.82</v>
      </c>
      <c r="D5306" s="2" t="s">
        <v>0</v>
      </c>
      <c r="E5306" s="2">
        <v>7688.39</v>
      </c>
      <c r="G5306" s="1" t="s">
        <v>10605</v>
      </c>
      <c r="H5306" s="2" t="s">
        <v>0</v>
      </c>
      <c r="I5306" s="2">
        <v>2272.87</v>
      </c>
    </row>
    <row r="5307">
      <c r="A5307" s="1" t="s">
        <v>10606</v>
      </c>
      <c r="B5307" s="2" t="s">
        <v>0</v>
      </c>
      <c r="C5307" s="2">
        <v>2759.82</v>
      </c>
      <c r="D5307" s="2" t="s">
        <v>0</v>
      </c>
      <c r="E5307" s="2">
        <v>7688.39</v>
      </c>
      <c r="G5307" s="1" t="s">
        <v>10607</v>
      </c>
      <c r="H5307" s="2" t="s">
        <v>0</v>
      </c>
      <c r="I5307" s="2">
        <v>2272.87</v>
      </c>
    </row>
    <row r="5308">
      <c r="A5308" s="1" t="s">
        <v>10608</v>
      </c>
      <c r="B5308" s="2">
        <v>2784.17</v>
      </c>
      <c r="C5308" s="2">
        <v>2784.17</v>
      </c>
      <c r="D5308" s="2">
        <v>7756.2</v>
      </c>
      <c r="E5308" s="2">
        <v>7756.2</v>
      </c>
      <c r="G5308" s="1" t="s">
        <v>10609</v>
      </c>
      <c r="H5308" s="2">
        <v>2285.8</v>
      </c>
      <c r="I5308" s="2">
        <v>2285.8</v>
      </c>
    </row>
    <row r="5309">
      <c r="A5309" s="1" t="s">
        <v>10610</v>
      </c>
      <c r="B5309" s="2">
        <v>2793.84</v>
      </c>
      <c r="C5309" s="2">
        <v>2793.84</v>
      </c>
      <c r="D5309" s="2">
        <v>7759.2</v>
      </c>
      <c r="E5309" s="2">
        <v>7759.2</v>
      </c>
      <c r="G5309" s="1" t="s">
        <v>10611</v>
      </c>
      <c r="H5309" s="2">
        <v>2294.16</v>
      </c>
      <c r="I5309" s="2">
        <v>2294.16</v>
      </c>
    </row>
    <row r="5310">
      <c r="A5310" s="1" t="s">
        <v>10612</v>
      </c>
      <c r="B5310" s="2">
        <v>2774.02</v>
      </c>
      <c r="C5310" s="2">
        <v>2774.02</v>
      </c>
      <c r="D5310" s="2">
        <v>7716.61</v>
      </c>
      <c r="E5310" s="2">
        <v>7716.61</v>
      </c>
      <c r="G5310" s="1" t="s">
        <v>10613</v>
      </c>
      <c r="H5310" s="2">
        <v>2280.62</v>
      </c>
      <c r="I5310" s="2">
        <v>2280.62</v>
      </c>
    </row>
    <row r="5311">
      <c r="A5311" s="1" t="s">
        <v>10614</v>
      </c>
      <c r="B5311" s="2">
        <v>2798.29</v>
      </c>
      <c r="C5311" s="2">
        <v>2798.29</v>
      </c>
      <c r="D5311" s="2">
        <v>7823.92</v>
      </c>
      <c r="E5311" s="2">
        <v>7823.92</v>
      </c>
      <c r="G5311" s="1" t="s">
        <v>10615</v>
      </c>
      <c r="H5311" s="2">
        <v>2285.06</v>
      </c>
      <c r="I5311" s="2">
        <v>2285.06</v>
      </c>
    </row>
    <row r="5312">
      <c r="A5312" s="1" t="s">
        <v>10616</v>
      </c>
      <c r="B5312" s="2">
        <v>2801.31</v>
      </c>
      <c r="C5312" s="2">
        <v>2801.31</v>
      </c>
      <c r="D5312" s="2">
        <v>7825.98</v>
      </c>
      <c r="E5312" s="2">
        <v>7825.98</v>
      </c>
      <c r="G5312" s="1" t="s">
        <v>10617</v>
      </c>
      <c r="H5312" s="2">
        <v>2310.9</v>
      </c>
      <c r="I5312" s="2">
        <v>2310.9</v>
      </c>
    </row>
    <row r="5313">
      <c r="A5313" s="1" t="s">
        <v>10618</v>
      </c>
      <c r="B5313" s="2" t="s">
        <v>0</v>
      </c>
      <c r="C5313" s="2">
        <v>2801.31</v>
      </c>
      <c r="D5313" s="2" t="s">
        <v>0</v>
      </c>
      <c r="E5313" s="2">
        <v>7825.98</v>
      </c>
      <c r="G5313" s="1" t="s">
        <v>10619</v>
      </c>
      <c r="H5313" s="2" t="s">
        <v>0</v>
      </c>
      <c r="I5313" s="2">
        <v>2310.9</v>
      </c>
    </row>
    <row r="5314">
      <c r="A5314" s="1" t="s">
        <v>10620</v>
      </c>
      <c r="B5314" s="2" t="s">
        <v>0</v>
      </c>
      <c r="C5314" s="2">
        <v>2801.31</v>
      </c>
      <c r="D5314" s="2" t="s">
        <v>0</v>
      </c>
      <c r="E5314" s="2">
        <v>7825.98</v>
      </c>
      <c r="G5314" s="1" t="s">
        <v>10621</v>
      </c>
      <c r="H5314" s="2" t="s">
        <v>0</v>
      </c>
      <c r="I5314" s="2">
        <v>2310.9</v>
      </c>
    </row>
    <row r="5315">
      <c r="A5315" s="1" t="s">
        <v>10622</v>
      </c>
      <c r="B5315" s="2">
        <v>2798.43</v>
      </c>
      <c r="C5315" s="2">
        <v>2798.43</v>
      </c>
      <c r="D5315" s="2">
        <v>7805.72</v>
      </c>
      <c r="E5315" s="2">
        <v>7805.72</v>
      </c>
      <c r="G5315" s="1" t="s">
        <v>10623</v>
      </c>
      <c r="H5315" s="2">
        <v>2301.99</v>
      </c>
      <c r="I5315" s="2">
        <v>2301.99</v>
      </c>
    </row>
    <row r="5316">
      <c r="A5316" s="1" t="s">
        <v>10624</v>
      </c>
      <c r="B5316" s="2">
        <v>2809.55</v>
      </c>
      <c r="C5316" s="2">
        <v>2809.55</v>
      </c>
      <c r="D5316" s="2">
        <v>7855.12</v>
      </c>
      <c r="E5316" s="2">
        <v>7855.12</v>
      </c>
      <c r="G5316" s="1" t="s">
        <v>10625</v>
      </c>
      <c r="H5316" s="2">
        <v>2297.92</v>
      </c>
      <c r="I5316" s="2">
        <v>2297.92</v>
      </c>
    </row>
    <row r="5317">
      <c r="A5317" s="1" t="s">
        <v>10626</v>
      </c>
      <c r="B5317" s="2">
        <v>2815.62</v>
      </c>
      <c r="C5317" s="2">
        <v>2815.62</v>
      </c>
      <c r="D5317" s="2">
        <v>7854.44</v>
      </c>
      <c r="E5317" s="2">
        <v>7854.44</v>
      </c>
      <c r="G5317" s="1" t="s">
        <v>10627</v>
      </c>
      <c r="H5317" s="2">
        <v>2290.11</v>
      </c>
      <c r="I5317" s="2">
        <v>2290.11</v>
      </c>
    </row>
    <row r="5318">
      <c r="A5318" s="1" t="s">
        <v>10628</v>
      </c>
      <c r="B5318" s="2">
        <v>2804.49</v>
      </c>
      <c r="C5318" s="2">
        <v>2804.49</v>
      </c>
      <c r="D5318" s="2">
        <v>7825.3</v>
      </c>
      <c r="E5318" s="2">
        <v>7825.3</v>
      </c>
      <c r="G5318" s="1" t="s">
        <v>10629</v>
      </c>
      <c r="H5318" s="2">
        <v>2282.29</v>
      </c>
      <c r="I5318" s="2">
        <v>2282.29</v>
      </c>
    </row>
    <row r="5319">
      <c r="A5319" s="1" t="s">
        <v>10630</v>
      </c>
      <c r="B5319" s="2">
        <v>2801.83</v>
      </c>
      <c r="C5319" s="2">
        <v>2801.83</v>
      </c>
      <c r="D5319" s="2">
        <v>7820.2</v>
      </c>
      <c r="E5319" s="2">
        <v>7820.2</v>
      </c>
      <c r="G5319" s="1" t="s">
        <v>10631</v>
      </c>
      <c r="H5319" s="2">
        <v>2289.19</v>
      </c>
      <c r="I5319" s="2">
        <v>2289.19</v>
      </c>
    </row>
    <row r="5320">
      <c r="A5320" s="1" t="s">
        <v>10632</v>
      </c>
      <c r="B5320" s="2" t="s">
        <v>0</v>
      </c>
      <c r="C5320" s="2">
        <v>2801.83</v>
      </c>
      <c r="D5320" s="2" t="s">
        <v>0</v>
      </c>
      <c r="E5320" s="2">
        <v>7820.2</v>
      </c>
      <c r="G5320" s="1" t="s">
        <v>10633</v>
      </c>
      <c r="H5320" s="2" t="s">
        <v>0</v>
      </c>
      <c r="I5320" s="2">
        <v>2289.19</v>
      </c>
    </row>
    <row r="5321">
      <c r="A5321" s="1" t="s">
        <v>10634</v>
      </c>
      <c r="B5321" s="2" t="s">
        <v>0</v>
      </c>
      <c r="C5321" s="2">
        <v>2801.83</v>
      </c>
      <c r="D5321" s="2" t="s">
        <v>0</v>
      </c>
      <c r="E5321" s="2">
        <v>7820.2</v>
      </c>
      <c r="G5321" s="1" t="s">
        <v>10635</v>
      </c>
      <c r="H5321" s="2" t="s">
        <v>0</v>
      </c>
      <c r="I5321" s="2">
        <v>2289.19</v>
      </c>
    </row>
    <row r="5322">
      <c r="A5322" s="1" t="s">
        <v>10636</v>
      </c>
      <c r="B5322" s="2">
        <v>2806.98</v>
      </c>
      <c r="C5322" s="2">
        <v>2806.98</v>
      </c>
      <c r="D5322" s="2">
        <v>7841.87</v>
      </c>
      <c r="E5322" s="2">
        <v>7841.87</v>
      </c>
      <c r="G5322" s="1" t="s">
        <v>10637</v>
      </c>
      <c r="H5322" s="2">
        <v>2269.31</v>
      </c>
      <c r="I5322" s="2">
        <v>2269.31</v>
      </c>
    </row>
    <row r="5323">
      <c r="A5323" s="1" t="s">
        <v>10638</v>
      </c>
      <c r="B5323" s="2">
        <v>2820.4</v>
      </c>
      <c r="C5323" s="2">
        <v>2820.4</v>
      </c>
      <c r="D5323" s="2">
        <v>7840.77</v>
      </c>
      <c r="E5323" s="2">
        <v>7840.77</v>
      </c>
      <c r="G5323" s="1" t="s">
        <v>10639</v>
      </c>
      <c r="H5323" s="2">
        <v>2280.2</v>
      </c>
      <c r="I5323" s="2">
        <v>2280.2</v>
      </c>
    </row>
    <row r="5324">
      <c r="A5324" s="1" t="s">
        <v>10640</v>
      </c>
      <c r="B5324" s="2">
        <v>2846.07</v>
      </c>
      <c r="C5324" s="2">
        <v>2846.07</v>
      </c>
      <c r="D5324" s="2">
        <v>7932.24</v>
      </c>
      <c r="E5324" s="2">
        <v>7932.24</v>
      </c>
      <c r="G5324" s="1" t="s">
        <v>10641</v>
      </c>
      <c r="H5324" s="2">
        <v>2273.03</v>
      </c>
      <c r="I5324" s="2">
        <v>2273.03</v>
      </c>
    </row>
    <row r="5325">
      <c r="A5325" s="1" t="s">
        <v>10642</v>
      </c>
      <c r="B5325" s="2">
        <v>2837.44</v>
      </c>
      <c r="C5325" s="2">
        <v>2837.44</v>
      </c>
      <c r="D5325" s="2">
        <v>7852.19</v>
      </c>
      <c r="E5325" s="2">
        <v>7852.19</v>
      </c>
      <c r="G5325" s="1" t="s">
        <v>10643</v>
      </c>
      <c r="H5325" s="2">
        <v>2289.06</v>
      </c>
      <c r="I5325" s="2">
        <v>2289.06</v>
      </c>
    </row>
    <row r="5326">
      <c r="A5326" s="1" t="s">
        <v>10644</v>
      </c>
      <c r="B5326" s="2">
        <v>2818.82</v>
      </c>
      <c r="C5326" s="2">
        <v>2818.82</v>
      </c>
      <c r="D5326" s="2">
        <v>7737.42</v>
      </c>
      <c r="E5326" s="2">
        <v>7737.42</v>
      </c>
      <c r="G5326" s="1" t="s">
        <v>10645</v>
      </c>
      <c r="H5326" s="2">
        <v>2294.99</v>
      </c>
      <c r="I5326" s="2">
        <v>2294.99</v>
      </c>
    </row>
    <row r="5327">
      <c r="A5327" s="1" t="s">
        <v>10646</v>
      </c>
      <c r="B5327" s="2" t="s">
        <v>0</v>
      </c>
      <c r="C5327" s="2">
        <v>2818.82</v>
      </c>
      <c r="D5327" s="2" t="s">
        <v>0</v>
      </c>
      <c r="E5327" s="2">
        <v>7737.42</v>
      </c>
      <c r="G5327" s="1" t="s">
        <v>10647</v>
      </c>
      <c r="H5327" s="2" t="s">
        <v>0</v>
      </c>
      <c r="I5327" s="2">
        <v>2294.99</v>
      </c>
    </row>
    <row r="5328">
      <c r="A5328" s="1" t="s">
        <v>10648</v>
      </c>
      <c r="B5328" s="2" t="s">
        <v>0</v>
      </c>
      <c r="C5328" s="2">
        <v>2818.82</v>
      </c>
      <c r="D5328" s="2" t="s">
        <v>0</v>
      </c>
      <c r="E5328" s="2">
        <v>7737.42</v>
      </c>
      <c r="G5328" s="1" t="s">
        <v>10649</v>
      </c>
      <c r="H5328" s="2" t="s">
        <v>0</v>
      </c>
      <c r="I5328" s="2">
        <v>2294.99</v>
      </c>
    </row>
    <row r="5329">
      <c r="A5329" s="1" t="s">
        <v>10650</v>
      </c>
      <c r="B5329" s="2">
        <v>2802.6</v>
      </c>
      <c r="C5329" s="2">
        <v>2802.6</v>
      </c>
      <c r="D5329" s="2">
        <v>7630.0</v>
      </c>
      <c r="E5329" s="2">
        <v>7630.0</v>
      </c>
      <c r="G5329" s="1" t="s">
        <v>10651</v>
      </c>
      <c r="H5329" s="2">
        <v>2293.51</v>
      </c>
      <c r="I5329" s="2">
        <v>2293.51</v>
      </c>
    </row>
    <row r="5330">
      <c r="A5330" s="1" t="s">
        <v>10652</v>
      </c>
      <c r="B5330" s="2">
        <v>2816.29</v>
      </c>
      <c r="C5330" s="2">
        <v>2816.29</v>
      </c>
      <c r="D5330" s="2">
        <v>7671.79</v>
      </c>
      <c r="E5330" s="2">
        <v>7671.79</v>
      </c>
      <c r="G5330" s="1" t="s">
        <v>10653</v>
      </c>
      <c r="H5330" s="2">
        <v>2295.26</v>
      </c>
      <c r="I5330" s="2">
        <v>2295.26</v>
      </c>
    </row>
    <row r="5331">
      <c r="A5331" s="1" t="s">
        <v>10654</v>
      </c>
      <c r="B5331" s="2">
        <v>2813.36</v>
      </c>
      <c r="C5331" s="2">
        <v>2813.36</v>
      </c>
      <c r="D5331" s="2">
        <v>7707.29</v>
      </c>
      <c r="E5331" s="2">
        <v>7707.29</v>
      </c>
      <c r="G5331" s="1" t="s">
        <v>10655</v>
      </c>
      <c r="H5331" s="2">
        <v>2307.07</v>
      </c>
      <c r="I5331" s="2">
        <v>2307.07</v>
      </c>
    </row>
    <row r="5332">
      <c r="A5332" s="1" t="s">
        <v>10656</v>
      </c>
      <c r="B5332" s="2">
        <v>2827.22</v>
      </c>
      <c r="C5332" s="2">
        <v>2827.22</v>
      </c>
      <c r="D5332" s="2">
        <v>7802.69</v>
      </c>
      <c r="E5332" s="2">
        <v>7802.69</v>
      </c>
      <c r="G5332" s="1" t="s">
        <v>10657</v>
      </c>
      <c r="H5332" s="2">
        <v>2270.2</v>
      </c>
      <c r="I5332" s="2">
        <v>2270.2</v>
      </c>
    </row>
    <row r="5333">
      <c r="A5333" s="1" t="s">
        <v>10658</v>
      </c>
      <c r="B5333" s="2">
        <v>2840.35</v>
      </c>
      <c r="C5333" s="2">
        <v>2840.35</v>
      </c>
      <c r="D5333" s="2">
        <v>7812.02</v>
      </c>
      <c r="E5333" s="2">
        <v>7812.02</v>
      </c>
      <c r="G5333" s="1" t="s">
        <v>10659</v>
      </c>
      <c r="H5333" s="2">
        <v>2287.68</v>
      </c>
      <c r="I5333" s="2">
        <v>2287.68</v>
      </c>
    </row>
    <row r="5334">
      <c r="A5334" s="1" t="s">
        <v>10660</v>
      </c>
      <c r="B5334" s="2" t="s">
        <v>0</v>
      </c>
      <c r="C5334" s="2">
        <v>2840.35</v>
      </c>
      <c r="D5334" s="2" t="s">
        <v>0</v>
      </c>
      <c r="E5334" s="2">
        <v>7812.02</v>
      </c>
      <c r="G5334" s="1" t="s">
        <v>10661</v>
      </c>
      <c r="H5334" s="2" t="s">
        <v>0</v>
      </c>
      <c r="I5334" s="2">
        <v>2287.68</v>
      </c>
    </row>
    <row r="5335">
      <c r="A5335" s="1" t="s">
        <v>10662</v>
      </c>
      <c r="B5335" s="2" t="s">
        <v>0</v>
      </c>
      <c r="C5335" s="2">
        <v>2840.35</v>
      </c>
      <c r="D5335" s="2" t="s">
        <v>0</v>
      </c>
      <c r="E5335" s="2">
        <v>7812.02</v>
      </c>
      <c r="G5335" s="1" t="s">
        <v>10663</v>
      </c>
      <c r="H5335" s="2" t="s">
        <v>0</v>
      </c>
      <c r="I5335" s="2">
        <v>2287.68</v>
      </c>
    </row>
    <row r="5336">
      <c r="A5336" s="1" t="s">
        <v>10664</v>
      </c>
      <c r="B5336" s="2">
        <v>2850.4</v>
      </c>
      <c r="C5336" s="2">
        <v>2850.4</v>
      </c>
      <c r="D5336" s="2">
        <v>7859.68</v>
      </c>
      <c r="E5336" s="2">
        <v>7859.68</v>
      </c>
      <c r="G5336" s="1" t="s">
        <v>10665</v>
      </c>
      <c r="H5336" s="2">
        <v>2286.5</v>
      </c>
      <c r="I5336" s="2">
        <v>2286.5</v>
      </c>
    </row>
    <row r="5337">
      <c r="A5337" s="1" t="s">
        <v>10666</v>
      </c>
      <c r="B5337" s="2">
        <v>2858.45</v>
      </c>
      <c r="C5337" s="2">
        <v>2858.45</v>
      </c>
      <c r="D5337" s="2">
        <v>7883.66</v>
      </c>
      <c r="E5337" s="2">
        <v>7883.66</v>
      </c>
      <c r="G5337" s="1" t="s">
        <v>10667</v>
      </c>
      <c r="H5337" s="2" t="s">
        <v>0</v>
      </c>
      <c r="I5337" s="2">
        <v>2286.5</v>
      </c>
    </row>
    <row r="5338">
      <c r="A5338" s="1" t="s">
        <v>10668</v>
      </c>
      <c r="B5338" s="2">
        <v>2857.7</v>
      </c>
      <c r="C5338" s="2">
        <v>2857.7</v>
      </c>
      <c r="D5338" s="2">
        <v>7888.33</v>
      </c>
      <c r="E5338" s="2">
        <v>7888.33</v>
      </c>
      <c r="G5338" s="1" t="s">
        <v>10669</v>
      </c>
      <c r="H5338" s="2">
        <v>2301.45</v>
      </c>
      <c r="I5338" s="2">
        <v>2301.45</v>
      </c>
    </row>
    <row r="5339">
      <c r="A5339" s="1" t="s">
        <v>10670</v>
      </c>
      <c r="B5339" s="2">
        <v>2853.58</v>
      </c>
      <c r="C5339" s="2">
        <v>2853.58</v>
      </c>
      <c r="D5339" s="2">
        <v>7891.78</v>
      </c>
      <c r="E5339" s="2">
        <v>7891.78</v>
      </c>
      <c r="G5339" s="1" t="s">
        <v>10671</v>
      </c>
      <c r="H5339" s="2">
        <v>2303.71</v>
      </c>
      <c r="I5339" s="2">
        <v>2303.71</v>
      </c>
    </row>
    <row r="5340">
      <c r="A5340" s="1" t="s">
        <v>10672</v>
      </c>
      <c r="B5340" s="2">
        <v>2833.28</v>
      </c>
      <c r="C5340" s="2">
        <v>2833.28</v>
      </c>
      <c r="D5340" s="2">
        <v>7839.11</v>
      </c>
      <c r="E5340" s="2">
        <v>7839.11</v>
      </c>
      <c r="G5340" s="1" t="s">
        <v>10673</v>
      </c>
      <c r="H5340" s="2">
        <v>2282.79</v>
      </c>
      <c r="I5340" s="2">
        <v>2282.79</v>
      </c>
    </row>
    <row r="5341">
      <c r="A5341" s="1" t="s">
        <v>10674</v>
      </c>
      <c r="B5341" s="2" t="s">
        <v>0</v>
      </c>
      <c r="C5341" s="2">
        <v>2833.28</v>
      </c>
      <c r="D5341" s="2" t="s">
        <v>0</v>
      </c>
      <c r="E5341" s="2">
        <v>7839.11</v>
      </c>
      <c r="G5341" s="1" t="s">
        <v>10675</v>
      </c>
      <c r="H5341" s="2" t="s">
        <v>0</v>
      </c>
      <c r="I5341" s="2">
        <v>2282.79</v>
      </c>
    </row>
    <row r="5342">
      <c r="A5342" s="1" t="s">
        <v>10676</v>
      </c>
      <c r="B5342" s="2" t="s">
        <v>0</v>
      </c>
      <c r="C5342" s="2">
        <v>2833.28</v>
      </c>
      <c r="D5342" s="2" t="s">
        <v>0</v>
      </c>
      <c r="E5342" s="2">
        <v>7839.11</v>
      </c>
      <c r="G5342" s="1" t="s">
        <v>10677</v>
      </c>
      <c r="H5342" s="2" t="s">
        <v>0</v>
      </c>
      <c r="I5342" s="2">
        <v>2282.79</v>
      </c>
    </row>
    <row r="5343">
      <c r="A5343" s="1" t="s">
        <v>10678</v>
      </c>
      <c r="B5343" s="2">
        <v>2821.93</v>
      </c>
      <c r="C5343" s="2">
        <v>2821.93</v>
      </c>
      <c r="D5343" s="2">
        <v>7819.71</v>
      </c>
      <c r="E5343" s="2">
        <v>7819.71</v>
      </c>
      <c r="G5343" s="1" t="s">
        <v>10679</v>
      </c>
      <c r="H5343" s="2">
        <v>2248.45</v>
      </c>
      <c r="I5343" s="2">
        <v>2248.45</v>
      </c>
    </row>
    <row r="5344">
      <c r="A5344" s="1" t="s">
        <v>10680</v>
      </c>
      <c r="B5344" s="2">
        <v>2839.96</v>
      </c>
      <c r="C5344" s="2">
        <v>2839.96</v>
      </c>
      <c r="D5344" s="2">
        <v>7870.89</v>
      </c>
      <c r="E5344" s="2">
        <v>7870.89</v>
      </c>
      <c r="G5344" s="1" t="s">
        <v>10681</v>
      </c>
      <c r="H5344" s="2">
        <v>2258.91</v>
      </c>
      <c r="I5344" s="2">
        <v>2258.91</v>
      </c>
    </row>
    <row r="5345">
      <c r="A5345" s="1" t="s">
        <v>10682</v>
      </c>
      <c r="B5345" s="2">
        <v>2818.37</v>
      </c>
      <c r="C5345" s="2">
        <v>2818.37</v>
      </c>
      <c r="D5345" s="2">
        <v>7774.12</v>
      </c>
      <c r="E5345" s="2">
        <v>7774.12</v>
      </c>
      <c r="G5345" s="1" t="s">
        <v>10683</v>
      </c>
      <c r="H5345" s="2" t="s">
        <v>0</v>
      </c>
      <c r="I5345" s="2">
        <v>2258.91</v>
      </c>
    </row>
    <row r="5346">
      <c r="A5346" s="1" t="s">
        <v>10684</v>
      </c>
      <c r="B5346" s="2">
        <v>2840.69</v>
      </c>
      <c r="C5346" s="2">
        <v>2840.69</v>
      </c>
      <c r="D5346" s="2">
        <v>7806.52</v>
      </c>
      <c r="E5346" s="2">
        <v>7806.52</v>
      </c>
      <c r="G5346" s="1" t="s">
        <v>10685</v>
      </c>
      <c r="H5346" s="2">
        <v>2240.8</v>
      </c>
      <c r="I5346" s="2">
        <v>2240.8</v>
      </c>
    </row>
    <row r="5347">
      <c r="A5347" s="1" t="s">
        <v>10686</v>
      </c>
      <c r="B5347" s="2">
        <v>2850.13</v>
      </c>
      <c r="C5347" s="2">
        <v>2850.13</v>
      </c>
      <c r="D5347" s="2">
        <v>7816.33</v>
      </c>
      <c r="E5347" s="2">
        <v>7816.33</v>
      </c>
      <c r="G5347" s="1" t="s">
        <v>10687</v>
      </c>
      <c r="H5347" s="2">
        <v>2247.05</v>
      </c>
      <c r="I5347" s="2">
        <v>2247.05</v>
      </c>
    </row>
    <row r="5348">
      <c r="A5348" s="1" t="s">
        <v>10688</v>
      </c>
      <c r="B5348" s="2" t="s">
        <v>0</v>
      </c>
      <c r="C5348" s="2">
        <v>2850.13</v>
      </c>
      <c r="D5348" s="2" t="s">
        <v>0</v>
      </c>
      <c r="E5348" s="2">
        <v>7816.33</v>
      </c>
      <c r="G5348" s="1" t="s">
        <v>10689</v>
      </c>
      <c r="H5348" s="2" t="s">
        <v>0</v>
      </c>
      <c r="I5348" s="2">
        <v>2247.05</v>
      </c>
    </row>
    <row r="5349">
      <c r="A5349" s="1" t="s">
        <v>10690</v>
      </c>
      <c r="B5349" s="2" t="s">
        <v>0</v>
      </c>
      <c r="C5349" s="2">
        <v>2850.13</v>
      </c>
      <c r="D5349" s="2" t="s">
        <v>0</v>
      </c>
      <c r="E5349" s="2">
        <v>7816.33</v>
      </c>
      <c r="G5349" s="1" t="s">
        <v>10691</v>
      </c>
      <c r="H5349" s="2" t="s">
        <v>0</v>
      </c>
      <c r="I5349" s="2">
        <v>2247.05</v>
      </c>
    </row>
    <row r="5350">
      <c r="A5350" s="1" t="s">
        <v>10692</v>
      </c>
      <c r="B5350" s="2">
        <v>2857.05</v>
      </c>
      <c r="C5350" s="2">
        <v>2857.05</v>
      </c>
      <c r="D5350" s="2">
        <v>7821.01</v>
      </c>
      <c r="E5350" s="2">
        <v>7821.01</v>
      </c>
      <c r="G5350" s="1" t="s">
        <v>10693</v>
      </c>
      <c r="H5350" s="2">
        <v>2247.88</v>
      </c>
      <c r="I5350" s="2">
        <v>2247.88</v>
      </c>
    </row>
    <row r="5351">
      <c r="A5351" s="1" t="s">
        <v>10694</v>
      </c>
      <c r="B5351" s="2">
        <v>2862.96</v>
      </c>
      <c r="C5351" s="2">
        <v>2862.96</v>
      </c>
      <c r="D5351" s="2">
        <v>7859.17</v>
      </c>
      <c r="E5351" s="2">
        <v>7859.17</v>
      </c>
      <c r="G5351" s="1" t="s">
        <v>10695</v>
      </c>
      <c r="H5351" s="2">
        <v>2270.06</v>
      </c>
      <c r="I5351" s="2">
        <v>2270.06</v>
      </c>
    </row>
    <row r="5352">
      <c r="A5352" s="1" t="s">
        <v>10696</v>
      </c>
      <c r="B5352" s="2">
        <v>2861.82</v>
      </c>
      <c r="C5352" s="2">
        <v>2861.82</v>
      </c>
      <c r="D5352" s="2">
        <v>7889.1</v>
      </c>
      <c r="E5352" s="2">
        <v>7889.1</v>
      </c>
      <c r="G5352" s="1" t="s">
        <v>10697</v>
      </c>
      <c r="H5352" s="2">
        <v>2273.33</v>
      </c>
      <c r="I5352" s="2">
        <v>2273.33</v>
      </c>
    </row>
    <row r="5353">
      <c r="A5353" s="1" t="s">
        <v>10698</v>
      </c>
      <c r="B5353" s="2">
        <v>2856.98</v>
      </c>
      <c r="C5353" s="2">
        <v>2856.98</v>
      </c>
      <c r="D5353" s="2">
        <v>7878.46</v>
      </c>
      <c r="E5353" s="2">
        <v>7878.46</v>
      </c>
      <c r="G5353" s="1" t="s">
        <v>10699</v>
      </c>
      <c r="H5353" s="2">
        <v>2282.6</v>
      </c>
      <c r="I5353" s="2">
        <v>2282.6</v>
      </c>
    </row>
    <row r="5354">
      <c r="A5354" s="1" t="s">
        <v>10700</v>
      </c>
      <c r="B5354" s="2">
        <v>2874.69</v>
      </c>
      <c r="C5354" s="2">
        <v>2874.69</v>
      </c>
      <c r="D5354" s="2">
        <v>7945.98</v>
      </c>
      <c r="E5354" s="2">
        <v>7945.98</v>
      </c>
      <c r="G5354" s="1" t="s">
        <v>10701</v>
      </c>
      <c r="H5354" s="2">
        <v>2293.21</v>
      </c>
      <c r="I5354" s="2">
        <v>2293.21</v>
      </c>
    </row>
    <row r="5355">
      <c r="A5355" s="1" t="s">
        <v>10702</v>
      </c>
      <c r="B5355" s="2" t="s">
        <v>0</v>
      </c>
      <c r="C5355" s="2">
        <v>2874.69</v>
      </c>
      <c r="D5355" s="2" t="s">
        <v>0</v>
      </c>
      <c r="E5355" s="2">
        <v>7945.98</v>
      </c>
      <c r="G5355" s="1" t="s">
        <v>10703</v>
      </c>
      <c r="H5355" s="2" t="s">
        <v>0</v>
      </c>
      <c r="I5355" s="2">
        <v>2293.21</v>
      </c>
    </row>
    <row r="5356">
      <c r="A5356" s="1" t="s">
        <v>10704</v>
      </c>
      <c r="B5356" s="2" t="s">
        <v>0</v>
      </c>
      <c r="C5356" s="2">
        <v>2874.69</v>
      </c>
      <c r="D5356" s="2" t="s">
        <v>0</v>
      </c>
      <c r="E5356" s="2">
        <v>7945.98</v>
      </c>
      <c r="G5356" s="1" t="s">
        <v>10705</v>
      </c>
      <c r="H5356" s="2" t="s">
        <v>0</v>
      </c>
      <c r="I5356" s="2">
        <v>2293.21</v>
      </c>
    </row>
    <row r="5357">
      <c r="A5357" s="1" t="s">
        <v>10706</v>
      </c>
      <c r="B5357" s="2">
        <v>2896.74</v>
      </c>
      <c r="C5357" s="2">
        <v>2896.74</v>
      </c>
      <c r="D5357" s="2">
        <v>8017.9</v>
      </c>
      <c r="E5357" s="2">
        <v>8017.9</v>
      </c>
      <c r="G5357" s="1" t="s">
        <v>10707</v>
      </c>
      <c r="H5357" s="2">
        <v>2299.3</v>
      </c>
      <c r="I5357" s="2">
        <v>2299.3</v>
      </c>
    </row>
    <row r="5358">
      <c r="A5358" s="1" t="s">
        <v>10708</v>
      </c>
      <c r="B5358" s="2">
        <v>2897.52</v>
      </c>
      <c r="C5358" s="2">
        <v>2897.52</v>
      </c>
      <c r="D5358" s="2">
        <v>8030.04</v>
      </c>
      <c r="E5358" s="2">
        <v>8030.04</v>
      </c>
      <c r="G5358" s="1" t="s">
        <v>10709</v>
      </c>
      <c r="H5358" s="2">
        <v>2303.12</v>
      </c>
      <c r="I5358" s="2">
        <v>2303.12</v>
      </c>
    </row>
    <row r="5359">
      <c r="A5359" s="1" t="s">
        <v>10710</v>
      </c>
      <c r="B5359" s="2">
        <v>2914.04</v>
      </c>
      <c r="C5359" s="2">
        <v>2914.04</v>
      </c>
      <c r="D5359" s="2">
        <v>8109.69</v>
      </c>
      <c r="E5359" s="2">
        <v>8109.69</v>
      </c>
      <c r="G5359" s="1" t="s">
        <v>10711</v>
      </c>
      <c r="H5359" s="2">
        <v>2309.03</v>
      </c>
      <c r="I5359" s="2">
        <v>2309.03</v>
      </c>
    </row>
    <row r="5360">
      <c r="A5360" s="1" t="s">
        <v>10712</v>
      </c>
      <c r="B5360" s="2">
        <v>2901.13</v>
      </c>
      <c r="C5360" s="2">
        <v>2901.13</v>
      </c>
      <c r="D5360" s="2">
        <v>8088.36</v>
      </c>
      <c r="E5360" s="2">
        <v>8088.36</v>
      </c>
      <c r="G5360" s="1" t="s">
        <v>10713</v>
      </c>
      <c r="H5360" s="2" t="s">
        <v>0</v>
      </c>
      <c r="I5360" s="2">
        <v>2309.03</v>
      </c>
    </row>
    <row r="5361">
      <c r="A5361" s="1" t="s">
        <v>10714</v>
      </c>
      <c r="B5361" s="2">
        <v>2901.52</v>
      </c>
      <c r="C5361" s="2">
        <v>2901.52</v>
      </c>
      <c r="D5361" s="2">
        <v>8109.54</v>
      </c>
      <c r="E5361" s="2">
        <v>8109.54</v>
      </c>
      <c r="G5361" s="1" t="s">
        <v>10715</v>
      </c>
      <c r="H5361" s="2">
        <v>2322.88</v>
      </c>
      <c r="I5361" s="2">
        <v>2322.88</v>
      </c>
    </row>
    <row r="5362">
      <c r="A5362" s="1" t="s">
        <v>10716</v>
      </c>
      <c r="B5362" s="2" t="s">
        <v>0</v>
      </c>
      <c r="C5362" s="2">
        <v>2901.52</v>
      </c>
      <c r="D5362" s="2" t="s">
        <v>0</v>
      </c>
      <c r="E5362" s="2">
        <v>8109.54</v>
      </c>
      <c r="G5362" s="1" t="s">
        <v>10717</v>
      </c>
      <c r="H5362" s="2" t="s">
        <v>0</v>
      </c>
      <c r="I5362" s="2">
        <v>2322.88</v>
      </c>
    </row>
    <row r="5363">
      <c r="A5363" s="1" t="s">
        <v>10718</v>
      </c>
      <c r="B5363" s="2" t="s">
        <v>0</v>
      </c>
      <c r="C5363" s="2">
        <v>2901.52</v>
      </c>
      <c r="D5363" s="2" t="s">
        <v>0</v>
      </c>
      <c r="E5363" s="2">
        <v>8109.54</v>
      </c>
      <c r="G5363" s="1" t="s">
        <v>10719</v>
      </c>
      <c r="H5363" s="2" t="s">
        <v>0</v>
      </c>
      <c r="I5363" s="2">
        <v>2322.88</v>
      </c>
    </row>
    <row r="5364">
      <c r="A5364" s="1" t="s">
        <v>10720</v>
      </c>
      <c r="B5364" s="2" t="s">
        <v>0</v>
      </c>
      <c r="C5364" s="2">
        <v>2901.52</v>
      </c>
      <c r="D5364" s="2" t="s">
        <v>0</v>
      </c>
      <c r="E5364" s="2">
        <v>8109.54</v>
      </c>
      <c r="G5364" s="1" t="s">
        <v>10721</v>
      </c>
      <c r="H5364" s="2">
        <v>2307.03</v>
      </c>
      <c r="I5364" s="2">
        <v>2307.03</v>
      </c>
    </row>
    <row r="5365">
      <c r="A5365" s="1" t="s">
        <v>10722</v>
      </c>
      <c r="B5365" s="2">
        <v>2896.72</v>
      </c>
      <c r="C5365" s="2">
        <v>2896.72</v>
      </c>
      <c r="D5365" s="2">
        <v>8091.25</v>
      </c>
      <c r="E5365" s="2">
        <v>8091.25</v>
      </c>
      <c r="G5365" s="1" t="s">
        <v>10723</v>
      </c>
      <c r="H5365" s="2">
        <v>2315.72</v>
      </c>
      <c r="I5365" s="2">
        <v>2315.72</v>
      </c>
    </row>
    <row r="5366">
      <c r="A5366" s="1" t="s">
        <v>10724</v>
      </c>
      <c r="B5366" s="2">
        <v>2888.6</v>
      </c>
      <c r="C5366" s="2">
        <v>2888.6</v>
      </c>
      <c r="D5366" s="2">
        <v>7995.17</v>
      </c>
      <c r="E5366" s="2">
        <v>7995.17</v>
      </c>
      <c r="G5366" s="1" t="s">
        <v>10725</v>
      </c>
      <c r="H5366" s="2">
        <v>2291.77</v>
      </c>
      <c r="I5366" s="2">
        <v>2291.77</v>
      </c>
    </row>
    <row r="5367">
      <c r="A5367" s="1" t="s">
        <v>10726</v>
      </c>
      <c r="B5367" s="2">
        <v>2878.05</v>
      </c>
      <c r="C5367" s="2">
        <v>2878.05</v>
      </c>
      <c r="D5367" s="2">
        <v>7922.73</v>
      </c>
      <c r="E5367" s="2">
        <v>7922.73</v>
      </c>
      <c r="G5367" s="1" t="s">
        <v>10727</v>
      </c>
      <c r="H5367" s="2">
        <v>2287.61</v>
      </c>
      <c r="I5367" s="2">
        <v>2287.61</v>
      </c>
    </row>
    <row r="5368">
      <c r="A5368" s="1" t="s">
        <v>10728</v>
      </c>
      <c r="B5368" s="2">
        <v>2871.68</v>
      </c>
      <c r="C5368" s="2">
        <v>2871.68</v>
      </c>
      <c r="D5368" s="2">
        <v>7902.54</v>
      </c>
      <c r="E5368" s="2">
        <v>7902.54</v>
      </c>
      <c r="G5368" s="1" t="s">
        <v>10729</v>
      </c>
      <c r="H5368" s="2">
        <v>2281.58</v>
      </c>
      <c r="I5368" s="2">
        <v>2281.58</v>
      </c>
    </row>
    <row r="5369">
      <c r="A5369" s="1" t="s">
        <v>10730</v>
      </c>
      <c r="B5369" s="2" t="s">
        <v>0</v>
      </c>
      <c r="C5369" s="2">
        <v>2871.68</v>
      </c>
      <c r="D5369" s="2" t="s">
        <v>0</v>
      </c>
      <c r="E5369" s="2">
        <v>7902.54</v>
      </c>
      <c r="G5369" s="1" t="s">
        <v>10731</v>
      </c>
      <c r="H5369" s="2" t="s">
        <v>0</v>
      </c>
      <c r="I5369" s="2">
        <v>2281.58</v>
      </c>
    </row>
    <row r="5370">
      <c r="A5370" s="1" t="s">
        <v>10732</v>
      </c>
      <c r="B5370" s="2" t="s">
        <v>0</v>
      </c>
      <c r="C5370" s="2">
        <v>2871.68</v>
      </c>
      <c r="D5370" s="2" t="s">
        <v>0</v>
      </c>
      <c r="E5370" s="2">
        <v>7902.54</v>
      </c>
      <c r="G5370" s="1" t="s">
        <v>10733</v>
      </c>
      <c r="H5370" s="2" t="s">
        <v>0</v>
      </c>
      <c r="I5370" s="2">
        <v>2281.58</v>
      </c>
    </row>
    <row r="5371">
      <c r="A5371" s="1" t="s">
        <v>10734</v>
      </c>
      <c r="B5371" s="2">
        <v>2877.13</v>
      </c>
      <c r="C5371" s="2">
        <v>2877.13</v>
      </c>
      <c r="D5371" s="2">
        <v>7924.16</v>
      </c>
      <c r="E5371" s="2">
        <v>7924.16</v>
      </c>
      <c r="G5371" s="1" t="s">
        <v>10735</v>
      </c>
      <c r="H5371" s="2">
        <v>2288.66</v>
      </c>
      <c r="I5371" s="2">
        <v>2288.66</v>
      </c>
    </row>
    <row r="5372">
      <c r="A5372" s="1" t="s">
        <v>10736</v>
      </c>
      <c r="B5372" s="2">
        <v>2887.89</v>
      </c>
      <c r="C5372" s="2">
        <v>2887.89</v>
      </c>
      <c r="D5372" s="2">
        <v>7972.47</v>
      </c>
      <c r="E5372" s="2">
        <v>7972.47</v>
      </c>
      <c r="G5372" s="1" t="s">
        <v>10737</v>
      </c>
      <c r="H5372" s="2">
        <v>2283.2</v>
      </c>
      <c r="I5372" s="2">
        <v>2283.2</v>
      </c>
    </row>
    <row r="5373">
      <c r="A5373" s="1" t="s">
        <v>10738</v>
      </c>
      <c r="B5373" s="2">
        <v>2888.92</v>
      </c>
      <c r="C5373" s="2">
        <v>2888.92</v>
      </c>
      <c r="D5373" s="2">
        <v>7954.23</v>
      </c>
      <c r="E5373" s="2">
        <v>7954.23</v>
      </c>
      <c r="G5373" s="1" t="s">
        <v>10739</v>
      </c>
      <c r="H5373" s="2">
        <v>2282.92</v>
      </c>
      <c r="I5373" s="2">
        <v>2282.92</v>
      </c>
    </row>
    <row r="5374">
      <c r="A5374" s="1" t="s">
        <v>10740</v>
      </c>
      <c r="B5374" s="2">
        <v>2904.18</v>
      </c>
      <c r="C5374" s="2">
        <v>2904.18</v>
      </c>
      <c r="D5374" s="2">
        <v>8013.71</v>
      </c>
      <c r="E5374" s="2">
        <v>8013.71</v>
      </c>
      <c r="G5374" s="1" t="s">
        <v>10741</v>
      </c>
      <c r="H5374" s="2">
        <v>2286.23</v>
      </c>
      <c r="I5374" s="2">
        <v>2286.23</v>
      </c>
    </row>
    <row r="5375">
      <c r="A5375" s="1" t="s">
        <v>10742</v>
      </c>
      <c r="B5375" s="2">
        <v>2904.98</v>
      </c>
      <c r="C5375" s="2">
        <v>2904.98</v>
      </c>
      <c r="D5375" s="2">
        <v>8010.04</v>
      </c>
      <c r="E5375" s="2">
        <v>8010.04</v>
      </c>
      <c r="G5375" s="1" t="s">
        <v>10743</v>
      </c>
      <c r="H5375" s="2">
        <v>2318.25</v>
      </c>
      <c r="I5375" s="2">
        <v>2318.25</v>
      </c>
    </row>
    <row r="5376">
      <c r="A5376" s="1" t="s">
        <v>10744</v>
      </c>
      <c r="B5376" s="2" t="s">
        <v>0</v>
      </c>
      <c r="C5376" s="2">
        <v>2904.98</v>
      </c>
      <c r="D5376" s="2" t="s">
        <v>0</v>
      </c>
      <c r="E5376" s="2">
        <v>8010.04</v>
      </c>
      <c r="G5376" s="1" t="s">
        <v>10745</v>
      </c>
      <c r="H5376" s="2" t="s">
        <v>0</v>
      </c>
      <c r="I5376" s="2">
        <v>2318.25</v>
      </c>
    </row>
    <row r="5377">
      <c r="A5377" s="1" t="s">
        <v>10746</v>
      </c>
      <c r="B5377" s="2" t="s">
        <v>0</v>
      </c>
      <c r="C5377" s="2">
        <v>2904.98</v>
      </c>
      <c r="D5377" s="2" t="s">
        <v>0</v>
      </c>
      <c r="E5377" s="2">
        <v>8010.04</v>
      </c>
      <c r="G5377" s="1" t="s">
        <v>10747</v>
      </c>
      <c r="H5377" s="2" t="s">
        <v>0</v>
      </c>
      <c r="I5377" s="2">
        <v>2318.25</v>
      </c>
    </row>
    <row r="5378">
      <c r="A5378" s="1" t="s">
        <v>10748</v>
      </c>
      <c r="B5378" s="2">
        <v>2888.8</v>
      </c>
      <c r="C5378" s="2">
        <v>2888.8</v>
      </c>
      <c r="D5378" s="2">
        <v>7895.79</v>
      </c>
      <c r="E5378" s="2">
        <v>7895.79</v>
      </c>
      <c r="G5378" s="1" t="s">
        <v>10749</v>
      </c>
      <c r="H5378" s="2">
        <v>2303.01</v>
      </c>
      <c r="I5378" s="2">
        <v>2303.01</v>
      </c>
    </row>
    <row r="5379">
      <c r="A5379" s="1" t="s">
        <v>10750</v>
      </c>
      <c r="B5379" s="2">
        <v>2904.31</v>
      </c>
      <c r="C5379" s="2">
        <v>2904.31</v>
      </c>
      <c r="D5379" s="2">
        <v>7956.11</v>
      </c>
      <c r="E5379" s="2">
        <v>7956.11</v>
      </c>
      <c r="G5379" s="1" t="s">
        <v>10751</v>
      </c>
      <c r="H5379" s="2">
        <v>2308.98</v>
      </c>
      <c r="I5379" s="2">
        <v>2308.98</v>
      </c>
    </row>
    <row r="5380">
      <c r="A5380" s="1" t="s">
        <v>10752</v>
      </c>
      <c r="B5380" s="2">
        <v>2907.95</v>
      </c>
      <c r="C5380" s="2">
        <v>2907.95</v>
      </c>
      <c r="D5380" s="2">
        <v>7950.04</v>
      </c>
      <c r="E5380" s="2">
        <v>7950.04</v>
      </c>
      <c r="G5380" s="1" t="s">
        <v>10753</v>
      </c>
      <c r="H5380" s="2">
        <v>2308.46</v>
      </c>
      <c r="I5380" s="2">
        <v>2308.46</v>
      </c>
    </row>
    <row r="5381">
      <c r="A5381" s="1" t="s">
        <v>10754</v>
      </c>
      <c r="B5381" s="2">
        <v>2930.75</v>
      </c>
      <c r="C5381" s="2">
        <v>2930.75</v>
      </c>
      <c r="D5381" s="2">
        <v>8028.23</v>
      </c>
      <c r="E5381" s="2">
        <v>8028.23</v>
      </c>
      <c r="G5381" s="1" t="s">
        <v>10755</v>
      </c>
      <c r="H5381" s="2">
        <v>2323.45</v>
      </c>
      <c r="I5381" s="2">
        <v>2323.45</v>
      </c>
    </row>
    <row r="5382">
      <c r="A5382" s="1" t="s">
        <v>10756</v>
      </c>
      <c r="B5382" s="2">
        <v>2929.67</v>
      </c>
      <c r="C5382" s="2">
        <v>2929.67</v>
      </c>
      <c r="D5382" s="2">
        <v>7986.96</v>
      </c>
      <c r="E5382" s="2">
        <v>7986.96</v>
      </c>
      <c r="G5382" s="1" t="s">
        <v>10757</v>
      </c>
      <c r="H5382" s="2">
        <v>2339.17</v>
      </c>
      <c r="I5382" s="2">
        <v>2339.17</v>
      </c>
    </row>
    <row r="5383">
      <c r="A5383" s="1" t="s">
        <v>10758</v>
      </c>
      <c r="B5383" s="2" t="s">
        <v>0</v>
      </c>
      <c r="C5383" s="2">
        <v>2929.67</v>
      </c>
      <c r="D5383" s="2" t="s">
        <v>0</v>
      </c>
      <c r="E5383" s="2">
        <v>7986.96</v>
      </c>
      <c r="G5383" s="1" t="s">
        <v>10759</v>
      </c>
      <c r="H5383" s="2" t="s">
        <v>0</v>
      </c>
      <c r="I5383" s="2">
        <v>2339.17</v>
      </c>
    </row>
    <row r="5384">
      <c r="A5384" s="1" t="s">
        <v>10760</v>
      </c>
      <c r="B5384" s="2" t="s">
        <v>0</v>
      </c>
      <c r="C5384" s="2">
        <v>2929.67</v>
      </c>
      <c r="D5384" s="2" t="s">
        <v>0</v>
      </c>
      <c r="E5384" s="2">
        <v>7986.96</v>
      </c>
      <c r="G5384" s="1" t="s">
        <v>10761</v>
      </c>
      <c r="H5384" s="2" t="s">
        <v>0</v>
      </c>
      <c r="I5384" s="2">
        <v>2339.17</v>
      </c>
    </row>
    <row r="5385">
      <c r="A5385" s="1" t="s">
        <v>10762</v>
      </c>
      <c r="B5385" s="2">
        <v>2919.37</v>
      </c>
      <c r="C5385" s="2">
        <v>2919.37</v>
      </c>
      <c r="D5385" s="2">
        <v>7993.25</v>
      </c>
      <c r="E5385" s="2">
        <v>7993.25</v>
      </c>
      <c r="G5385" s="1" t="s">
        <v>10763</v>
      </c>
      <c r="H5385" s="2" t="s">
        <v>0</v>
      </c>
      <c r="I5385" s="2">
        <v>2339.17</v>
      </c>
    </row>
    <row r="5386">
      <c r="A5386" s="1" t="s">
        <v>10764</v>
      </c>
      <c r="B5386" s="2">
        <v>2915.56</v>
      </c>
      <c r="C5386" s="2">
        <v>2915.56</v>
      </c>
      <c r="D5386" s="2">
        <v>8007.47</v>
      </c>
      <c r="E5386" s="2">
        <v>8007.47</v>
      </c>
      <c r="G5386" s="1" t="s">
        <v>10765</v>
      </c>
      <c r="H5386" s="2" t="s">
        <v>0</v>
      </c>
      <c r="I5386" s="2">
        <v>2339.17</v>
      </c>
    </row>
    <row r="5387">
      <c r="A5387" s="1" t="s">
        <v>10766</v>
      </c>
      <c r="B5387" s="2">
        <v>2905.97</v>
      </c>
      <c r="C5387" s="2">
        <v>2905.97</v>
      </c>
      <c r="D5387" s="2">
        <v>7990.37</v>
      </c>
      <c r="E5387" s="2">
        <v>7990.37</v>
      </c>
      <c r="G5387" s="1" t="s">
        <v>10767</v>
      </c>
      <c r="H5387" s="2" t="s">
        <v>0</v>
      </c>
      <c r="I5387" s="2">
        <v>2339.17</v>
      </c>
    </row>
    <row r="5388">
      <c r="A5388" s="1" t="s">
        <v>10768</v>
      </c>
      <c r="B5388" s="2">
        <v>2914.0</v>
      </c>
      <c r="C5388" s="2">
        <v>2914.0</v>
      </c>
      <c r="D5388" s="2">
        <v>8041.97</v>
      </c>
      <c r="E5388" s="2">
        <v>8041.97</v>
      </c>
      <c r="G5388" s="1" t="s">
        <v>10769</v>
      </c>
      <c r="H5388" s="2">
        <v>2355.43</v>
      </c>
      <c r="I5388" s="2">
        <v>2355.43</v>
      </c>
    </row>
    <row r="5389">
      <c r="A5389" s="1" t="s">
        <v>10770</v>
      </c>
      <c r="B5389" s="2">
        <v>2913.98</v>
      </c>
      <c r="C5389" s="2">
        <v>2913.98</v>
      </c>
      <c r="D5389" s="2">
        <v>8046.35</v>
      </c>
      <c r="E5389" s="2">
        <v>8046.35</v>
      </c>
      <c r="G5389" s="1" t="s">
        <v>10771</v>
      </c>
      <c r="H5389" s="2">
        <v>2343.07</v>
      </c>
      <c r="I5389" s="2">
        <v>2343.07</v>
      </c>
    </row>
    <row r="5390">
      <c r="A5390" s="1" t="s">
        <v>10772</v>
      </c>
      <c r="B5390" s="2" t="s">
        <v>0</v>
      </c>
      <c r="C5390" s="2">
        <v>2913.98</v>
      </c>
      <c r="D5390" s="2" t="s">
        <v>0</v>
      </c>
      <c r="E5390" s="2">
        <v>8046.35</v>
      </c>
      <c r="G5390" s="1" t="s">
        <v>10773</v>
      </c>
      <c r="H5390" s="2" t="s">
        <v>0</v>
      </c>
      <c r="I5390" s="2">
        <v>2343.07</v>
      </c>
    </row>
    <row r="5391">
      <c r="A5391" s="1" t="s">
        <v>10774</v>
      </c>
      <c r="B5391" s="2" t="s">
        <v>0</v>
      </c>
      <c r="C5391" s="2">
        <v>2913.98</v>
      </c>
      <c r="D5391" s="2" t="s">
        <v>0</v>
      </c>
      <c r="E5391" s="2">
        <v>8046.35</v>
      </c>
      <c r="G5391" s="1" t="s">
        <v>10775</v>
      </c>
      <c r="H5391" s="2" t="s">
        <v>0</v>
      </c>
      <c r="I5391" s="2">
        <v>2343.07</v>
      </c>
    </row>
    <row r="5392">
      <c r="A5392" s="1" t="s">
        <v>10776</v>
      </c>
      <c r="B5392" s="2">
        <v>2924.59</v>
      </c>
      <c r="C5392" s="2">
        <v>2924.59</v>
      </c>
      <c r="D5392" s="2">
        <v>8037.3</v>
      </c>
      <c r="E5392" s="2">
        <v>8037.3</v>
      </c>
      <c r="G5392" s="1" t="s">
        <v>10777</v>
      </c>
      <c r="H5392" s="2">
        <v>2338.88</v>
      </c>
      <c r="I5392" s="2">
        <v>2338.88</v>
      </c>
    </row>
    <row r="5393">
      <c r="A5393" s="1" t="s">
        <v>10778</v>
      </c>
      <c r="B5393" s="2">
        <v>2923.43</v>
      </c>
      <c r="C5393" s="2">
        <v>2923.43</v>
      </c>
      <c r="D5393" s="2">
        <v>7999.55</v>
      </c>
      <c r="E5393" s="2">
        <v>7999.55</v>
      </c>
      <c r="G5393" s="1" t="s">
        <v>10779</v>
      </c>
      <c r="H5393" s="2">
        <v>2309.57</v>
      </c>
      <c r="I5393" s="2">
        <v>2309.57</v>
      </c>
    </row>
    <row r="5394">
      <c r="A5394" s="1" t="s">
        <v>10780</v>
      </c>
      <c r="B5394" s="2">
        <v>2925.51</v>
      </c>
      <c r="C5394" s="2">
        <v>2925.51</v>
      </c>
      <c r="D5394" s="2">
        <v>8025.09</v>
      </c>
      <c r="E5394" s="2">
        <v>8025.09</v>
      </c>
      <c r="G5394" s="1" t="s">
        <v>10781</v>
      </c>
      <c r="H5394" s="2" t="s">
        <v>0</v>
      </c>
      <c r="I5394" s="2">
        <v>2309.57</v>
      </c>
    </row>
    <row r="5395">
      <c r="A5395" s="1" t="s">
        <v>10782</v>
      </c>
      <c r="B5395" s="2">
        <v>2901.61</v>
      </c>
      <c r="C5395" s="2">
        <v>2901.61</v>
      </c>
      <c r="D5395" s="2">
        <v>7879.51</v>
      </c>
      <c r="E5395" s="2">
        <v>7879.51</v>
      </c>
      <c r="G5395" s="1" t="s">
        <v>10783</v>
      </c>
      <c r="H5395" s="2">
        <v>2274.49</v>
      </c>
      <c r="I5395" s="2">
        <v>2274.49</v>
      </c>
    </row>
    <row r="5396">
      <c r="A5396" s="1" t="s">
        <v>10784</v>
      </c>
      <c r="B5396" s="2">
        <v>2885.57</v>
      </c>
      <c r="C5396" s="2">
        <v>2885.57</v>
      </c>
      <c r="D5396" s="2">
        <v>7788.45</v>
      </c>
      <c r="E5396" s="2">
        <v>7788.45</v>
      </c>
      <c r="G5396" s="1" t="s">
        <v>10785</v>
      </c>
      <c r="H5396" s="2">
        <v>2267.52</v>
      </c>
      <c r="I5396" s="2">
        <v>2267.52</v>
      </c>
    </row>
    <row r="5397">
      <c r="A5397" s="1" t="s">
        <v>10786</v>
      </c>
      <c r="B5397" s="2" t="s">
        <v>0</v>
      </c>
      <c r="C5397" s="2">
        <v>2885.57</v>
      </c>
      <c r="D5397" s="2" t="s">
        <v>0</v>
      </c>
      <c r="E5397" s="2">
        <v>7788.45</v>
      </c>
      <c r="G5397" s="1" t="s">
        <v>10787</v>
      </c>
      <c r="H5397" s="2" t="s">
        <v>0</v>
      </c>
      <c r="I5397" s="2">
        <v>2267.52</v>
      </c>
    </row>
    <row r="5398">
      <c r="A5398" s="1" t="s">
        <v>10788</v>
      </c>
      <c r="B5398" s="2" t="s">
        <v>0</v>
      </c>
      <c r="C5398" s="2">
        <v>2885.57</v>
      </c>
      <c r="D5398" s="2" t="s">
        <v>0</v>
      </c>
      <c r="E5398" s="2">
        <v>7788.45</v>
      </c>
      <c r="G5398" s="1" t="s">
        <v>10789</v>
      </c>
      <c r="H5398" s="2" t="s">
        <v>0</v>
      </c>
      <c r="I5398" s="2">
        <v>2267.52</v>
      </c>
    </row>
    <row r="5399">
      <c r="A5399" s="1" t="s">
        <v>10790</v>
      </c>
      <c r="B5399" s="2">
        <v>2884.43</v>
      </c>
      <c r="C5399" s="2">
        <v>2884.43</v>
      </c>
      <c r="D5399" s="2">
        <v>7735.95</v>
      </c>
      <c r="E5399" s="2">
        <v>7735.95</v>
      </c>
      <c r="G5399" s="1" t="s">
        <v>10791</v>
      </c>
      <c r="H5399" s="2">
        <v>2253.83</v>
      </c>
      <c r="I5399" s="2">
        <v>2253.83</v>
      </c>
    </row>
    <row r="5400">
      <c r="A5400" s="1" t="s">
        <v>10792</v>
      </c>
      <c r="B5400" s="2">
        <v>2880.34</v>
      </c>
      <c r="C5400" s="2">
        <v>2880.34</v>
      </c>
      <c r="D5400" s="2">
        <v>7738.02</v>
      </c>
      <c r="E5400" s="2">
        <v>7738.02</v>
      </c>
      <c r="G5400" s="1" t="s">
        <v>10793</v>
      </c>
      <c r="H5400" s="2" t="s">
        <v>0</v>
      </c>
      <c r="I5400" s="2">
        <v>2253.83</v>
      </c>
    </row>
    <row r="5401">
      <c r="A5401" s="1" t="s">
        <v>10794</v>
      </c>
      <c r="B5401" s="2">
        <v>2785.68</v>
      </c>
      <c r="C5401" s="2">
        <v>2785.68</v>
      </c>
      <c r="D5401" s="2">
        <v>7422.05</v>
      </c>
      <c r="E5401" s="2">
        <v>7422.05</v>
      </c>
      <c r="G5401" s="1" t="s">
        <v>10795</v>
      </c>
      <c r="H5401" s="2">
        <v>2228.61</v>
      </c>
      <c r="I5401" s="2">
        <v>2228.61</v>
      </c>
    </row>
    <row r="5402">
      <c r="A5402" s="1" t="s">
        <v>10796</v>
      </c>
      <c r="B5402" s="2">
        <v>2728.37</v>
      </c>
      <c r="C5402" s="2">
        <v>2728.37</v>
      </c>
      <c r="D5402" s="2">
        <v>7329.06</v>
      </c>
      <c r="E5402" s="2">
        <v>7329.06</v>
      </c>
      <c r="G5402" s="1" t="s">
        <v>10797</v>
      </c>
      <c r="H5402" s="2">
        <v>2129.67</v>
      </c>
      <c r="I5402" s="2">
        <v>2129.67</v>
      </c>
    </row>
    <row r="5403">
      <c r="A5403" s="1" t="s">
        <v>10798</v>
      </c>
      <c r="B5403" s="2">
        <v>2767.13</v>
      </c>
      <c r="C5403" s="2">
        <v>2767.13</v>
      </c>
      <c r="D5403" s="2">
        <v>7496.89</v>
      </c>
      <c r="E5403" s="2">
        <v>7496.89</v>
      </c>
      <c r="G5403" s="1" t="s">
        <v>10799</v>
      </c>
      <c r="H5403" s="2">
        <v>2161.85</v>
      </c>
      <c r="I5403" s="2">
        <v>2161.85</v>
      </c>
    </row>
    <row r="5404">
      <c r="A5404" s="1" t="s">
        <v>10800</v>
      </c>
      <c r="B5404" s="2" t="s">
        <v>0</v>
      </c>
      <c r="C5404" s="2">
        <v>2767.13</v>
      </c>
      <c r="D5404" s="2" t="s">
        <v>0</v>
      </c>
      <c r="E5404" s="2">
        <v>7496.89</v>
      </c>
      <c r="G5404" s="1" t="s">
        <v>10801</v>
      </c>
      <c r="H5404" s="2" t="s">
        <v>0</v>
      </c>
      <c r="I5404" s="2">
        <v>2161.85</v>
      </c>
    </row>
    <row r="5405">
      <c r="A5405" s="1" t="s">
        <v>10802</v>
      </c>
      <c r="B5405" s="2" t="s">
        <v>0</v>
      </c>
      <c r="C5405" s="2">
        <v>2767.13</v>
      </c>
      <c r="D5405" s="2" t="s">
        <v>0</v>
      </c>
      <c r="E5405" s="2">
        <v>7496.89</v>
      </c>
      <c r="G5405" s="1" t="s">
        <v>10803</v>
      </c>
      <c r="H5405" s="2" t="s">
        <v>0</v>
      </c>
      <c r="I5405" s="2">
        <v>2161.85</v>
      </c>
    </row>
    <row r="5406">
      <c r="A5406" s="1" t="s">
        <v>10804</v>
      </c>
      <c r="B5406" s="2">
        <v>2750.79</v>
      </c>
      <c r="C5406" s="2">
        <v>2750.79</v>
      </c>
      <c r="D5406" s="2">
        <v>7430.74</v>
      </c>
      <c r="E5406" s="2">
        <v>7430.74</v>
      </c>
      <c r="G5406" s="1" t="s">
        <v>10805</v>
      </c>
      <c r="H5406" s="2">
        <v>2145.12</v>
      </c>
      <c r="I5406" s="2">
        <v>2145.12</v>
      </c>
    </row>
    <row r="5407">
      <c r="A5407" s="1" t="s">
        <v>10806</v>
      </c>
      <c r="B5407" s="2">
        <v>2809.92</v>
      </c>
      <c r="C5407" s="2">
        <v>2809.92</v>
      </c>
      <c r="D5407" s="2">
        <v>7645.49</v>
      </c>
      <c r="E5407" s="2">
        <v>7645.49</v>
      </c>
      <c r="G5407" s="1" t="s">
        <v>10807</v>
      </c>
      <c r="H5407" s="2">
        <v>2145.12</v>
      </c>
      <c r="I5407" s="2">
        <v>2145.12</v>
      </c>
    </row>
    <row r="5408">
      <c r="A5408" s="1" t="s">
        <v>10808</v>
      </c>
      <c r="B5408" s="2">
        <v>2809.21</v>
      </c>
      <c r="C5408" s="2">
        <v>2809.21</v>
      </c>
      <c r="D5408" s="2">
        <v>7642.7</v>
      </c>
      <c r="E5408" s="2">
        <v>7642.7</v>
      </c>
      <c r="G5408" s="1" t="s">
        <v>10809</v>
      </c>
      <c r="H5408" s="2">
        <v>2167.51</v>
      </c>
      <c r="I5408" s="2">
        <v>2167.51</v>
      </c>
    </row>
    <row r="5409">
      <c r="A5409" s="1" t="s">
        <v>10810</v>
      </c>
      <c r="B5409" s="2">
        <v>2768.78</v>
      </c>
      <c r="C5409" s="2">
        <v>2768.78</v>
      </c>
      <c r="D5409" s="2">
        <v>7485.14</v>
      </c>
      <c r="E5409" s="2">
        <v>7485.14</v>
      </c>
      <c r="G5409" s="1" t="s">
        <v>10811</v>
      </c>
      <c r="H5409" s="2">
        <v>2148.31</v>
      </c>
      <c r="I5409" s="2">
        <v>2148.31</v>
      </c>
    </row>
    <row r="5410">
      <c r="A5410" s="1" t="s">
        <v>10812</v>
      </c>
      <c r="B5410" s="2">
        <v>2767.78</v>
      </c>
      <c r="C5410" s="2">
        <v>2767.78</v>
      </c>
      <c r="D5410" s="2">
        <v>7449.03</v>
      </c>
      <c r="E5410" s="2">
        <v>7449.03</v>
      </c>
      <c r="G5410" s="1" t="s">
        <v>10813</v>
      </c>
      <c r="H5410" s="2">
        <v>2156.26</v>
      </c>
      <c r="I5410" s="2">
        <v>2156.26</v>
      </c>
    </row>
    <row r="5411">
      <c r="A5411" s="1" t="s">
        <v>10814</v>
      </c>
      <c r="B5411" s="2" t="s">
        <v>0</v>
      </c>
      <c r="C5411" s="2">
        <v>2767.78</v>
      </c>
      <c r="D5411" s="2" t="s">
        <v>0</v>
      </c>
      <c r="E5411" s="2">
        <v>7449.03</v>
      </c>
      <c r="G5411" s="1" t="s">
        <v>10815</v>
      </c>
      <c r="H5411" s="2" t="s">
        <v>0</v>
      </c>
      <c r="I5411" s="2">
        <v>2156.26</v>
      </c>
    </row>
    <row r="5412">
      <c r="A5412" s="1" t="s">
        <v>10816</v>
      </c>
      <c r="B5412" s="2" t="s">
        <v>0</v>
      </c>
      <c r="C5412" s="2">
        <v>2767.78</v>
      </c>
      <c r="D5412" s="2" t="s">
        <v>0</v>
      </c>
      <c r="E5412" s="2">
        <v>7449.03</v>
      </c>
      <c r="G5412" s="1" t="s">
        <v>10817</v>
      </c>
      <c r="H5412" s="2" t="s">
        <v>0</v>
      </c>
      <c r="I5412" s="2">
        <v>2156.26</v>
      </c>
    </row>
    <row r="5413">
      <c r="A5413" s="1" t="s">
        <v>10818</v>
      </c>
      <c r="B5413" s="2">
        <v>2755.88</v>
      </c>
      <c r="C5413" s="2">
        <v>2755.88</v>
      </c>
      <c r="D5413" s="2">
        <v>7468.63</v>
      </c>
      <c r="E5413" s="2">
        <v>7468.63</v>
      </c>
      <c r="G5413" s="1" t="s">
        <v>10819</v>
      </c>
      <c r="H5413" s="2">
        <v>2161.71</v>
      </c>
      <c r="I5413" s="2">
        <v>2161.71</v>
      </c>
    </row>
    <row r="5414">
      <c r="A5414" s="1" t="s">
        <v>10820</v>
      </c>
      <c r="B5414" s="2">
        <v>2740.69</v>
      </c>
      <c r="C5414" s="2">
        <v>2740.69</v>
      </c>
      <c r="D5414" s="2">
        <v>7437.54</v>
      </c>
      <c r="E5414" s="2">
        <v>7437.54</v>
      </c>
      <c r="G5414" s="1" t="s">
        <v>10821</v>
      </c>
      <c r="H5414" s="2">
        <v>2106.1</v>
      </c>
      <c r="I5414" s="2">
        <v>2106.1</v>
      </c>
    </row>
    <row r="5415">
      <c r="A5415" s="1" t="s">
        <v>10822</v>
      </c>
      <c r="B5415" s="2">
        <v>2656.1</v>
      </c>
      <c r="C5415" s="2">
        <v>2656.1</v>
      </c>
      <c r="D5415" s="2">
        <v>7108.4</v>
      </c>
      <c r="E5415" s="2">
        <v>7108.4</v>
      </c>
      <c r="G5415" s="1" t="s">
        <v>10823</v>
      </c>
      <c r="H5415" s="2">
        <v>2097.58</v>
      </c>
      <c r="I5415" s="2">
        <v>2097.58</v>
      </c>
    </row>
    <row r="5416">
      <c r="A5416" s="1" t="s">
        <v>10824</v>
      </c>
      <c r="B5416" s="2">
        <v>2705.57</v>
      </c>
      <c r="C5416" s="2">
        <v>2705.57</v>
      </c>
      <c r="D5416" s="2">
        <v>7318.34</v>
      </c>
      <c r="E5416" s="2">
        <v>7318.34</v>
      </c>
      <c r="G5416" s="1" t="s">
        <v>10825</v>
      </c>
      <c r="H5416" s="2">
        <v>2063.3</v>
      </c>
      <c r="I5416" s="2">
        <v>2063.3</v>
      </c>
    </row>
    <row r="5417">
      <c r="A5417" s="1" t="s">
        <v>10826</v>
      </c>
      <c r="B5417" s="2">
        <v>2658.69</v>
      </c>
      <c r="C5417" s="2">
        <v>2658.69</v>
      </c>
      <c r="D5417" s="2">
        <v>7167.21</v>
      </c>
      <c r="E5417" s="2">
        <v>7167.21</v>
      </c>
      <c r="G5417" s="1" t="s">
        <v>10827</v>
      </c>
      <c r="H5417" s="2">
        <v>2027.15</v>
      </c>
      <c r="I5417" s="2">
        <v>2027.15</v>
      </c>
    </row>
    <row r="5418">
      <c r="A5418" s="1" t="s">
        <v>10828</v>
      </c>
      <c r="B5418" s="2" t="s">
        <v>0</v>
      </c>
      <c r="C5418" s="2">
        <v>2658.69</v>
      </c>
      <c r="D5418" s="2" t="s">
        <v>0</v>
      </c>
      <c r="E5418" s="2">
        <v>7167.21</v>
      </c>
      <c r="G5418" s="1" t="s">
        <v>10829</v>
      </c>
      <c r="H5418" s="2" t="s">
        <v>0</v>
      </c>
      <c r="I5418" s="2">
        <v>2027.15</v>
      </c>
    </row>
    <row r="5419">
      <c r="A5419" s="1" t="s">
        <v>10830</v>
      </c>
      <c r="B5419" s="2" t="s">
        <v>0</v>
      </c>
      <c r="C5419" s="2">
        <v>2658.69</v>
      </c>
      <c r="D5419" s="2" t="s">
        <v>0</v>
      </c>
      <c r="E5419" s="2">
        <v>7167.21</v>
      </c>
      <c r="G5419" s="1" t="s">
        <v>10831</v>
      </c>
      <c r="H5419" s="2" t="s">
        <v>0</v>
      </c>
      <c r="I5419" s="2">
        <v>2027.15</v>
      </c>
    </row>
    <row r="5420">
      <c r="A5420" s="1" t="s">
        <v>10832</v>
      </c>
      <c r="B5420" s="2">
        <v>2641.25</v>
      </c>
      <c r="C5420" s="2">
        <v>2641.25</v>
      </c>
      <c r="D5420" s="2">
        <v>7050.29</v>
      </c>
      <c r="E5420" s="2">
        <v>7050.29</v>
      </c>
      <c r="G5420" s="1" t="s">
        <v>10833</v>
      </c>
      <c r="H5420" s="2" t="s">
        <v>0</v>
      </c>
      <c r="I5420" s="2">
        <v>2027.15</v>
      </c>
    </row>
    <row r="5421">
      <c r="A5421" s="1" t="s">
        <v>10834</v>
      </c>
      <c r="B5421" s="2">
        <v>2682.63</v>
      </c>
      <c r="C5421" s="2">
        <v>2682.63</v>
      </c>
      <c r="D5421" s="2">
        <v>7161.65</v>
      </c>
      <c r="E5421" s="2">
        <v>7161.65</v>
      </c>
      <c r="G5421" s="1" t="s">
        <v>10835</v>
      </c>
      <c r="H5421" s="2">
        <v>2014.69</v>
      </c>
      <c r="I5421" s="2">
        <v>2014.69</v>
      </c>
    </row>
    <row r="5422">
      <c r="A5422" s="1" t="s">
        <v>10836</v>
      </c>
      <c r="B5422" s="2">
        <v>2711.74</v>
      </c>
      <c r="C5422" s="2">
        <v>2711.74</v>
      </c>
      <c r="D5422" s="2">
        <v>7305.9</v>
      </c>
      <c r="E5422" s="2">
        <v>7305.9</v>
      </c>
      <c r="G5422" s="1" t="s">
        <v>10837</v>
      </c>
      <c r="H5422" s="2">
        <v>2029.69</v>
      </c>
      <c r="I5422" s="2">
        <v>2029.69</v>
      </c>
    </row>
    <row r="5423">
      <c r="A5423" s="1" t="s">
        <v>10838</v>
      </c>
      <c r="B5423" s="2">
        <v>2740.37</v>
      </c>
      <c r="C5423" s="2">
        <v>2740.37</v>
      </c>
      <c r="D5423" s="2">
        <v>7434.06</v>
      </c>
      <c r="E5423" s="2">
        <v>7434.06</v>
      </c>
      <c r="G5423" s="1" t="s">
        <v>10839</v>
      </c>
      <c r="H5423" s="2">
        <v>2024.46</v>
      </c>
      <c r="I5423" s="2">
        <v>2024.46</v>
      </c>
    </row>
    <row r="5424">
      <c r="A5424" s="1" t="s">
        <v>10840</v>
      </c>
      <c r="B5424" s="2">
        <v>2723.06</v>
      </c>
      <c r="C5424" s="2">
        <v>2723.06</v>
      </c>
      <c r="D5424" s="2">
        <v>7356.99</v>
      </c>
      <c r="E5424" s="2">
        <v>7356.99</v>
      </c>
      <c r="G5424" s="1" t="s">
        <v>10841</v>
      </c>
      <c r="H5424" s="2">
        <v>2096.0</v>
      </c>
      <c r="I5424" s="2">
        <v>2096.0</v>
      </c>
    </row>
    <row r="5425">
      <c r="A5425" s="1" t="s">
        <v>10842</v>
      </c>
      <c r="B5425" s="2" t="s">
        <v>0</v>
      </c>
      <c r="C5425" s="2">
        <v>2723.06</v>
      </c>
      <c r="D5425" s="2" t="s">
        <v>0</v>
      </c>
      <c r="E5425" s="2">
        <v>7356.99</v>
      </c>
      <c r="G5425" s="1" t="s">
        <v>10843</v>
      </c>
      <c r="H5425" s="2" t="s">
        <v>0</v>
      </c>
      <c r="I5425" s="2">
        <v>2096.0</v>
      </c>
    </row>
    <row r="5426">
      <c r="A5426" s="1" t="s">
        <v>10844</v>
      </c>
      <c r="B5426" s="2" t="s">
        <v>0</v>
      </c>
      <c r="C5426" s="2">
        <v>2723.06</v>
      </c>
      <c r="D5426" s="2" t="s">
        <v>0</v>
      </c>
      <c r="E5426" s="2">
        <v>7356.99</v>
      </c>
      <c r="G5426" s="1" t="s">
        <v>10845</v>
      </c>
      <c r="H5426" s="2" t="s">
        <v>0</v>
      </c>
      <c r="I5426" s="2">
        <v>2096.0</v>
      </c>
    </row>
    <row r="5427">
      <c r="A5427" s="1" t="s">
        <v>10846</v>
      </c>
      <c r="B5427" s="2">
        <v>2738.31</v>
      </c>
      <c r="C5427" s="2">
        <v>2738.31</v>
      </c>
      <c r="D5427" s="2">
        <v>7328.85</v>
      </c>
      <c r="E5427" s="2">
        <v>7328.85</v>
      </c>
      <c r="G5427" s="1" t="s">
        <v>10847</v>
      </c>
      <c r="H5427" s="2">
        <v>2076.92</v>
      </c>
      <c r="I5427" s="2">
        <v>2076.92</v>
      </c>
    </row>
    <row r="5428">
      <c r="A5428" s="1" t="s">
        <v>10848</v>
      </c>
      <c r="B5428" s="2">
        <v>2755.45</v>
      </c>
      <c r="C5428" s="2">
        <v>2755.45</v>
      </c>
      <c r="D5428" s="2">
        <v>7375.96</v>
      </c>
      <c r="E5428" s="2">
        <v>7375.96</v>
      </c>
      <c r="G5428" s="1" t="s">
        <v>10849</v>
      </c>
      <c r="H5428" s="2">
        <v>2089.62</v>
      </c>
      <c r="I5428" s="2">
        <v>2089.62</v>
      </c>
    </row>
    <row r="5429">
      <c r="A5429" s="1" t="s">
        <v>10850</v>
      </c>
      <c r="B5429" s="2">
        <v>2813.89</v>
      </c>
      <c r="C5429" s="2">
        <v>2813.89</v>
      </c>
      <c r="D5429" s="2">
        <v>7570.75</v>
      </c>
      <c r="E5429" s="2">
        <v>7570.75</v>
      </c>
      <c r="G5429" s="1" t="s">
        <v>10851</v>
      </c>
      <c r="H5429" s="2">
        <v>2078.69</v>
      </c>
      <c r="I5429" s="2">
        <v>2078.69</v>
      </c>
    </row>
    <row r="5430">
      <c r="A5430" s="1" t="s">
        <v>10852</v>
      </c>
      <c r="B5430" s="2">
        <v>2806.83</v>
      </c>
      <c r="C5430" s="2">
        <v>2806.83</v>
      </c>
      <c r="D5430" s="2">
        <v>7530.89</v>
      </c>
      <c r="E5430" s="2">
        <v>7530.89</v>
      </c>
      <c r="G5430" s="1" t="s">
        <v>10853</v>
      </c>
      <c r="H5430" s="2">
        <v>2092.63</v>
      </c>
      <c r="I5430" s="2">
        <v>2092.63</v>
      </c>
    </row>
    <row r="5431">
      <c r="A5431" s="1" t="s">
        <v>10854</v>
      </c>
      <c r="B5431" s="2">
        <v>2781.01</v>
      </c>
      <c r="C5431" s="2">
        <v>2781.01</v>
      </c>
      <c r="D5431" s="2">
        <v>7406.9</v>
      </c>
      <c r="E5431" s="2">
        <v>7406.9</v>
      </c>
      <c r="G5431" s="1" t="s">
        <v>10855</v>
      </c>
      <c r="H5431" s="2">
        <v>2086.09</v>
      </c>
      <c r="I5431" s="2">
        <v>2086.09</v>
      </c>
    </row>
    <row r="5432">
      <c r="A5432" s="1" t="s">
        <v>10856</v>
      </c>
      <c r="B5432" s="2" t="s">
        <v>0</v>
      </c>
      <c r="C5432" s="2">
        <v>2781.01</v>
      </c>
      <c r="D5432" s="2" t="s">
        <v>0</v>
      </c>
      <c r="E5432" s="2">
        <v>7406.9</v>
      </c>
      <c r="G5432" s="1" t="s">
        <v>10857</v>
      </c>
      <c r="H5432" s="2" t="s">
        <v>0</v>
      </c>
      <c r="I5432" s="2">
        <v>2086.09</v>
      </c>
    </row>
    <row r="5433">
      <c r="A5433" s="1" t="s">
        <v>10858</v>
      </c>
      <c r="B5433" s="2" t="s">
        <v>0</v>
      </c>
      <c r="C5433" s="2">
        <v>2781.01</v>
      </c>
      <c r="D5433" s="2" t="s">
        <v>0</v>
      </c>
      <c r="E5433" s="2">
        <v>7406.9</v>
      </c>
      <c r="G5433" s="1" t="s">
        <v>10859</v>
      </c>
      <c r="H5433" s="2" t="s">
        <v>0</v>
      </c>
      <c r="I5433" s="2">
        <v>2086.09</v>
      </c>
    </row>
    <row r="5434">
      <c r="A5434" s="1" t="s">
        <v>10860</v>
      </c>
      <c r="B5434" s="2">
        <v>2726.22</v>
      </c>
      <c r="C5434" s="2">
        <v>2726.22</v>
      </c>
      <c r="D5434" s="2">
        <v>7200.87</v>
      </c>
      <c r="E5434" s="2">
        <v>7200.87</v>
      </c>
      <c r="G5434" s="1" t="s">
        <v>10861</v>
      </c>
      <c r="H5434" s="2">
        <v>2080.44</v>
      </c>
      <c r="I5434" s="2">
        <v>2080.44</v>
      </c>
    </row>
    <row r="5435">
      <c r="A5435" s="1" t="s">
        <v>10862</v>
      </c>
      <c r="B5435" s="2">
        <v>2722.18</v>
      </c>
      <c r="C5435" s="2">
        <v>2722.18</v>
      </c>
      <c r="D5435" s="2">
        <v>7200.88</v>
      </c>
      <c r="E5435" s="2">
        <v>7200.88</v>
      </c>
      <c r="G5435" s="1" t="s">
        <v>10863</v>
      </c>
      <c r="H5435" s="2">
        <v>2071.23</v>
      </c>
      <c r="I5435" s="2">
        <v>2071.23</v>
      </c>
    </row>
    <row r="5436">
      <c r="A5436" s="1" t="s">
        <v>10864</v>
      </c>
      <c r="B5436" s="2">
        <v>2701.58</v>
      </c>
      <c r="C5436" s="2">
        <v>2701.58</v>
      </c>
      <c r="D5436" s="2">
        <v>7136.39</v>
      </c>
      <c r="E5436" s="2">
        <v>7136.39</v>
      </c>
      <c r="G5436" s="1" t="s">
        <v>10865</v>
      </c>
      <c r="H5436" s="2">
        <v>2068.05</v>
      </c>
      <c r="I5436" s="2">
        <v>2068.05</v>
      </c>
    </row>
    <row r="5437">
      <c r="A5437" s="1" t="s">
        <v>10866</v>
      </c>
      <c r="B5437" s="2">
        <v>2730.2</v>
      </c>
      <c r="C5437" s="2">
        <v>2730.2</v>
      </c>
      <c r="D5437" s="2">
        <v>7259.03</v>
      </c>
      <c r="E5437" s="2">
        <v>7259.03</v>
      </c>
      <c r="G5437" s="1" t="s">
        <v>10867</v>
      </c>
      <c r="H5437" s="2" t="s">
        <v>0</v>
      </c>
      <c r="I5437" s="2">
        <v>2068.05</v>
      </c>
    </row>
    <row r="5438">
      <c r="A5438" s="1" t="s">
        <v>10868</v>
      </c>
      <c r="B5438" s="2">
        <v>2736.27</v>
      </c>
      <c r="C5438" s="2">
        <v>2736.27</v>
      </c>
      <c r="D5438" s="2">
        <v>7247.87</v>
      </c>
      <c r="E5438" s="2">
        <v>7247.87</v>
      </c>
      <c r="G5438" s="1" t="s">
        <v>10869</v>
      </c>
      <c r="H5438" s="2">
        <v>2092.4</v>
      </c>
      <c r="I5438" s="2">
        <v>2092.4</v>
      </c>
    </row>
    <row r="5439">
      <c r="A5439" s="1" t="s">
        <v>10870</v>
      </c>
      <c r="B5439" s="2" t="s">
        <v>0</v>
      </c>
      <c r="C5439" s="2">
        <v>2736.27</v>
      </c>
      <c r="D5439" s="2" t="s">
        <v>0</v>
      </c>
      <c r="E5439" s="2">
        <v>7247.87</v>
      </c>
      <c r="G5439" s="1" t="s">
        <v>10871</v>
      </c>
      <c r="H5439" s="2" t="s">
        <v>0</v>
      </c>
      <c r="I5439" s="2">
        <v>2092.4</v>
      </c>
    </row>
    <row r="5440">
      <c r="A5440" s="1" t="s">
        <v>10872</v>
      </c>
      <c r="B5440" s="2" t="s">
        <v>0</v>
      </c>
      <c r="C5440" s="2">
        <v>2736.27</v>
      </c>
      <c r="D5440" s="2" t="s">
        <v>0</v>
      </c>
      <c r="E5440" s="2">
        <v>7247.87</v>
      </c>
      <c r="G5440" s="1" t="s">
        <v>10873</v>
      </c>
      <c r="H5440" s="2" t="s">
        <v>0</v>
      </c>
      <c r="I5440" s="2">
        <v>2092.4</v>
      </c>
    </row>
    <row r="5441">
      <c r="A5441" s="1" t="s">
        <v>10874</v>
      </c>
      <c r="B5441" s="2">
        <v>2690.73</v>
      </c>
      <c r="C5441" s="2">
        <v>2690.73</v>
      </c>
      <c r="D5441" s="2">
        <v>7028.48</v>
      </c>
      <c r="E5441" s="2">
        <v>7028.48</v>
      </c>
      <c r="G5441" s="1" t="s">
        <v>10875</v>
      </c>
      <c r="H5441" s="2">
        <v>2100.56</v>
      </c>
      <c r="I5441" s="2">
        <v>2100.56</v>
      </c>
    </row>
    <row r="5442">
      <c r="A5442" s="1" t="s">
        <v>10876</v>
      </c>
      <c r="B5442" s="2">
        <v>2641.89</v>
      </c>
      <c r="C5442" s="2">
        <v>2641.89</v>
      </c>
      <c r="D5442" s="2">
        <v>6908.82</v>
      </c>
      <c r="E5442" s="2">
        <v>6908.82</v>
      </c>
      <c r="G5442" s="1" t="s">
        <v>10877</v>
      </c>
      <c r="H5442" s="2">
        <v>2082.58</v>
      </c>
      <c r="I5442" s="2">
        <v>2082.58</v>
      </c>
    </row>
    <row r="5443">
      <c r="A5443" s="1" t="s">
        <v>10878</v>
      </c>
      <c r="B5443" s="2">
        <v>2649.93</v>
      </c>
      <c r="C5443" s="2">
        <v>2649.93</v>
      </c>
      <c r="D5443" s="2">
        <v>6972.25</v>
      </c>
      <c r="E5443" s="2">
        <v>6972.25</v>
      </c>
      <c r="G5443" s="1" t="s">
        <v>10879</v>
      </c>
      <c r="H5443" s="2">
        <v>2076.55</v>
      </c>
      <c r="I5443" s="2">
        <v>2076.55</v>
      </c>
    </row>
    <row r="5444">
      <c r="A5444" s="1" t="s">
        <v>10880</v>
      </c>
      <c r="B5444" s="2" t="s">
        <v>0</v>
      </c>
      <c r="C5444" s="2">
        <v>2649.93</v>
      </c>
      <c r="D5444" s="2" t="s">
        <v>0</v>
      </c>
      <c r="E5444" s="2">
        <v>6972.25</v>
      </c>
      <c r="G5444" s="1" t="s">
        <v>10881</v>
      </c>
      <c r="H5444" s="2">
        <v>2069.95</v>
      </c>
      <c r="I5444" s="2">
        <v>2069.95</v>
      </c>
    </row>
    <row r="5445">
      <c r="A5445" s="1" t="s">
        <v>10882</v>
      </c>
      <c r="B5445" s="2" t="s">
        <v>0</v>
      </c>
      <c r="C5445" s="2">
        <v>2649.93</v>
      </c>
      <c r="D5445" s="2" t="s">
        <v>0</v>
      </c>
      <c r="E5445" s="2">
        <v>6972.25</v>
      </c>
      <c r="G5445" s="1" t="s">
        <v>10883</v>
      </c>
      <c r="H5445" s="2">
        <v>2057.48</v>
      </c>
      <c r="I5445" s="2">
        <v>2057.48</v>
      </c>
    </row>
    <row r="5446">
      <c r="A5446" s="1" t="s">
        <v>10884</v>
      </c>
      <c r="B5446" s="2" t="s">
        <v>0</v>
      </c>
      <c r="C5446" s="2">
        <v>2649.93</v>
      </c>
      <c r="D5446" s="2" t="s">
        <v>0</v>
      </c>
      <c r="E5446" s="2">
        <v>6972.25</v>
      </c>
      <c r="G5446" s="1" t="s">
        <v>10885</v>
      </c>
      <c r="H5446" s="2" t="s">
        <v>0</v>
      </c>
      <c r="I5446" s="2">
        <v>2057.48</v>
      </c>
    </row>
    <row r="5447">
      <c r="A5447" s="1" t="s">
        <v>10886</v>
      </c>
      <c r="B5447" s="2" t="s">
        <v>0</v>
      </c>
      <c r="C5447" s="2">
        <v>2649.93</v>
      </c>
      <c r="D5447" s="2" t="s">
        <v>0</v>
      </c>
      <c r="E5447" s="2">
        <v>6972.25</v>
      </c>
      <c r="G5447" s="1" t="s">
        <v>10887</v>
      </c>
      <c r="H5447" s="2" t="s">
        <v>0</v>
      </c>
      <c r="I5447" s="2">
        <v>2057.48</v>
      </c>
    </row>
    <row r="5448">
      <c r="A5448" s="1" t="s">
        <v>10888</v>
      </c>
      <c r="B5448" s="2">
        <v>2673.45</v>
      </c>
      <c r="C5448" s="2">
        <v>2673.45</v>
      </c>
      <c r="D5448" s="2">
        <v>7081.85</v>
      </c>
      <c r="E5448" s="2">
        <v>7081.85</v>
      </c>
      <c r="G5448" s="1" t="s">
        <v>10889</v>
      </c>
      <c r="H5448" s="2">
        <v>2083.02</v>
      </c>
      <c r="I5448" s="2">
        <v>2083.02</v>
      </c>
    </row>
    <row r="5449">
      <c r="A5449" s="1" t="s">
        <v>10890</v>
      </c>
      <c r="B5449" s="2">
        <v>2682.17</v>
      </c>
      <c r="C5449" s="2">
        <v>2682.17</v>
      </c>
      <c r="D5449" s="2">
        <v>7082.7</v>
      </c>
      <c r="E5449" s="2">
        <v>7082.7</v>
      </c>
      <c r="G5449" s="1" t="s">
        <v>10891</v>
      </c>
      <c r="H5449" s="2">
        <v>2099.42</v>
      </c>
      <c r="I5449" s="2">
        <v>2099.42</v>
      </c>
    </row>
    <row r="5450">
      <c r="A5450" s="1" t="s">
        <v>10892</v>
      </c>
      <c r="B5450" s="2">
        <v>2743.79</v>
      </c>
      <c r="C5450" s="2">
        <v>2743.79</v>
      </c>
      <c r="D5450" s="2">
        <v>7291.59</v>
      </c>
      <c r="E5450" s="2">
        <v>7291.59</v>
      </c>
      <c r="G5450" s="1" t="s">
        <v>10893</v>
      </c>
      <c r="H5450" s="2">
        <v>2108.22</v>
      </c>
      <c r="I5450" s="2">
        <v>2108.22</v>
      </c>
    </row>
    <row r="5451">
      <c r="A5451" s="1" t="s">
        <v>10894</v>
      </c>
      <c r="B5451" s="2">
        <v>2737.76</v>
      </c>
      <c r="C5451" s="2">
        <v>2737.76</v>
      </c>
      <c r="D5451" s="2">
        <v>7273.08</v>
      </c>
      <c r="E5451" s="2">
        <v>7273.08</v>
      </c>
      <c r="G5451" s="1" t="s">
        <v>10895</v>
      </c>
      <c r="H5451" s="2">
        <v>2114.1</v>
      </c>
      <c r="I5451" s="2">
        <v>2114.1</v>
      </c>
    </row>
    <row r="5452">
      <c r="A5452" s="1" t="s">
        <v>10896</v>
      </c>
      <c r="B5452" s="2">
        <v>2760.17</v>
      </c>
      <c r="C5452" s="2">
        <v>2760.17</v>
      </c>
      <c r="D5452" s="2">
        <v>7330.54</v>
      </c>
      <c r="E5452" s="2">
        <v>7330.54</v>
      </c>
      <c r="G5452" s="1" t="s">
        <v>10897</v>
      </c>
      <c r="H5452" s="2">
        <v>2096.86</v>
      </c>
      <c r="I5452" s="2">
        <v>2096.86</v>
      </c>
    </row>
    <row r="5453">
      <c r="A5453" s="1" t="s">
        <v>10898</v>
      </c>
      <c r="B5453" s="2" t="s">
        <v>0</v>
      </c>
      <c r="C5453" s="2">
        <v>2760.17</v>
      </c>
      <c r="D5453" s="2" t="s">
        <v>0</v>
      </c>
      <c r="E5453" s="2">
        <v>7330.54</v>
      </c>
      <c r="G5453" s="1" t="s">
        <v>10899</v>
      </c>
      <c r="H5453" s="2" t="s">
        <v>0</v>
      </c>
      <c r="I5453" s="2">
        <v>2096.86</v>
      </c>
    </row>
    <row r="5454">
      <c r="A5454" s="1" t="s">
        <v>10900</v>
      </c>
      <c r="B5454" s="2" t="s">
        <v>0</v>
      </c>
      <c r="C5454" s="2">
        <v>2760.17</v>
      </c>
      <c r="D5454" s="2" t="s">
        <v>0</v>
      </c>
      <c r="E5454" s="2">
        <v>7330.54</v>
      </c>
      <c r="G5454" s="1" t="s">
        <v>10901</v>
      </c>
      <c r="H5454" s="2" t="s">
        <v>0</v>
      </c>
      <c r="I5454" s="2">
        <v>2096.86</v>
      </c>
    </row>
    <row r="5455">
      <c r="A5455" s="1" t="s">
        <v>10902</v>
      </c>
      <c r="B5455" s="2">
        <v>2790.37</v>
      </c>
      <c r="C5455" s="2">
        <v>2790.37</v>
      </c>
      <c r="D5455" s="2">
        <v>7441.51</v>
      </c>
      <c r="E5455" s="2">
        <v>7441.51</v>
      </c>
      <c r="G5455" s="1" t="s">
        <v>10903</v>
      </c>
      <c r="H5455" s="2">
        <v>2131.93</v>
      </c>
      <c r="I5455" s="2">
        <v>2131.93</v>
      </c>
    </row>
    <row r="5456">
      <c r="A5456" s="1" t="s">
        <v>10904</v>
      </c>
      <c r="B5456" s="2">
        <v>2700.06</v>
      </c>
      <c r="C5456" s="2">
        <v>2700.06</v>
      </c>
      <c r="D5456" s="2">
        <v>7158.43</v>
      </c>
      <c r="E5456" s="2">
        <v>7158.43</v>
      </c>
      <c r="G5456" s="1" t="s">
        <v>10905</v>
      </c>
      <c r="H5456" s="2">
        <v>2114.35</v>
      </c>
      <c r="I5456" s="2">
        <v>2114.35</v>
      </c>
    </row>
    <row r="5457">
      <c r="A5457" s="1" t="s">
        <v>10906</v>
      </c>
      <c r="B5457" s="2" t="s">
        <v>0</v>
      </c>
      <c r="C5457" s="2">
        <v>2700.06</v>
      </c>
      <c r="D5457" s="2" t="s">
        <v>0</v>
      </c>
      <c r="E5457" s="2">
        <v>7158.43</v>
      </c>
      <c r="G5457" s="1" t="s">
        <v>10907</v>
      </c>
      <c r="H5457" s="2">
        <v>2101.31</v>
      </c>
      <c r="I5457" s="2">
        <v>2101.31</v>
      </c>
    </row>
    <row r="5458">
      <c r="A5458" s="1" t="s">
        <v>10908</v>
      </c>
      <c r="B5458" s="2">
        <v>2695.95</v>
      </c>
      <c r="C5458" s="2">
        <v>2695.95</v>
      </c>
      <c r="D5458" s="2">
        <v>7188.26</v>
      </c>
      <c r="E5458" s="2">
        <v>7188.26</v>
      </c>
      <c r="G5458" s="1" t="s">
        <v>10909</v>
      </c>
      <c r="H5458" s="2">
        <v>2068.69</v>
      </c>
      <c r="I5458" s="2">
        <v>2068.69</v>
      </c>
    </row>
    <row r="5459">
      <c r="A5459" s="1" t="s">
        <v>10910</v>
      </c>
      <c r="B5459" s="2">
        <v>2633.08</v>
      </c>
      <c r="C5459" s="2">
        <v>2633.08</v>
      </c>
      <c r="D5459" s="2">
        <v>6969.25</v>
      </c>
      <c r="E5459" s="2">
        <v>6969.25</v>
      </c>
      <c r="G5459" s="1" t="s">
        <v>10911</v>
      </c>
      <c r="H5459" s="2">
        <v>2075.76</v>
      </c>
      <c r="I5459" s="2">
        <v>2075.76</v>
      </c>
    </row>
    <row r="5460">
      <c r="A5460" s="1" t="s">
        <v>10912</v>
      </c>
      <c r="B5460" s="2" t="s">
        <v>0</v>
      </c>
      <c r="C5460" s="2">
        <v>2633.08</v>
      </c>
      <c r="D5460" s="2" t="s">
        <v>0</v>
      </c>
      <c r="E5460" s="2">
        <v>6969.25</v>
      </c>
      <c r="G5460" s="1" t="s">
        <v>10913</v>
      </c>
      <c r="H5460" s="2" t="s">
        <v>0</v>
      </c>
      <c r="I5460" s="2">
        <v>2075.76</v>
      </c>
    </row>
    <row r="5461">
      <c r="A5461" s="1" t="s">
        <v>10914</v>
      </c>
      <c r="B5461" s="2" t="s">
        <v>0</v>
      </c>
      <c r="C5461" s="2">
        <v>2633.08</v>
      </c>
      <c r="D5461" s="2" t="s">
        <v>0</v>
      </c>
      <c r="E5461" s="2">
        <v>6969.25</v>
      </c>
      <c r="G5461" s="1" t="s">
        <v>10915</v>
      </c>
      <c r="H5461" s="2" t="s">
        <v>0</v>
      </c>
      <c r="I5461" s="2">
        <v>2075.76</v>
      </c>
    </row>
    <row r="5462">
      <c r="A5462" s="1" t="s">
        <v>10916</v>
      </c>
      <c r="B5462" s="2">
        <v>2637.72</v>
      </c>
      <c r="C5462" s="2">
        <v>2637.72</v>
      </c>
      <c r="D5462" s="2">
        <v>7020.52</v>
      </c>
      <c r="E5462" s="2">
        <v>7020.52</v>
      </c>
      <c r="G5462" s="1" t="s">
        <v>10917</v>
      </c>
      <c r="H5462" s="2">
        <v>2053.79</v>
      </c>
      <c r="I5462" s="2">
        <v>2053.79</v>
      </c>
    </row>
    <row r="5463">
      <c r="A5463" s="1" t="s">
        <v>10918</v>
      </c>
      <c r="B5463" s="2">
        <v>2636.78</v>
      </c>
      <c r="C5463" s="2">
        <v>2636.78</v>
      </c>
      <c r="D5463" s="2">
        <v>7031.83</v>
      </c>
      <c r="E5463" s="2">
        <v>7031.83</v>
      </c>
      <c r="G5463" s="1" t="s">
        <v>10919</v>
      </c>
      <c r="H5463" s="2">
        <v>2052.97</v>
      </c>
      <c r="I5463" s="2">
        <v>2052.97</v>
      </c>
    </row>
    <row r="5464">
      <c r="A5464" s="1" t="s">
        <v>10920</v>
      </c>
      <c r="B5464" s="2">
        <v>2651.07</v>
      </c>
      <c r="C5464" s="2">
        <v>2651.07</v>
      </c>
      <c r="D5464" s="2">
        <v>7098.31</v>
      </c>
      <c r="E5464" s="2">
        <v>7098.31</v>
      </c>
      <c r="G5464" s="1" t="s">
        <v>10921</v>
      </c>
      <c r="H5464" s="2">
        <v>2082.57</v>
      </c>
      <c r="I5464" s="2">
        <v>2082.57</v>
      </c>
    </row>
    <row r="5465">
      <c r="A5465" s="1" t="s">
        <v>10922</v>
      </c>
      <c r="B5465" s="2">
        <v>2650.54</v>
      </c>
      <c r="C5465" s="2">
        <v>2650.54</v>
      </c>
      <c r="D5465" s="2">
        <v>7070.33</v>
      </c>
      <c r="E5465" s="2">
        <v>7070.33</v>
      </c>
      <c r="G5465" s="1" t="s">
        <v>10923</v>
      </c>
      <c r="H5465" s="2">
        <v>2095.55</v>
      </c>
      <c r="I5465" s="2">
        <v>2095.55</v>
      </c>
    </row>
    <row r="5466">
      <c r="A5466" s="1" t="s">
        <v>10924</v>
      </c>
      <c r="B5466" s="2">
        <v>2599.95</v>
      </c>
      <c r="C5466" s="2">
        <v>2599.95</v>
      </c>
      <c r="D5466" s="2">
        <v>6910.67</v>
      </c>
      <c r="E5466" s="2">
        <v>6910.67</v>
      </c>
      <c r="G5466" s="1" t="s">
        <v>10925</v>
      </c>
      <c r="H5466" s="2">
        <v>2069.38</v>
      </c>
      <c r="I5466" s="2">
        <v>2069.38</v>
      </c>
    </row>
    <row r="5467">
      <c r="A5467" s="1" t="s">
        <v>10926</v>
      </c>
      <c r="B5467" s="2" t="s">
        <v>0</v>
      </c>
      <c r="C5467" s="2">
        <v>2599.95</v>
      </c>
      <c r="D5467" s="2" t="s">
        <v>0</v>
      </c>
      <c r="E5467" s="2">
        <v>6910.67</v>
      </c>
      <c r="G5467" s="1" t="s">
        <v>10927</v>
      </c>
      <c r="H5467" s="2" t="s">
        <v>0</v>
      </c>
      <c r="I5467" s="2">
        <v>2069.38</v>
      </c>
    </row>
    <row r="5468">
      <c r="A5468" s="1" t="s">
        <v>10928</v>
      </c>
      <c r="B5468" s="2" t="s">
        <v>0</v>
      </c>
      <c r="C5468" s="2">
        <v>2599.95</v>
      </c>
      <c r="D5468" s="2" t="s">
        <v>0</v>
      </c>
      <c r="E5468" s="2">
        <v>6910.67</v>
      </c>
      <c r="G5468" s="1" t="s">
        <v>10929</v>
      </c>
      <c r="H5468" s="2" t="s">
        <v>0</v>
      </c>
      <c r="I5468" s="2">
        <v>2069.38</v>
      </c>
    </row>
    <row r="5469">
      <c r="A5469" s="1" t="s">
        <v>10930</v>
      </c>
      <c r="B5469" s="2">
        <v>2545.94</v>
      </c>
      <c r="C5469" s="2">
        <v>2545.94</v>
      </c>
      <c r="D5469" s="2">
        <v>6753.73</v>
      </c>
      <c r="E5469" s="2">
        <v>6753.73</v>
      </c>
      <c r="G5469" s="1" t="s">
        <v>10931</v>
      </c>
      <c r="H5469" s="2">
        <v>2071.09</v>
      </c>
      <c r="I5469" s="2">
        <v>2071.09</v>
      </c>
    </row>
    <row r="5470">
      <c r="A5470" s="1" t="s">
        <v>10932</v>
      </c>
      <c r="B5470" s="2">
        <v>2546.16</v>
      </c>
      <c r="C5470" s="2">
        <v>2546.16</v>
      </c>
      <c r="D5470" s="2">
        <v>6783.91</v>
      </c>
      <c r="E5470" s="2">
        <v>6783.91</v>
      </c>
      <c r="G5470" s="1" t="s">
        <v>10933</v>
      </c>
      <c r="H5470" s="2">
        <v>2062.11</v>
      </c>
      <c r="I5470" s="2">
        <v>2062.11</v>
      </c>
    </row>
    <row r="5471">
      <c r="A5471" s="1" t="s">
        <v>10934</v>
      </c>
      <c r="B5471" s="2">
        <v>2506.96</v>
      </c>
      <c r="C5471" s="2">
        <v>2506.96</v>
      </c>
      <c r="D5471" s="2">
        <v>6636.83</v>
      </c>
      <c r="E5471" s="2">
        <v>6636.83</v>
      </c>
      <c r="G5471" s="1" t="s">
        <v>10935</v>
      </c>
      <c r="H5471" s="2">
        <v>2078.84</v>
      </c>
      <c r="I5471" s="2">
        <v>2078.84</v>
      </c>
    </row>
    <row r="5472">
      <c r="A5472" s="1" t="s">
        <v>10936</v>
      </c>
      <c r="B5472" s="2">
        <v>2467.42</v>
      </c>
      <c r="C5472" s="2">
        <v>2467.42</v>
      </c>
      <c r="D5472" s="2">
        <v>6528.41</v>
      </c>
      <c r="E5472" s="2">
        <v>6528.41</v>
      </c>
      <c r="G5472" s="1" t="s">
        <v>10937</v>
      </c>
      <c r="H5472" s="2">
        <v>2060.12</v>
      </c>
      <c r="I5472" s="2">
        <v>2060.12</v>
      </c>
    </row>
    <row r="5473">
      <c r="A5473" s="1" t="s">
        <v>10938</v>
      </c>
      <c r="B5473" s="2">
        <v>2416.62</v>
      </c>
      <c r="C5473" s="2">
        <v>2416.62</v>
      </c>
      <c r="D5473" s="2">
        <v>6332.99</v>
      </c>
      <c r="E5473" s="2">
        <v>6332.99</v>
      </c>
      <c r="G5473" s="1" t="s">
        <v>10939</v>
      </c>
      <c r="H5473" s="2">
        <v>2061.49</v>
      </c>
      <c r="I5473" s="2">
        <v>2061.49</v>
      </c>
    </row>
    <row r="5474">
      <c r="A5474" s="1" t="s">
        <v>10940</v>
      </c>
      <c r="B5474" s="2" t="s">
        <v>0</v>
      </c>
      <c r="C5474" s="2">
        <v>2416.62</v>
      </c>
      <c r="D5474" s="2" t="s">
        <v>0</v>
      </c>
      <c r="E5474" s="2">
        <v>6332.99</v>
      </c>
      <c r="G5474" s="1" t="s">
        <v>10941</v>
      </c>
      <c r="H5474" s="2" t="s">
        <v>0</v>
      </c>
      <c r="I5474" s="2">
        <v>2061.49</v>
      </c>
    </row>
    <row r="5475">
      <c r="A5475" s="1" t="s">
        <v>10942</v>
      </c>
      <c r="B5475" s="2" t="s">
        <v>0</v>
      </c>
      <c r="C5475" s="2">
        <v>2416.62</v>
      </c>
      <c r="D5475" s="2" t="s">
        <v>0</v>
      </c>
      <c r="E5475" s="2">
        <v>6332.99</v>
      </c>
      <c r="G5475" s="1" t="s">
        <v>10943</v>
      </c>
      <c r="H5475" s="2" t="s">
        <v>0</v>
      </c>
      <c r="I5475" s="2">
        <v>2061.49</v>
      </c>
    </row>
    <row r="5476">
      <c r="A5476" s="1" t="s">
        <v>10944</v>
      </c>
      <c r="B5476" s="2" t="s">
        <v>0</v>
      </c>
      <c r="C5476" s="2">
        <v>2416.62</v>
      </c>
      <c r="D5476" s="2" t="s">
        <v>0</v>
      </c>
      <c r="E5476" s="2">
        <v>6332.99</v>
      </c>
      <c r="G5476" s="1" t="s">
        <v>10945</v>
      </c>
      <c r="H5476" s="2">
        <v>2055.01</v>
      </c>
      <c r="I5476" s="2">
        <v>2055.01</v>
      </c>
    </row>
    <row r="5477">
      <c r="A5477" s="1" t="s">
        <v>10946</v>
      </c>
      <c r="B5477" s="2" t="s">
        <v>0</v>
      </c>
      <c r="C5477" s="2">
        <v>2416.62</v>
      </c>
      <c r="D5477" s="2" t="s">
        <v>0</v>
      </c>
      <c r="E5477" s="2">
        <v>6332.99</v>
      </c>
      <c r="G5477" s="1" t="s">
        <v>10947</v>
      </c>
      <c r="H5477" s="2" t="s">
        <v>0</v>
      </c>
      <c r="I5477" s="2">
        <v>2055.01</v>
      </c>
    </row>
    <row r="5478">
      <c r="A5478" s="1" t="s">
        <v>10948</v>
      </c>
      <c r="B5478" s="2">
        <v>2467.7</v>
      </c>
      <c r="C5478" s="2">
        <v>2467.7</v>
      </c>
      <c r="D5478" s="2">
        <v>6554.36</v>
      </c>
      <c r="E5478" s="2">
        <v>6554.36</v>
      </c>
      <c r="G5478" s="1" t="s">
        <v>10949</v>
      </c>
      <c r="H5478" s="2">
        <v>2028.01</v>
      </c>
      <c r="I5478" s="2">
        <v>2028.01</v>
      </c>
    </row>
    <row r="5479">
      <c r="A5479" s="1" t="s">
        <v>10950</v>
      </c>
      <c r="B5479" s="2">
        <v>2488.83</v>
      </c>
      <c r="C5479" s="2">
        <v>2488.83</v>
      </c>
      <c r="D5479" s="2">
        <v>6579.49</v>
      </c>
      <c r="E5479" s="2">
        <v>6579.49</v>
      </c>
      <c r="G5479" s="1" t="s">
        <v>10951</v>
      </c>
      <c r="H5479" s="2">
        <v>2028.44</v>
      </c>
      <c r="I5479" s="2">
        <v>2028.44</v>
      </c>
    </row>
    <row r="5480">
      <c r="A5480" s="1" t="s">
        <v>10952</v>
      </c>
      <c r="B5480" s="2">
        <v>2485.74</v>
      </c>
      <c r="C5480" s="2">
        <v>2485.74</v>
      </c>
      <c r="D5480" s="2">
        <v>6584.52</v>
      </c>
      <c r="E5480" s="2">
        <v>6584.52</v>
      </c>
      <c r="G5480" s="1" t="s">
        <v>10953</v>
      </c>
      <c r="H5480" s="2">
        <v>2041.04</v>
      </c>
      <c r="I5480" s="2">
        <v>2041.04</v>
      </c>
    </row>
    <row r="5481">
      <c r="A5481" s="1" t="s">
        <v>10954</v>
      </c>
      <c r="B5481" s="2" t="s">
        <v>0</v>
      </c>
      <c r="C5481" s="2">
        <v>2485.74</v>
      </c>
      <c r="D5481" s="2" t="s">
        <v>0</v>
      </c>
      <c r="E5481" s="2">
        <v>6584.52</v>
      </c>
      <c r="G5481" s="1" t="s">
        <v>10955</v>
      </c>
      <c r="H5481" s="2" t="s">
        <v>0</v>
      </c>
      <c r="I5481" s="2">
        <v>2041.04</v>
      </c>
    </row>
    <row r="5482">
      <c r="A5482" s="1" t="s">
        <v>10956</v>
      </c>
      <c r="B5482" s="2" t="s">
        <v>0</v>
      </c>
      <c r="C5482" s="2">
        <v>2485.74</v>
      </c>
      <c r="D5482" s="2" t="s">
        <v>0</v>
      </c>
      <c r="E5482" s="2">
        <v>6584.52</v>
      </c>
      <c r="G5482" s="1" t="s">
        <v>10957</v>
      </c>
      <c r="H5482" s="2" t="s">
        <v>0</v>
      </c>
      <c r="I5482" s="2">
        <v>2041.04</v>
      </c>
    </row>
    <row r="5483">
      <c r="A5483" s="1" t="s">
        <v>10958</v>
      </c>
      <c r="B5483" s="2">
        <v>2506.85</v>
      </c>
      <c r="C5483" s="2">
        <v>2506.85</v>
      </c>
      <c r="D5483" s="2">
        <v>6635.28</v>
      </c>
      <c r="E5483" s="2">
        <v>6635.28</v>
      </c>
      <c r="G5483" s="1" t="s">
        <v>10959</v>
      </c>
      <c r="H5483" s="2" t="s">
        <v>0</v>
      </c>
      <c r="I5483" s="2">
        <v>2041.04</v>
      </c>
    </row>
    <row r="5484">
      <c r="A5484" s="1" t="s">
        <v>10960</v>
      </c>
      <c r="B5484" s="2" t="s">
        <v>0</v>
      </c>
      <c r="C5484" s="2">
        <v>2506.85</v>
      </c>
      <c r="D5484" s="2" t="s">
        <v>0</v>
      </c>
      <c r="E5484" s="2">
        <v>6635.28</v>
      </c>
      <c r="G5484" s="1" t="s">
        <v>10961</v>
      </c>
      <c r="H5484" s="2" t="s">
        <v>0</v>
      </c>
      <c r="I5484" s="2">
        <v>2041.04</v>
      </c>
    </row>
    <row r="5485">
      <c r="A5485" s="1" t="s">
        <v>10962</v>
      </c>
      <c r="B5485" s="2">
        <v>2510.03</v>
      </c>
      <c r="C5485" s="2">
        <v>2510.03</v>
      </c>
      <c r="D5485" s="2">
        <v>6665.94</v>
      </c>
      <c r="E5485" s="2">
        <v>6665.94</v>
      </c>
      <c r="G5485" s="1" t="s">
        <v>10963</v>
      </c>
      <c r="H5485" s="2">
        <v>2010.0</v>
      </c>
      <c r="I5485" s="2">
        <v>2010.0</v>
      </c>
    </row>
    <row r="5486">
      <c r="A5486" s="1" t="s">
        <v>10964</v>
      </c>
      <c r="B5486" s="2">
        <v>2447.89</v>
      </c>
      <c r="C5486" s="2">
        <v>2447.89</v>
      </c>
      <c r="D5486" s="2">
        <v>6463.5</v>
      </c>
      <c r="E5486" s="2">
        <v>6463.5</v>
      </c>
      <c r="G5486" s="1" t="s">
        <v>10965</v>
      </c>
      <c r="H5486" s="2">
        <v>1993.7</v>
      </c>
      <c r="I5486" s="2">
        <v>1993.7</v>
      </c>
    </row>
    <row r="5487">
      <c r="A5487" s="1" t="s">
        <v>10966</v>
      </c>
      <c r="B5487" s="2">
        <v>2531.94</v>
      </c>
      <c r="C5487" s="2">
        <v>2531.94</v>
      </c>
      <c r="D5487" s="2">
        <v>6738.86</v>
      </c>
      <c r="E5487" s="2">
        <v>6738.86</v>
      </c>
      <c r="G5487" s="1" t="s">
        <v>10967</v>
      </c>
      <c r="H5487" s="2">
        <v>2010.25</v>
      </c>
      <c r="I5487" s="2">
        <v>2010.25</v>
      </c>
    </row>
    <row r="5488">
      <c r="A5488" s="1" t="s">
        <v>10968</v>
      </c>
      <c r="B5488" s="2" t="s">
        <v>0</v>
      </c>
      <c r="C5488" s="2">
        <v>2531.94</v>
      </c>
      <c r="D5488" s="2" t="s">
        <v>0</v>
      </c>
      <c r="E5488" s="2">
        <v>6738.86</v>
      </c>
      <c r="G5488" s="1" t="s">
        <v>10969</v>
      </c>
      <c r="H5488" s="2" t="s">
        <v>0</v>
      </c>
      <c r="I5488" s="2">
        <v>2010.25</v>
      </c>
    </row>
    <row r="5489">
      <c r="A5489" s="1" t="s">
        <v>10970</v>
      </c>
      <c r="B5489" s="2" t="s">
        <v>0</v>
      </c>
      <c r="C5489" s="2">
        <v>2531.94</v>
      </c>
      <c r="D5489" s="2" t="s">
        <v>0</v>
      </c>
      <c r="E5489" s="2">
        <v>6738.86</v>
      </c>
      <c r="G5489" s="1" t="s">
        <v>10971</v>
      </c>
      <c r="H5489" s="2" t="s">
        <v>0</v>
      </c>
      <c r="I5489" s="2">
        <v>2010.25</v>
      </c>
    </row>
    <row r="5490">
      <c r="A5490" s="1" t="s">
        <v>10972</v>
      </c>
      <c r="B5490" s="2">
        <v>2549.69</v>
      </c>
      <c r="C5490" s="2">
        <v>2549.69</v>
      </c>
      <c r="D5490" s="2">
        <v>6823.47</v>
      </c>
      <c r="E5490" s="2">
        <v>6823.47</v>
      </c>
      <c r="G5490" s="1" t="s">
        <v>10973</v>
      </c>
      <c r="H5490" s="2">
        <v>2037.1</v>
      </c>
      <c r="I5490" s="2">
        <v>2037.1</v>
      </c>
    </row>
    <row r="5491">
      <c r="A5491" s="1" t="s">
        <v>10974</v>
      </c>
      <c r="B5491" s="2">
        <v>2574.41</v>
      </c>
      <c r="C5491" s="2">
        <v>2574.41</v>
      </c>
      <c r="D5491" s="2">
        <v>6897.0</v>
      </c>
      <c r="E5491" s="2">
        <v>6897.0</v>
      </c>
      <c r="G5491" s="1" t="s">
        <v>10975</v>
      </c>
      <c r="H5491" s="2">
        <v>2025.27</v>
      </c>
      <c r="I5491" s="2">
        <v>2025.27</v>
      </c>
    </row>
    <row r="5492">
      <c r="A5492" s="1" t="s">
        <v>10976</v>
      </c>
      <c r="B5492" s="2">
        <v>2584.96</v>
      </c>
      <c r="C5492" s="2">
        <v>2584.96</v>
      </c>
      <c r="D5492" s="2">
        <v>6957.08</v>
      </c>
      <c r="E5492" s="2">
        <v>6957.08</v>
      </c>
      <c r="G5492" s="1" t="s">
        <v>10977</v>
      </c>
      <c r="H5492" s="2">
        <v>2064.71</v>
      </c>
      <c r="I5492" s="2">
        <v>2064.71</v>
      </c>
    </row>
    <row r="5493">
      <c r="A5493" s="1" t="s">
        <v>10978</v>
      </c>
      <c r="B5493" s="2">
        <v>2596.64</v>
      </c>
      <c r="C5493" s="2">
        <v>2596.64</v>
      </c>
      <c r="D5493" s="2">
        <v>6986.07</v>
      </c>
      <c r="E5493" s="2">
        <v>6986.07</v>
      </c>
      <c r="G5493" s="1" t="s">
        <v>10979</v>
      </c>
      <c r="H5493" s="2">
        <v>2063.28</v>
      </c>
      <c r="I5493" s="2">
        <v>2063.28</v>
      </c>
    </row>
    <row r="5494">
      <c r="A5494" s="1" t="s">
        <v>10980</v>
      </c>
      <c r="B5494" s="2">
        <v>2596.26</v>
      </c>
      <c r="C5494" s="2">
        <v>2596.26</v>
      </c>
      <c r="D5494" s="2">
        <v>6971.48</v>
      </c>
      <c r="E5494" s="2">
        <v>6971.48</v>
      </c>
      <c r="G5494" s="1" t="s">
        <v>10981</v>
      </c>
      <c r="H5494" s="2">
        <v>2075.57</v>
      </c>
      <c r="I5494" s="2">
        <v>2075.57</v>
      </c>
    </row>
    <row r="5495">
      <c r="A5495" s="1" t="s">
        <v>10982</v>
      </c>
      <c r="B5495" s="2" t="s">
        <v>0</v>
      </c>
      <c r="C5495" s="2">
        <v>2596.26</v>
      </c>
      <c r="D5495" s="2" t="s">
        <v>0</v>
      </c>
      <c r="E5495" s="2">
        <v>6971.48</v>
      </c>
      <c r="G5495" s="1" t="s">
        <v>10983</v>
      </c>
      <c r="H5495" s="2" t="s">
        <v>0</v>
      </c>
      <c r="I5495" s="2">
        <v>2075.57</v>
      </c>
    </row>
    <row r="5496">
      <c r="A5496" s="1" t="s">
        <v>10984</v>
      </c>
      <c r="B5496" s="2" t="s">
        <v>0</v>
      </c>
      <c r="C5496" s="2">
        <v>2596.26</v>
      </c>
      <c r="D5496" s="2" t="s">
        <v>0</v>
      </c>
      <c r="E5496" s="2">
        <v>6971.48</v>
      </c>
      <c r="G5496" s="1" t="s">
        <v>10985</v>
      </c>
      <c r="H5496" s="2" t="s">
        <v>0</v>
      </c>
      <c r="I5496" s="2">
        <v>2075.57</v>
      </c>
    </row>
    <row r="5497">
      <c r="A5497" s="1" t="s">
        <v>10986</v>
      </c>
      <c r="B5497" s="2">
        <v>2582.61</v>
      </c>
      <c r="C5497" s="2">
        <v>2582.61</v>
      </c>
      <c r="D5497" s="2">
        <v>6905.92</v>
      </c>
      <c r="E5497" s="2">
        <v>6905.92</v>
      </c>
      <c r="G5497" s="1" t="s">
        <v>10987</v>
      </c>
      <c r="H5497" s="2">
        <v>2064.52</v>
      </c>
      <c r="I5497" s="2">
        <v>2064.52</v>
      </c>
    </row>
    <row r="5498">
      <c r="A5498" s="1" t="s">
        <v>10988</v>
      </c>
      <c r="B5498" s="2">
        <v>2610.3</v>
      </c>
      <c r="C5498" s="2">
        <v>2610.3</v>
      </c>
      <c r="D5498" s="2">
        <v>7023.83</v>
      </c>
      <c r="E5498" s="2">
        <v>7023.83</v>
      </c>
      <c r="G5498" s="1" t="s">
        <v>10989</v>
      </c>
      <c r="H5498" s="2">
        <v>2097.18</v>
      </c>
      <c r="I5498" s="2">
        <v>2097.18</v>
      </c>
    </row>
    <row r="5499">
      <c r="A5499" s="1" t="s">
        <v>10990</v>
      </c>
      <c r="B5499" s="2">
        <v>2616.1</v>
      </c>
      <c r="C5499" s="2">
        <v>2616.1</v>
      </c>
      <c r="D5499" s="2">
        <v>7034.69</v>
      </c>
      <c r="E5499" s="2">
        <v>7034.69</v>
      </c>
      <c r="G5499" s="1" t="s">
        <v>10991</v>
      </c>
      <c r="H5499" s="2">
        <v>2106.1</v>
      </c>
      <c r="I5499" s="2">
        <v>2106.1</v>
      </c>
    </row>
    <row r="5500">
      <c r="A5500" s="1" t="s">
        <v>10992</v>
      </c>
      <c r="B5500" s="2">
        <v>2635.96</v>
      </c>
      <c r="C5500" s="2">
        <v>2635.96</v>
      </c>
      <c r="D5500" s="2">
        <v>7084.46</v>
      </c>
      <c r="E5500" s="2">
        <v>7084.46</v>
      </c>
      <c r="G5500" s="1" t="s">
        <v>10993</v>
      </c>
      <c r="H5500" s="2">
        <v>2107.06</v>
      </c>
      <c r="I5500" s="2">
        <v>2107.06</v>
      </c>
    </row>
    <row r="5501">
      <c r="A5501" s="1" t="s">
        <v>10994</v>
      </c>
      <c r="B5501" s="2">
        <v>2670.71</v>
      </c>
      <c r="C5501" s="2">
        <v>2670.71</v>
      </c>
      <c r="D5501" s="2">
        <v>7157.23</v>
      </c>
      <c r="E5501" s="2">
        <v>7157.23</v>
      </c>
      <c r="G5501" s="1" t="s">
        <v>10995</v>
      </c>
      <c r="H5501" s="2">
        <v>2124.28</v>
      </c>
      <c r="I5501" s="2">
        <v>2124.28</v>
      </c>
    </row>
    <row r="5502">
      <c r="A5502" s="1" t="s">
        <v>10996</v>
      </c>
      <c r="B5502" s="2" t="s">
        <v>0</v>
      </c>
      <c r="C5502" s="2">
        <v>2670.71</v>
      </c>
      <c r="D5502" s="2" t="s">
        <v>0</v>
      </c>
      <c r="E5502" s="2">
        <v>7157.23</v>
      </c>
      <c r="G5502" s="1" t="s">
        <v>10997</v>
      </c>
      <c r="H5502" s="2" t="s">
        <v>0</v>
      </c>
      <c r="I5502" s="2">
        <v>2124.28</v>
      </c>
    </row>
    <row r="5503">
      <c r="A5503" s="1" t="s">
        <v>10998</v>
      </c>
      <c r="B5503" s="2" t="s">
        <v>0</v>
      </c>
      <c r="C5503" s="2">
        <v>2670.71</v>
      </c>
      <c r="D5503" s="2" t="s">
        <v>0</v>
      </c>
      <c r="E5503" s="2">
        <v>7157.23</v>
      </c>
      <c r="G5503" s="1" t="s">
        <v>10999</v>
      </c>
      <c r="H5503" s="2" t="s">
        <v>0</v>
      </c>
      <c r="I5503" s="2">
        <v>2124.28</v>
      </c>
    </row>
    <row r="5504">
      <c r="A5504" s="1" t="s">
        <v>11000</v>
      </c>
      <c r="B5504" s="2" t="s">
        <v>0</v>
      </c>
      <c r="C5504" s="2">
        <v>2670.71</v>
      </c>
      <c r="D5504" s="2" t="s">
        <v>0</v>
      </c>
      <c r="E5504" s="2">
        <v>7157.23</v>
      </c>
      <c r="G5504" s="1" t="s">
        <v>11001</v>
      </c>
      <c r="H5504" s="2">
        <v>2124.61</v>
      </c>
      <c r="I5504" s="2">
        <v>2124.61</v>
      </c>
    </row>
    <row r="5505">
      <c r="A5505" s="1" t="s">
        <v>11002</v>
      </c>
      <c r="B5505" s="2">
        <v>2632.9</v>
      </c>
      <c r="C5505" s="2">
        <v>2632.9</v>
      </c>
      <c r="D5505" s="2">
        <v>7020.36</v>
      </c>
      <c r="E5505" s="2">
        <v>7020.36</v>
      </c>
      <c r="G5505" s="1" t="s">
        <v>11003</v>
      </c>
      <c r="H5505" s="2">
        <v>2117.77</v>
      </c>
      <c r="I5505" s="2">
        <v>2117.77</v>
      </c>
    </row>
    <row r="5506">
      <c r="A5506" s="1" t="s">
        <v>11004</v>
      </c>
      <c r="B5506" s="2">
        <v>2638.7</v>
      </c>
      <c r="C5506" s="2">
        <v>2638.7</v>
      </c>
      <c r="D5506" s="2">
        <v>7025.77</v>
      </c>
      <c r="E5506" s="2">
        <v>7025.77</v>
      </c>
      <c r="G5506" s="1" t="s">
        <v>11005</v>
      </c>
      <c r="H5506" s="2">
        <v>2127.78</v>
      </c>
      <c r="I5506" s="2">
        <v>2127.78</v>
      </c>
    </row>
    <row r="5507">
      <c r="A5507" s="1" t="s">
        <v>11006</v>
      </c>
      <c r="B5507" s="2">
        <v>2642.33</v>
      </c>
      <c r="C5507" s="2">
        <v>2642.33</v>
      </c>
      <c r="D5507" s="2">
        <v>7073.46</v>
      </c>
      <c r="E5507" s="2">
        <v>7073.46</v>
      </c>
      <c r="G5507" s="1" t="s">
        <v>11007</v>
      </c>
      <c r="H5507" s="2">
        <v>2145.03</v>
      </c>
      <c r="I5507" s="2">
        <v>2145.03</v>
      </c>
    </row>
    <row r="5508">
      <c r="A5508" s="1" t="s">
        <v>11008</v>
      </c>
      <c r="B5508" s="2">
        <v>2664.76</v>
      </c>
      <c r="C5508" s="2">
        <v>2664.76</v>
      </c>
      <c r="D5508" s="2">
        <v>7164.86</v>
      </c>
      <c r="E5508" s="2">
        <v>7164.86</v>
      </c>
      <c r="G5508" s="1" t="s">
        <v>11009</v>
      </c>
      <c r="H5508" s="2">
        <v>2177.73</v>
      </c>
      <c r="I5508" s="2">
        <v>2177.73</v>
      </c>
    </row>
    <row r="5509">
      <c r="A5509" s="1" t="s">
        <v>11010</v>
      </c>
      <c r="B5509" s="2" t="s">
        <v>0</v>
      </c>
      <c r="C5509" s="2">
        <v>2664.76</v>
      </c>
      <c r="D5509" s="2" t="s">
        <v>0</v>
      </c>
      <c r="E5509" s="2">
        <v>7164.86</v>
      </c>
      <c r="G5509" s="1" t="s">
        <v>11011</v>
      </c>
      <c r="H5509" s="2" t="s">
        <v>0</v>
      </c>
      <c r="I5509" s="2">
        <v>2177.73</v>
      </c>
    </row>
    <row r="5510">
      <c r="A5510" s="1" t="s">
        <v>11012</v>
      </c>
      <c r="B5510" s="2" t="s">
        <v>0</v>
      </c>
      <c r="C5510" s="2">
        <v>2664.76</v>
      </c>
      <c r="D5510" s="2" t="s">
        <v>0</v>
      </c>
      <c r="E5510" s="2">
        <v>7164.86</v>
      </c>
      <c r="G5510" s="1" t="s">
        <v>11013</v>
      </c>
      <c r="H5510" s="2" t="s">
        <v>0</v>
      </c>
      <c r="I5510" s="2">
        <v>2177.73</v>
      </c>
    </row>
    <row r="5511">
      <c r="A5511" s="1" t="s">
        <v>11014</v>
      </c>
      <c r="B5511" s="2">
        <v>2643.85</v>
      </c>
      <c r="C5511" s="2">
        <v>2643.85</v>
      </c>
      <c r="D5511" s="2">
        <v>7085.69</v>
      </c>
      <c r="E5511" s="2">
        <v>7085.69</v>
      </c>
      <c r="G5511" s="1" t="s">
        <v>11015</v>
      </c>
      <c r="H5511" s="2">
        <v>2177.3</v>
      </c>
      <c r="I5511" s="2">
        <v>2177.3</v>
      </c>
    </row>
    <row r="5512">
      <c r="A5512" s="1" t="s">
        <v>11016</v>
      </c>
      <c r="B5512" s="2">
        <v>2640.0</v>
      </c>
      <c r="C5512" s="2">
        <v>2640.0</v>
      </c>
      <c r="D5512" s="2">
        <v>7028.29</v>
      </c>
      <c r="E5512" s="2">
        <v>7028.29</v>
      </c>
      <c r="G5512" s="1" t="s">
        <v>11017</v>
      </c>
      <c r="H5512" s="2">
        <v>2183.36</v>
      </c>
      <c r="I5512" s="2">
        <v>2183.36</v>
      </c>
    </row>
    <row r="5513">
      <c r="A5513" s="1" t="s">
        <v>11018</v>
      </c>
      <c r="B5513" s="2">
        <v>2681.05</v>
      </c>
      <c r="C5513" s="2">
        <v>2681.05</v>
      </c>
      <c r="D5513" s="2">
        <v>7183.08</v>
      </c>
      <c r="E5513" s="2">
        <v>7183.08</v>
      </c>
      <c r="G5513" s="1" t="s">
        <v>11019</v>
      </c>
      <c r="H5513" s="2">
        <v>2206.2</v>
      </c>
      <c r="I5513" s="2">
        <v>2206.2</v>
      </c>
    </row>
    <row r="5514">
      <c r="A5514" s="1" t="s">
        <v>11020</v>
      </c>
      <c r="B5514" s="2">
        <v>2704.1</v>
      </c>
      <c r="C5514" s="2">
        <v>2704.1</v>
      </c>
      <c r="D5514" s="2">
        <v>7281.74</v>
      </c>
      <c r="E5514" s="2">
        <v>7281.74</v>
      </c>
      <c r="G5514" s="1" t="s">
        <v>11021</v>
      </c>
      <c r="H5514" s="2">
        <v>2204.85</v>
      </c>
      <c r="I5514" s="2">
        <v>2204.85</v>
      </c>
    </row>
    <row r="5515">
      <c r="A5515" s="1" t="s">
        <v>11022</v>
      </c>
      <c r="B5515" s="2">
        <v>2706.53</v>
      </c>
      <c r="C5515" s="2">
        <v>2706.53</v>
      </c>
      <c r="D5515" s="2">
        <v>7263.87</v>
      </c>
      <c r="E5515" s="2">
        <v>7263.87</v>
      </c>
      <c r="G5515" s="1" t="s">
        <v>11023</v>
      </c>
      <c r="H5515" s="2">
        <v>2203.46</v>
      </c>
      <c r="I5515" s="2">
        <v>2203.46</v>
      </c>
    </row>
    <row r="5516">
      <c r="A5516" s="1" t="s">
        <v>11024</v>
      </c>
      <c r="B5516" s="2" t="s">
        <v>0</v>
      </c>
      <c r="C5516" s="2">
        <v>2706.53</v>
      </c>
      <c r="D5516" s="2" t="s">
        <v>0</v>
      </c>
      <c r="E5516" s="2">
        <v>7263.87</v>
      </c>
      <c r="G5516" s="1" t="s">
        <v>11025</v>
      </c>
      <c r="H5516" s="2" t="s">
        <v>0</v>
      </c>
      <c r="I5516" s="2">
        <v>2203.46</v>
      </c>
    </row>
    <row r="5517">
      <c r="A5517" s="1" t="s">
        <v>11026</v>
      </c>
      <c r="B5517" s="2" t="s">
        <v>0</v>
      </c>
      <c r="C5517" s="2">
        <v>2706.53</v>
      </c>
      <c r="D5517" s="2" t="s">
        <v>0</v>
      </c>
      <c r="E5517" s="2">
        <v>7263.87</v>
      </c>
      <c r="G5517" s="1" t="s">
        <v>11027</v>
      </c>
      <c r="H5517" s="2" t="s">
        <v>0</v>
      </c>
      <c r="I5517" s="2">
        <v>2203.46</v>
      </c>
    </row>
    <row r="5518">
      <c r="A5518" s="1" t="s">
        <v>11028</v>
      </c>
      <c r="B5518" s="2">
        <v>2724.87</v>
      </c>
      <c r="C5518" s="2">
        <v>2724.87</v>
      </c>
      <c r="D5518" s="2">
        <v>7347.54</v>
      </c>
      <c r="E5518" s="2">
        <v>7347.54</v>
      </c>
      <c r="G5518" s="1" t="s">
        <v>11029</v>
      </c>
      <c r="H5518" s="2" t="s">
        <v>0</v>
      </c>
      <c r="I5518" s="2">
        <v>2203.46</v>
      </c>
    </row>
    <row r="5519">
      <c r="A5519" s="1" t="s">
        <v>11030</v>
      </c>
      <c r="B5519" s="2">
        <v>2737.7</v>
      </c>
      <c r="C5519" s="2">
        <v>2737.7</v>
      </c>
      <c r="D5519" s="2">
        <v>7402.08</v>
      </c>
      <c r="E5519" s="2">
        <v>7402.08</v>
      </c>
      <c r="G5519" s="1" t="s">
        <v>11031</v>
      </c>
      <c r="H5519" s="2" t="s">
        <v>0</v>
      </c>
      <c r="I5519" s="2">
        <v>2203.46</v>
      </c>
    </row>
    <row r="5520">
      <c r="A5520" s="1" t="s">
        <v>11032</v>
      </c>
      <c r="B5520" s="2">
        <v>2731.61</v>
      </c>
      <c r="C5520" s="2">
        <v>2731.61</v>
      </c>
      <c r="D5520" s="2">
        <v>7375.28</v>
      </c>
      <c r="E5520" s="2">
        <v>7375.28</v>
      </c>
      <c r="G5520" s="1" t="s">
        <v>11033</v>
      </c>
      <c r="H5520" s="2" t="s">
        <v>0</v>
      </c>
      <c r="I5520" s="2">
        <v>2203.46</v>
      </c>
    </row>
    <row r="5521">
      <c r="A5521" s="1" t="s">
        <v>11034</v>
      </c>
      <c r="B5521" s="2">
        <v>2706.05</v>
      </c>
      <c r="C5521" s="2">
        <v>2706.05</v>
      </c>
      <c r="D5521" s="2">
        <v>7288.35</v>
      </c>
      <c r="E5521" s="2">
        <v>7288.35</v>
      </c>
      <c r="G5521" s="1" t="s">
        <v>11035</v>
      </c>
      <c r="H5521" s="2">
        <v>2203.42</v>
      </c>
      <c r="I5521" s="2">
        <v>2203.42</v>
      </c>
    </row>
    <row r="5522">
      <c r="A5522" s="1" t="s">
        <v>11036</v>
      </c>
      <c r="B5522" s="2">
        <v>2707.88</v>
      </c>
      <c r="C5522" s="2">
        <v>2707.88</v>
      </c>
      <c r="D5522" s="2">
        <v>7298.2</v>
      </c>
      <c r="E5522" s="2">
        <v>7298.2</v>
      </c>
      <c r="G5522" s="1" t="s">
        <v>11037</v>
      </c>
      <c r="H5522" s="2">
        <v>2177.05</v>
      </c>
      <c r="I5522" s="2">
        <v>2177.05</v>
      </c>
    </row>
    <row r="5523">
      <c r="A5523" s="1" t="s">
        <v>11038</v>
      </c>
      <c r="B5523" s="2" t="s">
        <v>0</v>
      </c>
      <c r="C5523" s="2">
        <v>2707.88</v>
      </c>
      <c r="D5523" s="2" t="s">
        <v>0</v>
      </c>
      <c r="E5523" s="2">
        <v>7298.2</v>
      </c>
      <c r="G5523" s="1" t="s">
        <v>11039</v>
      </c>
      <c r="H5523" s="2" t="s">
        <v>0</v>
      </c>
      <c r="I5523" s="2">
        <v>2177.05</v>
      </c>
    </row>
    <row r="5524">
      <c r="A5524" s="1" t="s">
        <v>11040</v>
      </c>
      <c r="B5524" s="2" t="s">
        <v>0</v>
      </c>
      <c r="C5524" s="2">
        <v>2707.88</v>
      </c>
      <c r="D5524" s="2" t="s">
        <v>0</v>
      </c>
      <c r="E5524" s="2">
        <v>7298.2</v>
      </c>
      <c r="G5524" s="1" t="s">
        <v>11041</v>
      </c>
      <c r="H5524" s="2" t="s">
        <v>0</v>
      </c>
      <c r="I5524" s="2">
        <v>2177.05</v>
      </c>
    </row>
    <row r="5525">
      <c r="A5525" s="1" t="s">
        <v>11042</v>
      </c>
      <c r="B5525" s="2">
        <v>2709.8</v>
      </c>
      <c r="C5525" s="2">
        <v>2709.8</v>
      </c>
      <c r="D5525" s="2">
        <v>7307.91</v>
      </c>
      <c r="E5525" s="2">
        <v>7307.91</v>
      </c>
      <c r="G5525" s="1" t="s">
        <v>11043</v>
      </c>
      <c r="H5525" s="2">
        <v>2180.73</v>
      </c>
      <c r="I5525" s="2">
        <v>2180.73</v>
      </c>
    </row>
    <row r="5526">
      <c r="A5526" s="1" t="s">
        <v>11044</v>
      </c>
      <c r="B5526" s="2">
        <v>2744.73</v>
      </c>
      <c r="C5526" s="2">
        <v>2744.73</v>
      </c>
      <c r="D5526" s="2">
        <v>7414.62</v>
      </c>
      <c r="E5526" s="2">
        <v>7414.62</v>
      </c>
      <c r="G5526" s="1" t="s">
        <v>11045</v>
      </c>
      <c r="H5526" s="2">
        <v>2190.47</v>
      </c>
      <c r="I5526" s="2">
        <v>2190.47</v>
      </c>
    </row>
    <row r="5527">
      <c r="A5527" s="1" t="s">
        <v>11046</v>
      </c>
      <c r="B5527" s="2">
        <v>2753.03</v>
      </c>
      <c r="C5527" s="2">
        <v>2753.03</v>
      </c>
      <c r="D5527" s="2">
        <v>7420.38</v>
      </c>
      <c r="E5527" s="2">
        <v>7420.38</v>
      </c>
      <c r="G5527" s="1" t="s">
        <v>11047</v>
      </c>
      <c r="H5527" s="2">
        <v>2201.48</v>
      </c>
      <c r="I5527" s="2">
        <v>2201.48</v>
      </c>
    </row>
    <row r="5528">
      <c r="A5528" s="1" t="s">
        <v>11048</v>
      </c>
      <c r="B5528" s="2">
        <v>2745.73</v>
      </c>
      <c r="C5528" s="2">
        <v>2745.73</v>
      </c>
      <c r="D5528" s="2">
        <v>7426.96</v>
      </c>
      <c r="E5528" s="2">
        <v>7426.96</v>
      </c>
      <c r="G5528" s="1" t="s">
        <v>11049</v>
      </c>
      <c r="H5528" s="2">
        <v>2225.85</v>
      </c>
      <c r="I5528" s="2">
        <v>2225.85</v>
      </c>
    </row>
    <row r="5529">
      <c r="A5529" s="1" t="s">
        <v>11050</v>
      </c>
      <c r="B5529" s="2">
        <v>2775.6</v>
      </c>
      <c r="C5529" s="2">
        <v>2775.6</v>
      </c>
      <c r="D5529" s="2">
        <v>7472.41</v>
      </c>
      <c r="E5529" s="2">
        <v>7472.41</v>
      </c>
      <c r="G5529" s="1" t="s">
        <v>11051</v>
      </c>
      <c r="H5529" s="2">
        <v>2196.09</v>
      </c>
      <c r="I5529" s="2">
        <v>2196.09</v>
      </c>
    </row>
    <row r="5530">
      <c r="A5530" s="1" t="s">
        <v>11052</v>
      </c>
      <c r="B5530" s="2" t="s">
        <v>0</v>
      </c>
      <c r="C5530" s="2">
        <v>2775.6</v>
      </c>
      <c r="D5530" s="2" t="s">
        <v>0</v>
      </c>
      <c r="E5530" s="2">
        <v>7472.41</v>
      </c>
      <c r="G5530" s="1" t="s">
        <v>11053</v>
      </c>
      <c r="H5530" s="2" t="s">
        <v>0</v>
      </c>
      <c r="I5530" s="2">
        <v>2196.09</v>
      </c>
    </row>
    <row r="5531">
      <c r="A5531" s="1" t="s">
        <v>11054</v>
      </c>
      <c r="B5531" s="2" t="s">
        <v>0</v>
      </c>
      <c r="C5531" s="2">
        <v>2775.6</v>
      </c>
      <c r="D5531" s="2" t="s">
        <v>0</v>
      </c>
      <c r="E5531" s="2">
        <v>7472.41</v>
      </c>
      <c r="G5531" s="1" t="s">
        <v>11055</v>
      </c>
      <c r="H5531" s="2" t="s">
        <v>0</v>
      </c>
      <c r="I5531" s="2">
        <v>2196.09</v>
      </c>
    </row>
    <row r="5532">
      <c r="A5532" s="1" t="s">
        <v>11056</v>
      </c>
      <c r="B5532" s="2" t="s">
        <v>0</v>
      </c>
      <c r="C5532" s="2">
        <v>2775.6</v>
      </c>
      <c r="D5532" s="2" t="s">
        <v>0</v>
      </c>
      <c r="E5532" s="2">
        <v>7472.41</v>
      </c>
      <c r="G5532" s="1" t="s">
        <v>11057</v>
      </c>
      <c r="H5532" s="2">
        <v>2210.89</v>
      </c>
      <c r="I5532" s="2">
        <v>2210.89</v>
      </c>
    </row>
    <row r="5533">
      <c r="A5533" s="1" t="s">
        <v>11058</v>
      </c>
      <c r="B5533" s="2">
        <v>2779.76</v>
      </c>
      <c r="C5533" s="2">
        <v>2779.76</v>
      </c>
      <c r="D5533" s="2">
        <v>7486.77</v>
      </c>
      <c r="E5533" s="2">
        <v>7486.77</v>
      </c>
      <c r="G5533" s="1" t="s">
        <v>11059</v>
      </c>
      <c r="H5533" s="2">
        <v>2205.63</v>
      </c>
      <c r="I5533" s="2">
        <v>2205.63</v>
      </c>
    </row>
    <row r="5534">
      <c r="A5534" s="1" t="s">
        <v>11060</v>
      </c>
      <c r="B5534" s="2">
        <v>2784.7</v>
      </c>
      <c r="C5534" s="2">
        <v>2784.7</v>
      </c>
      <c r="D5534" s="2">
        <v>7489.07</v>
      </c>
      <c r="E5534" s="2">
        <v>7489.07</v>
      </c>
      <c r="G5534" s="1" t="s">
        <v>11061</v>
      </c>
      <c r="H5534" s="2">
        <v>2229.76</v>
      </c>
      <c r="I5534" s="2">
        <v>2229.76</v>
      </c>
    </row>
    <row r="5535">
      <c r="A5535" s="1" t="s">
        <v>11062</v>
      </c>
      <c r="B5535" s="2">
        <v>2774.88</v>
      </c>
      <c r="C5535" s="2">
        <v>2774.88</v>
      </c>
      <c r="D5535" s="2">
        <v>7459.71</v>
      </c>
      <c r="E5535" s="2">
        <v>7459.71</v>
      </c>
      <c r="G5535" s="1" t="s">
        <v>11063</v>
      </c>
      <c r="H5535" s="2">
        <v>2228.66</v>
      </c>
      <c r="I5535" s="2">
        <v>2228.66</v>
      </c>
    </row>
    <row r="5536">
      <c r="A5536" s="1" t="s">
        <v>11064</v>
      </c>
      <c r="B5536" s="2">
        <v>2792.67</v>
      </c>
      <c r="C5536" s="2">
        <v>2792.67</v>
      </c>
      <c r="D5536" s="2">
        <v>7527.55</v>
      </c>
      <c r="E5536" s="2">
        <v>7527.55</v>
      </c>
      <c r="G5536" s="1" t="s">
        <v>11065</v>
      </c>
      <c r="H5536" s="2">
        <v>2230.5</v>
      </c>
      <c r="I5536" s="2">
        <v>2230.5</v>
      </c>
    </row>
    <row r="5537">
      <c r="A5537" s="1" t="s">
        <v>11066</v>
      </c>
      <c r="B5537" s="2" t="s">
        <v>0</v>
      </c>
      <c r="C5537" s="2">
        <v>2792.67</v>
      </c>
      <c r="D5537" s="2" t="s">
        <v>0</v>
      </c>
      <c r="E5537" s="2">
        <v>7527.55</v>
      </c>
      <c r="G5537" s="1" t="s">
        <v>11067</v>
      </c>
      <c r="H5537" s="2" t="s">
        <v>0</v>
      </c>
      <c r="I5537" s="2">
        <v>2230.5</v>
      </c>
    </row>
    <row r="5538">
      <c r="A5538" s="1" t="s">
        <v>11068</v>
      </c>
      <c r="B5538" s="2" t="s">
        <v>0</v>
      </c>
      <c r="C5538" s="2">
        <v>2792.67</v>
      </c>
      <c r="D5538" s="2" t="s">
        <v>0</v>
      </c>
      <c r="E5538" s="2">
        <v>7527.55</v>
      </c>
      <c r="G5538" s="1" t="s">
        <v>11069</v>
      </c>
      <c r="H5538" s="2" t="s">
        <v>0</v>
      </c>
      <c r="I5538" s="2">
        <v>2230.5</v>
      </c>
    </row>
    <row r="5539">
      <c r="A5539" s="1" t="s">
        <v>11070</v>
      </c>
      <c r="B5539" s="2">
        <v>2796.11</v>
      </c>
      <c r="C5539" s="2">
        <v>2796.11</v>
      </c>
      <c r="D5539" s="2">
        <v>7554.46</v>
      </c>
      <c r="E5539" s="2">
        <v>7554.46</v>
      </c>
      <c r="G5539" s="1" t="s">
        <v>11071</v>
      </c>
      <c r="H5539" s="2">
        <v>2232.56</v>
      </c>
      <c r="I5539" s="2">
        <v>2232.56</v>
      </c>
    </row>
    <row r="5540">
      <c r="A5540" s="1" t="s">
        <v>11072</v>
      </c>
      <c r="B5540" s="2">
        <v>2793.9</v>
      </c>
      <c r="C5540" s="2">
        <v>2793.9</v>
      </c>
      <c r="D5540" s="2">
        <v>7549.3</v>
      </c>
      <c r="E5540" s="2">
        <v>7549.3</v>
      </c>
      <c r="G5540" s="1" t="s">
        <v>11073</v>
      </c>
      <c r="H5540" s="2">
        <v>2226.6</v>
      </c>
      <c r="I5540" s="2">
        <v>2226.6</v>
      </c>
    </row>
    <row r="5541">
      <c r="A5541" s="1" t="s">
        <v>11074</v>
      </c>
      <c r="B5541" s="2">
        <v>2792.38</v>
      </c>
      <c r="C5541" s="2">
        <v>2792.38</v>
      </c>
      <c r="D5541" s="2">
        <v>7554.51</v>
      </c>
      <c r="E5541" s="2">
        <v>7554.51</v>
      </c>
      <c r="G5541" s="1" t="s">
        <v>11075</v>
      </c>
      <c r="H5541" s="2">
        <v>2234.79</v>
      </c>
      <c r="I5541" s="2">
        <v>2234.79</v>
      </c>
    </row>
    <row r="5542">
      <c r="A5542" s="1" t="s">
        <v>11076</v>
      </c>
      <c r="B5542" s="2">
        <v>2784.49</v>
      </c>
      <c r="C5542" s="2">
        <v>2784.49</v>
      </c>
      <c r="D5542" s="2">
        <v>7532.53</v>
      </c>
      <c r="E5542" s="2">
        <v>7532.53</v>
      </c>
      <c r="G5542" s="1" t="s">
        <v>11077</v>
      </c>
      <c r="H5542" s="2">
        <v>2195.44</v>
      </c>
      <c r="I5542" s="2">
        <v>2195.44</v>
      </c>
    </row>
    <row r="5543">
      <c r="A5543" s="1" t="s">
        <v>11078</v>
      </c>
      <c r="B5543" s="2">
        <v>2803.69</v>
      </c>
      <c r="C5543" s="2">
        <v>2803.69</v>
      </c>
      <c r="D5543" s="2">
        <v>7595.35</v>
      </c>
      <c r="E5543" s="2">
        <v>7595.35</v>
      </c>
      <c r="G5543" s="1" t="s">
        <v>11079</v>
      </c>
      <c r="H5543" s="2" t="s">
        <v>0</v>
      </c>
      <c r="I5543" s="2">
        <v>2195.44</v>
      </c>
    </row>
    <row r="5544">
      <c r="A5544" s="1" t="s">
        <v>11080</v>
      </c>
      <c r="B5544" s="2" t="s">
        <v>0</v>
      </c>
      <c r="C5544" s="2">
        <v>2803.69</v>
      </c>
      <c r="D5544" s="2" t="s">
        <v>0</v>
      </c>
      <c r="E5544" s="2">
        <v>7595.35</v>
      </c>
      <c r="G5544" s="1" t="s">
        <v>11081</v>
      </c>
      <c r="H5544" s="2" t="s">
        <v>0</v>
      </c>
      <c r="I5544" s="2">
        <v>2195.44</v>
      </c>
    </row>
    <row r="5545">
      <c r="A5545" s="1" t="s">
        <v>11082</v>
      </c>
      <c r="B5545" s="2" t="s">
        <v>0</v>
      </c>
      <c r="C5545" s="2">
        <v>2803.69</v>
      </c>
      <c r="D5545" s="2" t="s">
        <v>0</v>
      </c>
      <c r="E5545" s="2">
        <v>7595.35</v>
      </c>
      <c r="G5545" s="1" t="s">
        <v>11083</v>
      </c>
      <c r="H5545" s="2" t="s">
        <v>0</v>
      </c>
      <c r="I5545" s="2">
        <v>2195.44</v>
      </c>
    </row>
    <row r="5546">
      <c r="A5546" s="1" t="s">
        <v>11084</v>
      </c>
      <c r="B5546" s="2">
        <v>2792.81</v>
      </c>
      <c r="C5546" s="2">
        <v>2792.81</v>
      </c>
      <c r="D5546" s="2">
        <v>7577.57</v>
      </c>
      <c r="E5546" s="2">
        <v>7577.57</v>
      </c>
      <c r="G5546" s="1" t="s">
        <v>11085</v>
      </c>
      <c r="H5546" s="2">
        <v>2190.66</v>
      </c>
      <c r="I5546" s="2">
        <v>2190.66</v>
      </c>
    </row>
    <row r="5547">
      <c r="A5547" s="1" t="s">
        <v>11086</v>
      </c>
      <c r="B5547" s="2">
        <v>2789.65</v>
      </c>
      <c r="C5547" s="2">
        <v>2789.65</v>
      </c>
      <c r="D5547" s="2">
        <v>7576.36</v>
      </c>
      <c r="E5547" s="2">
        <v>7576.36</v>
      </c>
      <c r="G5547" s="1" t="s">
        <v>11087</v>
      </c>
      <c r="H5547" s="2">
        <v>2179.23</v>
      </c>
      <c r="I5547" s="2">
        <v>2179.23</v>
      </c>
    </row>
    <row r="5548">
      <c r="A5548" s="1" t="s">
        <v>11088</v>
      </c>
      <c r="B5548" s="2">
        <v>2771.45</v>
      </c>
      <c r="C5548" s="2">
        <v>2771.45</v>
      </c>
      <c r="D5548" s="2">
        <v>7505.92</v>
      </c>
      <c r="E5548" s="2">
        <v>7505.92</v>
      </c>
      <c r="G5548" s="1" t="s">
        <v>11089</v>
      </c>
      <c r="H5548" s="2">
        <v>2175.6</v>
      </c>
      <c r="I5548" s="2">
        <v>2175.6</v>
      </c>
    </row>
    <row r="5549">
      <c r="A5549" s="1" t="s">
        <v>11090</v>
      </c>
      <c r="B5549" s="2">
        <v>2748.93</v>
      </c>
      <c r="C5549" s="2">
        <v>2748.93</v>
      </c>
      <c r="D5549" s="2">
        <v>7421.46</v>
      </c>
      <c r="E5549" s="2">
        <v>7421.46</v>
      </c>
      <c r="G5549" s="1" t="s">
        <v>11091</v>
      </c>
      <c r="H5549" s="2">
        <v>2165.79</v>
      </c>
      <c r="I5549" s="2">
        <v>2165.79</v>
      </c>
    </row>
    <row r="5550">
      <c r="A5550" s="1" t="s">
        <v>11092</v>
      </c>
      <c r="B5550" s="2">
        <v>2743.07</v>
      </c>
      <c r="C5550" s="2">
        <v>2743.07</v>
      </c>
      <c r="D5550" s="2">
        <v>7408.14</v>
      </c>
      <c r="E5550" s="2">
        <v>7408.14</v>
      </c>
      <c r="G5550" s="1" t="s">
        <v>11093</v>
      </c>
      <c r="H5550" s="2">
        <v>2137.44</v>
      </c>
      <c r="I5550" s="2">
        <v>2137.44</v>
      </c>
    </row>
    <row r="5551">
      <c r="A5551" s="1" t="s">
        <v>11094</v>
      </c>
      <c r="B5551" s="2" t="s">
        <v>0</v>
      </c>
      <c r="C5551" s="2">
        <v>2743.07</v>
      </c>
      <c r="D5551" s="2" t="s">
        <v>0</v>
      </c>
      <c r="E5551" s="2">
        <v>7408.14</v>
      </c>
      <c r="G5551" s="1" t="s">
        <v>11095</v>
      </c>
      <c r="H5551" s="2" t="s">
        <v>0</v>
      </c>
      <c r="I5551" s="2">
        <v>2137.44</v>
      </c>
    </row>
    <row r="5552">
      <c r="A5552" s="1" t="s">
        <v>11096</v>
      </c>
      <c r="B5552" s="2" t="s">
        <v>0</v>
      </c>
      <c r="C5552" s="2">
        <v>2743.07</v>
      </c>
      <c r="D5552" s="2" t="s">
        <v>0</v>
      </c>
      <c r="E5552" s="2">
        <v>7408.14</v>
      </c>
      <c r="G5552" s="1" t="s">
        <v>11097</v>
      </c>
      <c r="H5552" s="2" t="s">
        <v>0</v>
      </c>
      <c r="I5552" s="2">
        <v>2137.44</v>
      </c>
    </row>
    <row r="5553">
      <c r="A5553" s="1" t="s">
        <v>11098</v>
      </c>
      <c r="B5553" s="2">
        <v>2783.3</v>
      </c>
      <c r="C5553" s="2">
        <v>2783.3</v>
      </c>
      <c r="D5553" s="2">
        <v>7558.06</v>
      </c>
      <c r="E5553" s="2">
        <v>7558.06</v>
      </c>
      <c r="G5553" s="1" t="s">
        <v>11099</v>
      </c>
      <c r="H5553" s="2">
        <v>2138.1</v>
      </c>
      <c r="I5553" s="2">
        <v>2138.1</v>
      </c>
    </row>
    <row r="5554">
      <c r="A5554" s="1" t="s">
        <v>11100</v>
      </c>
      <c r="B5554" s="2">
        <v>2791.52</v>
      </c>
      <c r="C5554" s="2">
        <v>2791.52</v>
      </c>
      <c r="D5554" s="2">
        <v>7591.03</v>
      </c>
      <c r="E5554" s="2">
        <v>7591.03</v>
      </c>
      <c r="G5554" s="1" t="s">
        <v>11101</v>
      </c>
      <c r="H5554" s="2">
        <v>2157.18</v>
      </c>
      <c r="I5554" s="2">
        <v>2157.18</v>
      </c>
    </row>
    <row r="5555">
      <c r="A5555" s="1" t="s">
        <v>11102</v>
      </c>
      <c r="B5555" s="2">
        <v>2810.92</v>
      </c>
      <c r="C5555" s="2">
        <v>2810.92</v>
      </c>
      <c r="D5555" s="2">
        <v>7643.41</v>
      </c>
      <c r="E5555" s="2">
        <v>7643.41</v>
      </c>
      <c r="G5555" s="1" t="s">
        <v>11103</v>
      </c>
      <c r="H5555" s="2">
        <v>2148.41</v>
      </c>
      <c r="I5555" s="2">
        <v>2148.41</v>
      </c>
    </row>
    <row r="5556">
      <c r="A5556" s="1" t="s">
        <v>11104</v>
      </c>
      <c r="B5556" s="2">
        <v>2808.48</v>
      </c>
      <c r="C5556" s="2">
        <v>2808.48</v>
      </c>
      <c r="D5556" s="2">
        <v>7630.91</v>
      </c>
      <c r="E5556" s="2">
        <v>7630.91</v>
      </c>
      <c r="G5556" s="1" t="s">
        <v>11105</v>
      </c>
      <c r="H5556" s="2">
        <v>2155.68</v>
      </c>
      <c r="I5556" s="2">
        <v>2155.68</v>
      </c>
    </row>
    <row r="5557">
      <c r="A5557" s="1" t="s">
        <v>11106</v>
      </c>
      <c r="B5557" s="2">
        <v>2822.48</v>
      </c>
      <c r="C5557" s="2">
        <v>2822.48</v>
      </c>
      <c r="D5557" s="2">
        <v>7688.53</v>
      </c>
      <c r="E5557" s="2">
        <v>7688.53</v>
      </c>
      <c r="G5557" s="1" t="s">
        <v>11107</v>
      </c>
      <c r="H5557" s="2">
        <v>2176.11</v>
      </c>
      <c r="I5557" s="2">
        <v>2176.11</v>
      </c>
    </row>
    <row r="5558">
      <c r="A5558" s="1" t="s">
        <v>11108</v>
      </c>
      <c r="B5558" s="2" t="s">
        <v>0</v>
      </c>
      <c r="C5558" s="2">
        <v>2822.48</v>
      </c>
      <c r="D5558" s="2" t="s">
        <v>0</v>
      </c>
      <c r="E5558" s="2">
        <v>7688.53</v>
      </c>
      <c r="G5558" s="1" t="s">
        <v>11109</v>
      </c>
      <c r="H5558" s="2" t="s">
        <v>0</v>
      </c>
      <c r="I5558" s="2">
        <v>2176.11</v>
      </c>
    </row>
    <row r="5559">
      <c r="A5559" s="1" t="s">
        <v>11110</v>
      </c>
      <c r="B5559" s="2" t="s">
        <v>0</v>
      </c>
      <c r="C5559" s="2">
        <v>2822.48</v>
      </c>
      <c r="D5559" s="2" t="s">
        <v>0</v>
      </c>
      <c r="E5559" s="2">
        <v>7688.53</v>
      </c>
      <c r="G5559" s="1" t="s">
        <v>11111</v>
      </c>
      <c r="H5559" s="2" t="s">
        <v>0</v>
      </c>
      <c r="I5559" s="2">
        <v>2176.11</v>
      </c>
    </row>
    <row r="5560">
      <c r="A5560" s="1" t="s">
        <v>11112</v>
      </c>
      <c r="B5560" s="2">
        <v>2832.94</v>
      </c>
      <c r="C5560" s="2">
        <v>2832.94</v>
      </c>
      <c r="D5560" s="2">
        <v>7714.48</v>
      </c>
      <c r="E5560" s="2">
        <v>7714.48</v>
      </c>
      <c r="G5560" s="1" t="s">
        <v>11113</v>
      </c>
      <c r="H5560" s="2">
        <v>2179.49</v>
      </c>
      <c r="I5560" s="2">
        <v>2179.49</v>
      </c>
    </row>
    <row r="5561">
      <c r="A5561" s="1" t="s">
        <v>11114</v>
      </c>
      <c r="B5561" s="2">
        <v>2832.57</v>
      </c>
      <c r="C5561" s="2">
        <v>2832.57</v>
      </c>
      <c r="D5561" s="2">
        <v>7723.95</v>
      </c>
      <c r="E5561" s="2">
        <v>7723.95</v>
      </c>
      <c r="G5561" s="1" t="s">
        <v>11115</v>
      </c>
      <c r="H5561" s="2">
        <v>2177.62</v>
      </c>
      <c r="I5561" s="2">
        <v>2177.62</v>
      </c>
    </row>
    <row r="5562">
      <c r="A5562" s="1" t="s">
        <v>11116</v>
      </c>
      <c r="B5562" s="2">
        <v>2824.23</v>
      </c>
      <c r="C5562" s="2">
        <v>2824.23</v>
      </c>
      <c r="D5562" s="2">
        <v>7728.97</v>
      </c>
      <c r="E5562" s="2">
        <v>7728.97</v>
      </c>
      <c r="G5562" s="1" t="s">
        <v>11117</v>
      </c>
      <c r="H5562" s="2">
        <v>2177.1</v>
      </c>
      <c r="I5562" s="2">
        <v>2177.1</v>
      </c>
    </row>
    <row r="5563">
      <c r="A5563" s="1" t="s">
        <v>11118</v>
      </c>
      <c r="B5563" s="2">
        <v>2854.88</v>
      </c>
      <c r="C5563" s="2">
        <v>2854.88</v>
      </c>
      <c r="D5563" s="2">
        <v>7838.96</v>
      </c>
      <c r="E5563" s="2">
        <v>7838.96</v>
      </c>
      <c r="G5563" s="1" t="s">
        <v>11119</v>
      </c>
      <c r="H5563" s="2">
        <v>2184.88</v>
      </c>
      <c r="I5563" s="2">
        <v>2184.88</v>
      </c>
    </row>
    <row r="5564">
      <c r="A5564" s="1" t="s">
        <v>11120</v>
      </c>
      <c r="B5564" s="2">
        <v>2800.71</v>
      </c>
      <c r="C5564" s="2">
        <v>2800.71</v>
      </c>
      <c r="D5564" s="2">
        <v>7642.67</v>
      </c>
      <c r="E5564" s="2">
        <v>7642.67</v>
      </c>
      <c r="G5564" s="1" t="s">
        <v>11121</v>
      </c>
      <c r="H5564" s="2">
        <v>2186.95</v>
      </c>
      <c r="I5564" s="2">
        <v>2186.95</v>
      </c>
    </row>
    <row r="5565">
      <c r="A5565" s="1" t="s">
        <v>11122</v>
      </c>
      <c r="B5565" s="2" t="s">
        <v>0</v>
      </c>
      <c r="C5565" s="2">
        <v>2800.71</v>
      </c>
      <c r="D5565" s="2" t="s">
        <v>0</v>
      </c>
      <c r="E5565" s="2">
        <v>7642.67</v>
      </c>
      <c r="G5565" s="1" t="s">
        <v>11123</v>
      </c>
      <c r="H5565" s="2" t="s">
        <v>0</v>
      </c>
      <c r="I5565" s="2">
        <v>2186.95</v>
      </c>
    </row>
    <row r="5566">
      <c r="A5566" s="1" t="s">
        <v>11124</v>
      </c>
      <c r="B5566" s="2" t="s">
        <v>0</v>
      </c>
      <c r="C5566" s="2">
        <v>2800.71</v>
      </c>
      <c r="D5566" s="2" t="s">
        <v>0</v>
      </c>
      <c r="E5566" s="2">
        <v>7642.67</v>
      </c>
      <c r="G5566" s="1" t="s">
        <v>11125</v>
      </c>
      <c r="H5566" s="2" t="s">
        <v>0</v>
      </c>
      <c r="I5566" s="2">
        <v>2186.95</v>
      </c>
    </row>
    <row r="5567">
      <c r="A5567" s="1" t="s">
        <v>11126</v>
      </c>
      <c r="B5567" s="2">
        <v>2798.36</v>
      </c>
      <c r="C5567" s="2">
        <v>2798.36</v>
      </c>
      <c r="D5567" s="2">
        <v>7637.54</v>
      </c>
      <c r="E5567" s="2">
        <v>7637.54</v>
      </c>
      <c r="G5567" s="1" t="s">
        <v>11127</v>
      </c>
      <c r="H5567" s="2">
        <v>2144.86</v>
      </c>
      <c r="I5567" s="2">
        <v>2144.86</v>
      </c>
    </row>
    <row r="5568">
      <c r="A5568" s="1" t="s">
        <v>11128</v>
      </c>
      <c r="B5568" s="2">
        <v>2818.46</v>
      </c>
      <c r="C5568" s="2">
        <v>2818.46</v>
      </c>
      <c r="D5568" s="2">
        <v>7691.52</v>
      </c>
      <c r="E5568" s="2">
        <v>7691.52</v>
      </c>
      <c r="G5568" s="1" t="s">
        <v>11129</v>
      </c>
      <c r="H5568" s="2">
        <v>2148.8</v>
      </c>
      <c r="I5568" s="2">
        <v>2148.8</v>
      </c>
    </row>
    <row r="5569">
      <c r="A5569" s="1" t="s">
        <v>11130</v>
      </c>
      <c r="B5569" s="2">
        <v>2805.37</v>
      </c>
      <c r="C5569" s="2">
        <v>2805.37</v>
      </c>
      <c r="D5569" s="2">
        <v>7643.38</v>
      </c>
      <c r="E5569" s="2">
        <v>7643.38</v>
      </c>
      <c r="G5569" s="1" t="s">
        <v>11131</v>
      </c>
      <c r="H5569" s="2">
        <v>2145.62</v>
      </c>
      <c r="I5569" s="2">
        <v>2145.62</v>
      </c>
    </row>
    <row r="5570">
      <c r="A5570" s="1" t="s">
        <v>11132</v>
      </c>
      <c r="B5570" s="2">
        <v>2815.44</v>
      </c>
      <c r="C5570" s="2">
        <v>2815.44</v>
      </c>
      <c r="D5570" s="2">
        <v>7669.17</v>
      </c>
      <c r="E5570" s="2">
        <v>7669.17</v>
      </c>
      <c r="G5570" s="1" t="s">
        <v>11133</v>
      </c>
      <c r="H5570" s="2">
        <v>2128.1</v>
      </c>
      <c r="I5570" s="2">
        <v>2128.1</v>
      </c>
    </row>
    <row r="5571">
      <c r="A5571" s="1" t="s">
        <v>11134</v>
      </c>
      <c r="B5571" s="2">
        <v>2834.4</v>
      </c>
      <c r="C5571" s="2">
        <v>2834.4</v>
      </c>
      <c r="D5571" s="2">
        <v>7729.32</v>
      </c>
      <c r="E5571" s="2">
        <v>7729.32</v>
      </c>
      <c r="G5571" s="1" t="s">
        <v>11135</v>
      </c>
      <c r="H5571" s="2">
        <v>2140.67</v>
      </c>
      <c r="I5571" s="2">
        <v>2140.67</v>
      </c>
    </row>
    <row r="5572">
      <c r="A5572" s="1" t="s">
        <v>11136</v>
      </c>
      <c r="B5572" s="2" t="s">
        <v>0</v>
      </c>
      <c r="C5572" s="2">
        <v>2834.4</v>
      </c>
      <c r="D5572" s="2" t="s">
        <v>0</v>
      </c>
      <c r="E5572" s="2">
        <v>7729.32</v>
      </c>
      <c r="G5572" s="1" t="s">
        <v>11137</v>
      </c>
      <c r="H5572" s="2" t="s">
        <v>0</v>
      </c>
      <c r="I5572" s="2">
        <v>2140.67</v>
      </c>
    </row>
    <row r="5573">
      <c r="A5573" s="1" t="s">
        <v>11138</v>
      </c>
      <c r="B5573" s="2" t="s">
        <v>0</v>
      </c>
      <c r="C5573" s="2">
        <v>2834.4</v>
      </c>
      <c r="D5573" s="2" t="s">
        <v>0</v>
      </c>
      <c r="E5573" s="2">
        <v>7729.32</v>
      </c>
      <c r="G5573" s="1" t="s">
        <v>11139</v>
      </c>
      <c r="H5573" s="2" t="s">
        <v>0</v>
      </c>
      <c r="I5573" s="2">
        <v>2140.67</v>
      </c>
    </row>
    <row r="5574">
      <c r="A5574" s="1" t="s">
        <v>11140</v>
      </c>
      <c r="B5574" s="2">
        <v>2867.19</v>
      </c>
      <c r="C5574" s="2">
        <v>2867.19</v>
      </c>
      <c r="D5574" s="2">
        <v>7828.91</v>
      </c>
      <c r="E5574" s="2">
        <v>7828.91</v>
      </c>
      <c r="G5574" s="1" t="s">
        <v>11141</v>
      </c>
      <c r="H5574" s="2">
        <v>2168.28</v>
      </c>
      <c r="I5574" s="2">
        <v>2168.28</v>
      </c>
    </row>
    <row r="5575">
      <c r="A5575" s="1" t="s">
        <v>11142</v>
      </c>
      <c r="B5575" s="2">
        <v>2867.24</v>
      </c>
      <c r="C5575" s="2">
        <v>2867.24</v>
      </c>
      <c r="D5575" s="2">
        <v>7848.69</v>
      </c>
      <c r="E5575" s="2">
        <v>7848.69</v>
      </c>
      <c r="G5575" s="1" t="s">
        <v>11143</v>
      </c>
      <c r="H5575" s="2">
        <v>2177.18</v>
      </c>
      <c r="I5575" s="2">
        <v>2177.18</v>
      </c>
    </row>
    <row r="5576">
      <c r="A5576" s="1" t="s">
        <v>11144</v>
      </c>
      <c r="B5576" s="2">
        <v>2873.4</v>
      </c>
      <c r="C5576" s="2">
        <v>2873.4</v>
      </c>
      <c r="D5576" s="2">
        <v>7895.55</v>
      </c>
      <c r="E5576" s="2">
        <v>7895.55</v>
      </c>
      <c r="G5576" s="1" t="s">
        <v>11145</v>
      </c>
      <c r="H5576" s="2">
        <v>2203.27</v>
      </c>
      <c r="I5576" s="2">
        <v>2203.27</v>
      </c>
    </row>
    <row r="5577">
      <c r="A5577" s="1" t="s">
        <v>11146</v>
      </c>
      <c r="B5577" s="2">
        <v>2879.39</v>
      </c>
      <c r="C5577" s="2">
        <v>2879.39</v>
      </c>
      <c r="D5577" s="2">
        <v>7891.78</v>
      </c>
      <c r="E5577" s="2">
        <v>7891.78</v>
      </c>
      <c r="G5577" s="1" t="s">
        <v>11147</v>
      </c>
      <c r="H5577" s="2">
        <v>2206.53</v>
      </c>
      <c r="I5577" s="2">
        <v>2206.53</v>
      </c>
    </row>
    <row r="5578">
      <c r="A5578" s="1" t="s">
        <v>11148</v>
      </c>
      <c r="B5578" s="2">
        <v>2892.74</v>
      </c>
      <c r="C5578" s="2">
        <v>2892.74</v>
      </c>
      <c r="D5578" s="2">
        <v>7938.69</v>
      </c>
      <c r="E5578" s="2">
        <v>7938.69</v>
      </c>
      <c r="G5578" s="1" t="s">
        <v>11149</v>
      </c>
      <c r="H5578" s="2">
        <v>2209.61</v>
      </c>
      <c r="I5578" s="2">
        <v>2209.61</v>
      </c>
    </row>
    <row r="5579">
      <c r="A5579" s="1" t="s">
        <v>11150</v>
      </c>
      <c r="B5579" s="2" t="s">
        <v>0</v>
      </c>
      <c r="C5579" s="2">
        <v>2892.74</v>
      </c>
      <c r="D5579" s="2" t="s">
        <v>0</v>
      </c>
      <c r="E5579" s="2">
        <v>7938.69</v>
      </c>
      <c r="G5579" s="1" t="s">
        <v>11151</v>
      </c>
      <c r="H5579" s="2" t="s">
        <v>0</v>
      </c>
      <c r="I5579" s="2">
        <v>2209.61</v>
      </c>
    </row>
    <row r="5580">
      <c r="A5580" s="1" t="s">
        <v>11152</v>
      </c>
      <c r="B5580" s="2" t="s">
        <v>0</v>
      </c>
      <c r="C5580" s="2">
        <v>2892.74</v>
      </c>
      <c r="D5580" s="2" t="s">
        <v>0</v>
      </c>
      <c r="E5580" s="2">
        <v>7938.69</v>
      </c>
      <c r="G5580" s="1" t="s">
        <v>11153</v>
      </c>
      <c r="H5580" s="2" t="s">
        <v>0</v>
      </c>
      <c r="I5580" s="2">
        <v>2209.61</v>
      </c>
    </row>
    <row r="5581">
      <c r="A5581" s="1" t="s">
        <v>11154</v>
      </c>
      <c r="B5581" s="2">
        <v>2895.77</v>
      </c>
      <c r="C5581" s="2">
        <v>2895.77</v>
      </c>
      <c r="D5581" s="2">
        <v>7953.88</v>
      </c>
      <c r="E5581" s="2">
        <v>7953.88</v>
      </c>
      <c r="G5581" s="1" t="s">
        <v>11155</v>
      </c>
      <c r="H5581" s="2">
        <v>2210.6</v>
      </c>
      <c r="I5581" s="2">
        <v>2210.6</v>
      </c>
    </row>
    <row r="5582">
      <c r="A5582" s="1" t="s">
        <v>11156</v>
      </c>
      <c r="B5582" s="2">
        <v>2878.2</v>
      </c>
      <c r="C5582" s="2">
        <v>2878.2</v>
      </c>
      <c r="D5582" s="2">
        <v>7909.28</v>
      </c>
      <c r="E5582" s="2">
        <v>7909.28</v>
      </c>
      <c r="G5582" s="1" t="s">
        <v>11157</v>
      </c>
      <c r="H5582" s="2">
        <v>2213.56</v>
      </c>
      <c r="I5582" s="2">
        <v>2213.56</v>
      </c>
    </row>
    <row r="5583">
      <c r="A5583" s="1" t="s">
        <v>11158</v>
      </c>
      <c r="B5583" s="2">
        <v>2888.21</v>
      </c>
      <c r="C5583" s="2">
        <v>2888.21</v>
      </c>
      <c r="D5583" s="2">
        <v>7964.24</v>
      </c>
      <c r="E5583" s="2">
        <v>7964.24</v>
      </c>
      <c r="G5583" s="1" t="s">
        <v>11159</v>
      </c>
      <c r="H5583" s="2">
        <v>2224.39</v>
      </c>
      <c r="I5583" s="2">
        <v>2224.39</v>
      </c>
    </row>
    <row r="5584">
      <c r="A5584" s="1" t="s">
        <v>11160</v>
      </c>
      <c r="B5584" s="2">
        <v>2888.32</v>
      </c>
      <c r="C5584" s="2">
        <v>2888.32</v>
      </c>
      <c r="D5584" s="2">
        <v>7947.36</v>
      </c>
      <c r="E5584" s="2">
        <v>7947.36</v>
      </c>
      <c r="G5584" s="1" t="s">
        <v>11161</v>
      </c>
      <c r="H5584" s="2">
        <v>2224.44</v>
      </c>
      <c r="I5584" s="2">
        <v>2224.44</v>
      </c>
    </row>
    <row r="5585">
      <c r="A5585" s="1" t="s">
        <v>11162</v>
      </c>
      <c r="B5585" s="2">
        <v>2907.41</v>
      </c>
      <c r="C5585" s="2">
        <v>2907.41</v>
      </c>
      <c r="D5585" s="2">
        <v>7984.16</v>
      </c>
      <c r="E5585" s="2">
        <v>7984.16</v>
      </c>
      <c r="G5585" s="1" t="s">
        <v>11163</v>
      </c>
      <c r="H5585" s="2">
        <v>2233.45</v>
      </c>
      <c r="I5585" s="2">
        <v>2233.45</v>
      </c>
    </row>
    <row r="5586">
      <c r="A5586" s="1" t="s">
        <v>11164</v>
      </c>
      <c r="B5586" s="2" t="s">
        <v>0</v>
      </c>
      <c r="C5586" s="2">
        <v>2907.41</v>
      </c>
      <c r="D5586" s="2" t="s">
        <v>0</v>
      </c>
      <c r="E5586" s="2">
        <v>7984.16</v>
      </c>
      <c r="G5586" s="1" t="s">
        <v>11165</v>
      </c>
      <c r="H5586" s="2" t="s">
        <v>0</v>
      </c>
      <c r="I5586" s="2">
        <v>2233.45</v>
      </c>
    </row>
    <row r="5587">
      <c r="A5587" s="1" t="s">
        <v>11166</v>
      </c>
      <c r="B5587" s="2" t="s">
        <v>0</v>
      </c>
      <c r="C5587" s="2">
        <v>2907.41</v>
      </c>
      <c r="D5587" s="2" t="s">
        <v>0</v>
      </c>
      <c r="E5587" s="2">
        <v>7984.16</v>
      </c>
      <c r="G5587" s="1" t="s">
        <v>11167</v>
      </c>
      <c r="H5587" s="2" t="s">
        <v>0</v>
      </c>
      <c r="I5587" s="2">
        <v>2233.45</v>
      </c>
    </row>
    <row r="5588">
      <c r="A5588" s="1" t="s">
        <v>11168</v>
      </c>
      <c r="B5588" s="2">
        <v>2905.58</v>
      </c>
      <c r="C5588" s="2">
        <v>2905.58</v>
      </c>
      <c r="D5588" s="2">
        <v>7976.01</v>
      </c>
      <c r="E5588" s="2">
        <v>7976.01</v>
      </c>
      <c r="G5588" s="1" t="s">
        <v>11169</v>
      </c>
      <c r="H5588" s="2">
        <v>2242.88</v>
      </c>
      <c r="I5588" s="2">
        <v>2242.88</v>
      </c>
    </row>
    <row r="5589">
      <c r="A5589" s="1" t="s">
        <v>11170</v>
      </c>
      <c r="B5589" s="2">
        <v>2907.06</v>
      </c>
      <c r="C5589" s="2">
        <v>2907.06</v>
      </c>
      <c r="D5589" s="2">
        <v>8000.23</v>
      </c>
      <c r="E5589" s="2">
        <v>8000.23</v>
      </c>
      <c r="G5589" s="1" t="s">
        <v>11171</v>
      </c>
      <c r="H5589" s="2">
        <v>2248.63</v>
      </c>
      <c r="I5589" s="2">
        <v>2248.63</v>
      </c>
    </row>
    <row r="5590">
      <c r="A5590" s="1" t="s">
        <v>11172</v>
      </c>
      <c r="B5590" s="2">
        <v>2900.45</v>
      </c>
      <c r="C5590" s="2">
        <v>2900.45</v>
      </c>
      <c r="D5590" s="2">
        <v>7996.08</v>
      </c>
      <c r="E5590" s="2">
        <v>7996.08</v>
      </c>
      <c r="G5590" s="1" t="s">
        <v>11173</v>
      </c>
      <c r="H5590" s="2">
        <v>2245.89</v>
      </c>
      <c r="I5590" s="2">
        <v>2245.89</v>
      </c>
    </row>
    <row r="5591">
      <c r="A5591" s="1" t="s">
        <v>11174</v>
      </c>
      <c r="B5591" s="2">
        <v>2905.03</v>
      </c>
      <c r="C5591" s="2">
        <v>2905.03</v>
      </c>
      <c r="D5591" s="2">
        <v>7998.06</v>
      </c>
      <c r="E5591" s="2">
        <v>7998.06</v>
      </c>
      <c r="G5591" s="1" t="s">
        <v>11175</v>
      </c>
      <c r="H5591" s="2">
        <v>2213.77</v>
      </c>
      <c r="I5591" s="2">
        <v>2213.77</v>
      </c>
    </row>
    <row r="5592">
      <c r="A5592" s="1" t="s">
        <v>11176</v>
      </c>
      <c r="B5592" s="2" t="s">
        <v>0</v>
      </c>
      <c r="C5592" s="2">
        <v>2905.03</v>
      </c>
      <c r="D5592" s="2" t="s">
        <v>0</v>
      </c>
      <c r="E5592" s="2">
        <v>7998.06</v>
      </c>
      <c r="G5592" s="1" t="s">
        <v>11177</v>
      </c>
      <c r="H5592" s="2">
        <v>2216.15</v>
      </c>
      <c r="I5592" s="2">
        <v>2216.15</v>
      </c>
    </row>
    <row r="5593">
      <c r="A5593" s="1" t="s">
        <v>11178</v>
      </c>
      <c r="B5593" s="2" t="s">
        <v>0</v>
      </c>
      <c r="C5593" s="2">
        <v>2905.03</v>
      </c>
      <c r="D5593" s="2" t="s">
        <v>0</v>
      </c>
      <c r="E5593" s="2">
        <v>7998.06</v>
      </c>
      <c r="G5593" s="1" t="s">
        <v>11179</v>
      </c>
      <c r="H5593" s="2" t="s">
        <v>0</v>
      </c>
      <c r="I5593" s="2">
        <v>2216.15</v>
      </c>
    </row>
    <row r="5594">
      <c r="A5594" s="1" t="s">
        <v>11180</v>
      </c>
      <c r="B5594" s="2" t="s">
        <v>0</v>
      </c>
      <c r="C5594" s="2">
        <v>2905.03</v>
      </c>
      <c r="D5594" s="2" t="s">
        <v>0</v>
      </c>
      <c r="E5594" s="2">
        <v>7998.06</v>
      </c>
      <c r="G5594" s="1" t="s">
        <v>11181</v>
      </c>
      <c r="H5594" s="2" t="s">
        <v>0</v>
      </c>
      <c r="I5594" s="2">
        <v>2216.15</v>
      </c>
    </row>
    <row r="5595">
      <c r="A5595" s="1" t="s">
        <v>11182</v>
      </c>
      <c r="B5595" s="2">
        <v>2907.97</v>
      </c>
      <c r="C5595" s="2">
        <v>2907.97</v>
      </c>
      <c r="D5595" s="2">
        <v>8015.27</v>
      </c>
      <c r="E5595" s="2">
        <v>8015.27</v>
      </c>
      <c r="G5595" s="1" t="s">
        <v>11183</v>
      </c>
      <c r="H5595" s="2">
        <v>2216.65</v>
      </c>
      <c r="I5595" s="2">
        <v>2216.65</v>
      </c>
    </row>
    <row r="5596">
      <c r="A5596" s="1" t="s">
        <v>11184</v>
      </c>
      <c r="B5596" s="2">
        <v>2933.68</v>
      </c>
      <c r="C5596" s="2">
        <v>2933.68</v>
      </c>
      <c r="D5596" s="2">
        <v>8120.82</v>
      </c>
      <c r="E5596" s="2">
        <v>8120.82</v>
      </c>
      <c r="G5596" s="1" t="s">
        <v>11185</v>
      </c>
      <c r="H5596" s="2">
        <v>2220.51</v>
      </c>
      <c r="I5596" s="2">
        <v>2220.51</v>
      </c>
    </row>
    <row r="5597">
      <c r="A5597" s="1" t="s">
        <v>11186</v>
      </c>
      <c r="B5597" s="2">
        <v>2927.25</v>
      </c>
      <c r="C5597" s="2">
        <v>2927.25</v>
      </c>
      <c r="D5597" s="2">
        <v>8102.02</v>
      </c>
      <c r="E5597" s="2">
        <v>8102.02</v>
      </c>
      <c r="G5597" s="1" t="s">
        <v>11187</v>
      </c>
      <c r="H5597" s="2">
        <v>2201.03</v>
      </c>
      <c r="I5597" s="2">
        <v>2201.03</v>
      </c>
    </row>
    <row r="5598">
      <c r="A5598" s="1" t="s">
        <v>11188</v>
      </c>
      <c r="B5598" s="2">
        <v>2926.17</v>
      </c>
      <c r="C5598" s="2">
        <v>2926.17</v>
      </c>
      <c r="D5598" s="2">
        <v>8118.68</v>
      </c>
      <c r="E5598" s="2">
        <v>8118.68</v>
      </c>
      <c r="G5598" s="1" t="s">
        <v>11189</v>
      </c>
      <c r="H5598" s="2">
        <v>2190.5</v>
      </c>
      <c r="I5598" s="2">
        <v>2190.5</v>
      </c>
    </row>
    <row r="5599">
      <c r="A5599" s="1" t="s">
        <v>11190</v>
      </c>
      <c r="B5599" s="2">
        <v>2939.88</v>
      </c>
      <c r="C5599" s="2">
        <v>2939.88</v>
      </c>
      <c r="D5599" s="2">
        <v>8146.4</v>
      </c>
      <c r="E5599" s="2">
        <v>8146.4</v>
      </c>
      <c r="G5599" s="1" t="s">
        <v>11191</v>
      </c>
      <c r="H5599" s="2">
        <v>2179.31</v>
      </c>
      <c r="I5599" s="2">
        <v>2179.31</v>
      </c>
    </row>
    <row r="5600">
      <c r="A5600" s="1" t="s">
        <v>11192</v>
      </c>
      <c r="B5600" s="2" t="s">
        <v>0</v>
      </c>
      <c r="C5600" s="2">
        <v>2939.88</v>
      </c>
      <c r="D5600" s="2" t="s">
        <v>0</v>
      </c>
      <c r="E5600" s="2">
        <v>8146.4</v>
      </c>
      <c r="G5600" s="1" t="s">
        <v>11193</v>
      </c>
      <c r="H5600" s="2" t="s">
        <v>0</v>
      </c>
      <c r="I5600" s="2">
        <v>2179.31</v>
      </c>
    </row>
    <row r="5601">
      <c r="A5601" s="1" t="s">
        <v>11194</v>
      </c>
      <c r="B5601" s="2" t="s">
        <v>0</v>
      </c>
      <c r="C5601" s="2">
        <v>2939.88</v>
      </c>
      <c r="D5601" s="2" t="s">
        <v>0</v>
      </c>
      <c r="E5601" s="2">
        <v>8146.4</v>
      </c>
      <c r="G5601" s="1" t="s">
        <v>11195</v>
      </c>
      <c r="H5601" s="2" t="s">
        <v>0</v>
      </c>
      <c r="I5601" s="2">
        <v>2179.31</v>
      </c>
    </row>
    <row r="5602">
      <c r="A5602" s="1" t="s">
        <v>11196</v>
      </c>
      <c r="B5602" s="2">
        <v>2943.03</v>
      </c>
      <c r="C5602" s="2">
        <v>2943.03</v>
      </c>
      <c r="D5602" s="2">
        <v>8161.85</v>
      </c>
      <c r="E5602" s="2">
        <v>8161.85</v>
      </c>
      <c r="G5602" s="1" t="s">
        <v>11197</v>
      </c>
      <c r="H5602" s="2">
        <v>2216.43</v>
      </c>
      <c r="I5602" s="2">
        <v>2216.43</v>
      </c>
    </row>
    <row r="5603">
      <c r="A5603" s="1" t="s">
        <v>11198</v>
      </c>
      <c r="B5603" s="2">
        <v>2945.83</v>
      </c>
      <c r="C5603" s="2">
        <v>2945.83</v>
      </c>
      <c r="D5603" s="2">
        <v>8095.39</v>
      </c>
      <c r="E5603" s="2">
        <v>8095.39</v>
      </c>
      <c r="G5603" s="1" t="s">
        <v>11199</v>
      </c>
      <c r="H5603" s="2">
        <v>2203.59</v>
      </c>
      <c r="I5603" s="2">
        <v>2203.59</v>
      </c>
    </row>
    <row r="5604">
      <c r="A5604" s="1" t="s">
        <v>11200</v>
      </c>
      <c r="B5604" s="2">
        <v>2923.73</v>
      </c>
      <c r="C5604" s="2">
        <v>2923.73</v>
      </c>
      <c r="D5604" s="2">
        <v>8049.64</v>
      </c>
      <c r="E5604" s="2">
        <v>8049.64</v>
      </c>
      <c r="G5604" s="1" t="s">
        <v>11201</v>
      </c>
      <c r="H5604" s="2" t="s">
        <v>0</v>
      </c>
      <c r="I5604" s="2">
        <v>2203.59</v>
      </c>
    </row>
    <row r="5605">
      <c r="A5605" s="1" t="s">
        <v>11202</v>
      </c>
      <c r="B5605" s="2">
        <v>2917.52</v>
      </c>
      <c r="C5605" s="2">
        <v>2917.52</v>
      </c>
      <c r="D5605" s="2">
        <v>8036.77</v>
      </c>
      <c r="E5605" s="2">
        <v>8036.77</v>
      </c>
      <c r="G5605" s="1" t="s">
        <v>11203</v>
      </c>
      <c r="H5605" s="2">
        <v>2212.75</v>
      </c>
      <c r="I5605" s="2">
        <v>2212.75</v>
      </c>
    </row>
    <row r="5606">
      <c r="A5606" s="1" t="s">
        <v>11204</v>
      </c>
      <c r="B5606" s="2">
        <v>2945.64</v>
      </c>
      <c r="C5606" s="2">
        <v>2945.64</v>
      </c>
      <c r="D5606" s="2">
        <v>8164.0</v>
      </c>
      <c r="E5606" s="2">
        <v>8164.0</v>
      </c>
      <c r="G5606" s="1" t="s">
        <v>11205</v>
      </c>
      <c r="H5606" s="2">
        <v>2196.32</v>
      </c>
      <c r="I5606" s="2">
        <v>2196.32</v>
      </c>
    </row>
    <row r="5607">
      <c r="A5607" s="1" t="s">
        <v>11206</v>
      </c>
      <c r="B5607" s="2" t="s">
        <v>0</v>
      </c>
      <c r="C5607" s="2">
        <v>2945.64</v>
      </c>
      <c r="D5607" s="2" t="s">
        <v>0</v>
      </c>
      <c r="E5607" s="2">
        <v>8164.0</v>
      </c>
      <c r="G5607" s="1" t="s">
        <v>11207</v>
      </c>
      <c r="H5607" s="2" t="s">
        <v>0</v>
      </c>
      <c r="I5607" s="2">
        <v>2196.32</v>
      </c>
    </row>
    <row r="5608">
      <c r="A5608" s="1" t="s">
        <v>11208</v>
      </c>
      <c r="B5608" s="2" t="s">
        <v>0</v>
      </c>
      <c r="C5608" s="2">
        <v>2945.64</v>
      </c>
      <c r="D5608" s="2" t="s">
        <v>0</v>
      </c>
      <c r="E5608" s="2">
        <v>8164.0</v>
      </c>
      <c r="G5608" s="1" t="s">
        <v>11209</v>
      </c>
      <c r="H5608" s="2" t="s">
        <v>0</v>
      </c>
      <c r="I5608" s="2">
        <v>2196.32</v>
      </c>
    </row>
    <row r="5609">
      <c r="A5609" s="1" t="s">
        <v>11210</v>
      </c>
      <c r="B5609" s="2">
        <v>2932.47</v>
      </c>
      <c r="C5609" s="2">
        <v>2932.47</v>
      </c>
      <c r="D5609" s="2">
        <v>8123.29</v>
      </c>
      <c r="E5609" s="2">
        <v>8123.29</v>
      </c>
      <c r="G5609" s="1" t="s">
        <v>11211</v>
      </c>
      <c r="H5609" s="2" t="s">
        <v>0</v>
      </c>
      <c r="I5609" s="2">
        <v>2196.32</v>
      </c>
    </row>
    <row r="5610">
      <c r="A5610" s="1" t="s">
        <v>11212</v>
      </c>
      <c r="B5610" s="2">
        <v>2884.05</v>
      </c>
      <c r="C5610" s="2">
        <v>2884.05</v>
      </c>
      <c r="D5610" s="2">
        <v>7963.76</v>
      </c>
      <c r="E5610" s="2">
        <v>7963.76</v>
      </c>
      <c r="G5610" s="1" t="s">
        <v>11213</v>
      </c>
      <c r="H5610" s="2">
        <v>2176.99</v>
      </c>
      <c r="I5610" s="2">
        <v>2176.99</v>
      </c>
    </row>
    <row r="5611">
      <c r="A5611" s="1" t="s">
        <v>11214</v>
      </c>
      <c r="B5611" s="2">
        <v>2879.42</v>
      </c>
      <c r="C5611" s="2">
        <v>2879.42</v>
      </c>
      <c r="D5611" s="2">
        <v>7943.32</v>
      </c>
      <c r="E5611" s="2">
        <v>7943.32</v>
      </c>
      <c r="G5611" s="1" t="s">
        <v>11215</v>
      </c>
      <c r="H5611" s="2">
        <v>2168.01</v>
      </c>
      <c r="I5611" s="2">
        <v>2168.01</v>
      </c>
    </row>
    <row r="5612">
      <c r="A5612" s="1" t="s">
        <v>11216</v>
      </c>
      <c r="B5612" s="2">
        <v>2870.72</v>
      </c>
      <c r="C5612" s="2">
        <v>2870.72</v>
      </c>
      <c r="D5612" s="2">
        <v>7910.59</v>
      </c>
      <c r="E5612" s="2">
        <v>7910.59</v>
      </c>
      <c r="G5612" s="1" t="s">
        <v>11217</v>
      </c>
      <c r="H5612" s="2">
        <v>2102.01</v>
      </c>
      <c r="I5612" s="2">
        <v>2102.01</v>
      </c>
    </row>
    <row r="5613">
      <c r="A5613" s="1" t="s">
        <v>11218</v>
      </c>
      <c r="B5613" s="2">
        <v>2881.4</v>
      </c>
      <c r="C5613" s="2">
        <v>2881.4</v>
      </c>
      <c r="D5613" s="2">
        <v>7916.94</v>
      </c>
      <c r="E5613" s="2">
        <v>7916.94</v>
      </c>
      <c r="G5613" s="1" t="s">
        <v>11219</v>
      </c>
      <c r="H5613" s="2">
        <v>2108.04</v>
      </c>
      <c r="I5613" s="2">
        <v>2108.04</v>
      </c>
    </row>
    <row r="5614">
      <c r="A5614" s="1" t="s">
        <v>11220</v>
      </c>
      <c r="B5614" s="2" t="s">
        <v>0</v>
      </c>
      <c r="C5614" s="2">
        <v>2881.4</v>
      </c>
      <c r="D5614" s="2" t="s">
        <v>0</v>
      </c>
      <c r="E5614" s="2">
        <v>7916.94</v>
      </c>
      <c r="G5614" s="1" t="s">
        <v>11221</v>
      </c>
      <c r="H5614" s="2" t="s">
        <v>0</v>
      </c>
      <c r="I5614" s="2">
        <v>2108.04</v>
      </c>
    </row>
    <row r="5615">
      <c r="A5615" s="1" t="s">
        <v>11222</v>
      </c>
      <c r="B5615" s="2" t="s">
        <v>0</v>
      </c>
      <c r="C5615" s="2">
        <v>2881.4</v>
      </c>
      <c r="D5615" s="2" t="s">
        <v>0</v>
      </c>
      <c r="E5615" s="2">
        <v>7916.94</v>
      </c>
      <c r="G5615" s="1" t="s">
        <v>11223</v>
      </c>
      <c r="H5615" s="2" t="s">
        <v>0</v>
      </c>
      <c r="I5615" s="2">
        <v>2108.04</v>
      </c>
    </row>
    <row r="5616">
      <c r="A5616" s="1" t="s">
        <v>11224</v>
      </c>
      <c r="B5616" s="2">
        <v>2811.87</v>
      </c>
      <c r="C5616" s="2">
        <v>2811.87</v>
      </c>
      <c r="D5616" s="2">
        <v>7647.02</v>
      </c>
      <c r="E5616" s="2">
        <v>7647.02</v>
      </c>
      <c r="G5616" s="1" t="s">
        <v>11225</v>
      </c>
      <c r="H5616" s="2">
        <v>2079.01</v>
      </c>
      <c r="I5616" s="2">
        <v>2079.01</v>
      </c>
    </row>
    <row r="5617">
      <c r="A5617" s="1" t="s">
        <v>11226</v>
      </c>
      <c r="B5617" s="2">
        <v>2834.41</v>
      </c>
      <c r="C5617" s="2">
        <v>2834.41</v>
      </c>
      <c r="D5617" s="2">
        <v>7734.49</v>
      </c>
      <c r="E5617" s="2">
        <v>7734.49</v>
      </c>
      <c r="G5617" s="1" t="s">
        <v>11227</v>
      </c>
      <c r="H5617" s="2">
        <v>2081.84</v>
      </c>
      <c r="I5617" s="2">
        <v>2081.84</v>
      </c>
    </row>
    <row r="5618">
      <c r="A5618" s="1" t="s">
        <v>11228</v>
      </c>
      <c r="B5618" s="2">
        <v>2850.96</v>
      </c>
      <c r="C5618" s="2">
        <v>2850.96</v>
      </c>
      <c r="D5618" s="2">
        <v>7822.15</v>
      </c>
      <c r="E5618" s="2">
        <v>7822.15</v>
      </c>
      <c r="G5618" s="1" t="s">
        <v>11229</v>
      </c>
      <c r="H5618" s="2">
        <v>2092.78</v>
      </c>
      <c r="I5618" s="2">
        <v>2092.78</v>
      </c>
    </row>
    <row r="5619">
      <c r="A5619" s="1" t="s">
        <v>11230</v>
      </c>
      <c r="B5619" s="2">
        <v>2876.32</v>
      </c>
      <c r="C5619" s="2">
        <v>2876.32</v>
      </c>
      <c r="D5619" s="2">
        <v>7898.05</v>
      </c>
      <c r="E5619" s="2">
        <v>7898.05</v>
      </c>
      <c r="G5619" s="1" t="s">
        <v>11231</v>
      </c>
      <c r="H5619" s="2">
        <v>2067.69</v>
      </c>
      <c r="I5619" s="2">
        <v>2067.69</v>
      </c>
    </row>
    <row r="5620">
      <c r="A5620" s="1" t="s">
        <v>11232</v>
      </c>
      <c r="B5620" s="2">
        <v>2859.53</v>
      </c>
      <c r="C5620" s="2">
        <v>2859.53</v>
      </c>
      <c r="D5620" s="2">
        <v>7816.29</v>
      </c>
      <c r="E5620" s="2">
        <v>7816.29</v>
      </c>
      <c r="G5620" s="1" t="s">
        <v>11233</v>
      </c>
      <c r="H5620" s="2">
        <v>2055.8</v>
      </c>
      <c r="I5620" s="2">
        <v>2055.8</v>
      </c>
    </row>
    <row r="5621">
      <c r="A5621" s="1" t="s">
        <v>11234</v>
      </c>
      <c r="B5621" s="2" t="s">
        <v>0</v>
      </c>
      <c r="C5621" s="2">
        <v>2859.53</v>
      </c>
      <c r="D5621" s="2" t="s">
        <v>0</v>
      </c>
      <c r="E5621" s="2">
        <v>7816.29</v>
      </c>
      <c r="G5621" s="1" t="s">
        <v>11235</v>
      </c>
      <c r="H5621" s="2" t="s">
        <v>0</v>
      </c>
      <c r="I5621" s="2">
        <v>2055.8</v>
      </c>
    </row>
    <row r="5622">
      <c r="A5622" s="1" t="s">
        <v>11236</v>
      </c>
      <c r="B5622" s="2" t="s">
        <v>0</v>
      </c>
      <c r="C5622" s="2">
        <v>2859.53</v>
      </c>
      <c r="D5622" s="2" t="s">
        <v>0</v>
      </c>
      <c r="E5622" s="2">
        <v>7816.29</v>
      </c>
      <c r="G5622" s="1" t="s">
        <v>11237</v>
      </c>
      <c r="H5622" s="2" t="s">
        <v>0</v>
      </c>
      <c r="I5622" s="2">
        <v>2055.8</v>
      </c>
    </row>
    <row r="5623">
      <c r="A5623" s="1" t="s">
        <v>11238</v>
      </c>
      <c r="B5623" s="2">
        <v>2840.23</v>
      </c>
      <c r="C5623" s="2">
        <v>2840.23</v>
      </c>
      <c r="D5623" s="2">
        <v>7702.38</v>
      </c>
      <c r="E5623" s="2">
        <v>7702.38</v>
      </c>
      <c r="G5623" s="1" t="s">
        <v>11239</v>
      </c>
      <c r="H5623" s="2">
        <v>2055.71</v>
      </c>
      <c r="I5623" s="2">
        <v>2055.71</v>
      </c>
    </row>
    <row r="5624">
      <c r="A5624" s="1" t="s">
        <v>11240</v>
      </c>
      <c r="B5624" s="2">
        <v>2864.36</v>
      </c>
      <c r="C5624" s="2">
        <v>2864.36</v>
      </c>
      <c r="D5624" s="2">
        <v>7785.72</v>
      </c>
      <c r="E5624" s="2">
        <v>7785.72</v>
      </c>
      <c r="G5624" s="1" t="s">
        <v>11241</v>
      </c>
      <c r="H5624" s="2">
        <v>2061.25</v>
      </c>
      <c r="I5624" s="2">
        <v>2061.25</v>
      </c>
    </row>
    <row r="5625">
      <c r="A5625" s="1" t="s">
        <v>11242</v>
      </c>
      <c r="B5625" s="2">
        <v>2856.27</v>
      </c>
      <c r="C5625" s="2">
        <v>2856.27</v>
      </c>
      <c r="D5625" s="2">
        <v>7750.84</v>
      </c>
      <c r="E5625" s="2">
        <v>7750.84</v>
      </c>
      <c r="G5625" s="1" t="s">
        <v>11243</v>
      </c>
      <c r="H5625" s="2">
        <v>2064.86</v>
      </c>
      <c r="I5625" s="2">
        <v>2064.86</v>
      </c>
    </row>
    <row r="5626">
      <c r="A5626" s="1" t="s">
        <v>11244</v>
      </c>
      <c r="B5626" s="2">
        <v>2822.24</v>
      </c>
      <c r="C5626" s="2">
        <v>2822.24</v>
      </c>
      <c r="D5626" s="2">
        <v>7628.28</v>
      </c>
      <c r="E5626" s="2">
        <v>7628.28</v>
      </c>
      <c r="G5626" s="1" t="s">
        <v>11245</v>
      </c>
      <c r="H5626" s="2">
        <v>2059.59</v>
      </c>
      <c r="I5626" s="2">
        <v>2059.59</v>
      </c>
    </row>
    <row r="5627">
      <c r="A5627" s="1" t="s">
        <v>11246</v>
      </c>
      <c r="B5627" s="2">
        <v>2826.06</v>
      </c>
      <c r="C5627" s="2">
        <v>2826.06</v>
      </c>
      <c r="D5627" s="2">
        <v>7637.01</v>
      </c>
      <c r="E5627" s="2">
        <v>7637.01</v>
      </c>
      <c r="G5627" s="1" t="s">
        <v>11247</v>
      </c>
      <c r="H5627" s="2">
        <v>2045.31</v>
      </c>
      <c r="I5627" s="2">
        <v>2045.31</v>
      </c>
    </row>
    <row r="5628">
      <c r="A5628" s="1" t="s">
        <v>11248</v>
      </c>
      <c r="B5628" s="2" t="s">
        <v>0</v>
      </c>
      <c r="C5628" s="2">
        <v>2826.06</v>
      </c>
      <c r="D5628" s="2" t="s">
        <v>0</v>
      </c>
      <c r="E5628" s="2">
        <v>7637.01</v>
      </c>
      <c r="G5628" s="1" t="s">
        <v>11249</v>
      </c>
      <c r="H5628" s="2" t="s">
        <v>0</v>
      </c>
      <c r="I5628" s="2">
        <v>2045.31</v>
      </c>
    </row>
    <row r="5629">
      <c r="A5629" s="1" t="s">
        <v>11250</v>
      </c>
      <c r="B5629" s="2" t="s">
        <v>0</v>
      </c>
      <c r="C5629" s="2">
        <v>2826.06</v>
      </c>
      <c r="D5629" s="2" t="s">
        <v>0</v>
      </c>
      <c r="E5629" s="2">
        <v>7637.01</v>
      </c>
      <c r="G5629" s="1" t="s">
        <v>11251</v>
      </c>
      <c r="H5629" s="2" t="s">
        <v>0</v>
      </c>
      <c r="I5629" s="2">
        <v>2045.31</v>
      </c>
    </row>
    <row r="5630">
      <c r="A5630" s="1" t="s">
        <v>11252</v>
      </c>
      <c r="B5630" s="2" t="s">
        <v>0</v>
      </c>
      <c r="C5630" s="2">
        <v>2826.06</v>
      </c>
      <c r="D5630" s="2" t="s">
        <v>0</v>
      </c>
      <c r="E5630" s="2">
        <v>7637.01</v>
      </c>
      <c r="G5630" s="1" t="s">
        <v>11253</v>
      </c>
      <c r="H5630" s="2">
        <v>2044.21</v>
      </c>
      <c r="I5630" s="2">
        <v>2044.21</v>
      </c>
    </row>
    <row r="5631">
      <c r="A5631" s="1" t="s">
        <v>11254</v>
      </c>
      <c r="B5631" s="2">
        <v>2802.39</v>
      </c>
      <c r="C5631" s="2">
        <v>2802.39</v>
      </c>
      <c r="D5631" s="2">
        <v>7607.35</v>
      </c>
      <c r="E5631" s="2">
        <v>7607.35</v>
      </c>
      <c r="G5631" s="1" t="s">
        <v>11255</v>
      </c>
      <c r="H5631" s="2">
        <v>2048.83</v>
      </c>
      <c r="I5631" s="2">
        <v>2048.83</v>
      </c>
    </row>
    <row r="5632">
      <c r="A5632" s="1" t="s">
        <v>11256</v>
      </c>
      <c r="B5632" s="2">
        <v>2783.02</v>
      </c>
      <c r="C5632" s="2">
        <v>2783.02</v>
      </c>
      <c r="D5632" s="2">
        <v>7547.31</v>
      </c>
      <c r="E5632" s="2">
        <v>7547.31</v>
      </c>
      <c r="G5632" s="1" t="s">
        <v>11257</v>
      </c>
      <c r="H5632" s="2">
        <v>2023.32</v>
      </c>
      <c r="I5632" s="2">
        <v>2023.32</v>
      </c>
    </row>
    <row r="5633">
      <c r="A5633" s="1" t="s">
        <v>11258</v>
      </c>
      <c r="B5633" s="2">
        <v>2788.86</v>
      </c>
      <c r="C5633" s="2">
        <v>2788.86</v>
      </c>
      <c r="D5633" s="2">
        <v>7567.72</v>
      </c>
      <c r="E5633" s="2">
        <v>7567.72</v>
      </c>
      <c r="G5633" s="1" t="s">
        <v>11259</v>
      </c>
      <c r="H5633" s="2">
        <v>2038.8</v>
      </c>
      <c r="I5633" s="2">
        <v>2038.8</v>
      </c>
    </row>
    <row r="5634">
      <c r="A5634" s="1" t="s">
        <v>11260</v>
      </c>
      <c r="B5634" s="2">
        <v>2752.06</v>
      </c>
      <c r="C5634" s="2">
        <v>2752.06</v>
      </c>
      <c r="D5634" s="2">
        <v>7453.15</v>
      </c>
      <c r="E5634" s="2">
        <v>7453.15</v>
      </c>
      <c r="G5634" s="1" t="s">
        <v>11261</v>
      </c>
      <c r="H5634" s="2">
        <v>2041.74</v>
      </c>
      <c r="I5634" s="2">
        <v>2041.74</v>
      </c>
    </row>
    <row r="5635">
      <c r="A5635" s="1" t="s">
        <v>11262</v>
      </c>
      <c r="B5635" s="2" t="s">
        <v>0</v>
      </c>
      <c r="C5635" s="2">
        <v>2752.06</v>
      </c>
      <c r="D5635" s="2" t="s">
        <v>0</v>
      </c>
      <c r="E5635" s="2">
        <v>7453.15</v>
      </c>
      <c r="G5635" s="1" t="s">
        <v>11263</v>
      </c>
      <c r="H5635" s="2" t="s">
        <v>0</v>
      </c>
      <c r="I5635" s="2">
        <v>2041.74</v>
      </c>
    </row>
    <row r="5636">
      <c r="A5636" s="1" t="s">
        <v>11264</v>
      </c>
      <c r="B5636" s="2" t="s">
        <v>0</v>
      </c>
      <c r="C5636" s="2">
        <v>2752.06</v>
      </c>
      <c r="D5636" s="2" t="s">
        <v>0</v>
      </c>
      <c r="E5636" s="2">
        <v>7453.15</v>
      </c>
      <c r="G5636" s="1" t="s">
        <v>11265</v>
      </c>
      <c r="H5636" s="2" t="s">
        <v>0</v>
      </c>
      <c r="I5636" s="2">
        <v>2041.74</v>
      </c>
    </row>
    <row r="5637">
      <c r="A5637" s="1" t="s">
        <v>11266</v>
      </c>
      <c r="B5637" s="2">
        <v>2744.45</v>
      </c>
      <c r="C5637" s="2">
        <v>2744.45</v>
      </c>
      <c r="D5637" s="2">
        <v>7333.02</v>
      </c>
      <c r="E5637" s="2">
        <v>7333.02</v>
      </c>
      <c r="G5637" s="1" t="s">
        <v>11267</v>
      </c>
      <c r="H5637" s="2">
        <v>2067.85</v>
      </c>
      <c r="I5637" s="2">
        <v>2067.85</v>
      </c>
    </row>
    <row r="5638">
      <c r="A5638" s="1" t="s">
        <v>11268</v>
      </c>
      <c r="B5638" s="2">
        <v>2803.27</v>
      </c>
      <c r="C5638" s="2">
        <v>2803.27</v>
      </c>
      <c r="D5638" s="2">
        <v>7527.12</v>
      </c>
      <c r="E5638" s="2">
        <v>7527.12</v>
      </c>
      <c r="G5638" s="1" t="s">
        <v>11269</v>
      </c>
      <c r="H5638" s="2">
        <v>2066.97</v>
      </c>
      <c r="I5638" s="2">
        <v>2066.97</v>
      </c>
    </row>
    <row r="5639">
      <c r="A5639" s="1" t="s">
        <v>11270</v>
      </c>
      <c r="B5639" s="2">
        <v>2826.15</v>
      </c>
      <c r="C5639" s="2">
        <v>2826.15</v>
      </c>
      <c r="D5639" s="2">
        <v>7575.48</v>
      </c>
      <c r="E5639" s="2">
        <v>7575.48</v>
      </c>
      <c r="G5639" s="1" t="s">
        <v>11271</v>
      </c>
      <c r="H5639" s="2">
        <v>2069.11</v>
      </c>
      <c r="I5639" s="2">
        <v>2069.11</v>
      </c>
    </row>
    <row r="5640">
      <c r="A5640" s="1" t="s">
        <v>11272</v>
      </c>
      <c r="B5640" s="2">
        <v>2843.49</v>
      </c>
      <c r="C5640" s="2">
        <v>2843.49</v>
      </c>
      <c r="D5640" s="2">
        <v>7615.55</v>
      </c>
      <c r="E5640" s="2">
        <v>7615.55</v>
      </c>
      <c r="G5640" s="1" t="s">
        <v>11273</v>
      </c>
      <c r="H5640" s="2" t="s">
        <v>0</v>
      </c>
      <c r="I5640" s="2">
        <v>2069.11</v>
      </c>
    </row>
    <row r="5641">
      <c r="A5641" s="1" t="s">
        <v>11274</v>
      </c>
      <c r="B5641" s="2">
        <v>2873.34</v>
      </c>
      <c r="C5641" s="2">
        <v>2873.34</v>
      </c>
      <c r="D5641" s="2">
        <v>7742.1</v>
      </c>
      <c r="E5641" s="2">
        <v>7742.1</v>
      </c>
      <c r="G5641" s="1" t="s">
        <v>11275</v>
      </c>
      <c r="H5641" s="2">
        <v>2072.33</v>
      </c>
      <c r="I5641" s="2">
        <v>2072.33</v>
      </c>
    </row>
    <row r="5642">
      <c r="A5642" s="1" t="s">
        <v>11276</v>
      </c>
      <c r="B5642" s="2" t="s">
        <v>0</v>
      </c>
      <c r="C5642" s="2">
        <v>2873.34</v>
      </c>
      <c r="D5642" s="2" t="s">
        <v>0</v>
      </c>
      <c r="E5642" s="2">
        <v>7742.1</v>
      </c>
      <c r="G5642" s="1" t="s">
        <v>11277</v>
      </c>
      <c r="H5642" s="2" t="s">
        <v>0</v>
      </c>
      <c r="I5642" s="2">
        <v>2072.33</v>
      </c>
    </row>
    <row r="5643">
      <c r="A5643" s="1" t="s">
        <v>11278</v>
      </c>
      <c r="B5643" s="2" t="s">
        <v>0</v>
      </c>
      <c r="C5643" s="2">
        <v>2873.34</v>
      </c>
      <c r="D5643" s="2" t="s">
        <v>0</v>
      </c>
      <c r="E5643" s="2">
        <v>7742.1</v>
      </c>
      <c r="G5643" s="1" t="s">
        <v>11279</v>
      </c>
      <c r="H5643" s="2" t="s">
        <v>0</v>
      </c>
      <c r="I5643" s="2">
        <v>2072.33</v>
      </c>
    </row>
    <row r="5644">
      <c r="A5644" s="1" t="s">
        <v>11280</v>
      </c>
      <c r="B5644" s="2">
        <v>2886.73</v>
      </c>
      <c r="C5644" s="2">
        <v>2886.73</v>
      </c>
      <c r="D5644" s="2">
        <v>7823.17</v>
      </c>
      <c r="E5644" s="2">
        <v>7823.17</v>
      </c>
      <c r="G5644" s="1" t="s">
        <v>11281</v>
      </c>
      <c r="H5644" s="2">
        <v>2099.49</v>
      </c>
      <c r="I5644" s="2">
        <v>2099.49</v>
      </c>
    </row>
    <row r="5645">
      <c r="A5645" s="1" t="s">
        <v>11282</v>
      </c>
      <c r="B5645" s="2">
        <v>2885.72</v>
      </c>
      <c r="C5645" s="2">
        <v>2885.72</v>
      </c>
      <c r="D5645" s="2">
        <v>7822.57</v>
      </c>
      <c r="E5645" s="2">
        <v>7822.57</v>
      </c>
      <c r="G5645" s="1" t="s">
        <v>11283</v>
      </c>
      <c r="H5645" s="2">
        <v>2111.81</v>
      </c>
      <c r="I5645" s="2">
        <v>2111.81</v>
      </c>
    </row>
    <row r="5646">
      <c r="A5646" s="1" t="s">
        <v>11284</v>
      </c>
      <c r="B5646" s="2">
        <v>2879.84</v>
      </c>
      <c r="C5646" s="2">
        <v>2879.84</v>
      </c>
      <c r="D5646" s="2">
        <v>7792.72</v>
      </c>
      <c r="E5646" s="2">
        <v>7792.72</v>
      </c>
      <c r="G5646" s="1" t="s">
        <v>11285</v>
      </c>
      <c r="H5646" s="2">
        <v>2108.75</v>
      </c>
      <c r="I5646" s="2">
        <v>2108.75</v>
      </c>
    </row>
    <row r="5647">
      <c r="A5647" s="1" t="s">
        <v>11286</v>
      </c>
      <c r="B5647" s="2">
        <v>2891.64</v>
      </c>
      <c r="C5647" s="2">
        <v>2891.64</v>
      </c>
      <c r="D5647" s="2">
        <v>7837.13</v>
      </c>
      <c r="E5647" s="2">
        <v>7837.13</v>
      </c>
      <c r="G5647" s="1" t="s">
        <v>11287</v>
      </c>
      <c r="H5647" s="2">
        <v>2103.15</v>
      </c>
      <c r="I5647" s="2">
        <v>2103.15</v>
      </c>
    </row>
    <row r="5648">
      <c r="A5648" s="1" t="s">
        <v>11288</v>
      </c>
      <c r="B5648" s="2">
        <v>2886.98</v>
      </c>
      <c r="C5648" s="2">
        <v>2886.98</v>
      </c>
      <c r="D5648" s="2">
        <v>7796.66</v>
      </c>
      <c r="E5648" s="2">
        <v>7796.66</v>
      </c>
      <c r="G5648" s="1" t="s">
        <v>11289</v>
      </c>
      <c r="H5648" s="2">
        <v>2095.41</v>
      </c>
      <c r="I5648" s="2">
        <v>2095.41</v>
      </c>
    </row>
    <row r="5649">
      <c r="A5649" s="1" t="s">
        <v>11290</v>
      </c>
      <c r="B5649" s="2" t="s">
        <v>0</v>
      </c>
      <c r="C5649" s="2">
        <v>2886.98</v>
      </c>
      <c r="D5649" s="2" t="s">
        <v>0</v>
      </c>
      <c r="E5649" s="2">
        <v>7796.66</v>
      </c>
      <c r="G5649" s="1" t="s">
        <v>11291</v>
      </c>
      <c r="H5649" s="2" t="s">
        <v>0</v>
      </c>
      <c r="I5649" s="2">
        <v>2095.41</v>
      </c>
    </row>
    <row r="5650">
      <c r="A5650" s="1" t="s">
        <v>11292</v>
      </c>
      <c r="B5650" s="2" t="s">
        <v>0</v>
      </c>
      <c r="C5650" s="2">
        <v>2886.98</v>
      </c>
      <c r="D5650" s="2" t="s">
        <v>0</v>
      </c>
      <c r="E5650" s="2">
        <v>7796.66</v>
      </c>
      <c r="G5650" s="1" t="s">
        <v>11293</v>
      </c>
      <c r="H5650" s="2" t="s">
        <v>0</v>
      </c>
      <c r="I5650" s="2">
        <v>2095.41</v>
      </c>
    </row>
    <row r="5651">
      <c r="A5651" s="1" t="s">
        <v>11294</v>
      </c>
      <c r="B5651" s="2">
        <v>2889.67</v>
      </c>
      <c r="C5651" s="2">
        <v>2889.67</v>
      </c>
      <c r="D5651" s="2">
        <v>7845.02</v>
      </c>
      <c r="E5651" s="2">
        <v>7845.02</v>
      </c>
      <c r="G5651" s="1" t="s">
        <v>11295</v>
      </c>
      <c r="H5651" s="2">
        <v>2090.73</v>
      </c>
      <c r="I5651" s="2">
        <v>2090.73</v>
      </c>
    </row>
    <row r="5652">
      <c r="A5652" s="1" t="s">
        <v>11296</v>
      </c>
      <c r="B5652" s="2">
        <v>2917.75</v>
      </c>
      <c r="C5652" s="2">
        <v>2917.75</v>
      </c>
      <c r="D5652" s="2">
        <v>7953.88</v>
      </c>
      <c r="E5652" s="2">
        <v>7953.88</v>
      </c>
      <c r="G5652" s="1" t="s">
        <v>11297</v>
      </c>
      <c r="H5652" s="2">
        <v>2098.71</v>
      </c>
      <c r="I5652" s="2">
        <v>2098.71</v>
      </c>
    </row>
    <row r="5653">
      <c r="A5653" s="1" t="s">
        <v>11298</v>
      </c>
      <c r="B5653" s="2">
        <v>2926.46</v>
      </c>
      <c r="C5653" s="2">
        <v>2926.46</v>
      </c>
      <c r="D5653" s="2">
        <v>7987.32</v>
      </c>
      <c r="E5653" s="2">
        <v>7987.32</v>
      </c>
      <c r="G5653" s="1" t="s">
        <v>11299</v>
      </c>
      <c r="H5653" s="2">
        <v>2124.78</v>
      </c>
      <c r="I5653" s="2">
        <v>2124.78</v>
      </c>
    </row>
    <row r="5654">
      <c r="A5654" s="1" t="s">
        <v>11300</v>
      </c>
      <c r="B5654" s="2">
        <v>2954.18</v>
      </c>
      <c r="C5654" s="2">
        <v>2954.18</v>
      </c>
      <c r="D5654" s="2">
        <v>8051.34</v>
      </c>
      <c r="E5654" s="2">
        <v>8051.34</v>
      </c>
      <c r="G5654" s="1" t="s">
        <v>11301</v>
      </c>
      <c r="H5654" s="2">
        <v>2131.29</v>
      </c>
      <c r="I5654" s="2">
        <v>2131.29</v>
      </c>
    </row>
    <row r="5655">
      <c r="A5655" s="1" t="s">
        <v>11302</v>
      </c>
      <c r="B5655" s="2">
        <v>2950.46</v>
      </c>
      <c r="C5655" s="2">
        <v>2950.46</v>
      </c>
      <c r="D5655" s="2">
        <v>8031.71</v>
      </c>
      <c r="E5655" s="2">
        <v>8031.71</v>
      </c>
      <c r="G5655" s="1" t="s">
        <v>11303</v>
      </c>
      <c r="H5655" s="2">
        <v>2125.62</v>
      </c>
      <c r="I5655" s="2">
        <v>2125.62</v>
      </c>
    </row>
    <row r="5656">
      <c r="A5656" s="1" t="s">
        <v>11304</v>
      </c>
      <c r="B5656" s="2" t="s">
        <v>0</v>
      </c>
      <c r="C5656" s="2">
        <v>2950.46</v>
      </c>
      <c r="D5656" s="2" t="s">
        <v>0</v>
      </c>
      <c r="E5656" s="2">
        <v>8031.71</v>
      </c>
      <c r="G5656" s="1" t="s">
        <v>11305</v>
      </c>
      <c r="H5656" s="2" t="s">
        <v>0</v>
      </c>
      <c r="I5656" s="2">
        <v>2125.62</v>
      </c>
    </row>
    <row r="5657">
      <c r="A5657" s="1" t="s">
        <v>11306</v>
      </c>
      <c r="B5657" s="2" t="s">
        <v>0</v>
      </c>
      <c r="C5657" s="2">
        <v>2950.46</v>
      </c>
      <c r="D5657" s="2" t="s">
        <v>0</v>
      </c>
      <c r="E5657" s="2">
        <v>8031.71</v>
      </c>
      <c r="G5657" s="1" t="s">
        <v>11307</v>
      </c>
      <c r="H5657" s="2" t="s">
        <v>0</v>
      </c>
      <c r="I5657" s="2">
        <v>2125.62</v>
      </c>
    </row>
    <row r="5658">
      <c r="A5658" s="1" t="s">
        <v>11308</v>
      </c>
      <c r="B5658" s="2">
        <v>2945.35</v>
      </c>
      <c r="C5658" s="2">
        <v>2945.35</v>
      </c>
      <c r="D5658" s="2">
        <v>8005.7</v>
      </c>
      <c r="E5658" s="2">
        <v>8005.7</v>
      </c>
      <c r="G5658" s="1" t="s">
        <v>11309</v>
      </c>
      <c r="H5658" s="2">
        <v>2126.33</v>
      </c>
      <c r="I5658" s="2">
        <v>2126.33</v>
      </c>
    </row>
    <row r="5659">
      <c r="A5659" s="1" t="s">
        <v>11310</v>
      </c>
      <c r="B5659" s="2">
        <v>2917.38</v>
      </c>
      <c r="C5659" s="2">
        <v>2917.38</v>
      </c>
      <c r="D5659" s="2">
        <v>7884.72</v>
      </c>
      <c r="E5659" s="2">
        <v>7884.72</v>
      </c>
      <c r="G5659" s="1" t="s">
        <v>11311</v>
      </c>
      <c r="H5659" s="2">
        <v>2121.64</v>
      </c>
      <c r="I5659" s="2">
        <v>2121.64</v>
      </c>
    </row>
    <row r="5660">
      <c r="A5660" s="1" t="s">
        <v>11312</v>
      </c>
      <c r="B5660" s="2">
        <v>2913.78</v>
      </c>
      <c r="C5660" s="2">
        <v>2913.78</v>
      </c>
      <c r="D5660" s="2">
        <v>7909.97</v>
      </c>
      <c r="E5660" s="2">
        <v>7909.97</v>
      </c>
      <c r="G5660" s="1" t="s">
        <v>11313</v>
      </c>
      <c r="H5660" s="2">
        <v>2121.85</v>
      </c>
      <c r="I5660" s="2">
        <v>2121.85</v>
      </c>
    </row>
    <row r="5661">
      <c r="A5661" s="1" t="s">
        <v>11314</v>
      </c>
      <c r="B5661" s="2">
        <v>2924.92</v>
      </c>
      <c r="C5661" s="2">
        <v>2924.92</v>
      </c>
      <c r="D5661" s="2">
        <v>7967.76</v>
      </c>
      <c r="E5661" s="2">
        <v>7967.76</v>
      </c>
      <c r="G5661" s="1" t="s">
        <v>11315</v>
      </c>
      <c r="H5661" s="2">
        <v>2134.32</v>
      </c>
      <c r="I5661" s="2">
        <v>2134.32</v>
      </c>
    </row>
    <row r="5662">
      <c r="A5662" s="1" t="s">
        <v>11316</v>
      </c>
      <c r="B5662" s="2">
        <v>2941.76</v>
      </c>
      <c r="C5662" s="2">
        <v>2941.76</v>
      </c>
      <c r="D5662" s="2">
        <v>8006.24</v>
      </c>
      <c r="E5662" s="2">
        <v>8006.24</v>
      </c>
      <c r="G5662" s="1" t="s">
        <v>11317</v>
      </c>
      <c r="H5662" s="2">
        <v>2130.62</v>
      </c>
      <c r="I5662" s="2">
        <v>2130.62</v>
      </c>
    </row>
    <row r="5663">
      <c r="A5663" s="1" t="s">
        <v>11318</v>
      </c>
      <c r="B5663" s="2" t="s">
        <v>0</v>
      </c>
      <c r="C5663" s="2">
        <v>2941.76</v>
      </c>
      <c r="D5663" s="2" t="s">
        <v>0</v>
      </c>
      <c r="E5663" s="2">
        <v>8006.24</v>
      </c>
      <c r="G5663" s="1" t="s">
        <v>11319</v>
      </c>
      <c r="H5663" s="2" t="s">
        <v>0</v>
      </c>
      <c r="I5663" s="2">
        <v>2130.62</v>
      </c>
    </row>
    <row r="5664">
      <c r="A5664" s="1" t="s">
        <v>11320</v>
      </c>
      <c r="B5664" s="2" t="s">
        <v>0</v>
      </c>
      <c r="C5664" s="2">
        <v>2941.76</v>
      </c>
      <c r="D5664" s="2" t="s">
        <v>0</v>
      </c>
      <c r="E5664" s="2">
        <v>8006.24</v>
      </c>
      <c r="G5664" s="1" t="s">
        <v>11321</v>
      </c>
      <c r="H5664" s="2" t="s">
        <v>0</v>
      </c>
      <c r="I5664" s="2">
        <v>2130.62</v>
      </c>
    </row>
    <row r="5665">
      <c r="A5665" s="1" t="s">
        <v>11322</v>
      </c>
      <c r="B5665" s="2">
        <v>2964.33</v>
      </c>
      <c r="C5665" s="2">
        <v>2964.33</v>
      </c>
      <c r="D5665" s="2">
        <v>8091.16</v>
      </c>
      <c r="E5665" s="2">
        <v>8091.16</v>
      </c>
      <c r="G5665" s="1" t="s">
        <v>11323</v>
      </c>
      <c r="H5665" s="2">
        <v>2129.74</v>
      </c>
      <c r="I5665" s="2">
        <v>2129.74</v>
      </c>
    </row>
    <row r="5666">
      <c r="A5666" s="1" t="s">
        <v>11324</v>
      </c>
      <c r="B5666" s="2">
        <v>2973.01</v>
      </c>
      <c r="C5666" s="2">
        <v>2973.01</v>
      </c>
      <c r="D5666" s="2">
        <v>8109.09</v>
      </c>
      <c r="E5666" s="2">
        <v>8109.09</v>
      </c>
      <c r="G5666" s="1" t="s">
        <v>11325</v>
      </c>
      <c r="H5666" s="2">
        <v>2122.02</v>
      </c>
      <c r="I5666" s="2">
        <v>2122.02</v>
      </c>
    </row>
    <row r="5667">
      <c r="A5667" s="1" t="s">
        <v>11326</v>
      </c>
      <c r="B5667" s="2" t="s">
        <v>0</v>
      </c>
      <c r="C5667" s="2">
        <v>2973.01</v>
      </c>
      <c r="D5667" s="2" t="s">
        <v>0</v>
      </c>
      <c r="E5667" s="2">
        <v>8109.09</v>
      </c>
      <c r="G5667" s="1" t="s">
        <v>11327</v>
      </c>
      <c r="H5667" s="2">
        <v>2096.02</v>
      </c>
      <c r="I5667" s="2">
        <v>2096.02</v>
      </c>
    </row>
    <row r="5668">
      <c r="A5668" s="1" t="s">
        <v>11328</v>
      </c>
      <c r="B5668" s="2" t="s">
        <v>0</v>
      </c>
      <c r="C5668" s="2">
        <v>2973.01</v>
      </c>
      <c r="D5668" s="2" t="s">
        <v>0</v>
      </c>
      <c r="E5668" s="2">
        <v>8109.09</v>
      </c>
      <c r="G5668" s="1" t="s">
        <v>11329</v>
      </c>
      <c r="H5668" s="2">
        <v>2108.73</v>
      </c>
      <c r="I5668" s="2">
        <v>2108.73</v>
      </c>
    </row>
    <row r="5669">
      <c r="A5669" s="1" t="s">
        <v>11330</v>
      </c>
      <c r="B5669" s="2">
        <v>2990.41</v>
      </c>
      <c r="C5669" s="2">
        <v>2990.41</v>
      </c>
      <c r="D5669" s="2">
        <v>8161.79</v>
      </c>
      <c r="E5669" s="2">
        <v>8161.79</v>
      </c>
      <c r="G5669" s="1" t="s">
        <v>11331</v>
      </c>
      <c r="H5669" s="2">
        <v>2110.59</v>
      </c>
      <c r="I5669" s="2">
        <v>2110.59</v>
      </c>
    </row>
    <row r="5670">
      <c r="A5670" s="1" t="s">
        <v>11332</v>
      </c>
      <c r="B5670" s="2" t="s">
        <v>0</v>
      </c>
      <c r="C5670" s="2">
        <v>2990.41</v>
      </c>
      <c r="D5670" s="2" t="s">
        <v>0</v>
      </c>
      <c r="E5670" s="2">
        <v>8161.79</v>
      </c>
      <c r="G5670" s="1" t="s">
        <v>11333</v>
      </c>
      <c r="H5670" s="2" t="s">
        <v>0</v>
      </c>
      <c r="I5670" s="2">
        <v>2110.59</v>
      </c>
    </row>
    <row r="5671">
      <c r="A5671" s="1" t="s">
        <v>11334</v>
      </c>
      <c r="B5671" s="2" t="s">
        <v>0</v>
      </c>
      <c r="C5671" s="2">
        <v>2990.41</v>
      </c>
      <c r="D5671" s="2" t="s">
        <v>0</v>
      </c>
      <c r="E5671" s="2">
        <v>8161.79</v>
      </c>
      <c r="G5671" s="1" t="s">
        <v>11335</v>
      </c>
      <c r="H5671" s="2" t="s">
        <v>0</v>
      </c>
      <c r="I5671" s="2">
        <v>2110.59</v>
      </c>
    </row>
    <row r="5672">
      <c r="A5672" s="1" t="s">
        <v>11336</v>
      </c>
      <c r="B5672" s="2">
        <v>2975.95</v>
      </c>
      <c r="C5672" s="2">
        <v>2975.95</v>
      </c>
      <c r="D5672" s="2">
        <v>8098.38</v>
      </c>
      <c r="E5672" s="2">
        <v>8098.38</v>
      </c>
      <c r="G5672" s="1" t="s">
        <v>11337</v>
      </c>
      <c r="H5672" s="2">
        <v>2064.17</v>
      </c>
      <c r="I5672" s="2">
        <v>2064.17</v>
      </c>
    </row>
    <row r="5673">
      <c r="A5673" s="1" t="s">
        <v>11338</v>
      </c>
      <c r="B5673" s="2">
        <v>2979.63</v>
      </c>
      <c r="C5673" s="2">
        <v>2979.63</v>
      </c>
      <c r="D5673" s="2">
        <v>8141.73</v>
      </c>
      <c r="E5673" s="2">
        <v>8141.73</v>
      </c>
      <c r="G5673" s="1" t="s">
        <v>11339</v>
      </c>
      <c r="H5673" s="2">
        <v>2052.03</v>
      </c>
      <c r="I5673" s="2">
        <v>2052.03</v>
      </c>
    </row>
    <row r="5674">
      <c r="A5674" s="1" t="s">
        <v>11340</v>
      </c>
      <c r="B5674" s="2">
        <v>2993.07</v>
      </c>
      <c r="C5674" s="2">
        <v>2993.07</v>
      </c>
      <c r="D5674" s="2">
        <v>8202.53</v>
      </c>
      <c r="E5674" s="2">
        <v>8202.53</v>
      </c>
      <c r="G5674" s="1" t="s">
        <v>11341</v>
      </c>
      <c r="H5674" s="2">
        <v>2058.78</v>
      </c>
      <c r="I5674" s="2">
        <v>2058.78</v>
      </c>
    </row>
    <row r="5675">
      <c r="A5675" s="1" t="s">
        <v>11342</v>
      </c>
      <c r="B5675" s="2">
        <v>2999.91</v>
      </c>
      <c r="C5675" s="2">
        <v>2999.91</v>
      </c>
      <c r="D5675" s="2">
        <v>8196.04</v>
      </c>
      <c r="E5675" s="2">
        <v>8196.04</v>
      </c>
      <c r="G5675" s="1" t="s">
        <v>11343</v>
      </c>
      <c r="H5675" s="2">
        <v>2080.58</v>
      </c>
      <c r="I5675" s="2">
        <v>2080.58</v>
      </c>
    </row>
    <row r="5676">
      <c r="A5676" s="1" t="s">
        <v>11344</v>
      </c>
      <c r="B5676" s="2">
        <v>3013.77</v>
      </c>
      <c r="C5676" s="2">
        <v>3013.77</v>
      </c>
      <c r="D5676" s="2">
        <v>8244.14</v>
      </c>
      <c r="E5676" s="2">
        <v>8244.14</v>
      </c>
      <c r="G5676" s="1" t="s">
        <v>11345</v>
      </c>
      <c r="H5676" s="2">
        <v>2086.66</v>
      </c>
      <c r="I5676" s="2">
        <v>2086.66</v>
      </c>
    </row>
    <row r="5677">
      <c r="A5677" s="1" t="s">
        <v>11346</v>
      </c>
      <c r="B5677" s="2" t="s">
        <v>0</v>
      </c>
      <c r="C5677" s="2">
        <v>3013.77</v>
      </c>
      <c r="D5677" s="2" t="s">
        <v>0</v>
      </c>
      <c r="E5677" s="2">
        <v>8244.14</v>
      </c>
      <c r="G5677" s="1" t="s">
        <v>11347</v>
      </c>
      <c r="H5677" s="2" t="s">
        <v>0</v>
      </c>
      <c r="I5677" s="2">
        <v>2086.66</v>
      </c>
    </row>
    <row r="5678">
      <c r="A5678" s="1" t="s">
        <v>11348</v>
      </c>
      <c r="B5678" s="2" t="s">
        <v>0</v>
      </c>
      <c r="C5678" s="2">
        <v>3013.77</v>
      </c>
      <c r="D5678" s="2" t="s">
        <v>0</v>
      </c>
      <c r="E5678" s="2">
        <v>8244.14</v>
      </c>
      <c r="G5678" s="1" t="s">
        <v>11349</v>
      </c>
      <c r="H5678" s="2" t="s">
        <v>0</v>
      </c>
      <c r="I5678" s="2">
        <v>2086.66</v>
      </c>
    </row>
    <row r="5679">
      <c r="A5679" s="1" t="s">
        <v>11350</v>
      </c>
      <c r="B5679" s="2">
        <v>3014.3</v>
      </c>
      <c r="C5679" s="2">
        <v>3014.3</v>
      </c>
      <c r="D5679" s="2">
        <v>8258.19</v>
      </c>
      <c r="E5679" s="2">
        <v>8258.19</v>
      </c>
      <c r="G5679" s="1" t="s">
        <v>11351</v>
      </c>
      <c r="H5679" s="2">
        <v>2082.48</v>
      </c>
      <c r="I5679" s="2">
        <v>2082.48</v>
      </c>
    </row>
    <row r="5680">
      <c r="A5680" s="1" t="s">
        <v>11352</v>
      </c>
      <c r="B5680" s="2">
        <v>3004.04</v>
      </c>
      <c r="C5680" s="2">
        <v>3004.04</v>
      </c>
      <c r="D5680" s="2">
        <v>8222.8</v>
      </c>
      <c r="E5680" s="2">
        <v>8222.8</v>
      </c>
      <c r="G5680" s="1" t="s">
        <v>11353</v>
      </c>
      <c r="H5680" s="2">
        <v>2091.87</v>
      </c>
      <c r="I5680" s="2">
        <v>2091.87</v>
      </c>
    </row>
    <row r="5681">
      <c r="A5681" s="1" t="s">
        <v>11354</v>
      </c>
      <c r="B5681" s="2">
        <v>2984.42</v>
      </c>
      <c r="C5681" s="2">
        <v>2984.42</v>
      </c>
      <c r="D5681" s="2">
        <v>8185.21</v>
      </c>
      <c r="E5681" s="2">
        <v>8185.21</v>
      </c>
      <c r="G5681" s="1" t="s">
        <v>11355</v>
      </c>
      <c r="H5681" s="2">
        <v>2072.92</v>
      </c>
      <c r="I5681" s="2">
        <v>2072.92</v>
      </c>
    </row>
    <row r="5682">
      <c r="A5682" s="1" t="s">
        <v>11356</v>
      </c>
      <c r="B5682" s="2">
        <v>2995.11</v>
      </c>
      <c r="C5682" s="2">
        <v>2995.11</v>
      </c>
      <c r="D5682" s="2">
        <v>8207.24</v>
      </c>
      <c r="E5682" s="2">
        <v>8207.24</v>
      </c>
      <c r="G5682" s="1" t="s">
        <v>11357</v>
      </c>
      <c r="H5682" s="2">
        <v>2066.55</v>
      </c>
      <c r="I5682" s="2">
        <v>2066.55</v>
      </c>
    </row>
    <row r="5683">
      <c r="A5683" s="1" t="s">
        <v>11358</v>
      </c>
      <c r="B5683" s="2">
        <v>2976.61</v>
      </c>
      <c r="C5683" s="2">
        <v>2976.61</v>
      </c>
      <c r="D5683" s="2">
        <v>8146.49</v>
      </c>
      <c r="E5683" s="2">
        <v>8146.49</v>
      </c>
      <c r="G5683" s="1" t="s">
        <v>11359</v>
      </c>
      <c r="H5683" s="2">
        <v>2094.36</v>
      </c>
      <c r="I5683" s="2">
        <v>2094.36</v>
      </c>
    </row>
    <row r="5684">
      <c r="A5684" s="1" t="s">
        <v>11360</v>
      </c>
      <c r="B5684" s="2" t="s">
        <v>0</v>
      </c>
      <c r="C5684" s="2">
        <v>2976.61</v>
      </c>
      <c r="D5684" s="2" t="s">
        <v>0</v>
      </c>
      <c r="E5684" s="2">
        <v>8146.49</v>
      </c>
      <c r="G5684" s="1" t="s">
        <v>11361</v>
      </c>
      <c r="H5684" s="2" t="s">
        <v>0</v>
      </c>
      <c r="I5684" s="2">
        <v>2094.36</v>
      </c>
    </row>
    <row r="5685">
      <c r="A5685" s="1" t="s">
        <v>11362</v>
      </c>
      <c r="B5685" s="2" t="s">
        <v>0</v>
      </c>
      <c r="C5685" s="2">
        <v>2976.61</v>
      </c>
      <c r="D5685" s="2" t="s">
        <v>0</v>
      </c>
      <c r="E5685" s="2">
        <v>8146.49</v>
      </c>
      <c r="G5685" s="1" t="s">
        <v>11363</v>
      </c>
      <c r="H5685" s="2" t="s">
        <v>0</v>
      </c>
      <c r="I5685" s="2">
        <v>2094.36</v>
      </c>
    </row>
    <row r="5686">
      <c r="A5686" s="1" t="s">
        <v>11364</v>
      </c>
      <c r="B5686" s="2">
        <v>2985.03</v>
      </c>
      <c r="C5686" s="2">
        <v>2985.03</v>
      </c>
      <c r="D5686" s="2">
        <v>8204.14</v>
      </c>
      <c r="E5686" s="2">
        <v>8204.14</v>
      </c>
      <c r="G5686" s="1" t="s">
        <v>11365</v>
      </c>
      <c r="H5686" s="2">
        <v>2093.34</v>
      </c>
      <c r="I5686" s="2">
        <v>2093.34</v>
      </c>
    </row>
    <row r="5687">
      <c r="A5687" s="1" t="s">
        <v>11366</v>
      </c>
      <c r="B5687" s="2">
        <v>3005.47</v>
      </c>
      <c r="C5687" s="2">
        <v>3005.47</v>
      </c>
      <c r="D5687" s="2">
        <v>8251.4</v>
      </c>
      <c r="E5687" s="2">
        <v>8251.4</v>
      </c>
      <c r="G5687" s="1" t="s">
        <v>11367</v>
      </c>
      <c r="H5687" s="2">
        <v>2101.45</v>
      </c>
      <c r="I5687" s="2">
        <v>2101.45</v>
      </c>
    </row>
    <row r="5688">
      <c r="A5688" s="1" t="s">
        <v>11368</v>
      </c>
      <c r="B5688" s="2">
        <v>3019.56</v>
      </c>
      <c r="C5688" s="2">
        <v>3019.56</v>
      </c>
      <c r="D5688" s="2">
        <v>8321.5</v>
      </c>
      <c r="E5688" s="2">
        <v>8321.5</v>
      </c>
      <c r="G5688" s="1" t="s">
        <v>11369</v>
      </c>
      <c r="H5688" s="2">
        <v>2082.3</v>
      </c>
      <c r="I5688" s="2">
        <v>2082.3</v>
      </c>
    </row>
    <row r="5689">
      <c r="A5689" s="1" t="s">
        <v>11370</v>
      </c>
      <c r="B5689" s="2">
        <v>3003.67</v>
      </c>
      <c r="C5689" s="2">
        <v>3003.67</v>
      </c>
      <c r="D5689" s="2">
        <v>8238.54</v>
      </c>
      <c r="E5689" s="2">
        <v>8238.54</v>
      </c>
      <c r="G5689" s="1" t="s">
        <v>11371</v>
      </c>
      <c r="H5689" s="2">
        <v>2074.48</v>
      </c>
      <c r="I5689" s="2">
        <v>2074.48</v>
      </c>
    </row>
    <row r="5690">
      <c r="A5690" s="1" t="s">
        <v>11372</v>
      </c>
      <c r="B5690" s="2">
        <v>3025.86</v>
      </c>
      <c r="C5690" s="2">
        <v>3025.86</v>
      </c>
      <c r="D5690" s="2">
        <v>8330.21</v>
      </c>
      <c r="E5690" s="2">
        <v>8330.21</v>
      </c>
      <c r="G5690" s="1" t="s">
        <v>11373</v>
      </c>
      <c r="H5690" s="2">
        <v>2066.26</v>
      </c>
      <c r="I5690" s="2">
        <v>2066.26</v>
      </c>
    </row>
    <row r="5691">
      <c r="A5691" s="1" t="s">
        <v>11374</v>
      </c>
      <c r="B5691" s="2" t="s">
        <v>0</v>
      </c>
      <c r="C5691" s="2">
        <v>3025.86</v>
      </c>
      <c r="D5691" s="2" t="s">
        <v>0</v>
      </c>
      <c r="E5691" s="2">
        <v>8330.21</v>
      </c>
      <c r="G5691" s="1" t="s">
        <v>11375</v>
      </c>
      <c r="H5691" s="2" t="s">
        <v>0</v>
      </c>
      <c r="I5691" s="2">
        <v>2066.26</v>
      </c>
    </row>
    <row r="5692">
      <c r="A5692" s="1" t="s">
        <v>11376</v>
      </c>
      <c r="B5692" s="2" t="s">
        <v>0</v>
      </c>
      <c r="C5692" s="2">
        <v>3025.86</v>
      </c>
      <c r="D5692" s="2" t="s">
        <v>0</v>
      </c>
      <c r="E5692" s="2">
        <v>8330.21</v>
      </c>
      <c r="G5692" s="1" t="s">
        <v>11377</v>
      </c>
      <c r="H5692" s="2" t="s">
        <v>0</v>
      </c>
      <c r="I5692" s="2">
        <v>2066.26</v>
      </c>
    </row>
    <row r="5693">
      <c r="A5693" s="1" t="s">
        <v>11378</v>
      </c>
      <c r="B5693" s="2">
        <v>3020.97</v>
      </c>
      <c r="C5693" s="2">
        <v>3020.97</v>
      </c>
      <c r="D5693" s="2">
        <v>8293.33</v>
      </c>
      <c r="E5693" s="2">
        <v>8293.33</v>
      </c>
      <c r="G5693" s="1" t="s">
        <v>11379</v>
      </c>
      <c r="H5693" s="2">
        <v>2029.48</v>
      </c>
      <c r="I5693" s="2">
        <v>2029.48</v>
      </c>
    </row>
    <row r="5694">
      <c r="A5694" s="1" t="s">
        <v>11380</v>
      </c>
      <c r="B5694" s="2">
        <v>3013.18</v>
      </c>
      <c r="C5694" s="2">
        <v>3013.18</v>
      </c>
      <c r="D5694" s="2">
        <v>8273.61</v>
      </c>
      <c r="E5694" s="2">
        <v>8273.61</v>
      </c>
      <c r="G5694" s="1" t="s">
        <v>11381</v>
      </c>
      <c r="H5694" s="2">
        <v>2038.68</v>
      </c>
      <c r="I5694" s="2">
        <v>2038.68</v>
      </c>
    </row>
    <row r="5695">
      <c r="A5695" s="1" t="s">
        <v>11382</v>
      </c>
      <c r="B5695" s="2">
        <v>2980.38</v>
      </c>
      <c r="C5695" s="2">
        <v>2980.38</v>
      </c>
      <c r="D5695" s="2">
        <v>8175.42</v>
      </c>
      <c r="E5695" s="2">
        <v>8175.42</v>
      </c>
      <c r="G5695" s="1" t="s">
        <v>11383</v>
      </c>
      <c r="H5695" s="2">
        <v>2024.55</v>
      </c>
      <c r="I5695" s="2">
        <v>2024.55</v>
      </c>
    </row>
    <row r="5696">
      <c r="A5696" s="1" t="s">
        <v>11384</v>
      </c>
      <c r="B5696" s="2">
        <v>2953.56</v>
      </c>
      <c r="C5696" s="2">
        <v>2953.56</v>
      </c>
      <c r="D5696" s="2">
        <v>8111.12</v>
      </c>
      <c r="E5696" s="2">
        <v>8111.12</v>
      </c>
      <c r="G5696" s="1" t="s">
        <v>11385</v>
      </c>
      <c r="H5696" s="2">
        <v>2017.34</v>
      </c>
      <c r="I5696" s="2">
        <v>2017.34</v>
      </c>
    </row>
    <row r="5697">
      <c r="A5697" s="1" t="s">
        <v>11386</v>
      </c>
      <c r="B5697" s="2">
        <v>2932.05</v>
      </c>
      <c r="C5697" s="2">
        <v>2932.05</v>
      </c>
      <c r="D5697" s="2">
        <v>8004.07</v>
      </c>
      <c r="E5697" s="2">
        <v>8004.07</v>
      </c>
      <c r="G5697" s="1" t="s">
        <v>11387</v>
      </c>
      <c r="H5697" s="2">
        <v>1998.13</v>
      </c>
      <c r="I5697" s="2">
        <v>1998.13</v>
      </c>
    </row>
    <row r="5698">
      <c r="A5698" s="1" t="s">
        <v>11388</v>
      </c>
      <c r="B5698" s="2" t="s">
        <v>0</v>
      </c>
      <c r="C5698" s="2">
        <v>2932.05</v>
      </c>
      <c r="D5698" s="2" t="s">
        <v>0</v>
      </c>
      <c r="E5698" s="2">
        <v>8004.07</v>
      </c>
      <c r="G5698" s="1" t="s">
        <v>11389</v>
      </c>
      <c r="H5698" s="2" t="s">
        <v>0</v>
      </c>
      <c r="I5698" s="2">
        <v>1998.13</v>
      </c>
    </row>
    <row r="5699">
      <c r="A5699" s="1" t="s">
        <v>11390</v>
      </c>
      <c r="B5699" s="2" t="s">
        <v>0</v>
      </c>
      <c r="C5699" s="2">
        <v>2932.05</v>
      </c>
      <c r="D5699" s="2" t="s">
        <v>0</v>
      </c>
      <c r="E5699" s="2">
        <v>8004.07</v>
      </c>
      <c r="G5699" s="1" t="s">
        <v>11391</v>
      </c>
      <c r="H5699" s="2" t="s">
        <v>0</v>
      </c>
      <c r="I5699" s="2">
        <v>1998.13</v>
      </c>
    </row>
    <row r="5700">
      <c r="A5700" s="1" t="s">
        <v>11392</v>
      </c>
      <c r="B5700" s="2">
        <v>2844.74</v>
      </c>
      <c r="C5700" s="2">
        <v>2844.74</v>
      </c>
      <c r="D5700" s="2">
        <v>7726.04</v>
      </c>
      <c r="E5700" s="2">
        <v>7726.04</v>
      </c>
      <c r="G5700" s="1" t="s">
        <v>11393</v>
      </c>
      <c r="H5700" s="2">
        <v>1946.98</v>
      </c>
      <c r="I5700" s="2">
        <v>1946.98</v>
      </c>
    </row>
    <row r="5701">
      <c r="A5701" s="1" t="s">
        <v>11394</v>
      </c>
      <c r="B5701" s="2">
        <v>2881.77</v>
      </c>
      <c r="C5701" s="2">
        <v>2881.77</v>
      </c>
      <c r="D5701" s="2">
        <v>7833.27</v>
      </c>
      <c r="E5701" s="2">
        <v>7833.27</v>
      </c>
      <c r="G5701" s="1" t="s">
        <v>11395</v>
      </c>
      <c r="H5701" s="2">
        <v>1917.5</v>
      </c>
      <c r="I5701" s="2">
        <v>1917.5</v>
      </c>
    </row>
    <row r="5702">
      <c r="A5702" s="1" t="s">
        <v>11396</v>
      </c>
      <c r="B5702" s="2">
        <v>2883.98</v>
      </c>
      <c r="C5702" s="2">
        <v>2883.98</v>
      </c>
      <c r="D5702" s="2">
        <v>7862.83</v>
      </c>
      <c r="E5702" s="2">
        <v>7862.83</v>
      </c>
      <c r="G5702" s="1" t="s">
        <v>11397</v>
      </c>
      <c r="H5702" s="2">
        <v>1909.71</v>
      </c>
      <c r="I5702" s="2">
        <v>1909.71</v>
      </c>
    </row>
    <row r="5703">
      <c r="A5703" s="1" t="s">
        <v>11398</v>
      </c>
      <c r="B5703" s="2">
        <v>2938.09</v>
      </c>
      <c r="C5703" s="2">
        <v>2938.09</v>
      </c>
      <c r="D5703" s="2">
        <v>8039.16</v>
      </c>
      <c r="E5703" s="2">
        <v>8039.16</v>
      </c>
      <c r="G5703" s="1" t="s">
        <v>11399</v>
      </c>
      <c r="H5703" s="2">
        <v>1920.61</v>
      </c>
      <c r="I5703" s="2">
        <v>1920.61</v>
      </c>
    </row>
    <row r="5704">
      <c r="A5704" s="1" t="s">
        <v>11400</v>
      </c>
      <c r="B5704" s="2">
        <v>2918.65</v>
      </c>
      <c r="C5704" s="2">
        <v>2918.65</v>
      </c>
      <c r="D5704" s="2">
        <v>7959.14</v>
      </c>
      <c r="E5704" s="2">
        <v>7959.14</v>
      </c>
      <c r="G5704" s="1" t="s">
        <v>11401</v>
      </c>
      <c r="H5704" s="2">
        <v>1937.75</v>
      </c>
      <c r="I5704" s="2">
        <v>1937.75</v>
      </c>
    </row>
    <row r="5705">
      <c r="A5705" s="1" t="s">
        <v>11402</v>
      </c>
      <c r="B5705" s="2" t="s">
        <v>0</v>
      </c>
      <c r="C5705" s="2">
        <v>2918.65</v>
      </c>
      <c r="D5705" s="2" t="s">
        <v>0</v>
      </c>
      <c r="E5705" s="2">
        <v>7959.14</v>
      </c>
      <c r="G5705" s="1" t="s">
        <v>11403</v>
      </c>
      <c r="H5705" s="2" t="s">
        <v>0</v>
      </c>
      <c r="I5705" s="2">
        <v>1937.75</v>
      </c>
    </row>
    <row r="5706">
      <c r="A5706" s="1" t="s">
        <v>11404</v>
      </c>
      <c r="B5706" s="2" t="s">
        <v>0</v>
      </c>
      <c r="C5706" s="2">
        <v>2918.65</v>
      </c>
      <c r="D5706" s="2" t="s">
        <v>0</v>
      </c>
      <c r="E5706" s="2">
        <v>7959.14</v>
      </c>
      <c r="G5706" s="1" t="s">
        <v>11405</v>
      </c>
      <c r="H5706" s="2" t="s">
        <v>0</v>
      </c>
      <c r="I5706" s="2">
        <v>1937.75</v>
      </c>
    </row>
    <row r="5707">
      <c r="A5707" s="1" t="s">
        <v>11406</v>
      </c>
      <c r="B5707" s="2">
        <v>2883.09</v>
      </c>
      <c r="C5707" s="2">
        <v>2883.09</v>
      </c>
      <c r="D5707" s="2">
        <v>7863.41</v>
      </c>
      <c r="E5707" s="2">
        <v>7863.41</v>
      </c>
      <c r="G5707" s="1" t="s">
        <v>11407</v>
      </c>
      <c r="H5707" s="2">
        <v>1942.29</v>
      </c>
      <c r="I5707" s="2">
        <v>1942.29</v>
      </c>
    </row>
    <row r="5708">
      <c r="A5708" s="1" t="s">
        <v>11408</v>
      </c>
      <c r="B5708" s="2">
        <v>2926.32</v>
      </c>
      <c r="C5708" s="2">
        <v>2926.32</v>
      </c>
      <c r="D5708" s="2">
        <v>8016.36</v>
      </c>
      <c r="E5708" s="2">
        <v>8016.36</v>
      </c>
      <c r="G5708" s="1" t="s">
        <v>11409</v>
      </c>
      <c r="H5708" s="2">
        <v>1925.83</v>
      </c>
      <c r="I5708" s="2">
        <v>1925.83</v>
      </c>
    </row>
    <row r="5709">
      <c r="A5709" s="1" t="s">
        <v>11410</v>
      </c>
      <c r="B5709" s="2">
        <v>2840.6</v>
      </c>
      <c r="C5709" s="2">
        <v>2840.6</v>
      </c>
      <c r="D5709" s="2">
        <v>7773.94</v>
      </c>
      <c r="E5709" s="2">
        <v>7773.94</v>
      </c>
      <c r="G5709" s="1" t="s">
        <v>11411</v>
      </c>
      <c r="H5709" s="2">
        <v>1938.37</v>
      </c>
      <c r="I5709" s="2">
        <v>1938.37</v>
      </c>
    </row>
    <row r="5710">
      <c r="A5710" s="1" t="s">
        <v>11412</v>
      </c>
      <c r="B5710" s="2">
        <v>2847.6</v>
      </c>
      <c r="C5710" s="2">
        <v>2847.6</v>
      </c>
      <c r="D5710" s="2">
        <v>7766.62</v>
      </c>
      <c r="E5710" s="2">
        <v>7766.62</v>
      </c>
      <c r="G5710" s="1" t="s">
        <v>11413</v>
      </c>
      <c r="H5710" s="2" t="s">
        <v>0</v>
      </c>
      <c r="I5710" s="2">
        <v>1938.37</v>
      </c>
    </row>
    <row r="5711">
      <c r="A5711" s="1" t="s">
        <v>11414</v>
      </c>
      <c r="B5711" s="2">
        <v>2888.68</v>
      </c>
      <c r="C5711" s="2">
        <v>2888.68</v>
      </c>
      <c r="D5711" s="2">
        <v>7895.99</v>
      </c>
      <c r="E5711" s="2">
        <v>7895.99</v>
      </c>
      <c r="G5711" s="1" t="s">
        <v>11415</v>
      </c>
      <c r="H5711" s="2">
        <v>1927.17</v>
      </c>
      <c r="I5711" s="2">
        <v>1927.17</v>
      </c>
    </row>
    <row r="5712">
      <c r="A5712" s="1" t="s">
        <v>11416</v>
      </c>
      <c r="B5712" s="2" t="s">
        <v>0</v>
      </c>
      <c r="C5712" s="2">
        <v>2888.68</v>
      </c>
      <c r="D5712" s="2" t="s">
        <v>0</v>
      </c>
      <c r="E5712" s="2">
        <v>7895.99</v>
      </c>
      <c r="G5712" s="1" t="s">
        <v>11417</v>
      </c>
      <c r="H5712" s="2" t="s">
        <v>0</v>
      </c>
      <c r="I5712" s="2">
        <v>1927.17</v>
      </c>
    </row>
    <row r="5713">
      <c r="A5713" s="1" t="s">
        <v>11418</v>
      </c>
      <c r="B5713" s="2" t="s">
        <v>0</v>
      </c>
      <c r="C5713" s="2">
        <v>2888.68</v>
      </c>
      <c r="D5713" s="2" t="s">
        <v>0</v>
      </c>
      <c r="E5713" s="2">
        <v>7895.99</v>
      </c>
      <c r="G5713" s="1" t="s">
        <v>11419</v>
      </c>
      <c r="H5713" s="2" t="s">
        <v>0</v>
      </c>
      <c r="I5713" s="2">
        <v>1927.17</v>
      </c>
    </row>
    <row r="5714">
      <c r="A5714" s="1" t="s">
        <v>11420</v>
      </c>
      <c r="B5714" s="2">
        <v>2923.65</v>
      </c>
      <c r="C5714" s="2">
        <v>2923.65</v>
      </c>
      <c r="D5714" s="2">
        <v>8002.81</v>
      </c>
      <c r="E5714" s="2">
        <v>8002.81</v>
      </c>
      <c r="G5714" s="1" t="s">
        <v>11421</v>
      </c>
      <c r="H5714" s="2">
        <v>1939.9</v>
      </c>
      <c r="I5714" s="2">
        <v>1939.9</v>
      </c>
    </row>
    <row r="5715">
      <c r="A5715" s="1" t="s">
        <v>11422</v>
      </c>
      <c r="B5715" s="2">
        <v>2900.51</v>
      </c>
      <c r="C5715" s="2">
        <v>2900.51</v>
      </c>
      <c r="D5715" s="2">
        <v>7948.56</v>
      </c>
      <c r="E5715" s="2">
        <v>7948.56</v>
      </c>
      <c r="G5715" s="1" t="s">
        <v>11423</v>
      </c>
      <c r="H5715" s="2">
        <v>1960.25</v>
      </c>
      <c r="I5715" s="2">
        <v>1960.25</v>
      </c>
    </row>
    <row r="5716">
      <c r="A5716" s="1" t="s">
        <v>11424</v>
      </c>
      <c r="B5716" s="2">
        <v>2924.43</v>
      </c>
      <c r="C5716" s="2">
        <v>2924.43</v>
      </c>
      <c r="D5716" s="2">
        <v>8020.21</v>
      </c>
      <c r="E5716" s="2">
        <v>8020.21</v>
      </c>
      <c r="G5716" s="1" t="s">
        <v>11425</v>
      </c>
      <c r="H5716" s="2">
        <v>1964.65</v>
      </c>
      <c r="I5716" s="2">
        <v>1964.65</v>
      </c>
    </row>
    <row r="5717">
      <c r="A5717" s="1" t="s">
        <v>11426</v>
      </c>
      <c r="B5717" s="2">
        <v>2922.95</v>
      </c>
      <c r="C5717" s="2">
        <v>2922.95</v>
      </c>
      <c r="D5717" s="2">
        <v>7991.39</v>
      </c>
      <c r="E5717" s="2">
        <v>7991.39</v>
      </c>
      <c r="G5717" s="1" t="s">
        <v>11427</v>
      </c>
      <c r="H5717" s="2">
        <v>1951.01</v>
      </c>
      <c r="I5717" s="2">
        <v>1951.01</v>
      </c>
    </row>
    <row r="5718">
      <c r="A5718" s="1" t="s">
        <v>11428</v>
      </c>
      <c r="B5718" s="2">
        <v>2847.11</v>
      </c>
      <c r="C5718" s="2">
        <v>2847.11</v>
      </c>
      <c r="D5718" s="2">
        <v>7751.77</v>
      </c>
      <c r="E5718" s="2">
        <v>7751.77</v>
      </c>
      <c r="G5718" s="1" t="s">
        <v>11429</v>
      </c>
      <c r="H5718" s="2">
        <v>1948.3</v>
      </c>
      <c r="I5718" s="2">
        <v>1948.3</v>
      </c>
    </row>
    <row r="5719">
      <c r="A5719" s="1" t="s">
        <v>11430</v>
      </c>
      <c r="B5719" s="2" t="s">
        <v>0</v>
      </c>
      <c r="C5719" s="2">
        <v>2847.11</v>
      </c>
      <c r="D5719" s="2" t="s">
        <v>0</v>
      </c>
      <c r="E5719" s="2">
        <v>7751.77</v>
      </c>
      <c r="G5719" s="1" t="s">
        <v>11431</v>
      </c>
      <c r="H5719" s="2" t="s">
        <v>0</v>
      </c>
      <c r="I5719" s="2">
        <v>1948.3</v>
      </c>
    </row>
    <row r="5720">
      <c r="A5720" s="1" t="s">
        <v>11432</v>
      </c>
      <c r="B5720" s="2" t="s">
        <v>0</v>
      </c>
      <c r="C5720" s="2">
        <v>2847.11</v>
      </c>
      <c r="D5720" s="2" t="s">
        <v>0</v>
      </c>
      <c r="E5720" s="2">
        <v>7751.77</v>
      </c>
      <c r="G5720" s="1" t="s">
        <v>11433</v>
      </c>
      <c r="H5720" s="2" t="s">
        <v>0</v>
      </c>
      <c r="I5720" s="2">
        <v>1948.3</v>
      </c>
    </row>
    <row r="5721">
      <c r="A5721" s="1" t="s">
        <v>11434</v>
      </c>
      <c r="B5721" s="2">
        <v>2878.38</v>
      </c>
      <c r="C5721" s="2">
        <v>2878.38</v>
      </c>
      <c r="D5721" s="2">
        <v>7853.74</v>
      </c>
      <c r="E5721" s="2">
        <v>7853.74</v>
      </c>
      <c r="G5721" s="1" t="s">
        <v>11435</v>
      </c>
      <c r="H5721" s="2">
        <v>1916.31</v>
      </c>
      <c r="I5721" s="2">
        <v>1916.31</v>
      </c>
    </row>
    <row r="5722">
      <c r="A5722" s="1" t="s">
        <v>11436</v>
      </c>
      <c r="B5722" s="2">
        <v>2869.16</v>
      </c>
      <c r="C5722" s="2">
        <v>2869.16</v>
      </c>
      <c r="D5722" s="2">
        <v>7826.95</v>
      </c>
      <c r="E5722" s="2">
        <v>7826.95</v>
      </c>
      <c r="G5722" s="1" t="s">
        <v>11437</v>
      </c>
      <c r="H5722" s="2">
        <v>1924.6</v>
      </c>
      <c r="I5722" s="2">
        <v>1924.6</v>
      </c>
    </row>
    <row r="5723">
      <c r="A5723" s="1" t="s">
        <v>11438</v>
      </c>
      <c r="B5723" s="2">
        <v>2887.94</v>
      </c>
      <c r="C5723" s="2">
        <v>2887.94</v>
      </c>
      <c r="D5723" s="2">
        <v>7856.88</v>
      </c>
      <c r="E5723" s="2">
        <v>7856.88</v>
      </c>
      <c r="G5723" s="1" t="s">
        <v>11439</v>
      </c>
      <c r="H5723" s="2">
        <v>1941.09</v>
      </c>
      <c r="I5723" s="2">
        <v>1941.09</v>
      </c>
    </row>
    <row r="5724">
      <c r="A5724" s="1" t="s">
        <v>11440</v>
      </c>
      <c r="B5724" s="2">
        <v>2924.58</v>
      </c>
      <c r="C5724" s="2">
        <v>2924.58</v>
      </c>
      <c r="D5724" s="2">
        <v>7973.39</v>
      </c>
      <c r="E5724" s="2">
        <v>7973.39</v>
      </c>
      <c r="G5724" s="1" t="s">
        <v>11441</v>
      </c>
      <c r="H5724" s="2">
        <v>1933.41</v>
      </c>
      <c r="I5724" s="2">
        <v>1933.41</v>
      </c>
    </row>
    <row r="5725">
      <c r="A5725" s="1" t="s">
        <v>11442</v>
      </c>
      <c r="B5725" s="2">
        <v>2926.46</v>
      </c>
      <c r="C5725" s="2">
        <v>2926.46</v>
      </c>
      <c r="D5725" s="2">
        <v>7962.88</v>
      </c>
      <c r="E5725" s="2">
        <v>7962.88</v>
      </c>
      <c r="G5725" s="1" t="s">
        <v>11443</v>
      </c>
      <c r="H5725" s="2">
        <v>1967.79</v>
      </c>
      <c r="I5725" s="2">
        <v>1967.79</v>
      </c>
    </row>
    <row r="5726">
      <c r="A5726" s="1" t="s">
        <v>11444</v>
      </c>
      <c r="B5726" s="2" t="s">
        <v>0</v>
      </c>
      <c r="C5726" s="2">
        <v>2926.46</v>
      </c>
      <c r="D5726" s="2" t="s">
        <v>0</v>
      </c>
      <c r="E5726" s="2">
        <v>7962.88</v>
      </c>
      <c r="G5726" s="1" t="s">
        <v>11445</v>
      </c>
      <c r="H5726" s="2" t="s">
        <v>0</v>
      </c>
      <c r="I5726" s="2">
        <v>1967.79</v>
      </c>
    </row>
    <row r="5727">
      <c r="A5727" s="1" t="s">
        <v>11446</v>
      </c>
      <c r="B5727" s="2" t="s">
        <v>0</v>
      </c>
      <c r="C5727" s="2">
        <v>2926.46</v>
      </c>
      <c r="D5727" s="2" t="s">
        <v>0</v>
      </c>
      <c r="E5727" s="2">
        <v>7962.88</v>
      </c>
      <c r="G5727" s="1" t="s">
        <v>11447</v>
      </c>
      <c r="H5727" s="2" t="s">
        <v>0</v>
      </c>
      <c r="I5727" s="2">
        <v>1967.79</v>
      </c>
    </row>
    <row r="5728">
      <c r="A5728" s="1" t="s">
        <v>11448</v>
      </c>
      <c r="B5728" s="2" t="s">
        <v>0</v>
      </c>
      <c r="C5728" s="2">
        <v>2926.46</v>
      </c>
      <c r="D5728" s="2" t="s">
        <v>0</v>
      </c>
      <c r="E5728" s="2">
        <v>7962.88</v>
      </c>
      <c r="G5728" s="1" t="s">
        <v>11449</v>
      </c>
      <c r="H5728" s="2">
        <v>1969.19</v>
      </c>
      <c r="I5728" s="2">
        <v>1969.19</v>
      </c>
    </row>
    <row r="5729">
      <c r="A5729" s="1" t="s">
        <v>11450</v>
      </c>
      <c r="B5729" s="2">
        <v>2906.27</v>
      </c>
      <c r="C5729" s="2">
        <v>2906.27</v>
      </c>
      <c r="D5729" s="2">
        <v>7874.16</v>
      </c>
      <c r="E5729" s="2">
        <v>7874.16</v>
      </c>
      <c r="G5729" s="1" t="s">
        <v>11451</v>
      </c>
      <c r="H5729" s="2">
        <v>1965.69</v>
      </c>
      <c r="I5729" s="2">
        <v>1965.69</v>
      </c>
    </row>
    <row r="5730">
      <c r="A5730" s="1" t="s">
        <v>11452</v>
      </c>
      <c r="B5730" s="2">
        <v>2937.78</v>
      </c>
      <c r="C5730" s="2">
        <v>2937.78</v>
      </c>
      <c r="D5730" s="2">
        <v>7976.88</v>
      </c>
      <c r="E5730" s="2">
        <v>7976.88</v>
      </c>
      <c r="G5730" s="1" t="s">
        <v>11453</v>
      </c>
      <c r="H5730" s="2">
        <v>1988.53</v>
      </c>
      <c r="I5730" s="2">
        <v>1988.53</v>
      </c>
    </row>
    <row r="5731">
      <c r="A5731" s="1" t="s">
        <v>11454</v>
      </c>
      <c r="B5731" s="2">
        <v>2976.0</v>
      </c>
      <c r="C5731" s="2">
        <v>2976.0</v>
      </c>
      <c r="D5731" s="2">
        <v>8116.83</v>
      </c>
      <c r="E5731" s="2">
        <v>8116.83</v>
      </c>
      <c r="G5731" s="1" t="s">
        <v>11455</v>
      </c>
      <c r="H5731" s="2">
        <v>2004.75</v>
      </c>
      <c r="I5731" s="2">
        <v>2004.75</v>
      </c>
    </row>
    <row r="5732">
      <c r="A5732" s="1" t="s">
        <v>11456</v>
      </c>
      <c r="B5732" s="2">
        <v>2978.71</v>
      </c>
      <c r="C5732" s="2">
        <v>2978.71</v>
      </c>
      <c r="D5732" s="2">
        <v>8103.07</v>
      </c>
      <c r="E5732" s="2">
        <v>8103.07</v>
      </c>
      <c r="G5732" s="1" t="s">
        <v>11457</v>
      </c>
      <c r="H5732" s="2">
        <v>2009.13</v>
      </c>
      <c r="I5732" s="2">
        <v>2009.13</v>
      </c>
    </row>
    <row r="5733">
      <c r="A5733" s="1" t="s">
        <v>11458</v>
      </c>
      <c r="B5733" s="2" t="s">
        <v>0</v>
      </c>
      <c r="C5733" s="2">
        <v>2978.71</v>
      </c>
      <c r="D5733" s="2" t="s">
        <v>0</v>
      </c>
      <c r="E5733" s="2">
        <v>8103.07</v>
      </c>
      <c r="G5733" s="1" t="s">
        <v>11459</v>
      </c>
      <c r="H5733" s="2" t="s">
        <v>0</v>
      </c>
      <c r="I5733" s="2">
        <v>2009.13</v>
      </c>
    </row>
    <row r="5734">
      <c r="A5734" s="1" t="s">
        <v>11460</v>
      </c>
      <c r="B5734" s="2" t="s">
        <v>0</v>
      </c>
      <c r="C5734" s="2">
        <v>2978.71</v>
      </c>
      <c r="D5734" s="2" t="s">
        <v>0</v>
      </c>
      <c r="E5734" s="2">
        <v>8103.07</v>
      </c>
      <c r="G5734" s="1" t="s">
        <v>11461</v>
      </c>
      <c r="H5734" s="2" t="s">
        <v>0</v>
      </c>
      <c r="I5734" s="2">
        <v>2009.13</v>
      </c>
    </row>
    <row r="5735">
      <c r="A5735" s="1" t="s">
        <v>11462</v>
      </c>
      <c r="B5735" s="2">
        <v>2978.43</v>
      </c>
      <c r="C5735" s="2">
        <v>2978.43</v>
      </c>
      <c r="D5735" s="2">
        <v>8087.44</v>
      </c>
      <c r="E5735" s="2">
        <v>8087.44</v>
      </c>
      <c r="G5735" s="1" t="s">
        <v>11463</v>
      </c>
      <c r="H5735" s="2">
        <v>2019.55</v>
      </c>
      <c r="I5735" s="2">
        <v>2019.55</v>
      </c>
    </row>
    <row r="5736">
      <c r="A5736" s="1" t="s">
        <v>11464</v>
      </c>
      <c r="B5736" s="2">
        <v>2979.39</v>
      </c>
      <c r="C5736" s="2">
        <v>2979.39</v>
      </c>
      <c r="D5736" s="2">
        <v>8084.16</v>
      </c>
      <c r="E5736" s="2">
        <v>8084.16</v>
      </c>
      <c r="G5736" s="1" t="s">
        <v>11465</v>
      </c>
      <c r="H5736" s="2">
        <v>2032.08</v>
      </c>
      <c r="I5736" s="2">
        <v>2032.08</v>
      </c>
    </row>
    <row r="5737">
      <c r="A5737" s="1" t="s">
        <v>11466</v>
      </c>
      <c r="B5737" s="2">
        <v>3000.93</v>
      </c>
      <c r="C5737" s="2">
        <v>3000.93</v>
      </c>
      <c r="D5737" s="2">
        <v>8169.68</v>
      </c>
      <c r="E5737" s="2">
        <v>8169.68</v>
      </c>
      <c r="G5737" s="1" t="s">
        <v>11467</v>
      </c>
      <c r="H5737" s="2">
        <v>2049.2</v>
      </c>
      <c r="I5737" s="2">
        <v>2049.2</v>
      </c>
    </row>
    <row r="5738">
      <c r="A5738" s="1" t="s">
        <v>11468</v>
      </c>
      <c r="B5738" s="2">
        <v>3009.57</v>
      </c>
      <c r="C5738" s="2">
        <v>3009.57</v>
      </c>
      <c r="D5738" s="2">
        <v>8194.47</v>
      </c>
      <c r="E5738" s="2">
        <v>8194.47</v>
      </c>
      <c r="G5738" s="1" t="s">
        <v>11469</v>
      </c>
      <c r="H5738" s="2" t="s">
        <v>0</v>
      </c>
      <c r="I5738" s="2">
        <v>2049.2</v>
      </c>
    </row>
    <row r="5739">
      <c r="A5739" s="1" t="s">
        <v>11470</v>
      </c>
      <c r="B5739" s="2">
        <v>3007.39</v>
      </c>
      <c r="C5739" s="2">
        <v>3007.39</v>
      </c>
      <c r="D5739" s="2">
        <v>8176.71</v>
      </c>
      <c r="E5739" s="2">
        <v>8176.71</v>
      </c>
      <c r="G5739" s="1" t="s">
        <v>11471</v>
      </c>
      <c r="H5739" s="2" t="s">
        <v>0</v>
      </c>
      <c r="I5739" s="2">
        <v>2049.2</v>
      </c>
    </row>
    <row r="5740">
      <c r="A5740" s="1" t="s">
        <v>11472</v>
      </c>
      <c r="B5740" s="2" t="s">
        <v>0</v>
      </c>
      <c r="C5740" s="2">
        <v>3007.39</v>
      </c>
      <c r="D5740" s="2" t="s">
        <v>0</v>
      </c>
      <c r="E5740" s="2">
        <v>8176.71</v>
      </c>
      <c r="G5740" s="1" t="s">
        <v>11473</v>
      </c>
      <c r="H5740" s="2" t="s">
        <v>0</v>
      </c>
      <c r="I5740" s="2">
        <v>2049.2</v>
      </c>
    </row>
    <row r="5741">
      <c r="A5741" s="1" t="s">
        <v>11474</v>
      </c>
      <c r="B5741" s="2" t="s">
        <v>0</v>
      </c>
      <c r="C5741" s="2">
        <v>3007.39</v>
      </c>
      <c r="D5741" s="2" t="s">
        <v>0</v>
      </c>
      <c r="E5741" s="2">
        <v>8176.71</v>
      </c>
      <c r="G5741" s="1" t="s">
        <v>11475</v>
      </c>
      <c r="H5741" s="2" t="s">
        <v>0</v>
      </c>
      <c r="I5741" s="2">
        <v>2049.2</v>
      </c>
    </row>
    <row r="5742">
      <c r="A5742" s="1" t="s">
        <v>11476</v>
      </c>
      <c r="B5742" s="2">
        <v>2997.96</v>
      </c>
      <c r="C5742" s="2">
        <v>2997.96</v>
      </c>
      <c r="D5742" s="2">
        <v>8153.54</v>
      </c>
      <c r="E5742" s="2">
        <v>8153.54</v>
      </c>
      <c r="G5742" s="1" t="s">
        <v>11477</v>
      </c>
      <c r="H5742" s="2">
        <v>2062.22</v>
      </c>
      <c r="I5742" s="2">
        <v>2062.22</v>
      </c>
    </row>
    <row r="5743">
      <c r="A5743" s="1" t="s">
        <v>11478</v>
      </c>
      <c r="B5743" s="2">
        <v>3005.7</v>
      </c>
      <c r="C5743" s="2">
        <v>3005.7</v>
      </c>
      <c r="D5743" s="2">
        <v>8186.02</v>
      </c>
      <c r="E5743" s="2">
        <v>8186.02</v>
      </c>
      <c r="G5743" s="1" t="s">
        <v>11479</v>
      </c>
      <c r="H5743" s="2">
        <v>2062.33</v>
      </c>
      <c r="I5743" s="2">
        <v>2062.33</v>
      </c>
    </row>
    <row r="5744">
      <c r="A5744" s="1" t="s">
        <v>11480</v>
      </c>
      <c r="B5744" s="2">
        <v>3006.73</v>
      </c>
      <c r="C5744" s="2">
        <v>3006.73</v>
      </c>
      <c r="D5744" s="2">
        <v>8177.39</v>
      </c>
      <c r="E5744" s="2">
        <v>8177.39</v>
      </c>
      <c r="G5744" s="1" t="s">
        <v>11481</v>
      </c>
      <c r="H5744" s="2">
        <v>2070.73</v>
      </c>
      <c r="I5744" s="2">
        <v>2070.73</v>
      </c>
    </row>
    <row r="5745">
      <c r="A5745" s="1" t="s">
        <v>11482</v>
      </c>
      <c r="B5745" s="2">
        <v>3006.79</v>
      </c>
      <c r="C5745" s="2">
        <v>3006.79</v>
      </c>
      <c r="D5745" s="2">
        <v>8182.88</v>
      </c>
      <c r="E5745" s="2">
        <v>8182.88</v>
      </c>
      <c r="G5745" s="1" t="s">
        <v>11483</v>
      </c>
      <c r="H5745" s="2">
        <v>2080.35</v>
      </c>
      <c r="I5745" s="2">
        <v>2080.35</v>
      </c>
    </row>
    <row r="5746">
      <c r="A5746" s="1" t="s">
        <v>11484</v>
      </c>
      <c r="B5746" s="2">
        <v>2992.07</v>
      </c>
      <c r="C5746" s="2">
        <v>2992.07</v>
      </c>
      <c r="D5746" s="2">
        <v>8117.67</v>
      </c>
      <c r="E5746" s="2">
        <v>8117.67</v>
      </c>
      <c r="G5746" s="1" t="s">
        <v>11485</v>
      </c>
      <c r="H5746" s="2">
        <v>2091.52</v>
      </c>
      <c r="I5746" s="2">
        <v>2091.52</v>
      </c>
    </row>
    <row r="5747">
      <c r="A5747" s="1" t="s">
        <v>11486</v>
      </c>
      <c r="B5747" s="2" t="s">
        <v>0</v>
      </c>
      <c r="C5747" s="2">
        <v>2992.07</v>
      </c>
      <c r="D5747" s="2" t="s">
        <v>0</v>
      </c>
      <c r="E5747" s="2">
        <v>8117.67</v>
      </c>
      <c r="G5747" s="1" t="s">
        <v>11487</v>
      </c>
      <c r="H5747" s="2" t="s">
        <v>0</v>
      </c>
      <c r="I5747" s="2">
        <v>2091.52</v>
      </c>
    </row>
    <row r="5748">
      <c r="A5748" s="1" t="s">
        <v>11488</v>
      </c>
      <c r="B5748" s="2" t="s">
        <v>0</v>
      </c>
      <c r="C5748" s="2">
        <v>2992.07</v>
      </c>
      <c r="D5748" s="2" t="s">
        <v>0</v>
      </c>
      <c r="E5748" s="2">
        <v>8117.67</v>
      </c>
      <c r="G5748" s="1" t="s">
        <v>11489</v>
      </c>
      <c r="H5748" s="2" t="s">
        <v>0</v>
      </c>
      <c r="I5748" s="2">
        <v>2091.52</v>
      </c>
    </row>
    <row r="5749">
      <c r="A5749" s="1" t="s">
        <v>11490</v>
      </c>
      <c r="B5749" s="2">
        <v>2991.78</v>
      </c>
      <c r="C5749" s="2">
        <v>2991.78</v>
      </c>
      <c r="D5749" s="2">
        <v>8112.46</v>
      </c>
      <c r="E5749" s="2">
        <v>8112.46</v>
      </c>
      <c r="G5749" s="1" t="s">
        <v>11491</v>
      </c>
      <c r="H5749" s="2">
        <v>2091.7</v>
      </c>
      <c r="I5749" s="2">
        <v>2091.7</v>
      </c>
    </row>
    <row r="5750">
      <c r="A5750" s="1" t="s">
        <v>11492</v>
      </c>
      <c r="B5750" s="2">
        <v>2966.6</v>
      </c>
      <c r="C5750" s="2">
        <v>2966.6</v>
      </c>
      <c r="D5750" s="2">
        <v>7993.63</v>
      </c>
      <c r="E5750" s="2">
        <v>7993.63</v>
      </c>
      <c r="G5750" s="1" t="s">
        <v>11493</v>
      </c>
      <c r="H5750" s="2">
        <v>2101.04</v>
      </c>
      <c r="I5750" s="2">
        <v>2101.04</v>
      </c>
    </row>
    <row r="5751">
      <c r="A5751" s="1" t="s">
        <v>11494</v>
      </c>
      <c r="B5751" s="2">
        <v>2984.87</v>
      </c>
      <c r="C5751" s="2">
        <v>2984.87</v>
      </c>
      <c r="D5751" s="2">
        <v>8077.38</v>
      </c>
      <c r="E5751" s="2">
        <v>8077.38</v>
      </c>
      <c r="G5751" s="1" t="s">
        <v>11495</v>
      </c>
      <c r="H5751" s="2">
        <v>2073.39</v>
      </c>
      <c r="I5751" s="2">
        <v>2073.39</v>
      </c>
    </row>
    <row r="5752">
      <c r="A5752" s="1" t="s">
        <v>11496</v>
      </c>
      <c r="B5752" s="2">
        <v>2977.62</v>
      </c>
      <c r="C5752" s="2">
        <v>2977.62</v>
      </c>
      <c r="D5752" s="2">
        <v>8030.66</v>
      </c>
      <c r="E5752" s="2">
        <v>8030.66</v>
      </c>
      <c r="G5752" s="1" t="s">
        <v>11497</v>
      </c>
      <c r="H5752" s="2">
        <v>2074.52</v>
      </c>
      <c r="I5752" s="2">
        <v>2074.52</v>
      </c>
    </row>
    <row r="5753">
      <c r="A5753" s="1" t="s">
        <v>11498</v>
      </c>
      <c r="B5753" s="2">
        <v>2961.79</v>
      </c>
      <c r="C5753" s="2">
        <v>2961.79</v>
      </c>
      <c r="D5753" s="2">
        <v>7939.63</v>
      </c>
      <c r="E5753" s="2">
        <v>7939.63</v>
      </c>
      <c r="G5753" s="1" t="s">
        <v>11499</v>
      </c>
      <c r="H5753" s="2">
        <v>2049.93</v>
      </c>
      <c r="I5753" s="2">
        <v>2049.93</v>
      </c>
    </row>
    <row r="5754">
      <c r="A5754" s="1" t="s">
        <v>11500</v>
      </c>
      <c r="B5754" s="2" t="s">
        <v>0</v>
      </c>
      <c r="C5754" s="2">
        <v>2961.79</v>
      </c>
      <c r="D5754" s="2" t="s">
        <v>0</v>
      </c>
      <c r="E5754" s="2">
        <v>7939.63</v>
      </c>
      <c r="G5754" s="1" t="s">
        <v>11501</v>
      </c>
      <c r="H5754" s="2" t="s">
        <v>0</v>
      </c>
      <c r="I5754" s="2">
        <v>2049.93</v>
      </c>
    </row>
    <row r="5755">
      <c r="A5755" s="1" t="s">
        <v>11502</v>
      </c>
      <c r="B5755" s="2" t="s">
        <v>0</v>
      </c>
      <c r="C5755" s="2">
        <v>2961.79</v>
      </c>
      <c r="D5755" s="2" t="s">
        <v>0</v>
      </c>
      <c r="E5755" s="2">
        <v>7939.63</v>
      </c>
      <c r="G5755" s="1" t="s">
        <v>11503</v>
      </c>
      <c r="H5755" s="2" t="s">
        <v>0</v>
      </c>
      <c r="I5755" s="2">
        <v>2049.93</v>
      </c>
    </row>
    <row r="5756">
      <c r="A5756" s="1" t="s">
        <v>11504</v>
      </c>
      <c r="B5756" s="2">
        <v>2976.74</v>
      </c>
      <c r="C5756" s="2">
        <v>2976.74</v>
      </c>
      <c r="D5756" s="2">
        <v>7999.33</v>
      </c>
      <c r="E5756" s="2">
        <v>7999.33</v>
      </c>
      <c r="G5756" s="1" t="s">
        <v>11505</v>
      </c>
      <c r="H5756" s="2">
        <v>2063.05</v>
      </c>
      <c r="I5756" s="2">
        <v>2063.05</v>
      </c>
    </row>
    <row r="5757">
      <c r="A5757" s="1" t="s">
        <v>11506</v>
      </c>
      <c r="B5757" s="2">
        <v>2940.25</v>
      </c>
      <c r="C5757" s="2">
        <v>2940.25</v>
      </c>
      <c r="D5757" s="2">
        <v>7908.67</v>
      </c>
      <c r="E5757" s="2">
        <v>7908.67</v>
      </c>
      <c r="G5757" s="1" t="s">
        <v>11507</v>
      </c>
      <c r="H5757" s="2">
        <v>2072.42</v>
      </c>
      <c r="I5757" s="2">
        <v>2072.42</v>
      </c>
    </row>
    <row r="5758">
      <c r="A5758" s="1" t="s">
        <v>11508</v>
      </c>
      <c r="B5758" s="2">
        <v>2887.61</v>
      </c>
      <c r="C5758" s="2">
        <v>2887.61</v>
      </c>
      <c r="D5758" s="2">
        <v>7785.23</v>
      </c>
      <c r="E5758" s="2">
        <v>7785.23</v>
      </c>
      <c r="G5758" s="1" t="s">
        <v>11509</v>
      </c>
      <c r="H5758" s="2">
        <v>2031.91</v>
      </c>
      <c r="I5758" s="2">
        <v>2031.91</v>
      </c>
    </row>
    <row r="5759">
      <c r="A5759" s="1" t="s">
        <v>11510</v>
      </c>
      <c r="B5759" s="2">
        <v>2910.63</v>
      </c>
      <c r="C5759" s="2">
        <v>2910.63</v>
      </c>
      <c r="D5759" s="2">
        <v>7872.25</v>
      </c>
      <c r="E5759" s="2">
        <v>7872.25</v>
      </c>
      <c r="G5759" s="1" t="s">
        <v>11511</v>
      </c>
      <c r="H5759" s="2" t="s">
        <v>0</v>
      </c>
      <c r="I5759" s="2">
        <v>2031.91</v>
      </c>
    </row>
    <row r="5760">
      <c r="A5760" s="1" t="s">
        <v>11512</v>
      </c>
      <c r="B5760" s="2">
        <v>2952.01</v>
      </c>
      <c r="C5760" s="2">
        <v>2952.01</v>
      </c>
      <c r="D5760" s="2">
        <v>7982.46</v>
      </c>
      <c r="E5760" s="2">
        <v>7982.46</v>
      </c>
      <c r="G5760" s="1" t="s">
        <v>11513</v>
      </c>
      <c r="H5760" s="2">
        <v>2020.69</v>
      </c>
      <c r="I5760" s="2">
        <v>2020.69</v>
      </c>
    </row>
    <row r="5761">
      <c r="A5761" s="1" t="s">
        <v>11514</v>
      </c>
      <c r="B5761" s="2" t="s">
        <v>0</v>
      </c>
      <c r="C5761" s="2">
        <v>2952.01</v>
      </c>
      <c r="D5761" s="2" t="s">
        <v>0</v>
      </c>
      <c r="E5761" s="2">
        <v>7982.46</v>
      </c>
      <c r="G5761" s="1" t="s">
        <v>11515</v>
      </c>
      <c r="H5761" s="2" t="s">
        <v>0</v>
      </c>
      <c r="I5761" s="2">
        <v>2020.69</v>
      </c>
    </row>
    <row r="5762">
      <c r="A5762" s="1" t="s">
        <v>11516</v>
      </c>
      <c r="B5762" s="2" t="s">
        <v>0</v>
      </c>
      <c r="C5762" s="2">
        <v>2952.01</v>
      </c>
      <c r="D5762" s="2" t="s">
        <v>0</v>
      </c>
      <c r="E5762" s="2">
        <v>7982.46</v>
      </c>
      <c r="G5762" s="1" t="s">
        <v>11517</v>
      </c>
      <c r="H5762" s="2" t="s">
        <v>0</v>
      </c>
      <c r="I5762" s="2">
        <v>2020.69</v>
      </c>
    </row>
    <row r="5763">
      <c r="A5763" s="1" t="s">
        <v>11518</v>
      </c>
      <c r="B5763" s="2">
        <v>2938.79</v>
      </c>
      <c r="C5763" s="2">
        <v>2938.79</v>
      </c>
      <c r="D5763" s="2">
        <v>7956.28</v>
      </c>
      <c r="E5763" s="2">
        <v>7956.28</v>
      </c>
      <c r="G5763" s="1" t="s">
        <v>11519</v>
      </c>
      <c r="H5763" s="2">
        <v>2021.73</v>
      </c>
      <c r="I5763" s="2">
        <v>2021.73</v>
      </c>
    </row>
    <row r="5764">
      <c r="A5764" s="1" t="s">
        <v>11520</v>
      </c>
      <c r="B5764" s="2">
        <v>2893.06</v>
      </c>
      <c r="C5764" s="2">
        <v>2893.06</v>
      </c>
      <c r="D5764" s="2">
        <v>7823.76</v>
      </c>
      <c r="E5764" s="2">
        <v>7823.76</v>
      </c>
      <c r="G5764" s="1" t="s">
        <v>11521</v>
      </c>
      <c r="H5764" s="2">
        <v>2046.25</v>
      </c>
      <c r="I5764" s="2">
        <v>2046.25</v>
      </c>
    </row>
    <row r="5765">
      <c r="A5765" s="1" t="s">
        <v>11522</v>
      </c>
      <c r="B5765" s="2">
        <v>2919.4</v>
      </c>
      <c r="C5765" s="2">
        <v>2919.4</v>
      </c>
      <c r="D5765" s="2">
        <v>7903.73</v>
      </c>
      <c r="E5765" s="2">
        <v>7903.73</v>
      </c>
      <c r="G5765" s="1" t="s">
        <v>11523</v>
      </c>
      <c r="H5765" s="2" t="s">
        <v>0</v>
      </c>
      <c r="I5765" s="2">
        <v>2046.25</v>
      </c>
    </row>
    <row r="5766">
      <c r="A5766" s="1" t="s">
        <v>11524</v>
      </c>
      <c r="B5766" s="2">
        <v>2938.13</v>
      </c>
      <c r="C5766" s="2">
        <v>2938.13</v>
      </c>
      <c r="D5766" s="2">
        <v>7950.77</v>
      </c>
      <c r="E5766" s="2">
        <v>7950.77</v>
      </c>
      <c r="G5766" s="1" t="s">
        <v>11525</v>
      </c>
      <c r="H5766" s="2">
        <v>2028.15</v>
      </c>
      <c r="I5766" s="2">
        <v>2028.15</v>
      </c>
    </row>
    <row r="5767">
      <c r="A5767" s="1" t="s">
        <v>11526</v>
      </c>
      <c r="B5767" s="2">
        <v>2970.27</v>
      </c>
      <c r="C5767" s="2">
        <v>2970.27</v>
      </c>
      <c r="D5767" s="2">
        <v>8057.04</v>
      </c>
      <c r="E5767" s="2">
        <v>8057.04</v>
      </c>
      <c r="G5767" s="1" t="s">
        <v>11527</v>
      </c>
      <c r="H5767" s="2">
        <v>2044.61</v>
      </c>
      <c r="I5767" s="2">
        <v>2044.61</v>
      </c>
    </row>
    <row r="5768">
      <c r="A5768" s="1" t="s">
        <v>11528</v>
      </c>
      <c r="B5768" s="2" t="s">
        <v>0</v>
      </c>
      <c r="C5768" s="2">
        <v>2970.27</v>
      </c>
      <c r="D5768" s="2" t="s">
        <v>0</v>
      </c>
      <c r="E5768" s="2">
        <v>8057.04</v>
      </c>
      <c r="G5768" s="1" t="s">
        <v>11529</v>
      </c>
      <c r="H5768" s="2" t="s">
        <v>0</v>
      </c>
      <c r="I5768" s="2">
        <v>2044.61</v>
      </c>
    </row>
    <row r="5769">
      <c r="A5769" s="1" t="s">
        <v>11530</v>
      </c>
      <c r="B5769" s="2" t="s">
        <v>0</v>
      </c>
      <c r="C5769" s="2">
        <v>2970.27</v>
      </c>
      <c r="D5769" s="2" t="s">
        <v>0</v>
      </c>
      <c r="E5769" s="2">
        <v>8057.04</v>
      </c>
      <c r="G5769" s="1" t="s">
        <v>11531</v>
      </c>
      <c r="H5769" s="2" t="s">
        <v>0</v>
      </c>
      <c r="I5769" s="2">
        <v>2044.61</v>
      </c>
    </row>
    <row r="5770">
      <c r="A5770" s="1" t="s">
        <v>11532</v>
      </c>
      <c r="B5770" s="2">
        <v>2966.15</v>
      </c>
      <c r="C5770" s="2">
        <v>2966.15</v>
      </c>
      <c r="D5770" s="2">
        <v>8048.65</v>
      </c>
      <c r="E5770" s="2">
        <v>8048.65</v>
      </c>
      <c r="G5770" s="1" t="s">
        <v>11533</v>
      </c>
      <c r="H5770" s="2">
        <v>2067.4</v>
      </c>
      <c r="I5770" s="2">
        <v>2067.4</v>
      </c>
    </row>
    <row r="5771">
      <c r="A5771" s="1" t="s">
        <v>11534</v>
      </c>
      <c r="B5771" s="2">
        <v>2995.68</v>
      </c>
      <c r="C5771" s="2">
        <v>2995.68</v>
      </c>
      <c r="D5771" s="2">
        <v>8148.71</v>
      </c>
      <c r="E5771" s="2">
        <v>8148.71</v>
      </c>
      <c r="G5771" s="1" t="s">
        <v>11535</v>
      </c>
      <c r="H5771" s="2">
        <v>2068.17</v>
      </c>
      <c r="I5771" s="2">
        <v>2068.17</v>
      </c>
    </row>
    <row r="5772">
      <c r="A5772" s="1" t="s">
        <v>11536</v>
      </c>
      <c r="B5772" s="2">
        <v>2989.69</v>
      </c>
      <c r="C5772" s="2">
        <v>2989.69</v>
      </c>
      <c r="D5772" s="2">
        <v>8124.18</v>
      </c>
      <c r="E5772" s="2">
        <v>8124.18</v>
      </c>
      <c r="G5772" s="1" t="s">
        <v>11537</v>
      </c>
      <c r="H5772" s="2">
        <v>2082.83</v>
      </c>
      <c r="I5772" s="2">
        <v>2082.83</v>
      </c>
    </row>
    <row r="5773">
      <c r="A5773" s="1" t="s">
        <v>11538</v>
      </c>
      <c r="B5773" s="2">
        <v>2997.95</v>
      </c>
      <c r="C5773" s="2">
        <v>2997.95</v>
      </c>
      <c r="D5773" s="2">
        <v>8156.85</v>
      </c>
      <c r="E5773" s="2">
        <v>8156.85</v>
      </c>
      <c r="G5773" s="1" t="s">
        <v>11539</v>
      </c>
      <c r="H5773" s="2">
        <v>2077.94</v>
      </c>
      <c r="I5773" s="2">
        <v>2077.94</v>
      </c>
    </row>
    <row r="5774">
      <c r="A5774" s="1" t="s">
        <v>11540</v>
      </c>
      <c r="B5774" s="2">
        <v>2986.2</v>
      </c>
      <c r="C5774" s="2">
        <v>2986.2</v>
      </c>
      <c r="D5774" s="2">
        <v>8089.54</v>
      </c>
      <c r="E5774" s="2">
        <v>8089.54</v>
      </c>
      <c r="G5774" s="1" t="s">
        <v>11541</v>
      </c>
      <c r="H5774" s="2">
        <v>2060.69</v>
      </c>
      <c r="I5774" s="2">
        <v>2060.69</v>
      </c>
    </row>
    <row r="5775">
      <c r="A5775" s="1" t="s">
        <v>11542</v>
      </c>
      <c r="B5775" s="2" t="s">
        <v>0</v>
      </c>
      <c r="C5775" s="2">
        <v>2986.2</v>
      </c>
      <c r="D5775" s="2" t="s">
        <v>0</v>
      </c>
      <c r="E5775" s="2">
        <v>8089.54</v>
      </c>
      <c r="G5775" s="1" t="s">
        <v>11543</v>
      </c>
      <c r="H5775" s="2" t="s">
        <v>0</v>
      </c>
      <c r="I5775" s="2">
        <v>2060.69</v>
      </c>
    </row>
    <row r="5776">
      <c r="A5776" s="1" t="s">
        <v>11544</v>
      </c>
      <c r="B5776" s="2" t="s">
        <v>0</v>
      </c>
      <c r="C5776" s="2">
        <v>2986.2</v>
      </c>
      <c r="D5776" s="2" t="s">
        <v>0</v>
      </c>
      <c r="E5776" s="2">
        <v>8089.54</v>
      </c>
      <c r="G5776" s="1" t="s">
        <v>11545</v>
      </c>
      <c r="H5776" s="2" t="s">
        <v>0</v>
      </c>
      <c r="I5776" s="2">
        <v>2060.69</v>
      </c>
    </row>
    <row r="5777">
      <c r="A5777" s="1" t="s">
        <v>11546</v>
      </c>
      <c r="B5777" s="2">
        <v>3006.72</v>
      </c>
      <c r="C5777" s="2">
        <v>3006.72</v>
      </c>
      <c r="D5777" s="2">
        <v>8162.99</v>
      </c>
      <c r="E5777" s="2">
        <v>8162.99</v>
      </c>
      <c r="G5777" s="1" t="s">
        <v>11547</v>
      </c>
      <c r="H5777" s="2">
        <v>2064.84</v>
      </c>
      <c r="I5777" s="2">
        <v>2064.84</v>
      </c>
    </row>
    <row r="5778">
      <c r="A5778" s="1" t="s">
        <v>11548</v>
      </c>
      <c r="B5778" s="2">
        <v>2995.99</v>
      </c>
      <c r="C5778" s="2">
        <v>2995.99</v>
      </c>
      <c r="D5778" s="2">
        <v>8104.3</v>
      </c>
      <c r="E5778" s="2">
        <v>8104.3</v>
      </c>
      <c r="G5778" s="1" t="s">
        <v>11549</v>
      </c>
      <c r="H5778" s="2">
        <v>2088.86</v>
      </c>
      <c r="I5778" s="2">
        <v>2088.86</v>
      </c>
    </row>
    <row r="5779">
      <c r="A5779" s="1" t="s">
        <v>11550</v>
      </c>
      <c r="B5779" s="2">
        <v>3004.52</v>
      </c>
      <c r="C5779" s="2">
        <v>3004.52</v>
      </c>
      <c r="D5779" s="2">
        <v>8119.79</v>
      </c>
      <c r="E5779" s="2">
        <v>8119.79</v>
      </c>
      <c r="G5779" s="1" t="s">
        <v>11551</v>
      </c>
      <c r="H5779" s="2">
        <v>2080.62</v>
      </c>
      <c r="I5779" s="2">
        <v>2080.62</v>
      </c>
    </row>
    <row r="5780">
      <c r="A5780" s="1" t="s">
        <v>11552</v>
      </c>
      <c r="B5780" s="2">
        <v>3010.29</v>
      </c>
      <c r="C5780" s="2">
        <v>3010.29</v>
      </c>
      <c r="D5780" s="2">
        <v>8185.8</v>
      </c>
      <c r="E5780" s="2">
        <v>8185.8</v>
      </c>
      <c r="G5780" s="1" t="s">
        <v>11553</v>
      </c>
      <c r="H5780" s="2">
        <v>2085.66</v>
      </c>
      <c r="I5780" s="2">
        <v>2085.66</v>
      </c>
    </row>
    <row r="5781">
      <c r="A5781" s="1" t="s">
        <v>11554</v>
      </c>
      <c r="B5781" s="2">
        <v>3022.55</v>
      </c>
      <c r="C5781" s="2">
        <v>3022.55</v>
      </c>
      <c r="D5781" s="2">
        <v>8243.12</v>
      </c>
      <c r="E5781" s="2">
        <v>8243.12</v>
      </c>
      <c r="G5781" s="1" t="s">
        <v>11555</v>
      </c>
      <c r="H5781" s="2">
        <v>2087.89</v>
      </c>
      <c r="I5781" s="2">
        <v>2087.89</v>
      </c>
    </row>
    <row r="5782">
      <c r="A5782" s="1" t="s">
        <v>11556</v>
      </c>
      <c r="B5782" s="2" t="s">
        <v>0</v>
      </c>
      <c r="C5782" s="2">
        <v>3022.55</v>
      </c>
      <c r="D5782" s="2" t="s">
        <v>0</v>
      </c>
      <c r="E5782" s="2">
        <v>8243.12</v>
      </c>
      <c r="G5782" s="1" t="s">
        <v>11557</v>
      </c>
      <c r="H5782" s="2" t="s">
        <v>0</v>
      </c>
      <c r="I5782" s="2">
        <v>2087.89</v>
      </c>
    </row>
    <row r="5783">
      <c r="A5783" s="1" t="s">
        <v>11558</v>
      </c>
      <c r="B5783" s="2" t="s">
        <v>0</v>
      </c>
      <c r="C5783" s="2">
        <v>3022.55</v>
      </c>
      <c r="D5783" s="2" t="s">
        <v>0</v>
      </c>
      <c r="E5783" s="2">
        <v>8243.12</v>
      </c>
      <c r="G5783" s="1" t="s">
        <v>11559</v>
      </c>
      <c r="H5783" s="2" t="s">
        <v>0</v>
      </c>
      <c r="I5783" s="2">
        <v>2087.89</v>
      </c>
    </row>
    <row r="5784">
      <c r="A5784" s="1" t="s">
        <v>11560</v>
      </c>
      <c r="B5784" s="2">
        <v>3039.42</v>
      </c>
      <c r="C5784" s="2">
        <v>3039.42</v>
      </c>
      <c r="D5784" s="2">
        <v>8325.99</v>
      </c>
      <c r="E5784" s="2">
        <v>8325.99</v>
      </c>
      <c r="G5784" s="1" t="s">
        <v>11561</v>
      </c>
      <c r="H5784" s="2">
        <v>2093.6</v>
      </c>
      <c r="I5784" s="2">
        <v>2093.6</v>
      </c>
    </row>
    <row r="5785">
      <c r="A5785" s="1" t="s">
        <v>11562</v>
      </c>
      <c r="B5785" s="2">
        <v>3036.89</v>
      </c>
      <c r="C5785" s="2">
        <v>3036.89</v>
      </c>
      <c r="D5785" s="2">
        <v>8276.85</v>
      </c>
      <c r="E5785" s="2">
        <v>8276.85</v>
      </c>
      <c r="G5785" s="1" t="s">
        <v>11563</v>
      </c>
      <c r="H5785" s="2">
        <v>2092.69</v>
      </c>
      <c r="I5785" s="2">
        <v>2092.69</v>
      </c>
    </row>
    <row r="5786">
      <c r="A5786" s="1" t="s">
        <v>11564</v>
      </c>
      <c r="B5786" s="2">
        <v>3046.77</v>
      </c>
      <c r="C5786" s="2">
        <v>3046.77</v>
      </c>
      <c r="D5786" s="2">
        <v>8303.98</v>
      </c>
      <c r="E5786" s="2">
        <v>8303.98</v>
      </c>
      <c r="G5786" s="1" t="s">
        <v>11565</v>
      </c>
      <c r="H5786" s="2">
        <v>2080.27</v>
      </c>
      <c r="I5786" s="2">
        <v>2080.27</v>
      </c>
    </row>
    <row r="5787">
      <c r="A5787" s="1" t="s">
        <v>11566</v>
      </c>
      <c r="B5787" s="2" t="s">
        <v>0</v>
      </c>
      <c r="C5787" s="2">
        <v>3046.77</v>
      </c>
      <c r="D5787" s="2">
        <v>8292.36</v>
      </c>
      <c r="E5787" s="2">
        <v>8292.36</v>
      </c>
      <c r="G5787" s="1" t="s">
        <v>11567</v>
      </c>
      <c r="H5787" s="2">
        <v>2083.48</v>
      </c>
      <c r="I5787" s="2">
        <v>2083.48</v>
      </c>
    </row>
    <row r="5788">
      <c r="A5788" s="1" t="s">
        <v>11568</v>
      </c>
      <c r="B5788" s="2">
        <v>3066.91</v>
      </c>
      <c r="C5788" s="2">
        <v>3066.91</v>
      </c>
      <c r="D5788" s="2">
        <v>8386.4</v>
      </c>
      <c r="E5788" s="2">
        <v>8386.4</v>
      </c>
      <c r="G5788" s="1" t="s">
        <v>11569</v>
      </c>
      <c r="H5788" s="2">
        <v>2100.2</v>
      </c>
      <c r="I5788" s="2">
        <v>2100.2</v>
      </c>
    </row>
    <row r="5789">
      <c r="A5789" s="1" t="s">
        <v>11570</v>
      </c>
      <c r="B5789" s="2" t="s">
        <v>0</v>
      </c>
      <c r="C5789" s="2">
        <v>3066.91</v>
      </c>
      <c r="D5789" s="2" t="s">
        <v>0</v>
      </c>
      <c r="E5789" s="2">
        <v>8386.4</v>
      </c>
      <c r="G5789" s="1" t="s">
        <v>11571</v>
      </c>
      <c r="H5789" s="2" t="s">
        <v>0</v>
      </c>
      <c r="I5789" s="2">
        <v>2100.2</v>
      </c>
    </row>
    <row r="5790">
      <c r="A5790" s="1" t="s">
        <v>11572</v>
      </c>
      <c r="B5790" s="2" t="s">
        <v>0</v>
      </c>
      <c r="C5790" s="2">
        <v>3066.91</v>
      </c>
      <c r="D5790" s="2" t="s">
        <v>0</v>
      </c>
      <c r="E5790" s="2">
        <v>8386.4</v>
      </c>
      <c r="G5790" s="1" t="s">
        <v>11573</v>
      </c>
      <c r="H5790" s="2" t="s">
        <v>0</v>
      </c>
      <c r="I5790" s="2">
        <v>2100.2</v>
      </c>
    </row>
    <row r="5791">
      <c r="A5791" s="1" t="s">
        <v>11574</v>
      </c>
      <c r="B5791" s="2">
        <v>3078.27</v>
      </c>
      <c r="C5791" s="2">
        <v>3078.27</v>
      </c>
      <c r="D5791" s="2">
        <v>8433.2</v>
      </c>
      <c r="E5791" s="2">
        <v>8433.2</v>
      </c>
      <c r="G5791" s="1" t="s">
        <v>11575</v>
      </c>
      <c r="H5791" s="2">
        <v>2130.24</v>
      </c>
      <c r="I5791" s="2">
        <v>2130.24</v>
      </c>
    </row>
    <row r="5792">
      <c r="A5792" s="1" t="s">
        <v>11576</v>
      </c>
      <c r="B5792" s="2">
        <v>3074.62</v>
      </c>
      <c r="C5792" s="2">
        <v>3074.62</v>
      </c>
      <c r="D5792" s="2">
        <v>8434.68</v>
      </c>
      <c r="E5792" s="2">
        <v>8434.68</v>
      </c>
      <c r="G5792" s="1" t="s">
        <v>11577</v>
      </c>
      <c r="H5792" s="2">
        <v>2142.64</v>
      </c>
      <c r="I5792" s="2">
        <v>2142.64</v>
      </c>
    </row>
    <row r="5793">
      <c r="A5793" s="1" t="s">
        <v>11578</v>
      </c>
      <c r="B5793" s="2">
        <v>3076.78</v>
      </c>
      <c r="C5793" s="2">
        <v>3076.78</v>
      </c>
      <c r="D5793" s="2">
        <v>8410.63</v>
      </c>
      <c r="E5793" s="2">
        <v>8410.63</v>
      </c>
      <c r="G5793" s="1" t="s">
        <v>11579</v>
      </c>
      <c r="H5793" s="2">
        <v>2144.15</v>
      </c>
      <c r="I5793" s="2">
        <v>2144.15</v>
      </c>
    </row>
    <row r="5794">
      <c r="A5794" s="1" t="s">
        <v>11580</v>
      </c>
      <c r="B5794" s="2">
        <v>3085.18</v>
      </c>
      <c r="C5794" s="2">
        <v>3085.18</v>
      </c>
      <c r="D5794" s="2">
        <v>8434.52</v>
      </c>
      <c r="E5794" s="2">
        <v>8434.52</v>
      </c>
      <c r="G5794" s="1" t="s">
        <v>11581</v>
      </c>
      <c r="H5794" s="2">
        <v>2144.29</v>
      </c>
      <c r="I5794" s="2">
        <v>2144.29</v>
      </c>
    </row>
    <row r="5795">
      <c r="A5795" s="1" t="s">
        <v>11582</v>
      </c>
      <c r="B5795" s="2">
        <v>3093.08</v>
      </c>
      <c r="C5795" s="2">
        <v>3093.08</v>
      </c>
      <c r="D5795" s="2">
        <v>8475.31</v>
      </c>
      <c r="E5795" s="2">
        <v>8475.31</v>
      </c>
      <c r="G5795" s="1" t="s">
        <v>11583</v>
      </c>
      <c r="H5795" s="2">
        <v>2137.23</v>
      </c>
      <c r="I5795" s="2">
        <v>2137.23</v>
      </c>
    </row>
    <row r="5796">
      <c r="A5796" s="1" t="s">
        <v>11584</v>
      </c>
      <c r="B5796" s="2" t="s">
        <v>0</v>
      </c>
      <c r="C5796" s="2">
        <v>3093.08</v>
      </c>
      <c r="D5796" s="2" t="s">
        <v>0</v>
      </c>
      <c r="E5796" s="2">
        <v>8475.31</v>
      </c>
      <c r="G5796" s="1" t="s">
        <v>11585</v>
      </c>
      <c r="H5796" s="2" t="s">
        <v>0</v>
      </c>
      <c r="I5796" s="2">
        <v>2137.23</v>
      </c>
    </row>
    <row r="5797">
      <c r="A5797" s="1" t="s">
        <v>11586</v>
      </c>
      <c r="B5797" s="2" t="s">
        <v>0</v>
      </c>
      <c r="C5797" s="2">
        <v>3093.08</v>
      </c>
      <c r="D5797" s="2" t="s">
        <v>0</v>
      </c>
      <c r="E5797" s="2">
        <v>8475.31</v>
      </c>
      <c r="G5797" s="1" t="s">
        <v>11587</v>
      </c>
      <c r="H5797" s="2" t="s">
        <v>0</v>
      </c>
      <c r="I5797" s="2">
        <v>2137.23</v>
      </c>
    </row>
    <row r="5798">
      <c r="A5798" s="1" t="s">
        <v>11588</v>
      </c>
      <c r="B5798" s="2">
        <v>3087.01</v>
      </c>
      <c r="C5798" s="2">
        <v>3087.01</v>
      </c>
      <c r="D5798" s="2">
        <v>8464.28</v>
      </c>
      <c r="E5798" s="2">
        <v>8464.28</v>
      </c>
      <c r="G5798" s="1" t="s">
        <v>11589</v>
      </c>
      <c r="H5798" s="2">
        <v>2124.09</v>
      </c>
      <c r="I5798" s="2">
        <v>2124.09</v>
      </c>
    </row>
    <row r="5799">
      <c r="A5799" s="1" t="s">
        <v>11590</v>
      </c>
      <c r="B5799" s="2">
        <v>3091.84</v>
      </c>
      <c r="C5799" s="2">
        <v>3091.84</v>
      </c>
      <c r="D5799" s="2">
        <v>8486.09</v>
      </c>
      <c r="E5799" s="2">
        <v>8486.09</v>
      </c>
      <c r="G5799" s="1" t="s">
        <v>11591</v>
      </c>
      <c r="H5799" s="2">
        <v>2140.92</v>
      </c>
      <c r="I5799" s="2">
        <v>2140.92</v>
      </c>
    </row>
    <row r="5800">
      <c r="A5800" s="1" t="s">
        <v>11592</v>
      </c>
      <c r="B5800" s="2">
        <v>3094.04</v>
      </c>
      <c r="C5800" s="2">
        <v>3094.04</v>
      </c>
      <c r="D5800" s="2">
        <v>8482.1</v>
      </c>
      <c r="E5800" s="2">
        <v>8482.1</v>
      </c>
      <c r="G5800" s="1" t="s">
        <v>11593</v>
      </c>
      <c r="H5800" s="2">
        <v>2122.45</v>
      </c>
      <c r="I5800" s="2">
        <v>2122.45</v>
      </c>
    </row>
    <row r="5801">
      <c r="A5801" s="1" t="s">
        <v>11594</v>
      </c>
      <c r="B5801" s="2">
        <v>3096.63</v>
      </c>
      <c r="C5801" s="2">
        <v>3096.63</v>
      </c>
      <c r="D5801" s="2">
        <v>8479.02</v>
      </c>
      <c r="E5801" s="2">
        <v>8479.02</v>
      </c>
      <c r="G5801" s="1" t="s">
        <v>11595</v>
      </c>
      <c r="H5801" s="2" t="s">
        <v>0</v>
      </c>
      <c r="I5801" s="2">
        <v>2122.45</v>
      </c>
    </row>
    <row r="5802">
      <c r="A5802" s="1" t="s">
        <v>11596</v>
      </c>
      <c r="B5802" s="2">
        <v>3120.46</v>
      </c>
      <c r="C5802" s="2">
        <v>3120.46</v>
      </c>
      <c r="D5802" s="2">
        <v>8540.83</v>
      </c>
      <c r="E5802" s="2">
        <v>8540.83</v>
      </c>
      <c r="G5802" s="1" t="s">
        <v>11597</v>
      </c>
      <c r="H5802" s="2">
        <v>2162.18</v>
      </c>
      <c r="I5802" s="2">
        <v>2162.18</v>
      </c>
    </row>
    <row r="5803">
      <c r="A5803" s="1" t="s">
        <v>11598</v>
      </c>
      <c r="B5803" s="2" t="s">
        <v>0</v>
      </c>
      <c r="C5803" s="2">
        <v>3120.46</v>
      </c>
      <c r="D5803" s="2" t="s">
        <v>0</v>
      </c>
      <c r="E5803" s="2">
        <v>8540.83</v>
      </c>
      <c r="G5803" s="1" t="s">
        <v>11599</v>
      </c>
      <c r="H5803" s="2" t="s">
        <v>0</v>
      </c>
      <c r="I5803" s="2">
        <v>2162.18</v>
      </c>
    </row>
    <row r="5804">
      <c r="A5804" s="1" t="s">
        <v>11600</v>
      </c>
      <c r="B5804" s="2" t="s">
        <v>0</v>
      </c>
      <c r="C5804" s="2">
        <v>3120.46</v>
      </c>
      <c r="D5804" s="2" t="s">
        <v>0</v>
      </c>
      <c r="E5804" s="2">
        <v>8540.83</v>
      </c>
      <c r="G5804" s="1" t="s">
        <v>11601</v>
      </c>
      <c r="H5804" s="2" t="s">
        <v>0</v>
      </c>
      <c r="I5804" s="2">
        <v>2162.18</v>
      </c>
    </row>
    <row r="5805">
      <c r="A5805" s="1" t="s">
        <v>11602</v>
      </c>
      <c r="B5805" s="2">
        <v>3122.03</v>
      </c>
      <c r="C5805" s="2">
        <v>3122.03</v>
      </c>
      <c r="D5805" s="2">
        <v>8549.94</v>
      </c>
      <c r="E5805" s="2">
        <v>8549.94</v>
      </c>
      <c r="G5805" s="1" t="s">
        <v>11603</v>
      </c>
      <c r="H5805" s="2">
        <v>2160.69</v>
      </c>
      <c r="I5805" s="2">
        <v>2160.69</v>
      </c>
    </row>
    <row r="5806">
      <c r="A5806" s="1" t="s">
        <v>11604</v>
      </c>
      <c r="B5806" s="2">
        <v>3120.18</v>
      </c>
      <c r="C5806" s="2">
        <v>3120.18</v>
      </c>
      <c r="D5806" s="2">
        <v>8570.66</v>
      </c>
      <c r="E5806" s="2">
        <v>8570.66</v>
      </c>
      <c r="G5806" s="1" t="s">
        <v>11605</v>
      </c>
      <c r="H5806" s="2">
        <v>2153.24</v>
      </c>
      <c r="I5806" s="2">
        <v>2153.24</v>
      </c>
    </row>
    <row r="5807">
      <c r="A5807" s="1" t="s">
        <v>11606</v>
      </c>
      <c r="B5807" s="2">
        <v>3108.46</v>
      </c>
      <c r="C5807" s="2">
        <v>3108.46</v>
      </c>
      <c r="D5807" s="2">
        <v>8526.73</v>
      </c>
      <c r="E5807" s="2">
        <v>8526.73</v>
      </c>
      <c r="G5807" s="1" t="s">
        <v>11607</v>
      </c>
      <c r="H5807" s="2">
        <v>2125.32</v>
      </c>
      <c r="I5807" s="2">
        <v>2125.32</v>
      </c>
    </row>
    <row r="5808">
      <c r="A5808" s="1" t="s">
        <v>11608</v>
      </c>
      <c r="B5808" s="2">
        <v>3103.54</v>
      </c>
      <c r="C5808" s="2">
        <v>3103.54</v>
      </c>
      <c r="D5808" s="2">
        <v>8506.21</v>
      </c>
      <c r="E5808" s="2">
        <v>8506.21</v>
      </c>
      <c r="G5808" s="1" t="s">
        <v>11609</v>
      </c>
      <c r="H5808" s="2">
        <v>2096.6</v>
      </c>
      <c r="I5808" s="2">
        <v>2096.6</v>
      </c>
    </row>
    <row r="5809">
      <c r="A5809" s="1" t="s">
        <v>11610</v>
      </c>
      <c r="B5809" s="2">
        <v>3110.29</v>
      </c>
      <c r="C5809" s="2">
        <v>3110.29</v>
      </c>
      <c r="D5809" s="2">
        <v>8519.89</v>
      </c>
      <c r="E5809" s="2">
        <v>8519.89</v>
      </c>
      <c r="G5809" s="1" t="s">
        <v>11611</v>
      </c>
      <c r="H5809" s="2">
        <v>2101.96</v>
      </c>
      <c r="I5809" s="2">
        <v>2101.96</v>
      </c>
    </row>
    <row r="5810">
      <c r="A5810" s="1" t="s">
        <v>11612</v>
      </c>
      <c r="B5810" s="2" t="s">
        <v>0</v>
      </c>
      <c r="C5810" s="2">
        <v>3110.29</v>
      </c>
      <c r="D5810" s="2" t="s">
        <v>0</v>
      </c>
      <c r="E5810" s="2">
        <v>8519.89</v>
      </c>
      <c r="G5810" s="1" t="s">
        <v>11613</v>
      </c>
      <c r="H5810" s="2" t="s">
        <v>0</v>
      </c>
      <c r="I5810" s="2">
        <v>2101.96</v>
      </c>
    </row>
    <row r="5811">
      <c r="A5811" s="1" t="s">
        <v>11614</v>
      </c>
      <c r="B5811" s="2" t="s">
        <v>0</v>
      </c>
      <c r="C5811" s="2">
        <v>3110.29</v>
      </c>
      <c r="D5811" s="2" t="s">
        <v>0</v>
      </c>
      <c r="E5811" s="2">
        <v>8519.89</v>
      </c>
      <c r="G5811" s="1" t="s">
        <v>11615</v>
      </c>
      <c r="H5811" s="2" t="s">
        <v>0</v>
      </c>
      <c r="I5811" s="2">
        <v>2101.96</v>
      </c>
    </row>
    <row r="5812">
      <c r="A5812" s="1" t="s">
        <v>11616</v>
      </c>
      <c r="B5812" s="2">
        <v>3133.64</v>
      </c>
      <c r="C5812" s="2">
        <v>3133.64</v>
      </c>
      <c r="D5812" s="2">
        <v>8632.49</v>
      </c>
      <c r="E5812" s="2">
        <v>8632.49</v>
      </c>
      <c r="G5812" s="1" t="s">
        <v>11617</v>
      </c>
      <c r="H5812" s="2">
        <v>2123.5</v>
      </c>
      <c r="I5812" s="2">
        <v>2123.5</v>
      </c>
    </row>
    <row r="5813">
      <c r="A5813" s="1" t="s">
        <v>11618</v>
      </c>
      <c r="B5813" s="2">
        <v>3140.52</v>
      </c>
      <c r="C5813" s="2">
        <v>3140.52</v>
      </c>
      <c r="D5813" s="2">
        <v>8647.93</v>
      </c>
      <c r="E5813" s="2">
        <v>8647.93</v>
      </c>
      <c r="G5813" s="1" t="s">
        <v>11619</v>
      </c>
      <c r="H5813" s="2">
        <v>2121.35</v>
      </c>
      <c r="I5813" s="2">
        <v>2121.35</v>
      </c>
    </row>
    <row r="5814">
      <c r="A5814" s="1" t="s">
        <v>11620</v>
      </c>
      <c r="B5814" s="2" t="s">
        <v>0</v>
      </c>
      <c r="C5814" s="2">
        <v>3140.52</v>
      </c>
      <c r="D5814" s="2">
        <v>8705.17</v>
      </c>
      <c r="E5814" s="2">
        <v>8705.17</v>
      </c>
      <c r="G5814" s="1" t="s">
        <v>11621</v>
      </c>
      <c r="H5814" s="2">
        <v>2127.85</v>
      </c>
      <c r="I5814" s="2">
        <v>2127.85</v>
      </c>
    </row>
    <row r="5815">
      <c r="A5815" s="1" t="s">
        <v>11622</v>
      </c>
      <c r="B5815" s="2" t="s">
        <v>0</v>
      </c>
      <c r="C5815" s="2">
        <v>3140.52</v>
      </c>
      <c r="D5815" s="2" t="s">
        <v>0</v>
      </c>
      <c r="E5815" s="2">
        <v>8705.17</v>
      </c>
      <c r="G5815" s="1" t="s">
        <v>11623</v>
      </c>
      <c r="H5815" s="2">
        <v>2118.6</v>
      </c>
      <c r="I5815" s="2">
        <v>2118.6</v>
      </c>
    </row>
    <row r="5816">
      <c r="A5816" s="1" t="s">
        <v>11624</v>
      </c>
      <c r="B5816" s="2" t="s">
        <v>0</v>
      </c>
      <c r="C5816" s="2">
        <v>3140.52</v>
      </c>
      <c r="D5816" s="2" t="s">
        <v>0</v>
      </c>
      <c r="E5816" s="2">
        <v>8705.17</v>
      </c>
      <c r="G5816" s="1" t="s">
        <v>11625</v>
      </c>
      <c r="H5816" s="2">
        <v>2087.96</v>
      </c>
      <c r="I5816" s="2">
        <v>2087.96</v>
      </c>
    </row>
    <row r="5817">
      <c r="A5817" s="1" t="s">
        <v>11626</v>
      </c>
      <c r="B5817" s="2" t="s">
        <v>0</v>
      </c>
      <c r="C5817" s="2">
        <v>3140.52</v>
      </c>
      <c r="D5817" s="2" t="s">
        <v>0</v>
      </c>
      <c r="E5817" s="2">
        <v>8705.17</v>
      </c>
      <c r="G5817" s="1" t="s">
        <v>11627</v>
      </c>
      <c r="H5817" s="2" t="s">
        <v>0</v>
      </c>
      <c r="I5817" s="2">
        <v>2087.96</v>
      </c>
    </row>
    <row r="5818">
      <c r="A5818" s="1" t="s">
        <v>11628</v>
      </c>
      <c r="B5818" s="2" t="s">
        <v>0</v>
      </c>
      <c r="C5818" s="2">
        <v>3140.52</v>
      </c>
      <c r="D5818" s="2" t="s">
        <v>0</v>
      </c>
      <c r="E5818" s="2">
        <v>8705.17</v>
      </c>
      <c r="G5818" s="1" t="s">
        <v>11629</v>
      </c>
      <c r="H5818" s="2" t="s">
        <v>0</v>
      </c>
      <c r="I5818" s="2">
        <v>2087.96</v>
      </c>
    </row>
    <row r="5819">
      <c r="A5819" s="1" t="s">
        <v>11630</v>
      </c>
      <c r="B5819" s="2">
        <v>3113.87</v>
      </c>
      <c r="C5819" s="2">
        <v>3113.87</v>
      </c>
      <c r="D5819" s="2">
        <v>8567.99</v>
      </c>
      <c r="E5819" s="2">
        <v>8567.99</v>
      </c>
      <c r="G5819" s="1" t="s">
        <v>11631</v>
      </c>
      <c r="H5819" s="2">
        <v>2091.92</v>
      </c>
      <c r="I5819" s="2">
        <v>2091.92</v>
      </c>
    </row>
    <row r="5820">
      <c r="A5820" s="1" t="s">
        <v>11632</v>
      </c>
      <c r="B5820" s="2">
        <v>3093.2</v>
      </c>
      <c r="C5820" s="2">
        <v>3093.2</v>
      </c>
      <c r="D5820" s="2">
        <v>8520.64</v>
      </c>
      <c r="E5820" s="2">
        <v>8520.64</v>
      </c>
      <c r="G5820" s="1" t="s">
        <v>11633</v>
      </c>
      <c r="H5820" s="2">
        <v>2084.07</v>
      </c>
      <c r="I5820" s="2">
        <v>2084.07</v>
      </c>
    </row>
    <row r="5821">
      <c r="A5821" s="1" t="s">
        <v>11634</v>
      </c>
      <c r="B5821" s="2">
        <v>3112.76</v>
      </c>
      <c r="C5821" s="2">
        <v>3112.76</v>
      </c>
      <c r="D5821" s="2">
        <v>8566.67</v>
      </c>
      <c r="E5821" s="2">
        <v>8566.67</v>
      </c>
      <c r="G5821" s="1" t="s">
        <v>11635</v>
      </c>
      <c r="H5821" s="2">
        <v>2068.89</v>
      </c>
      <c r="I5821" s="2">
        <v>2068.89</v>
      </c>
    </row>
    <row r="5822">
      <c r="A5822" s="1" t="s">
        <v>11636</v>
      </c>
      <c r="B5822" s="2">
        <v>3117.43</v>
      </c>
      <c r="C5822" s="2">
        <v>3117.43</v>
      </c>
      <c r="D5822" s="2">
        <v>8570.7</v>
      </c>
      <c r="E5822" s="2">
        <v>8570.7</v>
      </c>
      <c r="G5822" s="1" t="s">
        <v>11637</v>
      </c>
      <c r="H5822" s="2">
        <v>2060.74</v>
      </c>
      <c r="I5822" s="2">
        <v>2060.74</v>
      </c>
    </row>
    <row r="5823">
      <c r="A5823" s="1" t="s">
        <v>11638</v>
      </c>
      <c r="B5823" s="2">
        <v>3145.91</v>
      </c>
      <c r="C5823" s="2">
        <v>3145.91</v>
      </c>
      <c r="D5823" s="2">
        <v>8656.53</v>
      </c>
      <c r="E5823" s="2">
        <v>8656.53</v>
      </c>
      <c r="G5823" s="1" t="s">
        <v>11639</v>
      </c>
      <c r="H5823" s="2">
        <v>2081.85</v>
      </c>
      <c r="I5823" s="2">
        <v>2081.85</v>
      </c>
    </row>
    <row r="5824">
      <c r="A5824" s="1" t="s">
        <v>11640</v>
      </c>
      <c r="B5824" s="2" t="s">
        <v>0</v>
      </c>
      <c r="C5824" s="2">
        <v>3145.91</v>
      </c>
      <c r="D5824" s="2" t="s">
        <v>0</v>
      </c>
      <c r="E5824" s="2">
        <v>8656.53</v>
      </c>
      <c r="G5824" s="1" t="s">
        <v>11641</v>
      </c>
      <c r="H5824" s="2" t="s">
        <v>0</v>
      </c>
      <c r="I5824" s="2">
        <v>2081.85</v>
      </c>
    </row>
    <row r="5825">
      <c r="A5825" s="1" t="s">
        <v>11642</v>
      </c>
      <c r="B5825" s="2" t="s">
        <v>0</v>
      </c>
      <c r="C5825" s="2">
        <v>3145.91</v>
      </c>
      <c r="D5825" s="2" t="s">
        <v>0</v>
      </c>
      <c r="E5825" s="2">
        <v>8656.53</v>
      </c>
      <c r="G5825" s="1" t="s">
        <v>11643</v>
      </c>
      <c r="H5825" s="2" t="s">
        <v>0</v>
      </c>
      <c r="I5825" s="2">
        <v>2081.85</v>
      </c>
    </row>
    <row r="5826">
      <c r="A5826" s="1" t="s">
        <v>11644</v>
      </c>
      <c r="B5826" s="2">
        <v>3135.96</v>
      </c>
      <c r="C5826" s="2">
        <v>3135.96</v>
      </c>
      <c r="D5826" s="2">
        <v>8621.83</v>
      </c>
      <c r="E5826" s="2">
        <v>8621.83</v>
      </c>
      <c r="G5826" s="1" t="s">
        <v>11645</v>
      </c>
      <c r="H5826" s="2">
        <v>2088.65</v>
      </c>
      <c r="I5826" s="2">
        <v>2088.65</v>
      </c>
    </row>
    <row r="5827">
      <c r="A5827" s="1" t="s">
        <v>11646</v>
      </c>
      <c r="B5827" s="2">
        <v>3132.52</v>
      </c>
      <c r="C5827" s="2">
        <v>3132.52</v>
      </c>
      <c r="D5827" s="2">
        <v>8616.18</v>
      </c>
      <c r="E5827" s="2">
        <v>8616.18</v>
      </c>
      <c r="G5827" s="1" t="s">
        <v>11647</v>
      </c>
      <c r="H5827" s="2">
        <v>2098.0</v>
      </c>
      <c r="I5827" s="2">
        <v>2098.0</v>
      </c>
    </row>
    <row r="5828">
      <c r="A5828" s="1" t="s">
        <v>11648</v>
      </c>
      <c r="B5828" s="2">
        <v>3141.63</v>
      </c>
      <c r="C5828" s="2">
        <v>3141.63</v>
      </c>
      <c r="D5828" s="2">
        <v>8654.05</v>
      </c>
      <c r="E5828" s="2">
        <v>8654.05</v>
      </c>
      <c r="G5828" s="1" t="s">
        <v>11649</v>
      </c>
      <c r="H5828" s="2">
        <v>2105.62</v>
      </c>
      <c r="I5828" s="2">
        <v>2105.62</v>
      </c>
    </row>
    <row r="5829">
      <c r="A5829" s="1" t="s">
        <v>11650</v>
      </c>
      <c r="B5829" s="2">
        <v>3168.57</v>
      </c>
      <c r="C5829" s="2">
        <v>3168.57</v>
      </c>
      <c r="D5829" s="2">
        <v>8717.32</v>
      </c>
      <c r="E5829" s="2">
        <v>8717.32</v>
      </c>
      <c r="G5829" s="1" t="s">
        <v>11651</v>
      </c>
      <c r="H5829" s="2">
        <v>2137.35</v>
      </c>
      <c r="I5829" s="2">
        <v>2137.35</v>
      </c>
    </row>
    <row r="5830">
      <c r="A5830" s="1" t="s">
        <v>11652</v>
      </c>
      <c r="B5830" s="2">
        <v>3168.8</v>
      </c>
      <c r="C5830" s="2">
        <v>3168.8</v>
      </c>
      <c r="D5830" s="2">
        <v>8734.88</v>
      </c>
      <c r="E5830" s="2">
        <v>8734.88</v>
      </c>
      <c r="G5830" s="1" t="s">
        <v>11653</v>
      </c>
      <c r="H5830" s="2" t="s">
        <v>0</v>
      </c>
      <c r="I5830" s="2">
        <v>2137.35</v>
      </c>
    </row>
    <row r="5831">
      <c r="A5831" s="1" t="s">
        <v>11654</v>
      </c>
      <c r="B5831" s="2" t="s">
        <v>0</v>
      </c>
      <c r="C5831" s="2">
        <v>3168.8</v>
      </c>
      <c r="D5831" s="2" t="s">
        <v>0</v>
      </c>
      <c r="E5831" s="2">
        <v>8734.88</v>
      </c>
      <c r="G5831" s="1" t="s">
        <v>11655</v>
      </c>
      <c r="H5831" s="2" t="s">
        <v>0</v>
      </c>
      <c r="I5831" s="2">
        <v>2137.35</v>
      </c>
    </row>
    <row r="5832">
      <c r="A5832" s="1" t="s">
        <v>11656</v>
      </c>
      <c r="B5832" s="2" t="s">
        <v>0</v>
      </c>
      <c r="C5832" s="2">
        <v>3168.8</v>
      </c>
      <c r="D5832" s="2" t="s">
        <v>0</v>
      </c>
      <c r="E5832" s="2">
        <v>8734.88</v>
      </c>
      <c r="G5832" s="1" t="s">
        <v>11657</v>
      </c>
      <c r="H5832" s="2" t="s">
        <v>0</v>
      </c>
      <c r="I5832" s="2">
        <v>2137.35</v>
      </c>
    </row>
    <row r="5833">
      <c r="A5833" s="1" t="s">
        <v>11658</v>
      </c>
      <c r="B5833" s="2">
        <v>3191.45</v>
      </c>
      <c r="C5833" s="2">
        <v>3191.45</v>
      </c>
      <c r="D5833" s="2">
        <v>8814.23</v>
      </c>
      <c r="E5833" s="2">
        <v>8814.23</v>
      </c>
      <c r="G5833" s="1" t="s">
        <v>11659</v>
      </c>
      <c r="H5833" s="2">
        <v>2168.15</v>
      </c>
      <c r="I5833" s="2">
        <v>2168.15</v>
      </c>
    </row>
    <row r="5834">
      <c r="A5834" s="1" t="s">
        <v>11660</v>
      </c>
      <c r="B5834" s="2">
        <v>3192.52</v>
      </c>
      <c r="C5834" s="2">
        <v>3192.52</v>
      </c>
      <c r="D5834" s="2">
        <v>8823.36</v>
      </c>
      <c r="E5834" s="2">
        <v>8823.36</v>
      </c>
      <c r="G5834" s="1" t="s">
        <v>11661</v>
      </c>
      <c r="H5834" s="2">
        <v>2195.68</v>
      </c>
      <c r="I5834" s="2">
        <v>2195.68</v>
      </c>
    </row>
    <row r="5835">
      <c r="A5835" s="1" t="s">
        <v>11662</v>
      </c>
      <c r="B5835" s="2">
        <v>3191.14</v>
      </c>
      <c r="C5835" s="2">
        <v>3191.14</v>
      </c>
      <c r="D5835" s="2">
        <v>8827.74</v>
      </c>
      <c r="E5835" s="2">
        <v>8827.74</v>
      </c>
      <c r="G5835" s="1" t="s">
        <v>11663</v>
      </c>
      <c r="H5835" s="2">
        <v>2194.76</v>
      </c>
      <c r="I5835" s="2">
        <v>2194.76</v>
      </c>
    </row>
    <row r="5836">
      <c r="A5836" s="1" t="s">
        <v>11664</v>
      </c>
      <c r="B5836" s="2">
        <v>3205.37</v>
      </c>
      <c r="C5836" s="2">
        <v>3205.37</v>
      </c>
      <c r="D5836" s="2">
        <v>8887.22</v>
      </c>
      <c r="E5836" s="2">
        <v>8887.22</v>
      </c>
      <c r="G5836" s="1" t="s">
        <v>11665</v>
      </c>
      <c r="H5836" s="2">
        <v>2196.56</v>
      </c>
      <c r="I5836" s="2">
        <v>2196.56</v>
      </c>
    </row>
    <row r="5837">
      <c r="A5837" s="1" t="s">
        <v>11666</v>
      </c>
      <c r="B5837" s="2">
        <v>3221.22</v>
      </c>
      <c r="C5837" s="2">
        <v>3221.22</v>
      </c>
      <c r="D5837" s="2">
        <v>8924.96</v>
      </c>
      <c r="E5837" s="2">
        <v>8924.96</v>
      </c>
      <c r="G5837" s="1" t="s">
        <v>11667</v>
      </c>
      <c r="H5837" s="2">
        <v>2204.18</v>
      </c>
      <c r="I5837" s="2">
        <v>2204.18</v>
      </c>
    </row>
    <row r="5838">
      <c r="A5838" s="1" t="s">
        <v>11668</v>
      </c>
      <c r="B5838" s="2" t="s">
        <v>0</v>
      </c>
      <c r="C5838" s="2">
        <v>3221.22</v>
      </c>
      <c r="D5838" s="2" t="s">
        <v>0</v>
      </c>
      <c r="E5838" s="2">
        <v>8924.96</v>
      </c>
      <c r="G5838" s="1" t="s">
        <v>11669</v>
      </c>
      <c r="H5838" s="2" t="s">
        <v>0</v>
      </c>
      <c r="I5838" s="2">
        <v>2204.18</v>
      </c>
    </row>
    <row r="5839">
      <c r="A5839" s="1" t="s">
        <v>11670</v>
      </c>
      <c r="B5839" s="2" t="s">
        <v>0</v>
      </c>
      <c r="C5839" s="2">
        <v>3221.22</v>
      </c>
      <c r="D5839" s="2" t="s">
        <v>0</v>
      </c>
      <c r="E5839" s="2">
        <v>8924.96</v>
      </c>
      <c r="G5839" s="1" t="s">
        <v>11671</v>
      </c>
      <c r="H5839" s="2" t="s">
        <v>0</v>
      </c>
      <c r="I5839" s="2">
        <v>2204.18</v>
      </c>
    </row>
    <row r="5840">
      <c r="A5840" s="1" t="s">
        <v>11672</v>
      </c>
      <c r="B5840" s="2">
        <v>3224.01</v>
      </c>
      <c r="C5840" s="2">
        <v>3224.01</v>
      </c>
      <c r="D5840" s="2">
        <v>8945.65</v>
      </c>
      <c r="E5840" s="2">
        <v>8945.65</v>
      </c>
      <c r="G5840" s="1" t="s">
        <v>11673</v>
      </c>
      <c r="H5840" s="2">
        <v>2203.71</v>
      </c>
      <c r="I5840" s="2">
        <v>2203.71</v>
      </c>
    </row>
    <row r="5841">
      <c r="A5841" s="1" t="s">
        <v>11674</v>
      </c>
      <c r="B5841" s="2" t="s">
        <v>0</v>
      </c>
      <c r="C5841" s="2">
        <v>3224.01</v>
      </c>
      <c r="D5841" s="2" t="s">
        <v>0</v>
      </c>
      <c r="E5841" s="2">
        <v>8945.65</v>
      </c>
      <c r="G5841" s="1" t="s">
        <v>11675</v>
      </c>
      <c r="H5841" s="2">
        <v>2190.08</v>
      </c>
      <c r="I5841" s="2">
        <v>2190.08</v>
      </c>
    </row>
    <row r="5842">
      <c r="A5842" s="1" t="s">
        <v>11676</v>
      </c>
      <c r="B5842" s="2" t="s">
        <v>0</v>
      </c>
      <c r="C5842" s="2">
        <v>3224.01</v>
      </c>
      <c r="D5842" s="2" t="s">
        <v>0</v>
      </c>
      <c r="E5842" s="2">
        <v>8945.65</v>
      </c>
      <c r="G5842" s="1" t="s">
        <v>11677</v>
      </c>
      <c r="H5842" s="2" t="s">
        <v>0</v>
      </c>
      <c r="I5842" s="2">
        <v>2190.08</v>
      </c>
    </row>
    <row r="5843">
      <c r="A5843" s="1" t="s">
        <v>11678</v>
      </c>
      <c r="B5843" s="2">
        <v>3239.91</v>
      </c>
      <c r="C5843" s="2">
        <v>3239.91</v>
      </c>
      <c r="D5843" s="2">
        <v>9022.39</v>
      </c>
      <c r="E5843" s="2">
        <v>9022.39</v>
      </c>
      <c r="G5843" s="1" t="s">
        <v>11679</v>
      </c>
      <c r="H5843" s="2">
        <v>2197.93</v>
      </c>
      <c r="I5843" s="2">
        <v>2197.93</v>
      </c>
    </row>
    <row r="5844">
      <c r="A5844" s="1" t="s">
        <v>11680</v>
      </c>
      <c r="B5844" s="2">
        <v>3240.02</v>
      </c>
      <c r="C5844" s="2">
        <v>3240.02</v>
      </c>
      <c r="D5844" s="2">
        <v>9006.62</v>
      </c>
      <c r="E5844" s="2">
        <v>9006.62</v>
      </c>
      <c r="G5844" s="1" t="s">
        <v>11681</v>
      </c>
      <c r="H5844" s="2">
        <v>2204.21</v>
      </c>
      <c r="I5844" s="2">
        <v>2204.21</v>
      </c>
    </row>
    <row r="5845">
      <c r="A5845" s="1" t="s">
        <v>11682</v>
      </c>
      <c r="B5845" s="2" t="s">
        <v>0</v>
      </c>
      <c r="C5845" s="2">
        <v>3240.02</v>
      </c>
      <c r="D5845" s="2" t="s">
        <v>0</v>
      </c>
      <c r="E5845" s="2">
        <v>9006.62</v>
      </c>
      <c r="G5845" s="1" t="s">
        <v>11683</v>
      </c>
      <c r="H5845" s="2" t="s">
        <v>0</v>
      </c>
      <c r="I5845" s="2">
        <v>2204.21</v>
      </c>
    </row>
    <row r="5846">
      <c r="A5846" s="1" t="s">
        <v>11684</v>
      </c>
      <c r="B5846" s="2" t="s">
        <v>0</v>
      </c>
      <c r="C5846" s="2">
        <v>3240.02</v>
      </c>
      <c r="D5846" s="2" t="s">
        <v>0</v>
      </c>
      <c r="E5846" s="2">
        <v>9006.62</v>
      </c>
      <c r="G5846" s="1" t="s">
        <v>11685</v>
      </c>
      <c r="H5846" s="2" t="s">
        <v>0</v>
      </c>
      <c r="I5846" s="2">
        <v>2204.21</v>
      </c>
    </row>
    <row r="5847">
      <c r="A5847" s="1" t="s">
        <v>11686</v>
      </c>
      <c r="B5847" s="2">
        <v>3221.29</v>
      </c>
      <c r="C5847" s="2">
        <v>3221.29</v>
      </c>
      <c r="D5847" s="2">
        <v>8945.99</v>
      </c>
      <c r="E5847" s="2">
        <v>8945.99</v>
      </c>
      <c r="G5847" s="1" t="s">
        <v>11687</v>
      </c>
      <c r="H5847" s="2">
        <v>2197.67</v>
      </c>
      <c r="I5847" s="2">
        <v>2197.67</v>
      </c>
    </row>
    <row r="5848">
      <c r="A5848" s="1" t="s">
        <v>11688</v>
      </c>
      <c r="B5848" s="2" t="s">
        <v>0</v>
      </c>
      <c r="C5848" s="2">
        <v>3221.29</v>
      </c>
      <c r="D5848" s="2">
        <v>8972.6</v>
      </c>
      <c r="E5848" s="2">
        <v>8972.6</v>
      </c>
      <c r="G5848" s="1" t="s">
        <v>11689</v>
      </c>
      <c r="H5848" s="2" t="s">
        <v>0</v>
      </c>
      <c r="I5848" s="2">
        <v>2197.67</v>
      </c>
    </row>
    <row r="5849">
      <c r="A5849" s="1" t="s">
        <v>11690</v>
      </c>
      <c r="B5849" s="2" t="s">
        <v>0</v>
      </c>
      <c r="C5849" s="2">
        <v>3221.29</v>
      </c>
      <c r="D5849" s="2" t="s">
        <v>0</v>
      </c>
      <c r="E5849" s="2">
        <v>8972.6</v>
      </c>
      <c r="G5849" s="1" t="s">
        <v>11691</v>
      </c>
      <c r="H5849" s="2" t="s">
        <v>0</v>
      </c>
      <c r="I5849" s="2">
        <v>2197.67</v>
      </c>
    </row>
    <row r="5850">
      <c r="A5850" s="1" t="s">
        <v>11692</v>
      </c>
      <c r="B5850" s="2">
        <v>3257.85</v>
      </c>
      <c r="C5850" s="2">
        <v>3257.85</v>
      </c>
      <c r="D5850" s="2">
        <v>9092.19</v>
      </c>
      <c r="E5850" s="2">
        <v>9092.19</v>
      </c>
      <c r="G5850" s="1" t="s">
        <v>11693</v>
      </c>
      <c r="H5850" s="2">
        <v>2175.17</v>
      </c>
      <c r="I5850" s="2">
        <v>2175.17</v>
      </c>
    </row>
    <row r="5851">
      <c r="A5851" s="1" t="s">
        <v>11694</v>
      </c>
      <c r="B5851" s="2">
        <v>3234.85</v>
      </c>
      <c r="C5851" s="2">
        <v>3234.85</v>
      </c>
      <c r="D5851" s="2">
        <v>9020.77</v>
      </c>
      <c r="E5851" s="2">
        <v>9020.77</v>
      </c>
      <c r="G5851" s="1" t="s">
        <v>11695</v>
      </c>
      <c r="H5851" s="2">
        <v>2176.46</v>
      </c>
      <c r="I5851" s="2">
        <v>2176.46</v>
      </c>
    </row>
    <row r="5852">
      <c r="A5852" s="1" t="s">
        <v>11696</v>
      </c>
      <c r="B5852" s="2" t="s">
        <v>0</v>
      </c>
      <c r="C5852" s="2">
        <v>3234.85</v>
      </c>
      <c r="D5852" s="2" t="s">
        <v>0</v>
      </c>
      <c r="E5852" s="2">
        <v>9020.77</v>
      </c>
      <c r="G5852" s="1" t="s">
        <v>11697</v>
      </c>
      <c r="H5852" s="2" t="s">
        <v>0</v>
      </c>
      <c r="I5852" s="2">
        <v>2176.46</v>
      </c>
    </row>
    <row r="5853">
      <c r="A5853" s="1" t="s">
        <v>11698</v>
      </c>
      <c r="B5853" s="2" t="s">
        <v>0</v>
      </c>
      <c r="C5853" s="2">
        <v>3234.85</v>
      </c>
      <c r="D5853" s="2" t="s">
        <v>0</v>
      </c>
      <c r="E5853" s="2">
        <v>9020.77</v>
      </c>
      <c r="G5853" s="1" t="s">
        <v>11699</v>
      </c>
      <c r="H5853" s="2" t="s">
        <v>0</v>
      </c>
      <c r="I5853" s="2">
        <v>2176.46</v>
      </c>
    </row>
    <row r="5854">
      <c r="A5854" s="1" t="s">
        <v>11700</v>
      </c>
      <c r="B5854" s="2">
        <v>3246.28</v>
      </c>
      <c r="C5854" s="2">
        <v>3246.28</v>
      </c>
      <c r="D5854" s="2">
        <v>9071.47</v>
      </c>
      <c r="E5854" s="2">
        <v>9071.47</v>
      </c>
      <c r="G5854" s="1" t="s">
        <v>11701</v>
      </c>
      <c r="H5854" s="2">
        <v>2155.07</v>
      </c>
      <c r="I5854" s="2">
        <v>2155.07</v>
      </c>
    </row>
    <row r="5855">
      <c r="A5855" s="1" t="s">
        <v>11702</v>
      </c>
      <c r="B5855" s="2">
        <v>3237.18</v>
      </c>
      <c r="C5855" s="2">
        <v>3237.18</v>
      </c>
      <c r="D5855" s="2">
        <v>9068.58</v>
      </c>
      <c r="E5855" s="2">
        <v>9068.58</v>
      </c>
      <c r="G5855" s="1" t="s">
        <v>11703</v>
      </c>
      <c r="H5855" s="2">
        <v>2175.54</v>
      </c>
      <c r="I5855" s="2">
        <v>2175.54</v>
      </c>
    </row>
    <row r="5856">
      <c r="A5856" s="1" t="s">
        <v>11704</v>
      </c>
      <c r="B5856" s="2">
        <v>3253.05</v>
      </c>
      <c r="C5856" s="2">
        <v>3253.05</v>
      </c>
      <c r="D5856" s="2">
        <v>9129.24</v>
      </c>
      <c r="E5856" s="2">
        <v>9129.24</v>
      </c>
      <c r="G5856" s="1" t="s">
        <v>11705</v>
      </c>
      <c r="H5856" s="2">
        <v>2151.31</v>
      </c>
      <c r="I5856" s="2">
        <v>2151.31</v>
      </c>
    </row>
    <row r="5857">
      <c r="A5857" s="1" t="s">
        <v>11706</v>
      </c>
      <c r="B5857" s="2">
        <v>3274.7</v>
      </c>
      <c r="C5857" s="2">
        <v>3274.7</v>
      </c>
      <c r="D5857" s="2">
        <v>9203.43</v>
      </c>
      <c r="E5857" s="2">
        <v>9203.43</v>
      </c>
      <c r="G5857" s="1" t="s">
        <v>11707</v>
      </c>
      <c r="H5857" s="2">
        <v>2186.45</v>
      </c>
      <c r="I5857" s="2">
        <v>2186.45</v>
      </c>
    </row>
    <row r="5858">
      <c r="A5858" s="1" t="s">
        <v>11708</v>
      </c>
      <c r="B5858" s="2">
        <v>3265.35</v>
      </c>
      <c r="C5858" s="2">
        <v>3265.35</v>
      </c>
      <c r="D5858" s="2">
        <v>9178.86</v>
      </c>
      <c r="E5858" s="2">
        <v>9178.86</v>
      </c>
      <c r="G5858" s="1" t="s">
        <v>11709</v>
      </c>
      <c r="H5858" s="2">
        <v>2206.39</v>
      </c>
      <c r="I5858" s="2">
        <v>2206.39</v>
      </c>
    </row>
    <row r="5859">
      <c r="A5859" s="1" t="s">
        <v>11710</v>
      </c>
      <c r="B5859" s="2" t="s">
        <v>0</v>
      </c>
      <c r="C5859" s="2">
        <v>3265.35</v>
      </c>
      <c r="D5859" s="2" t="s">
        <v>0</v>
      </c>
      <c r="E5859" s="2">
        <v>9178.86</v>
      </c>
      <c r="G5859" s="1" t="s">
        <v>11711</v>
      </c>
      <c r="H5859" s="2" t="s">
        <v>0</v>
      </c>
      <c r="I5859" s="2">
        <v>2206.39</v>
      </c>
    </row>
    <row r="5860">
      <c r="A5860" s="1" t="s">
        <v>11712</v>
      </c>
      <c r="B5860" s="2" t="s">
        <v>0</v>
      </c>
      <c r="C5860" s="2">
        <v>3265.35</v>
      </c>
      <c r="D5860" s="2" t="s">
        <v>0</v>
      </c>
      <c r="E5860" s="2">
        <v>9178.86</v>
      </c>
      <c r="G5860" s="1" t="s">
        <v>11713</v>
      </c>
      <c r="H5860" s="2" t="s">
        <v>0</v>
      </c>
      <c r="I5860" s="2">
        <v>2206.39</v>
      </c>
    </row>
    <row r="5861">
      <c r="A5861" s="1" t="s">
        <v>11714</v>
      </c>
      <c r="B5861" s="2">
        <v>3288.13</v>
      </c>
      <c r="C5861" s="2">
        <v>3288.13</v>
      </c>
      <c r="D5861" s="2">
        <v>9273.93</v>
      </c>
      <c r="E5861" s="2">
        <v>9273.93</v>
      </c>
      <c r="G5861" s="1" t="s">
        <v>11715</v>
      </c>
      <c r="H5861" s="2">
        <v>2229.26</v>
      </c>
      <c r="I5861" s="2">
        <v>2229.26</v>
      </c>
    </row>
    <row r="5862">
      <c r="A5862" s="1" t="s">
        <v>11716</v>
      </c>
      <c r="B5862" s="2">
        <v>3283.15</v>
      </c>
      <c r="C5862" s="2">
        <v>3283.15</v>
      </c>
      <c r="D5862" s="2">
        <v>9251.33</v>
      </c>
      <c r="E5862" s="2">
        <v>9251.33</v>
      </c>
      <c r="G5862" s="1" t="s">
        <v>11717</v>
      </c>
      <c r="H5862" s="2">
        <v>2238.88</v>
      </c>
      <c r="I5862" s="2">
        <v>2238.88</v>
      </c>
    </row>
    <row r="5863">
      <c r="A5863" s="1" t="s">
        <v>11718</v>
      </c>
      <c r="B5863" s="2">
        <v>3289.29</v>
      </c>
      <c r="C5863" s="2">
        <v>3289.29</v>
      </c>
      <c r="D5863" s="2">
        <v>9258.7</v>
      </c>
      <c r="E5863" s="2">
        <v>9258.7</v>
      </c>
      <c r="G5863" s="1" t="s">
        <v>11719</v>
      </c>
      <c r="H5863" s="2">
        <v>2230.98</v>
      </c>
      <c r="I5863" s="2">
        <v>2230.98</v>
      </c>
    </row>
    <row r="5864">
      <c r="A5864" s="1" t="s">
        <v>11720</v>
      </c>
      <c r="B5864" s="2">
        <v>3316.81</v>
      </c>
      <c r="C5864" s="2">
        <v>3316.81</v>
      </c>
      <c r="D5864" s="2">
        <v>9357.13</v>
      </c>
      <c r="E5864" s="2">
        <v>9357.13</v>
      </c>
      <c r="G5864" s="1" t="s">
        <v>11721</v>
      </c>
      <c r="H5864" s="2">
        <v>2248.05</v>
      </c>
      <c r="I5864" s="2">
        <v>2248.05</v>
      </c>
    </row>
    <row r="5865">
      <c r="A5865" s="1" t="s">
        <v>11722</v>
      </c>
      <c r="B5865" s="2">
        <v>3329.62</v>
      </c>
      <c r="C5865" s="2">
        <v>3329.62</v>
      </c>
      <c r="D5865" s="2">
        <v>9388.94</v>
      </c>
      <c r="E5865" s="2">
        <v>9388.94</v>
      </c>
      <c r="G5865" s="1" t="s">
        <v>11723</v>
      </c>
      <c r="H5865" s="2">
        <v>2250.57</v>
      </c>
      <c r="I5865" s="2">
        <v>2250.57</v>
      </c>
    </row>
    <row r="5866">
      <c r="A5866" s="1" t="s">
        <v>11724</v>
      </c>
      <c r="B5866" s="2" t="s">
        <v>0</v>
      </c>
      <c r="C5866" s="2">
        <v>3329.62</v>
      </c>
      <c r="D5866" s="2" t="s">
        <v>0</v>
      </c>
      <c r="E5866" s="2">
        <v>9388.94</v>
      </c>
      <c r="G5866" s="1" t="s">
        <v>11725</v>
      </c>
      <c r="H5866" s="2" t="s">
        <v>0</v>
      </c>
      <c r="I5866" s="2">
        <v>2250.57</v>
      </c>
    </row>
    <row r="5867">
      <c r="A5867" s="1" t="s">
        <v>11726</v>
      </c>
      <c r="B5867" s="2" t="s">
        <v>0</v>
      </c>
      <c r="C5867" s="2">
        <v>3329.62</v>
      </c>
      <c r="D5867" s="2" t="s">
        <v>0</v>
      </c>
      <c r="E5867" s="2">
        <v>9388.94</v>
      </c>
      <c r="G5867" s="1" t="s">
        <v>11727</v>
      </c>
      <c r="H5867" s="2" t="s">
        <v>0</v>
      </c>
      <c r="I5867" s="2">
        <v>2250.57</v>
      </c>
    </row>
    <row r="5868">
      <c r="A5868" s="1" t="s">
        <v>11728</v>
      </c>
      <c r="B5868" s="2" t="s">
        <v>0</v>
      </c>
      <c r="C5868" s="2">
        <v>3329.62</v>
      </c>
      <c r="D5868" s="2" t="s">
        <v>0</v>
      </c>
      <c r="E5868" s="2">
        <v>9388.94</v>
      </c>
      <c r="G5868" s="1" t="s">
        <v>11729</v>
      </c>
      <c r="H5868" s="2">
        <v>2262.64</v>
      </c>
      <c r="I5868" s="2">
        <v>2262.64</v>
      </c>
    </row>
    <row r="5869">
      <c r="A5869" s="1" t="s">
        <v>11730</v>
      </c>
      <c r="B5869" s="2">
        <v>3320.79</v>
      </c>
      <c r="C5869" s="2">
        <v>3320.79</v>
      </c>
      <c r="D5869" s="2">
        <v>9370.81</v>
      </c>
      <c r="E5869" s="2">
        <v>9370.81</v>
      </c>
      <c r="G5869" s="1" t="s">
        <v>11731</v>
      </c>
      <c r="H5869" s="2">
        <v>2239.69</v>
      </c>
      <c r="I5869" s="2">
        <v>2239.69</v>
      </c>
    </row>
    <row r="5870">
      <c r="A5870" s="1" t="s">
        <v>11732</v>
      </c>
      <c r="B5870" s="2">
        <v>3321.75</v>
      </c>
      <c r="C5870" s="2">
        <v>3321.75</v>
      </c>
      <c r="D5870" s="2">
        <v>9383.77</v>
      </c>
      <c r="E5870" s="2">
        <v>9383.77</v>
      </c>
      <c r="G5870" s="1" t="s">
        <v>11733</v>
      </c>
      <c r="H5870" s="2">
        <v>2267.25</v>
      </c>
      <c r="I5870" s="2">
        <v>2267.25</v>
      </c>
    </row>
    <row r="5871">
      <c r="A5871" s="1" t="s">
        <v>11734</v>
      </c>
      <c r="B5871" s="2">
        <v>3325.54</v>
      </c>
      <c r="C5871" s="2">
        <v>3325.54</v>
      </c>
      <c r="D5871" s="2">
        <v>9402.48</v>
      </c>
      <c r="E5871" s="2">
        <v>9402.48</v>
      </c>
      <c r="G5871" s="1" t="s">
        <v>11735</v>
      </c>
      <c r="H5871" s="2">
        <v>2246.13</v>
      </c>
      <c r="I5871" s="2">
        <v>2246.13</v>
      </c>
    </row>
    <row r="5872">
      <c r="A5872" s="1" t="s">
        <v>11736</v>
      </c>
      <c r="B5872" s="2">
        <v>3295.47</v>
      </c>
      <c r="C5872" s="2">
        <v>3295.47</v>
      </c>
      <c r="D5872" s="2">
        <v>9314.91</v>
      </c>
      <c r="E5872" s="2">
        <v>9314.91</v>
      </c>
      <c r="G5872" s="1" t="s">
        <v>11737</v>
      </c>
      <c r="H5872" s="2" t="s">
        <v>0</v>
      </c>
      <c r="I5872" s="2">
        <v>2246.13</v>
      </c>
    </row>
    <row r="5873">
      <c r="A5873" s="1" t="s">
        <v>11738</v>
      </c>
      <c r="B5873" s="2" t="s">
        <v>0</v>
      </c>
      <c r="C5873" s="2">
        <v>3295.47</v>
      </c>
      <c r="D5873" s="2" t="s">
        <v>0</v>
      </c>
      <c r="E5873" s="2">
        <v>9314.91</v>
      </c>
      <c r="G5873" s="1" t="s">
        <v>11739</v>
      </c>
      <c r="H5873" s="2" t="s">
        <v>0</v>
      </c>
      <c r="I5873" s="2">
        <v>2246.13</v>
      </c>
    </row>
    <row r="5874">
      <c r="A5874" s="1" t="s">
        <v>11740</v>
      </c>
      <c r="B5874" s="2" t="s">
        <v>0</v>
      </c>
      <c r="C5874" s="2">
        <v>3295.47</v>
      </c>
      <c r="D5874" s="2" t="s">
        <v>0</v>
      </c>
      <c r="E5874" s="2">
        <v>9314.91</v>
      </c>
      <c r="G5874" s="1" t="s">
        <v>11741</v>
      </c>
      <c r="H5874" s="2" t="s">
        <v>0</v>
      </c>
      <c r="I5874" s="2">
        <v>2246.13</v>
      </c>
    </row>
    <row r="5875">
      <c r="A5875" s="1" t="s">
        <v>11742</v>
      </c>
      <c r="B5875" s="2">
        <v>3243.63</v>
      </c>
      <c r="C5875" s="2">
        <v>3243.63</v>
      </c>
      <c r="D5875" s="2">
        <v>9139.31</v>
      </c>
      <c r="E5875" s="2">
        <v>9139.31</v>
      </c>
      <c r="G5875" s="1" t="s">
        <v>11743</v>
      </c>
      <c r="H5875" s="2" t="s">
        <v>0</v>
      </c>
      <c r="I5875" s="2">
        <v>2246.13</v>
      </c>
    </row>
    <row r="5876">
      <c r="A5876" s="1" t="s">
        <v>11744</v>
      </c>
      <c r="B5876" s="2">
        <v>3276.24</v>
      </c>
      <c r="C5876" s="2">
        <v>3276.24</v>
      </c>
      <c r="D5876" s="2">
        <v>9269.68</v>
      </c>
      <c r="E5876" s="2">
        <v>9269.68</v>
      </c>
      <c r="G5876" s="1" t="s">
        <v>11745</v>
      </c>
      <c r="H5876" s="2">
        <v>2176.72</v>
      </c>
      <c r="I5876" s="2">
        <v>2176.72</v>
      </c>
    </row>
    <row r="5877">
      <c r="A5877" s="1" t="s">
        <v>11746</v>
      </c>
      <c r="B5877" s="2">
        <v>3273.4</v>
      </c>
      <c r="C5877" s="2">
        <v>3273.4</v>
      </c>
      <c r="D5877" s="2">
        <v>9275.16</v>
      </c>
      <c r="E5877" s="2">
        <v>9275.16</v>
      </c>
      <c r="G5877" s="1" t="s">
        <v>11747</v>
      </c>
      <c r="H5877" s="2">
        <v>2185.28</v>
      </c>
      <c r="I5877" s="2">
        <v>2185.28</v>
      </c>
    </row>
    <row r="5878">
      <c r="A5878" s="1" t="s">
        <v>11748</v>
      </c>
      <c r="B5878" s="2">
        <v>3283.66</v>
      </c>
      <c r="C5878" s="2">
        <v>3283.66</v>
      </c>
      <c r="D5878" s="2">
        <v>9298.93</v>
      </c>
      <c r="E5878" s="2">
        <v>9298.93</v>
      </c>
      <c r="G5878" s="1" t="s">
        <v>11749</v>
      </c>
      <c r="H5878" s="2">
        <v>2148.0</v>
      </c>
      <c r="I5878" s="2">
        <v>2148.0</v>
      </c>
    </row>
    <row r="5879">
      <c r="A5879" s="1" t="s">
        <v>11750</v>
      </c>
      <c r="B5879" s="2">
        <v>3225.52</v>
      </c>
      <c r="C5879" s="2">
        <v>3225.52</v>
      </c>
      <c r="D5879" s="2">
        <v>9150.94</v>
      </c>
      <c r="E5879" s="2">
        <v>9150.94</v>
      </c>
      <c r="G5879" s="1" t="s">
        <v>11751</v>
      </c>
      <c r="H5879" s="2">
        <v>2119.01</v>
      </c>
      <c r="I5879" s="2">
        <v>2119.01</v>
      </c>
    </row>
    <row r="5880">
      <c r="A5880" s="1" t="s">
        <v>11752</v>
      </c>
      <c r="B5880" s="2" t="s">
        <v>0</v>
      </c>
      <c r="C5880" s="2">
        <v>3225.52</v>
      </c>
      <c r="D5880" s="2" t="s">
        <v>0</v>
      </c>
      <c r="E5880" s="2">
        <v>9150.94</v>
      </c>
      <c r="G5880" s="1" t="s">
        <v>11753</v>
      </c>
      <c r="H5880" s="2" t="s">
        <v>0</v>
      </c>
      <c r="I5880" s="2">
        <v>2119.01</v>
      </c>
    </row>
    <row r="5881">
      <c r="A5881" s="1" t="s">
        <v>11754</v>
      </c>
      <c r="B5881" s="2" t="s">
        <v>0</v>
      </c>
      <c r="C5881" s="2">
        <v>3225.52</v>
      </c>
      <c r="D5881" s="2" t="s">
        <v>0</v>
      </c>
      <c r="E5881" s="2">
        <v>9150.94</v>
      </c>
      <c r="G5881" s="1" t="s">
        <v>11755</v>
      </c>
      <c r="H5881" s="2" t="s">
        <v>0</v>
      </c>
      <c r="I5881" s="2">
        <v>2119.01</v>
      </c>
    </row>
    <row r="5882">
      <c r="A5882" s="1" t="s">
        <v>11756</v>
      </c>
      <c r="B5882" s="2">
        <v>3248.92</v>
      </c>
      <c r="C5882" s="2">
        <v>3248.92</v>
      </c>
      <c r="D5882" s="2">
        <v>9273.4</v>
      </c>
      <c r="E5882" s="2">
        <v>9273.4</v>
      </c>
      <c r="G5882" s="1" t="s">
        <v>11757</v>
      </c>
      <c r="H5882" s="2">
        <v>2118.88</v>
      </c>
      <c r="I5882" s="2">
        <v>2118.88</v>
      </c>
    </row>
    <row r="5883">
      <c r="A5883" s="1" t="s">
        <v>11758</v>
      </c>
      <c r="B5883" s="2">
        <v>3297.59</v>
      </c>
      <c r="C5883" s="2">
        <v>3297.59</v>
      </c>
      <c r="D5883" s="2">
        <v>9467.97</v>
      </c>
      <c r="E5883" s="2">
        <v>9467.97</v>
      </c>
      <c r="G5883" s="1" t="s">
        <v>11759</v>
      </c>
      <c r="H5883" s="2">
        <v>2157.9</v>
      </c>
      <c r="I5883" s="2">
        <v>2157.9</v>
      </c>
    </row>
    <row r="5884">
      <c r="A5884" s="1" t="s">
        <v>11760</v>
      </c>
      <c r="B5884" s="2">
        <v>3334.69</v>
      </c>
      <c r="C5884" s="2">
        <v>3334.69</v>
      </c>
      <c r="D5884" s="2">
        <v>9508.68</v>
      </c>
      <c r="E5884" s="2">
        <v>9508.68</v>
      </c>
      <c r="G5884" s="1" t="s">
        <v>11761</v>
      </c>
      <c r="H5884" s="2">
        <v>2165.63</v>
      </c>
      <c r="I5884" s="2">
        <v>2165.63</v>
      </c>
    </row>
    <row r="5885">
      <c r="A5885" s="1" t="s">
        <v>11762</v>
      </c>
      <c r="B5885" s="2">
        <v>3345.78</v>
      </c>
      <c r="C5885" s="2">
        <v>3345.78</v>
      </c>
      <c r="D5885" s="2">
        <v>9572.15</v>
      </c>
      <c r="E5885" s="2">
        <v>9572.15</v>
      </c>
      <c r="G5885" s="1" t="s">
        <v>11763</v>
      </c>
      <c r="H5885" s="2">
        <v>2227.94</v>
      </c>
      <c r="I5885" s="2">
        <v>2227.94</v>
      </c>
    </row>
    <row r="5886">
      <c r="A5886" s="1" t="s">
        <v>11764</v>
      </c>
      <c r="B5886" s="2">
        <v>3327.71</v>
      </c>
      <c r="C5886" s="2">
        <v>3327.71</v>
      </c>
      <c r="D5886" s="2">
        <v>9520.51</v>
      </c>
      <c r="E5886" s="2">
        <v>9520.51</v>
      </c>
      <c r="G5886" s="1" t="s">
        <v>11765</v>
      </c>
      <c r="H5886" s="2">
        <v>2211.95</v>
      </c>
      <c r="I5886" s="2">
        <v>2211.95</v>
      </c>
    </row>
    <row r="5887">
      <c r="A5887" s="1" t="s">
        <v>11766</v>
      </c>
      <c r="B5887" s="2" t="s">
        <v>0</v>
      </c>
      <c r="C5887" s="2">
        <v>3327.71</v>
      </c>
      <c r="D5887" s="2" t="s">
        <v>0</v>
      </c>
      <c r="E5887" s="2">
        <v>9520.51</v>
      </c>
      <c r="G5887" s="1" t="s">
        <v>11767</v>
      </c>
      <c r="H5887" s="2" t="s">
        <v>0</v>
      </c>
      <c r="I5887" s="2">
        <v>2211.95</v>
      </c>
    </row>
    <row r="5888">
      <c r="A5888" s="1" t="s">
        <v>11768</v>
      </c>
      <c r="B5888" s="2" t="s">
        <v>0</v>
      </c>
      <c r="C5888" s="2">
        <v>3327.71</v>
      </c>
      <c r="D5888" s="2" t="s">
        <v>0</v>
      </c>
      <c r="E5888" s="2">
        <v>9520.51</v>
      </c>
      <c r="G5888" s="1" t="s">
        <v>11769</v>
      </c>
      <c r="H5888" s="2" t="s">
        <v>0</v>
      </c>
      <c r="I5888" s="2">
        <v>2211.95</v>
      </c>
    </row>
    <row r="5889">
      <c r="A5889" s="1" t="s">
        <v>11770</v>
      </c>
      <c r="B5889" s="2">
        <v>3352.09</v>
      </c>
      <c r="C5889" s="2">
        <v>3352.09</v>
      </c>
      <c r="D5889" s="2">
        <v>9628.39</v>
      </c>
      <c r="E5889" s="2">
        <v>9628.39</v>
      </c>
      <c r="G5889" s="1" t="s">
        <v>11771</v>
      </c>
      <c r="H5889" s="2">
        <v>2201.07</v>
      </c>
      <c r="I5889" s="2">
        <v>2201.07</v>
      </c>
    </row>
    <row r="5890">
      <c r="A5890" s="1" t="s">
        <v>11772</v>
      </c>
      <c r="B5890" s="2">
        <v>3357.75</v>
      </c>
      <c r="C5890" s="2">
        <v>3357.75</v>
      </c>
      <c r="D5890" s="2">
        <v>9638.94</v>
      </c>
      <c r="E5890" s="2">
        <v>9638.94</v>
      </c>
      <c r="G5890" s="1" t="s">
        <v>11773</v>
      </c>
      <c r="H5890" s="2">
        <v>2223.12</v>
      </c>
      <c r="I5890" s="2">
        <v>2223.12</v>
      </c>
    </row>
    <row r="5891">
      <c r="A5891" s="1" t="s">
        <v>11774</v>
      </c>
      <c r="B5891" s="2">
        <v>3379.45</v>
      </c>
      <c r="C5891" s="2">
        <v>3379.45</v>
      </c>
      <c r="D5891" s="2">
        <v>9725.96</v>
      </c>
      <c r="E5891" s="2">
        <v>9725.96</v>
      </c>
      <c r="G5891" s="1" t="s">
        <v>11775</v>
      </c>
      <c r="H5891" s="2">
        <v>2238.38</v>
      </c>
      <c r="I5891" s="2">
        <v>2238.38</v>
      </c>
    </row>
    <row r="5892">
      <c r="A5892" s="1" t="s">
        <v>11776</v>
      </c>
      <c r="B5892" s="2">
        <v>3373.94</v>
      </c>
      <c r="C5892" s="2">
        <v>3373.94</v>
      </c>
      <c r="D5892" s="2">
        <v>9711.97</v>
      </c>
      <c r="E5892" s="2">
        <v>9711.97</v>
      </c>
      <c r="G5892" s="1" t="s">
        <v>11777</v>
      </c>
      <c r="H5892" s="2">
        <v>2232.96</v>
      </c>
      <c r="I5892" s="2">
        <v>2232.96</v>
      </c>
    </row>
    <row r="5893">
      <c r="A5893" s="1" t="s">
        <v>11778</v>
      </c>
      <c r="B5893" s="2">
        <v>3380.16</v>
      </c>
      <c r="C5893" s="2">
        <v>3380.16</v>
      </c>
      <c r="D5893" s="2">
        <v>9731.18</v>
      </c>
      <c r="E5893" s="2">
        <v>9731.18</v>
      </c>
      <c r="G5893" s="1" t="s">
        <v>11779</v>
      </c>
      <c r="H5893" s="2">
        <v>2243.59</v>
      </c>
      <c r="I5893" s="2">
        <v>2243.59</v>
      </c>
    </row>
    <row r="5894">
      <c r="A5894" s="1" t="s">
        <v>11780</v>
      </c>
      <c r="B5894" s="2" t="s">
        <v>0</v>
      </c>
      <c r="C5894" s="2">
        <v>3380.16</v>
      </c>
      <c r="D5894" s="2" t="s">
        <v>0</v>
      </c>
      <c r="E5894" s="2">
        <v>9731.18</v>
      </c>
      <c r="G5894" s="1" t="s">
        <v>11781</v>
      </c>
      <c r="H5894" s="2" t="s">
        <v>0</v>
      </c>
      <c r="I5894" s="2">
        <v>2243.59</v>
      </c>
    </row>
    <row r="5895">
      <c r="A5895" s="1" t="s">
        <v>11782</v>
      </c>
      <c r="B5895" s="2" t="s">
        <v>0</v>
      </c>
      <c r="C5895" s="2">
        <v>3380.16</v>
      </c>
      <c r="D5895" s="2" t="s">
        <v>0</v>
      </c>
      <c r="E5895" s="2">
        <v>9731.18</v>
      </c>
      <c r="G5895" s="1" t="s">
        <v>11783</v>
      </c>
      <c r="H5895" s="2" t="s">
        <v>0</v>
      </c>
      <c r="I5895" s="2">
        <v>2243.59</v>
      </c>
    </row>
    <row r="5896">
      <c r="A5896" s="1" t="s">
        <v>11784</v>
      </c>
      <c r="B5896" s="2" t="s">
        <v>0</v>
      </c>
      <c r="C5896" s="2">
        <v>3380.16</v>
      </c>
      <c r="D5896" s="2" t="s">
        <v>0</v>
      </c>
      <c r="E5896" s="2">
        <v>9731.18</v>
      </c>
      <c r="G5896" s="1" t="s">
        <v>11785</v>
      </c>
      <c r="H5896" s="2">
        <v>2242.17</v>
      </c>
      <c r="I5896" s="2">
        <v>2242.17</v>
      </c>
    </row>
    <row r="5897">
      <c r="A5897" s="1" t="s">
        <v>11786</v>
      </c>
      <c r="B5897" s="2">
        <v>3370.29</v>
      </c>
      <c r="C5897" s="2">
        <v>3370.29</v>
      </c>
      <c r="D5897" s="2">
        <v>9732.74</v>
      </c>
      <c r="E5897" s="2">
        <v>9732.74</v>
      </c>
      <c r="G5897" s="1" t="s">
        <v>11787</v>
      </c>
      <c r="H5897" s="2">
        <v>2208.88</v>
      </c>
      <c r="I5897" s="2">
        <v>2208.88</v>
      </c>
    </row>
    <row r="5898">
      <c r="A5898" s="1" t="s">
        <v>11788</v>
      </c>
      <c r="B5898" s="2">
        <v>3386.15</v>
      </c>
      <c r="C5898" s="2">
        <v>3386.15</v>
      </c>
      <c r="D5898" s="2">
        <v>9817.18</v>
      </c>
      <c r="E5898" s="2">
        <v>9817.18</v>
      </c>
      <c r="G5898" s="1" t="s">
        <v>11789</v>
      </c>
      <c r="H5898" s="2">
        <v>2210.34</v>
      </c>
      <c r="I5898" s="2">
        <v>2210.34</v>
      </c>
    </row>
    <row r="5899">
      <c r="A5899" s="1" t="s">
        <v>11790</v>
      </c>
      <c r="B5899" s="2">
        <v>3373.23</v>
      </c>
      <c r="C5899" s="2">
        <v>3373.23</v>
      </c>
      <c r="D5899" s="2">
        <v>9750.97</v>
      </c>
      <c r="E5899" s="2">
        <v>9750.97</v>
      </c>
      <c r="G5899" s="1" t="s">
        <v>11791</v>
      </c>
      <c r="H5899" s="2">
        <v>2195.5</v>
      </c>
      <c r="I5899" s="2">
        <v>2195.5</v>
      </c>
    </row>
    <row r="5900">
      <c r="A5900" s="1" t="s">
        <v>11792</v>
      </c>
      <c r="B5900" s="2">
        <v>3337.75</v>
      </c>
      <c r="C5900" s="2">
        <v>3337.75</v>
      </c>
      <c r="D5900" s="2">
        <v>9576.59</v>
      </c>
      <c r="E5900" s="2">
        <v>9576.59</v>
      </c>
      <c r="G5900" s="1" t="s">
        <v>11793</v>
      </c>
      <c r="H5900" s="2">
        <v>2162.84</v>
      </c>
      <c r="I5900" s="2">
        <v>2162.84</v>
      </c>
    </row>
    <row r="5901">
      <c r="A5901" s="1" t="s">
        <v>11794</v>
      </c>
      <c r="B5901" s="2" t="s">
        <v>0</v>
      </c>
      <c r="C5901" s="2">
        <v>3337.75</v>
      </c>
      <c r="D5901" s="2" t="s">
        <v>0</v>
      </c>
      <c r="E5901" s="2">
        <v>9576.59</v>
      </c>
      <c r="G5901" s="1" t="s">
        <v>11795</v>
      </c>
      <c r="H5901" s="2" t="s">
        <v>0</v>
      </c>
      <c r="I5901" s="2">
        <v>2162.84</v>
      </c>
    </row>
    <row r="5902">
      <c r="A5902" s="1" t="s">
        <v>11796</v>
      </c>
      <c r="B5902" s="2" t="s">
        <v>0</v>
      </c>
      <c r="C5902" s="2">
        <v>3337.75</v>
      </c>
      <c r="D5902" s="2" t="s">
        <v>0</v>
      </c>
      <c r="E5902" s="2">
        <v>9576.59</v>
      </c>
      <c r="G5902" s="1" t="s">
        <v>11797</v>
      </c>
      <c r="H5902" s="2" t="s">
        <v>0</v>
      </c>
      <c r="I5902" s="2">
        <v>2162.84</v>
      </c>
    </row>
    <row r="5903">
      <c r="A5903" s="1" t="s">
        <v>11798</v>
      </c>
      <c r="B5903" s="2">
        <v>3225.89</v>
      </c>
      <c r="C5903" s="2">
        <v>3225.89</v>
      </c>
      <c r="D5903" s="2">
        <v>9221.28</v>
      </c>
      <c r="E5903" s="2">
        <v>9221.28</v>
      </c>
      <c r="G5903" s="1" t="s">
        <v>11799</v>
      </c>
      <c r="H5903" s="2">
        <v>2079.04</v>
      </c>
      <c r="I5903" s="2">
        <v>2079.04</v>
      </c>
    </row>
    <row r="5904">
      <c r="A5904" s="1" t="s">
        <v>11800</v>
      </c>
      <c r="B5904" s="2">
        <v>3128.21</v>
      </c>
      <c r="C5904" s="2">
        <v>3128.21</v>
      </c>
      <c r="D5904" s="2">
        <v>8965.61</v>
      </c>
      <c r="E5904" s="2">
        <v>8965.61</v>
      </c>
      <c r="G5904" s="1" t="s">
        <v>11801</v>
      </c>
      <c r="H5904" s="2">
        <v>2103.61</v>
      </c>
      <c r="I5904" s="2">
        <v>2103.61</v>
      </c>
    </row>
    <row r="5905">
      <c r="A5905" s="1" t="s">
        <v>11802</v>
      </c>
      <c r="B5905" s="2">
        <v>3116.39</v>
      </c>
      <c r="C5905" s="2">
        <v>3116.39</v>
      </c>
      <c r="D5905" s="2">
        <v>8980.78</v>
      </c>
      <c r="E5905" s="2">
        <v>8980.78</v>
      </c>
      <c r="G5905" s="1" t="s">
        <v>11803</v>
      </c>
      <c r="H5905" s="2">
        <v>2076.77</v>
      </c>
      <c r="I5905" s="2">
        <v>2076.77</v>
      </c>
    </row>
    <row r="5906">
      <c r="A5906" s="1" t="s">
        <v>11804</v>
      </c>
      <c r="B5906" s="2">
        <v>2978.76</v>
      </c>
      <c r="C5906" s="2">
        <v>2978.76</v>
      </c>
      <c r="D5906" s="2">
        <v>8566.48</v>
      </c>
      <c r="E5906" s="2">
        <v>8566.48</v>
      </c>
      <c r="G5906" s="1" t="s">
        <v>11805</v>
      </c>
      <c r="H5906" s="2">
        <v>2054.89</v>
      </c>
      <c r="I5906" s="2">
        <v>2054.89</v>
      </c>
    </row>
    <row r="5907">
      <c r="A5907" s="1" t="s">
        <v>11806</v>
      </c>
      <c r="B5907" s="2">
        <v>2954.22</v>
      </c>
      <c r="C5907" s="2">
        <v>2954.22</v>
      </c>
      <c r="D5907" s="2">
        <v>8567.37</v>
      </c>
      <c r="E5907" s="2">
        <v>8567.37</v>
      </c>
      <c r="G5907" s="1" t="s">
        <v>11807</v>
      </c>
      <c r="H5907" s="2">
        <v>1987.01</v>
      </c>
      <c r="I5907" s="2">
        <v>1987.01</v>
      </c>
    </row>
    <row r="5908">
      <c r="A5908" s="1" t="s">
        <v>11808</v>
      </c>
      <c r="B5908" s="2" t="s">
        <v>0</v>
      </c>
      <c r="C5908" s="2">
        <v>2954.22</v>
      </c>
      <c r="D5908" s="2" t="s">
        <v>0</v>
      </c>
      <c r="E5908" s="2">
        <v>8567.37</v>
      </c>
      <c r="G5908" s="1" t="s">
        <v>11809</v>
      </c>
      <c r="H5908" s="2" t="s">
        <v>0</v>
      </c>
      <c r="I5908" s="2">
        <v>1987.01</v>
      </c>
    </row>
    <row r="5909">
      <c r="A5909" s="1" t="s">
        <v>11810</v>
      </c>
      <c r="B5909" s="2" t="s">
        <v>0</v>
      </c>
      <c r="C5909" s="2">
        <v>2954.22</v>
      </c>
      <c r="D5909" s="2" t="s">
        <v>0</v>
      </c>
      <c r="E5909" s="2">
        <v>8567.37</v>
      </c>
      <c r="G5909" s="1" t="s">
        <v>11811</v>
      </c>
      <c r="H5909" s="2" t="s">
        <v>0</v>
      </c>
      <c r="I5909" s="2">
        <v>1987.01</v>
      </c>
    </row>
    <row r="5910">
      <c r="A5910" s="1" t="s">
        <v>11812</v>
      </c>
      <c r="B5910" s="2">
        <v>3090.23</v>
      </c>
      <c r="C5910" s="2">
        <v>3090.23</v>
      </c>
      <c r="D5910" s="2">
        <v>8952.17</v>
      </c>
      <c r="E5910" s="2">
        <v>8952.17</v>
      </c>
      <c r="G5910" s="1" t="s">
        <v>11813</v>
      </c>
      <c r="H5910" s="2">
        <v>2002.51</v>
      </c>
      <c r="I5910" s="2">
        <v>2002.51</v>
      </c>
    </row>
    <row r="5911">
      <c r="A5911" s="1" t="s">
        <v>11814</v>
      </c>
      <c r="B5911" s="2">
        <v>3003.37</v>
      </c>
      <c r="C5911" s="2">
        <v>3003.37</v>
      </c>
      <c r="D5911" s="2">
        <v>8684.09</v>
      </c>
      <c r="E5911" s="2">
        <v>8684.09</v>
      </c>
      <c r="G5911" s="1" t="s">
        <v>11815</v>
      </c>
      <c r="H5911" s="2">
        <v>2014.15</v>
      </c>
      <c r="I5911" s="2">
        <v>2014.15</v>
      </c>
    </row>
    <row r="5912">
      <c r="A5912" s="1" t="s">
        <v>11816</v>
      </c>
      <c r="B5912" s="2">
        <v>3130.12</v>
      </c>
      <c r="C5912" s="2">
        <v>3130.12</v>
      </c>
      <c r="D5912" s="2">
        <v>9018.09</v>
      </c>
      <c r="E5912" s="2">
        <v>9018.09</v>
      </c>
      <c r="G5912" s="1" t="s">
        <v>11817</v>
      </c>
      <c r="H5912" s="2">
        <v>2059.33</v>
      </c>
      <c r="I5912" s="2">
        <v>2059.33</v>
      </c>
    </row>
    <row r="5913">
      <c r="A5913" s="1" t="s">
        <v>11818</v>
      </c>
      <c r="B5913" s="2">
        <v>3023.94</v>
      </c>
      <c r="C5913" s="2">
        <v>3023.94</v>
      </c>
      <c r="D5913" s="2">
        <v>8738.59</v>
      </c>
      <c r="E5913" s="2">
        <v>8738.59</v>
      </c>
      <c r="G5913" s="1" t="s">
        <v>11819</v>
      </c>
      <c r="H5913" s="2">
        <v>2085.26</v>
      </c>
      <c r="I5913" s="2">
        <v>2085.26</v>
      </c>
    </row>
    <row r="5914">
      <c r="A5914" s="1" t="s">
        <v>11820</v>
      </c>
      <c r="B5914" s="2">
        <v>2972.37</v>
      </c>
      <c r="C5914" s="2">
        <v>2972.37</v>
      </c>
      <c r="D5914" s="2">
        <v>8575.62</v>
      </c>
      <c r="E5914" s="2">
        <v>8575.62</v>
      </c>
      <c r="G5914" s="1" t="s">
        <v>11821</v>
      </c>
      <c r="H5914" s="2">
        <v>2040.22</v>
      </c>
      <c r="I5914" s="2">
        <v>2040.22</v>
      </c>
    </row>
    <row r="5915">
      <c r="A5915" s="1" t="s">
        <v>11822</v>
      </c>
      <c r="B5915" s="2" t="s">
        <v>0</v>
      </c>
      <c r="C5915" s="2">
        <v>2972.37</v>
      </c>
      <c r="D5915" s="2" t="s">
        <v>0</v>
      </c>
      <c r="E5915" s="2">
        <v>8575.62</v>
      </c>
      <c r="G5915" s="1" t="s">
        <v>11823</v>
      </c>
      <c r="H5915" s="2" t="s">
        <v>0</v>
      </c>
      <c r="I5915" s="2">
        <v>2040.22</v>
      </c>
    </row>
    <row r="5916">
      <c r="A5916" s="1" t="s">
        <v>11824</v>
      </c>
      <c r="B5916" s="2" t="s">
        <v>0</v>
      </c>
      <c r="C5916" s="2">
        <v>2972.37</v>
      </c>
      <c r="D5916" s="2" t="s">
        <v>0</v>
      </c>
      <c r="E5916" s="2">
        <v>8575.62</v>
      </c>
      <c r="G5916" s="1" t="s">
        <v>11825</v>
      </c>
      <c r="H5916" s="2" t="s">
        <v>0</v>
      </c>
      <c r="I5916" s="2">
        <v>2040.22</v>
      </c>
    </row>
    <row r="5917">
      <c r="A5917" s="1" t="s">
        <v>11826</v>
      </c>
      <c r="B5917" s="2">
        <v>2746.56</v>
      </c>
      <c r="C5917" s="2">
        <v>2746.56</v>
      </c>
      <c r="D5917" s="2">
        <v>7950.68</v>
      </c>
      <c r="E5917" s="2">
        <v>7950.68</v>
      </c>
      <c r="G5917" s="1" t="s">
        <v>11827</v>
      </c>
      <c r="H5917" s="2">
        <v>1954.77</v>
      </c>
      <c r="I5917" s="2">
        <v>1954.77</v>
      </c>
    </row>
    <row r="5918">
      <c r="A5918" s="1" t="s">
        <v>11828</v>
      </c>
      <c r="B5918" s="2">
        <v>2882.23</v>
      </c>
      <c r="C5918" s="2">
        <v>2882.23</v>
      </c>
      <c r="D5918" s="2">
        <v>8344.25</v>
      </c>
      <c r="E5918" s="2">
        <v>8344.25</v>
      </c>
      <c r="G5918" s="1" t="s">
        <v>11829</v>
      </c>
      <c r="H5918" s="2">
        <v>1962.93</v>
      </c>
      <c r="I5918" s="2">
        <v>1962.93</v>
      </c>
    </row>
    <row r="5919">
      <c r="A5919" s="1" t="s">
        <v>11830</v>
      </c>
      <c r="B5919" s="2">
        <v>2741.38</v>
      </c>
      <c r="C5919" s="2">
        <v>2741.38</v>
      </c>
      <c r="D5919" s="2">
        <v>7952.05</v>
      </c>
      <c r="E5919" s="2">
        <v>7952.05</v>
      </c>
      <c r="G5919" s="1" t="s">
        <v>11831</v>
      </c>
      <c r="H5919" s="2">
        <v>1908.27</v>
      </c>
      <c r="I5919" s="2">
        <v>1908.27</v>
      </c>
    </row>
    <row r="5920">
      <c r="A5920" s="1" t="s">
        <v>11832</v>
      </c>
      <c r="B5920" s="2">
        <v>2480.64</v>
      </c>
      <c r="C5920" s="2">
        <v>2480.64</v>
      </c>
      <c r="D5920" s="2">
        <v>7201.8</v>
      </c>
      <c r="E5920" s="2">
        <v>7201.8</v>
      </c>
      <c r="G5920" s="1" t="s">
        <v>11833</v>
      </c>
      <c r="H5920" s="2">
        <v>1834.33</v>
      </c>
      <c r="I5920" s="2">
        <v>1834.33</v>
      </c>
    </row>
    <row r="5921">
      <c r="A5921" s="1" t="s">
        <v>11834</v>
      </c>
      <c r="B5921" s="2">
        <v>2711.02</v>
      </c>
      <c r="C5921" s="2">
        <v>2711.02</v>
      </c>
      <c r="D5921" s="2">
        <v>7874.88</v>
      </c>
      <c r="E5921" s="2">
        <v>7874.88</v>
      </c>
      <c r="G5921" s="1" t="s">
        <v>11835</v>
      </c>
      <c r="H5921" s="2">
        <v>1771.44</v>
      </c>
      <c r="I5921" s="2">
        <v>1771.44</v>
      </c>
    </row>
    <row r="5922">
      <c r="A5922" s="1" t="s">
        <v>11836</v>
      </c>
      <c r="B5922" s="2" t="s">
        <v>0</v>
      </c>
      <c r="C5922" s="2">
        <v>2711.02</v>
      </c>
      <c r="D5922" s="2" t="s">
        <v>0</v>
      </c>
      <c r="E5922" s="2">
        <v>7874.88</v>
      </c>
      <c r="G5922" s="1" t="s">
        <v>11837</v>
      </c>
      <c r="H5922" s="2" t="s">
        <v>0</v>
      </c>
      <c r="I5922" s="2">
        <v>1771.44</v>
      </c>
    </row>
    <row r="5923">
      <c r="A5923" s="1" t="s">
        <v>11838</v>
      </c>
      <c r="B5923" s="2" t="s">
        <v>0</v>
      </c>
      <c r="C5923" s="2">
        <v>2711.02</v>
      </c>
      <c r="D5923" s="2" t="s">
        <v>0</v>
      </c>
      <c r="E5923" s="2">
        <v>7874.88</v>
      </c>
      <c r="G5923" s="1" t="s">
        <v>11839</v>
      </c>
      <c r="H5923" s="2" t="s">
        <v>0</v>
      </c>
      <c r="I5923" s="2">
        <v>1771.44</v>
      </c>
    </row>
    <row r="5924">
      <c r="A5924" s="1" t="s">
        <v>11840</v>
      </c>
      <c r="B5924" s="2">
        <v>2386.13</v>
      </c>
      <c r="C5924" s="2">
        <v>2386.13</v>
      </c>
      <c r="D5924" s="2">
        <v>6904.59</v>
      </c>
      <c r="E5924" s="2">
        <v>6904.59</v>
      </c>
      <c r="G5924" s="1" t="s">
        <v>11841</v>
      </c>
      <c r="H5924" s="2">
        <v>1714.86</v>
      </c>
      <c r="I5924" s="2">
        <v>1714.86</v>
      </c>
    </row>
    <row r="5925">
      <c r="A5925" s="1" t="s">
        <v>11842</v>
      </c>
      <c r="B5925" s="2">
        <v>2529.19</v>
      </c>
      <c r="C5925" s="2">
        <v>2529.19</v>
      </c>
      <c r="D5925" s="2">
        <v>7334.78</v>
      </c>
      <c r="E5925" s="2">
        <v>7334.78</v>
      </c>
      <c r="G5925" s="1" t="s">
        <v>11843</v>
      </c>
      <c r="H5925" s="2">
        <v>1672.44</v>
      </c>
      <c r="I5925" s="2">
        <v>1672.44</v>
      </c>
    </row>
    <row r="5926">
      <c r="A5926" s="1" t="s">
        <v>11844</v>
      </c>
      <c r="B5926" s="2">
        <v>2398.1</v>
      </c>
      <c r="C5926" s="2">
        <v>2398.1</v>
      </c>
      <c r="D5926" s="2">
        <v>6989.84</v>
      </c>
      <c r="E5926" s="2">
        <v>6989.84</v>
      </c>
      <c r="G5926" s="1" t="s">
        <v>11845</v>
      </c>
      <c r="H5926" s="2">
        <v>1591.2</v>
      </c>
      <c r="I5926" s="2">
        <v>1591.2</v>
      </c>
    </row>
    <row r="5927">
      <c r="A5927" s="1" t="s">
        <v>11846</v>
      </c>
      <c r="B5927" s="2">
        <v>2409.39</v>
      </c>
      <c r="C5927" s="2">
        <v>2409.39</v>
      </c>
      <c r="D5927" s="2">
        <v>7150.58</v>
      </c>
      <c r="E5927" s="2">
        <v>7150.58</v>
      </c>
      <c r="G5927" s="1" t="s">
        <v>11847</v>
      </c>
      <c r="H5927" s="2">
        <v>1457.64</v>
      </c>
      <c r="I5927" s="2">
        <v>1457.64</v>
      </c>
    </row>
    <row r="5928">
      <c r="A5928" s="1" t="s">
        <v>11848</v>
      </c>
      <c r="B5928" s="2">
        <v>2304.92</v>
      </c>
      <c r="C5928" s="2">
        <v>2304.92</v>
      </c>
      <c r="D5928" s="2">
        <v>6879.52</v>
      </c>
      <c r="E5928" s="2">
        <v>6879.52</v>
      </c>
      <c r="G5928" s="1" t="s">
        <v>11849</v>
      </c>
      <c r="H5928" s="2">
        <v>1566.15</v>
      </c>
      <c r="I5928" s="2">
        <v>1566.15</v>
      </c>
    </row>
    <row r="5929">
      <c r="A5929" s="1" t="s">
        <v>11850</v>
      </c>
      <c r="B5929" s="2" t="s">
        <v>0</v>
      </c>
      <c r="C5929" s="2">
        <v>2304.92</v>
      </c>
      <c r="D5929" s="2" t="s">
        <v>0</v>
      </c>
      <c r="E5929" s="2">
        <v>6879.52</v>
      </c>
      <c r="G5929" s="1" t="s">
        <v>11851</v>
      </c>
      <c r="H5929" s="2" t="s">
        <v>0</v>
      </c>
      <c r="I5929" s="2">
        <v>1566.15</v>
      </c>
    </row>
    <row r="5930">
      <c r="A5930" s="1" t="s">
        <v>11852</v>
      </c>
      <c r="B5930" s="2" t="s">
        <v>0</v>
      </c>
      <c r="C5930" s="2">
        <v>2304.92</v>
      </c>
      <c r="D5930" s="2" t="s">
        <v>0</v>
      </c>
      <c r="E5930" s="2">
        <v>6879.52</v>
      </c>
      <c r="G5930" s="1" t="s">
        <v>11853</v>
      </c>
      <c r="H5930" s="2" t="s">
        <v>0</v>
      </c>
      <c r="I5930" s="2">
        <v>1566.15</v>
      </c>
    </row>
    <row r="5931">
      <c r="A5931" s="1" t="s">
        <v>11854</v>
      </c>
      <c r="B5931" s="2">
        <v>2237.4</v>
      </c>
      <c r="C5931" s="2">
        <v>2237.4</v>
      </c>
      <c r="D5931" s="2">
        <v>6860.67</v>
      </c>
      <c r="E5931" s="2">
        <v>6860.67</v>
      </c>
      <c r="G5931" s="1" t="s">
        <v>11855</v>
      </c>
      <c r="H5931" s="2">
        <v>1482.46</v>
      </c>
      <c r="I5931" s="2">
        <v>1482.46</v>
      </c>
    </row>
    <row r="5932">
      <c r="A5932" s="1" t="s">
        <v>11856</v>
      </c>
      <c r="B5932" s="2">
        <v>2447.33</v>
      </c>
      <c r="C5932" s="2">
        <v>2447.33</v>
      </c>
      <c r="D5932" s="2">
        <v>7417.86</v>
      </c>
      <c r="E5932" s="2">
        <v>7417.86</v>
      </c>
      <c r="G5932" s="1" t="s">
        <v>11857</v>
      </c>
      <c r="H5932" s="2">
        <v>1609.97</v>
      </c>
      <c r="I5932" s="2">
        <v>1609.97</v>
      </c>
    </row>
    <row r="5933">
      <c r="A5933" s="1" t="s">
        <v>11858</v>
      </c>
      <c r="B5933" s="2">
        <v>2475.56</v>
      </c>
      <c r="C5933" s="2">
        <v>2475.56</v>
      </c>
      <c r="D5933" s="2">
        <v>7384.3</v>
      </c>
      <c r="E5933" s="2">
        <v>7384.3</v>
      </c>
      <c r="G5933" s="1" t="s">
        <v>11859</v>
      </c>
      <c r="H5933" s="2">
        <v>1704.76</v>
      </c>
      <c r="I5933" s="2">
        <v>1704.76</v>
      </c>
    </row>
    <row r="5934">
      <c r="A5934" s="1" t="s">
        <v>11860</v>
      </c>
      <c r="B5934" s="2">
        <v>2630.07</v>
      </c>
      <c r="C5934" s="2">
        <v>2630.07</v>
      </c>
      <c r="D5934" s="2">
        <v>7797.54</v>
      </c>
      <c r="E5934" s="2">
        <v>7797.54</v>
      </c>
      <c r="G5934" s="1" t="s">
        <v>11861</v>
      </c>
      <c r="H5934" s="2">
        <v>1686.24</v>
      </c>
      <c r="I5934" s="2">
        <v>1686.24</v>
      </c>
    </row>
    <row r="5935">
      <c r="A5935" s="1" t="s">
        <v>11862</v>
      </c>
      <c r="B5935" s="2">
        <v>2541.47</v>
      </c>
      <c r="C5935" s="2">
        <v>2541.47</v>
      </c>
      <c r="D5935" s="2">
        <v>7502.38</v>
      </c>
      <c r="E5935" s="2">
        <v>7502.38</v>
      </c>
      <c r="G5935" s="1" t="s">
        <v>11863</v>
      </c>
      <c r="H5935" s="2">
        <v>1717.73</v>
      </c>
      <c r="I5935" s="2">
        <v>1717.73</v>
      </c>
    </row>
    <row r="5936">
      <c r="A5936" s="1" t="s">
        <v>11864</v>
      </c>
      <c r="B5936" s="2" t="s">
        <v>0</v>
      </c>
      <c r="C5936" s="2">
        <v>2541.47</v>
      </c>
      <c r="D5936" s="2" t="s">
        <v>0</v>
      </c>
      <c r="E5936" s="2">
        <v>7502.38</v>
      </c>
      <c r="G5936" s="1" t="s">
        <v>11865</v>
      </c>
      <c r="H5936" s="2" t="s">
        <v>0</v>
      </c>
      <c r="I5936" s="2">
        <v>1717.73</v>
      </c>
    </row>
    <row r="5937">
      <c r="A5937" s="1" t="s">
        <v>11866</v>
      </c>
      <c r="B5937" s="2" t="s">
        <v>0</v>
      </c>
      <c r="C5937" s="2">
        <v>2541.47</v>
      </c>
      <c r="D5937" s="2" t="s">
        <v>0</v>
      </c>
      <c r="E5937" s="2">
        <v>7502.38</v>
      </c>
      <c r="G5937" s="1" t="s">
        <v>11867</v>
      </c>
      <c r="H5937" s="2" t="s">
        <v>0</v>
      </c>
      <c r="I5937" s="2">
        <v>1717.73</v>
      </c>
    </row>
    <row r="5938">
      <c r="A5938" s="1" t="s">
        <v>11868</v>
      </c>
      <c r="B5938" s="2">
        <v>2626.65</v>
      </c>
      <c r="C5938" s="2">
        <v>2626.65</v>
      </c>
      <c r="D5938" s="2">
        <v>7774.15</v>
      </c>
      <c r="E5938" s="2">
        <v>7774.15</v>
      </c>
      <c r="G5938" s="1" t="s">
        <v>11869</v>
      </c>
      <c r="H5938" s="2">
        <v>1717.12</v>
      </c>
      <c r="I5938" s="2">
        <v>1717.12</v>
      </c>
    </row>
    <row r="5939">
      <c r="A5939" s="1" t="s">
        <v>11870</v>
      </c>
      <c r="B5939" s="2">
        <v>2584.59</v>
      </c>
      <c r="C5939" s="2">
        <v>2584.59</v>
      </c>
      <c r="D5939" s="2">
        <v>7700.1</v>
      </c>
      <c r="E5939" s="2">
        <v>7700.1</v>
      </c>
      <c r="G5939" s="1" t="s">
        <v>11871</v>
      </c>
      <c r="H5939" s="2">
        <v>1754.64</v>
      </c>
      <c r="I5939" s="2">
        <v>1754.64</v>
      </c>
    </row>
    <row r="5940">
      <c r="A5940" s="1" t="s">
        <v>11872</v>
      </c>
      <c r="B5940" s="2">
        <v>2470.5</v>
      </c>
      <c r="C5940" s="2">
        <v>2470.5</v>
      </c>
      <c r="D5940" s="2">
        <v>7360.58</v>
      </c>
      <c r="E5940" s="2">
        <v>7360.58</v>
      </c>
      <c r="G5940" s="1" t="s">
        <v>11873</v>
      </c>
      <c r="H5940" s="2">
        <v>1685.46</v>
      </c>
      <c r="I5940" s="2">
        <v>1685.46</v>
      </c>
    </row>
    <row r="5941">
      <c r="A5941" s="1" t="s">
        <v>11874</v>
      </c>
      <c r="B5941" s="2">
        <v>2526.9</v>
      </c>
      <c r="C5941" s="2">
        <v>2526.9</v>
      </c>
      <c r="D5941" s="2">
        <v>7487.31</v>
      </c>
      <c r="E5941" s="2">
        <v>7487.31</v>
      </c>
      <c r="G5941" s="1" t="s">
        <v>11875</v>
      </c>
      <c r="H5941" s="2">
        <v>1724.86</v>
      </c>
      <c r="I5941" s="2">
        <v>1724.86</v>
      </c>
    </row>
    <row r="5942">
      <c r="A5942" s="1" t="s">
        <v>11876</v>
      </c>
      <c r="B5942" s="2">
        <v>2488.65</v>
      </c>
      <c r="C5942" s="2">
        <v>2488.65</v>
      </c>
      <c r="D5942" s="2">
        <v>7373.08</v>
      </c>
      <c r="E5942" s="2">
        <v>7373.08</v>
      </c>
      <c r="G5942" s="1" t="s">
        <v>11877</v>
      </c>
      <c r="H5942" s="2">
        <v>1725.44</v>
      </c>
      <c r="I5942" s="2">
        <v>1725.44</v>
      </c>
    </row>
    <row r="5943">
      <c r="A5943" s="1" t="s">
        <v>11878</v>
      </c>
      <c r="B5943" s="2" t="s">
        <v>0</v>
      </c>
      <c r="C5943" s="2">
        <v>2488.65</v>
      </c>
      <c r="D5943" s="2" t="s">
        <v>0</v>
      </c>
      <c r="E5943" s="2">
        <v>7373.08</v>
      </c>
      <c r="G5943" s="1" t="s">
        <v>11879</v>
      </c>
      <c r="H5943" s="2" t="s">
        <v>0</v>
      </c>
      <c r="I5943" s="2">
        <v>1725.44</v>
      </c>
    </row>
    <row r="5944">
      <c r="A5944" s="1" t="s">
        <v>11880</v>
      </c>
      <c r="B5944" s="2" t="s">
        <v>0</v>
      </c>
      <c r="C5944" s="2">
        <v>2488.65</v>
      </c>
      <c r="D5944" s="2" t="s">
        <v>0</v>
      </c>
      <c r="E5944" s="2">
        <v>7373.08</v>
      </c>
      <c r="G5944" s="1" t="s">
        <v>11881</v>
      </c>
      <c r="H5944" s="2" t="s">
        <v>0</v>
      </c>
      <c r="I5944" s="2">
        <v>1725.44</v>
      </c>
    </row>
    <row r="5945">
      <c r="A5945" s="1" t="s">
        <v>11882</v>
      </c>
      <c r="B5945" s="2">
        <v>2663.68</v>
      </c>
      <c r="C5945" s="2">
        <v>2663.68</v>
      </c>
      <c r="D5945" s="2">
        <v>7913.24</v>
      </c>
      <c r="E5945" s="2">
        <v>7913.24</v>
      </c>
      <c r="G5945" s="1" t="s">
        <v>11883</v>
      </c>
      <c r="H5945" s="2">
        <v>1791.88</v>
      </c>
      <c r="I5945" s="2">
        <v>1791.88</v>
      </c>
    </row>
    <row r="5946">
      <c r="A5946" s="1" t="s">
        <v>11884</v>
      </c>
      <c r="B5946" s="2">
        <v>2659.41</v>
      </c>
      <c r="C5946" s="2">
        <v>2659.41</v>
      </c>
      <c r="D5946" s="2">
        <v>7887.26</v>
      </c>
      <c r="E5946" s="2">
        <v>7887.26</v>
      </c>
      <c r="G5946" s="1" t="s">
        <v>11885</v>
      </c>
      <c r="H5946" s="2">
        <v>1823.6</v>
      </c>
      <c r="I5946" s="2">
        <v>1823.6</v>
      </c>
    </row>
    <row r="5947">
      <c r="A5947" s="1" t="s">
        <v>11886</v>
      </c>
      <c r="B5947" s="2">
        <v>2749.98</v>
      </c>
      <c r="C5947" s="2">
        <v>2749.98</v>
      </c>
      <c r="D5947" s="2">
        <v>8090.9</v>
      </c>
      <c r="E5947" s="2">
        <v>8090.9</v>
      </c>
      <c r="G5947" s="1" t="s">
        <v>11887</v>
      </c>
      <c r="H5947" s="2">
        <v>1807.14</v>
      </c>
      <c r="I5947" s="2">
        <v>1807.14</v>
      </c>
    </row>
    <row r="5948">
      <c r="A5948" s="1" t="s">
        <v>11888</v>
      </c>
      <c r="B5948" s="2">
        <v>2789.82</v>
      </c>
      <c r="C5948" s="2">
        <v>2789.82</v>
      </c>
      <c r="D5948" s="2">
        <v>8153.58</v>
      </c>
      <c r="E5948" s="2">
        <v>8153.58</v>
      </c>
      <c r="G5948" s="1" t="s">
        <v>11889</v>
      </c>
      <c r="H5948" s="2">
        <v>1836.21</v>
      </c>
      <c r="I5948" s="2">
        <v>1836.21</v>
      </c>
    </row>
    <row r="5949">
      <c r="A5949" s="1" t="s">
        <v>11890</v>
      </c>
      <c r="B5949" s="2" t="s">
        <v>0</v>
      </c>
      <c r="C5949" s="2">
        <v>2789.82</v>
      </c>
      <c r="D5949" s="2" t="s">
        <v>0</v>
      </c>
      <c r="E5949" s="2">
        <v>8153.58</v>
      </c>
      <c r="G5949" s="1" t="s">
        <v>11891</v>
      </c>
      <c r="H5949" s="2">
        <v>1860.7</v>
      </c>
      <c r="I5949" s="2">
        <v>1860.7</v>
      </c>
    </row>
    <row r="5950">
      <c r="A5950" s="1" t="s">
        <v>11892</v>
      </c>
      <c r="B5950" s="2" t="s">
        <v>0</v>
      </c>
      <c r="C5950" s="2">
        <v>2789.82</v>
      </c>
      <c r="D5950" s="2" t="s">
        <v>0</v>
      </c>
      <c r="E5950" s="2">
        <v>8153.58</v>
      </c>
      <c r="G5950" s="1" t="s">
        <v>11893</v>
      </c>
      <c r="H5950" s="2" t="s">
        <v>0</v>
      </c>
      <c r="I5950" s="2">
        <v>1860.7</v>
      </c>
    </row>
    <row r="5951">
      <c r="A5951" s="1" t="s">
        <v>11894</v>
      </c>
      <c r="B5951" s="2" t="s">
        <v>0</v>
      </c>
      <c r="C5951" s="2">
        <v>2789.82</v>
      </c>
      <c r="D5951" s="2" t="s">
        <v>0</v>
      </c>
      <c r="E5951" s="2">
        <v>8153.58</v>
      </c>
      <c r="G5951" s="1" t="s">
        <v>11895</v>
      </c>
      <c r="H5951" s="2" t="s">
        <v>0</v>
      </c>
      <c r="I5951" s="2">
        <v>1860.7</v>
      </c>
    </row>
    <row r="5952">
      <c r="A5952" s="1" t="s">
        <v>11896</v>
      </c>
      <c r="B5952" s="2">
        <v>2761.63</v>
      </c>
      <c r="C5952" s="2">
        <v>2761.63</v>
      </c>
      <c r="D5952" s="2">
        <v>8192.42</v>
      </c>
      <c r="E5952" s="2">
        <v>8192.42</v>
      </c>
      <c r="G5952" s="1" t="s">
        <v>11897</v>
      </c>
      <c r="H5952" s="2">
        <v>1825.76</v>
      </c>
      <c r="I5952" s="2">
        <v>1825.76</v>
      </c>
    </row>
    <row r="5953">
      <c r="A5953" s="1" t="s">
        <v>11898</v>
      </c>
      <c r="B5953" s="2">
        <v>2846.06</v>
      </c>
      <c r="C5953" s="2">
        <v>2846.06</v>
      </c>
      <c r="D5953" s="2">
        <v>8515.74</v>
      </c>
      <c r="E5953" s="2">
        <v>8515.74</v>
      </c>
      <c r="G5953" s="1" t="s">
        <v>11899</v>
      </c>
      <c r="H5953" s="2">
        <v>1857.08</v>
      </c>
      <c r="I5953" s="2">
        <v>1857.08</v>
      </c>
    </row>
    <row r="5954">
      <c r="A5954" s="1" t="s">
        <v>11900</v>
      </c>
      <c r="B5954" s="2">
        <v>2783.36</v>
      </c>
      <c r="C5954" s="2">
        <v>2783.36</v>
      </c>
      <c r="D5954" s="2">
        <v>8393.18</v>
      </c>
      <c r="E5954" s="2">
        <v>8393.18</v>
      </c>
      <c r="G5954" s="1" t="s">
        <v>11901</v>
      </c>
      <c r="H5954" s="2" t="s">
        <v>0</v>
      </c>
      <c r="I5954" s="2">
        <v>1857.08</v>
      </c>
    </row>
    <row r="5955">
      <c r="A5955" s="1" t="s">
        <v>11902</v>
      </c>
      <c r="B5955" s="2">
        <v>2799.55</v>
      </c>
      <c r="C5955" s="2">
        <v>2799.55</v>
      </c>
      <c r="D5955" s="2">
        <v>8532.36</v>
      </c>
      <c r="E5955" s="2">
        <v>8532.36</v>
      </c>
      <c r="G5955" s="1" t="s">
        <v>11903</v>
      </c>
      <c r="H5955" s="2">
        <v>1857.07</v>
      </c>
      <c r="I5955" s="2">
        <v>1857.07</v>
      </c>
    </row>
    <row r="5956">
      <c r="A5956" s="1" t="s">
        <v>11904</v>
      </c>
      <c r="B5956" s="2">
        <v>2874.56</v>
      </c>
      <c r="C5956" s="2">
        <v>2874.56</v>
      </c>
      <c r="D5956" s="2">
        <v>8650.14</v>
      </c>
      <c r="E5956" s="2">
        <v>8650.14</v>
      </c>
      <c r="G5956" s="1" t="s">
        <v>11905</v>
      </c>
      <c r="H5956" s="2">
        <v>1914.53</v>
      </c>
      <c r="I5956" s="2">
        <v>1914.53</v>
      </c>
    </row>
    <row r="5957">
      <c r="A5957" s="1" t="s">
        <v>11906</v>
      </c>
      <c r="B5957" s="2" t="s">
        <v>0</v>
      </c>
      <c r="C5957" s="2">
        <v>2874.56</v>
      </c>
      <c r="D5957" s="2" t="s">
        <v>0</v>
      </c>
      <c r="E5957" s="2">
        <v>8650.14</v>
      </c>
      <c r="G5957" s="1" t="s">
        <v>11907</v>
      </c>
      <c r="H5957" s="2" t="s">
        <v>0</v>
      </c>
      <c r="I5957" s="2">
        <v>1914.53</v>
      </c>
    </row>
    <row r="5958">
      <c r="A5958" s="1" t="s">
        <v>11908</v>
      </c>
      <c r="B5958" s="2" t="s">
        <v>0</v>
      </c>
      <c r="C5958" s="2">
        <v>2874.56</v>
      </c>
      <c r="D5958" s="2" t="s">
        <v>0</v>
      </c>
      <c r="E5958" s="2">
        <v>8650.14</v>
      </c>
      <c r="G5958" s="1" t="s">
        <v>11909</v>
      </c>
      <c r="H5958" s="2" t="s">
        <v>0</v>
      </c>
      <c r="I5958" s="2">
        <v>1914.53</v>
      </c>
    </row>
    <row r="5959">
      <c r="A5959" s="1" t="s">
        <v>11910</v>
      </c>
      <c r="B5959" s="2">
        <v>2823.16</v>
      </c>
      <c r="C5959" s="2">
        <v>2823.16</v>
      </c>
      <c r="D5959" s="2">
        <v>8560.73</v>
      </c>
      <c r="E5959" s="2">
        <v>8560.73</v>
      </c>
      <c r="G5959" s="1" t="s">
        <v>11911</v>
      </c>
      <c r="H5959" s="2">
        <v>1898.36</v>
      </c>
      <c r="I5959" s="2">
        <v>1898.36</v>
      </c>
    </row>
    <row r="5960">
      <c r="A5960" s="1" t="s">
        <v>11912</v>
      </c>
      <c r="B5960" s="2">
        <v>2736.56</v>
      </c>
      <c r="C5960" s="2">
        <v>2736.56</v>
      </c>
      <c r="D5960" s="2">
        <v>8263.23</v>
      </c>
      <c r="E5960" s="2">
        <v>8263.23</v>
      </c>
      <c r="G5960" s="1" t="s">
        <v>11913</v>
      </c>
      <c r="H5960" s="2">
        <v>1879.38</v>
      </c>
      <c r="I5960" s="2">
        <v>1879.38</v>
      </c>
    </row>
    <row r="5961">
      <c r="A5961" s="1" t="s">
        <v>11914</v>
      </c>
      <c r="B5961" s="2">
        <v>2799.31</v>
      </c>
      <c r="C5961" s="2">
        <v>2799.31</v>
      </c>
      <c r="D5961" s="2">
        <v>8495.38</v>
      </c>
      <c r="E5961" s="2">
        <v>8495.38</v>
      </c>
      <c r="G5961" s="1" t="s">
        <v>11915</v>
      </c>
      <c r="H5961" s="2">
        <v>1896.15</v>
      </c>
      <c r="I5961" s="2">
        <v>1896.15</v>
      </c>
    </row>
    <row r="5962">
      <c r="A5962" s="1" t="s">
        <v>11916</v>
      </c>
      <c r="B5962" s="2">
        <v>2797.8</v>
      </c>
      <c r="C5962" s="2">
        <v>2797.8</v>
      </c>
      <c r="D5962" s="2">
        <v>8494.75</v>
      </c>
      <c r="E5962" s="2">
        <v>8494.75</v>
      </c>
      <c r="G5962" s="1" t="s">
        <v>11917</v>
      </c>
      <c r="H5962" s="2">
        <v>1914.73</v>
      </c>
      <c r="I5962" s="2">
        <v>1914.73</v>
      </c>
    </row>
    <row r="5963">
      <c r="A5963" s="1" t="s">
        <v>11918</v>
      </c>
      <c r="B5963" s="2">
        <v>2836.74</v>
      </c>
      <c r="C5963" s="2">
        <v>2836.74</v>
      </c>
      <c r="D5963" s="2">
        <v>8634.52</v>
      </c>
      <c r="E5963" s="2">
        <v>8634.52</v>
      </c>
      <c r="G5963" s="1" t="s">
        <v>11919</v>
      </c>
      <c r="H5963" s="2">
        <v>1889.01</v>
      </c>
      <c r="I5963" s="2">
        <v>1889.01</v>
      </c>
    </row>
    <row r="5964">
      <c r="A5964" s="1" t="s">
        <v>11920</v>
      </c>
      <c r="B5964" s="2" t="s">
        <v>0</v>
      </c>
      <c r="C5964" s="2">
        <v>2836.74</v>
      </c>
      <c r="D5964" s="2" t="s">
        <v>0</v>
      </c>
      <c r="E5964" s="2">
        <v>8634.52</v>
      </c>
      <c r="G5964" s="1" t="s">
        <v>11921</v>
      </c>
      <c r="H5964" s="2" t="s">
        <v>0</v>
      </c>
      <c r="I5964" s="2">
        <v>1889.01</v>
      </c>
    </row>
    <row r="5965">
      <c r="A5965" s="1" t="s">
        <v>11922</v>
      </c>
      <c r="B5965" s="2" t="s">
        <v>0</v>
      </c>
      <c r="C5965" s="2">
        <v>2836.74</v>
      </c>
      <c r="D5965" s="2" t="s">
        <v>0</v>
      </c>
      <c r="E5965" s="2">
        <v>8634.52</v>
      </c>
      <c r="G5965" s="1" t="s">
        <v>11923</v>
      </c>
      <c r="H5965" s="2" t="s">
        <v>0</v>
      </c>
      <c r="I5965" s="2">
        <v>1889.01</v>
      </c>
    </row>
    <row r="5966">
      <c r="A5966" s="1" t="s">
        <v>11924</v>
      </c>
      <c r="B5966" s="2">
        <v>2878.48</v>
      </c>
      <c r="C5966" s="2">
        <v>2878.48</v>
      </c>
      <c r="D5966" s="2">
        <v>8730.16</v>
      </c>
      <c r="E5966" s="2">
        <v>8730.16</v>
      </c>
      <c r="G5966" s="1" t="s">
        <v>11925</v>
      </c>
      <c r="H5966" s="2">
        <v>1922.77</v>
      </c>
      <c r="I5966" s="2">
        <v>1922.77</v>
      </c>
    </row>
    <row r="5967">
      <c r="A5967" s="1" t="s">
        <v>11926</v>
      </c>
      <c r="B5967" s="2">
        <v>2863.39</v>
      </c>
      <c r="C5967" s="2">
        <v>2863.39</v>
      </c>
      <c r="D5967" s="2">
        <v>8607.73</v>
      </c>
      <c r="E5967" s="2">
        <v>8607.73</v>
      </c>
      <c r="G5967" s="1" t="s">
        <v>11927</v>
      </c>
      <c r="H5967" s="2">
        <v>1934.09</v>
      </c>
      <c r="I5967" s="2">
        <v>1934.09</v>
      </c>
    </row>
    <row r="5968">
      <c r="A5968" s="1" t="s">
        <v>11928</v>
      </c>
      <c r="B5968" s="2">
        <v>2939.51</v>
      </c>
      <c r="C5968" s="2">
        <v>2939.51</v>
      </c>
      <c r="D5968" s="2">
        <v>8914.71</v>
      </c>
      <c r="E5968" s="2">
        <v>8914.71</v>
      </c>
      <c r="G5968" s="1" t="s">
        <v>11929</v>
      </c>
      <c r="H5968" s="2">
        <v>1947.56</v>
      </c>
      <c r="I5968" s="2">
        <v>1947.56</v>
      </c>
    </row>
    <row r="5969">
      <c r="A5969" s="1" t="s">
        <v>11930</v>
      </c>
      <c r="B5969" s="2">
        <v>2912.43</v>
      </c>
      <c r="C5969" s="2">
        <v>2912.43</v>
      </c>
      <c r="D5969" s="2">
        <v>8889.55</v>
      </c>
      <c r="E5969" s="2">
        <v>8889.55</v>
      </c>
      <c r="G5969" s="1" t="s">
        <v>11931</v>
      </c>
      <c r="H5969" s="2" t="s">
        <v>0</v>
      </c>
      <c r="I5969" s="2">
        <v>1947.56</v>
      </c>
    </row>
    <row r="5970">
      <c r="A5970" s="1" t="s">
        <v>11932</v>
      </c>
      <c r="B5970" s="2">
        <v>2830.71</v>
      </c>
      <c r="C5970" s="2">
        <v>2830.71</v>
      </c>
      <c r="D5970" s="2">
        <v>8604.95</v>
      </c>
      <c r="E5970" s="2">
        <v>8604.95</v>
      </c>
      <c r="G5970" s="1" t="s">
        <v>11933</v>
      </c>
      <c r="H5970" s="2" t="s">
        <v>0</v>
      </c>
      <c r="I5970" s="2">
        <v>1947.56</v>
      </c>
    </row>
    <row r="5971">
      <c r="A5971" s="1" t="s">
        <v>11934</v>
      </c>
      <c r="B5971" s="2" t="s">
        <v>0</v>
      </c>
      <c r="C5971" s="2">
        <v>2830.71</v>
      </c>
      <c r="D5971" s="2" t="s">
        <v>0</v>
      </c>
      <c r="E5971" s="2">
        <v>8604.95</v>
      </c>
      <c r="G5971" s="1" t="s">
        <v>11935</v>
      </c>
      <c r="H5971" s="2" t="s">
        <v>0</v>
      </c>
      <c r="I5971" s="2">
        <v>1947.56</v>
      </c>
    </row>
    <row r="5972">
      <c r="A5972" s="1" t="s">
        <v>11936</v>
      </c>
      <c r="B5972" s="2" t="s">
        <v>0</v>
      </c>
      <c r="C5972" s="2">
        <v>2830.71</v>
      </c>
      <c r="D5972" s="2" t="s">
        <v>0</v>
      </c>
      <c r="E5972" s="2">
        <v>8604.95</v>
      </c>
      <c r="G5972" s="1" t="s">
        <v>11937</v>
      </c>
      <c r="H5972" s="2" t="s">
        <v>0</v>
      </c>
      <c r="I5972" s="2">
        <v>1947.56</v>
      </c>
    </row>
    <row r="5973">
      <c r="A5973" s="1" t="s">
        <v>11938</v>
      </c>
      <c r="B5973" s="2">
        <v>2842.74</v>
      </c>
      <c r="C5973" s="2">
        <v>2842.74</v>
      </c>
      <c r="D5973" s="2">
        <v>8710.72</v>
      </c>
      <c r="E5973" s="2">
        <v>8710.72</v>
      </c>
      <c r="G5973" s="1" t="s">
        <v>11939</v>
      </c>
      <c r="H5973" s="2">
        <v>1895.37</v>
      </c>
      <c r="I5973" s="2">
        <v>1895.37</v>
      </c>
    </row>
    <row r="5974">
      <c r="A5974" s="1" t="s">
        <v>11940</v>
      </c>
      <c r="B5974" s="2">
        <v>2868.44</v>
      </c>
      <c r="C5974" s="2">
        <v>2868.44</v>
      </c>
      <c r="D5974" s="2">
        <v>8809.12</v>
      </c>
      <c r="E5974" s="2">
        <v>8809.12</v>
      </c>
      <c r="G5974" s="1" t="s">
        <v>11941</v>
      </c>
      <c r="H5974" s="2" t="s">
        <v>0</v>
      </c>
      <c r="I5974" s="2">
        <v>1895.37</v>
      </c>
    </row>
    <row r="5975">
      <c r="A5975" s="1" t="s">
        <v>11942</v>
      </c>
      <c r="B5975" s="2">
        <v>2848.42</v>
      </c>
      <c r="C5975" s="2">
        <v>2848.42</v>
      </c>
      <c r="D5975" s="2">
        <v>8854.39</v>
      </c>
      <c r="E5975" s="2">
        <v>8854.39</v>
      </c>
      <c r="G5975" s="1" t="s">
        <v>11943</v>
      </c>
      <c r="H5975" s="2">
        <v>1928.76</v>
      </c>
      <c r="I5975" s="2">
        <v>1928.76</v>
      </c>
    </row>
    <row r="5976">
      <c r="A5976" s="1" t="s">
        <v>11944</v>
      </c>
      <c r="B5976" s="2">
        <v>2881.19</v>
      </c>
      <c r="C5976" s="2">
        <v>2881.19</v>
      </c>
      <c r="D5976" s="2">
        <v>8979.66</v>
      </c>
      <c r="E5976" s="2">
        <v>8979.66</v>
      </c>
      <c r="G5976" s="1" t="s">
        <v>11945</v>
      </c>
      <c r="H5976" s="2">
        <v>1928.61</v>
      </c>
      <c r="I5976" s="2">
        <v>1928.61</v>
      </c>
    </row>
    <row r="5977">
      <c r="A5977" s="1" t="s">
        <v>11946</v>
      </c>
      <c r="B5977" s="2">
        <v>2929.8</v>
      </c>
      <c r="C5977" s="2">
        <v>2929.8</v>
      </c>
      <c r="D5977" s="2">
        <v>9121.32</v>
      </c>
      <c r="E5977" s="2">
        <v>9121.32</v>
      </c>
      <c r="G5977" s="1" t="s">
        <v>11947</v>
      </c>
      <c r="H5977" s="2">
        <v>1945.82</v>
      </c>
      <c r="I5977" s="2">
        <v>1945.82</v>
      </c>
    </row>
    <row r="5978">
      <c r="A5978" s="1" t="s">
        <v>11948</v>
      </c>
      <c r="B5978" s="2" t="s">
        <v>0</v>
      </c>
      <c r="C5978" s="2">
        <v>2929.8</v>
      </c>
      <c r="D5978" s="2" t="s">
        <v>0</v>
      </c>
      <c r="E5978" s="2">
        <v>9121.32</v>
      </c>
      <c r="G5978" s="1" t="s">
        <v>11949</v>
      </c>
      <c r="H5978" s="2" t="s">
        <v>0</v>
      </c>
      <c r="I5978" s="2">
        <v>1945.82</v>
      </c>
    </row>
    <row r="5979">
      <c r="A5979" s="1" t="s">
        <v>11950</v>
      </c>
      <c r="B5979" s="2" t="s">
        <v>0</v>
      </c>
      <c r="C5979" s="2">
        <v>2929.8</v>
      </c>
      <c r="D5979" s="2" t="s">
        <v>0</v>
      </c>
      <c r="E5979" s="2">
        <v>9121.32</v>
      </c>
      <c r="G5979" s="1" t="s">
        <v>11951</v>
      </c>
      <c r="H5979" s="2" t="s">
        <v>0</v>
      </c>
      <c r="I5979" s="2">
        <v>1945.82</v>
      </c>
    </row>
    <row r="5980">
      <c r="A5980" s="1" t="s">
        <v>11952</v>
      </c>
      <c r="B5980" s="2">
        <v>2930.32</v>
      </c>
      <c r="C5980" s="2">
        <v>2930.32</v>
      </c>
      <c r="D5980" s="2">
        <v>9192.34</v>
      </c>
      <c r="E5980" s="2">
        <v>9192.34</v>
      </c>
      <c r="G5980" s="1" t="s">
        <v>11953</v>
      </c>
      <c r="H5980" s="2">
        <v>1935.4</v>
      </c>
      <c r="I5980" s="2">
        <v>1935.4</v>
      </c>
    </row>
    <row r="5981">
      <c r="A5981" s="1" t="s">
        <v>11954</v>
      </c>
      <c r="B5981" s="2">
        <v>2870.12</v>
      </c>
      <c r="C5981" s="2">
        <v>2870.12</v>
      </c>
      <c r="D5981" s="2">
        <v>9002.55</v>
      </c>
      <c r="E5981" s="2">
        <v>9002.55</v>
      </c>
      <c r="G5981" s="1" t="s">
        <v>11955</v>
      </c>
      <c r="H5981" s="2">
        <v>1922.17</v>
      </c>
      <c r="I5981" s="2">
        <v>1922.17</v>
      </c>
    </row>
    <row r="5982">
      <c r="A5982" s="1" t="s">
        <v>11956</v>
      </c>
      <c r="B5982" s="2">
        <v>2820.0</v>
      </c>
      <c r="C5982" s="2">
        <v>2820.0</v>
      </c>
      <c r="D5982" s="2">
        <v>8863.17</v>
      </c>
      <c r="E5982" s="2">
        <v>8863.17</v>
      </c>
      <c r="G5982" s="1" t="s">
        <v>11957</v>
      </c>
      <c r="H5982" s="2">
        <v>1940.42</v>
      </c>
      <c r="I5982" s="2">
        <v>1940.42</v>
      </c>
    </row>
    <row r="5983">
      <c r="A5983" s="1" t="s">
        <v>11958</v>
      </c>
      <c r="B5983" s="2">
        <v>2852.5</v>
      </c>
      <c r="C5983" s="2">
        <v>2852.5</v>
      </c>
      <c r="D5983" s="2">
        <v>8943.72</v>
      </c>
      <c r="E5983" s="2">
        <v>8943.72</v>
      </c>
      <c r="G5983" s="1" t="s">
        <v>11959</v>
      </c>
      <c r="H5983" s="2">
        <v>1924.96</v>
      </c>
      <c r="I5983" s="2">
        <v>1924.96</v>
      </c>
    </row>
    <row r="5984">
      <c r="A5984" s="1" t="s">
        <v>11960</v>
      </c>
      <c r="B5984" s="2">
        <v>2863.7</v>
      </c>
      <c r="C5984" s="2">
        <v>2863.7</v>
      </c>
      <c r="D5984" s="2">
        <v>9014.56</v>
      </c>
      <c r="E5984" s="2">
        <v>9014.56</v>
      </c>
      <c r="G5984" s="1" t="s">
        <v>11961</v>
      </c>
      <c r="H5984" s="2">
        <v>1927.28</v>
      </c>
      <c r="I5984" s="2">
        <v>1927.28</v>
      </c>
    </row>
    <row r="5985">
      <c r="A5985" s="1" t="s">
        <v>11962</v>
      </c>
      <c r="B5985" s="2" t="s">
        <v>0</v>
      </c>
      <c r="C5985" s="2">
        <v>2863.7</v>
      </c>
      <c r="D5985" s="2" t="s">
        <v>0</v>
      </c>
      <c r="E5985" s="2">
        <v>9014.56</v>
      </c>
      <c r="G5985" s="1" t="s">
        <v>11963</v>
      </c>
      <c r="H5985" s="2" t="s">
        <v>0</v>
      </c>
      <c r="I5985" s="2">
        <v>1927.28</v>
      </c>
    </row>
    <row r="5986">
      <c r="A5986" s="1" t="s">
        <v>11964</v>
      </c>
      <c r="B5986" s="2" t="s">
        <v>0</v>
      </c>
      <c r="C5986" s="2">
        <v>2863.7</v>
      </c>
      <c r="D5986" s="2" t="s">
        <v>0</v>
      </c>
      <c r="E5986" s="2">
        <v>9014.56</v>
      </c>
      <c r="G5986" s="1" t="s">
        <v>11965</v>
      </c>
      <c r="H5986" s="2" t="s">
        <v>0</v>
      </c>
      <c r="I5986" s="2">
        <v>1927.28</v>
      </c>
    </row>
    <row r="5987">
      <c r="A5987" s="1" t="s">
        <v>11966</v>
      </c>
      <c r="B5987" s="2">
        <v>2953.91</v>
      </c>
      <c r="C5987" s="2">
        <v>2953.91</v>
      </c>
      <c r="D5987" s="2">
        <v>9234.83</v>
      </c>
      <c r="E5987" s="2">
        <v>9234.83</v>
      </c>
      <c r="G5987" s="1" t="s">
        <v>11967</v>
      </c>
      <c r="H5987" s="2">
        <v>1937.11</v>
      </c>
      <c r="I5987" s="2">
        <v>1937.11</v>
      </c>
    </row>
    <row r="5988">
      <c r="A5988" s="1" t="s">
        <v>11968</v>
      </c>
      <c r="B5988" s="2">
        <v>2922.94</v>
      </c>
      <c r="C5988" s="2">
        <v>2922.94</v>
      </c>
      <c r="D5988" s="2">
        <v>9185.1</v>
      </c>
      <c r="E5988" s="2">
        <v>9185.1</v>
      </c>
      <c r="G5988" s="1" t="s">
        <v>11969</v>
      </c>
      <c r="H5988" s="2">
        <v>1980.61</v>
      </c>
      <c r="I5988" s="2">
        <v>1980.61</v>
      </c>
    </row>
    <row r="5989">
      <c r="A5989" s="1" t="s">
        <v>11970</v>
      </c>
      <c r="B5989" s="2">
        <v>2971.61</v>
      </c>
      <c r="C5989" s="2">
        <v>2971.61</v>
      </c>
      <c r="D5989" s="2">
        <v>9375.78</v>
      </c>
      <c r="E5989" s="2">
        <v>9375.78</v>
      </c>
      <c r="G5989" s="1" t="s">
        <v>11971</v>
      </c>
      <c r="H5989" s="2">
        <v>1989.64</v>
      </c>
      <c r="I5989" s="2">
        <v>1989.64</v>
      </c>
    </row>
    <row r="5990">
      <c r="A5990" s="1" t="s">
        <v>11972</v>
      </c>
      <c r="B5990" s="2">
        <v>2948.51</v>
      </c>
      <c r="C5990" s="2">
        <v>2948.51</v>
      </c>
      <c r="D5990" s="2">
        <v>9284.88</v>
      </c>
      <c r="E5990" s="2">
        <v>9284.88</v>
      </c>
      <c r="G5990" s="1" t="s">
        <v>11973</v>
      </c>
      <c r="H5990" s="2">
        <v>1998.31</v>
      </c>
      <c r="I5990" s="2">
        <v>1998.31</v>
      </c>
    </row>
    <row r="5991">
      <c r="A5991" s="1" t="s">
        <v>11974</v>
      </c>
      <c r="B5991" s="2">
        <v>2955.45</v>
      </c>
      <c r="C5991" s="2">
        <v>2955.45</v>
      </c>
      <c r="D5991" s="2">
        <v>9324.59</v>
      </c>
      <c r="E5991" s="2">
        <v>9324.59</v>
      </c>
      <c r="G5991" s="1" t="s">
        <v>11975</v>
      </c>
      <c r="H5991" s="2">
        <v>1970.13</v>
      </c>
      <c r="I5991" s="2">
        <v>1970.13</v>
      </c>
    </row>
    <row r="5992">
      <c r="A5992" s="1" t="s">
        <v>11976</v>
      </c>
      <c r="B5992" s="2" t="s">
        <v>0</v>
      </c>
      <c r="C5992" s="2">
        <v>2955.45</v>
      </c>
      <c r="D5992" s="2" t="s">
        <v>0</v>
      </c>
      <c r="E5992" s="2">
        <v>9324.59</v>
      </c>
      <c r="G5992" s="1" t="s">
        <v>11977</v>
      </c>
      <c r="H5992" s="2" t="s">
        <v>0</v>
      </c>
      <c r="I5992" s="2">
        <v>1970.13</v>
      </c>
    </row>
    <row r="5993">
      <c r="A5993" s="1" t="s">
        <v>11978</v>
      </c>
      <c r="B5993" s="2" t="s">
        <v>0</v>
      </c>
      <c r="C5993" s="2">
        <v>2955.45</v>
      </c>
      <c r="D5993" s="2" t="s">
        <v>0</v>
      </c>
      <c r="E5993" s="2">
        <v>9324.59</v>
      </c>
      <c r="G5993" s="1" t="s">
        <v>11979</v>
      </c>
      <c r="H5993" s="2" t="s">
        <v>0</v>
      </c>
      <c r="I5993" s="2">
        <v>1970.13</v>
      </c>
    </row>
    <row r="5994">
      <c r="A5994" s="1" t="s">
        <v>11980</v>
      </c>
      <c r="B5994" s="2" t="s">
        <v>0</v>
      </c>
      <c r="C5994" s="2">
        <v>2955.45</v>
      </c>
      <c r="D5994" s="2" t="s">
        <v>0</v>
      </c>
      <c r="E5994" s="2">
        <v>9324.59</v>
      </c>
      <c r="G5994" s="1" t="s">
        <v>11981</v>
      </c>
      <c r="H5994" s="2">
        <v>1994.6</v>
      </c>
      <c r="I5994" s="2">
        <v>1994.6</v>
      </c>
    </row>
    <row r="5995">
      <c r="A5995" s="1" t="s">
        <v>11982</v>
      </c>
      <c r="B5995" s="2">
        <v>2991.77</v>
      </c>
      <c r="C5995" s="2">
        <v>2991.77</v>
      </c>
      <c r="D5995" s="2">
        <v>9340.22</v>
      </c>
      <c r="E5995" s="2">
        <v>9340.22</v>
      </c>
      <c r="G5995" s="1" t="s">
        <v>11983</v>
      </c>
      <c r="H5995" s="2">
        <v>2029.78</v>
      </c>
      <c r="I5995" s="2">
        <v>2029.78</v>
      </c>
    </row>
    <row r="5996">
      <c r="A5996" s="1" t="s">
        <v>11984</v>
      </c>
      <c r="B5996" s="2">
        <v>3036.13</v>
      </c>
      <c r="C5996" s="2">
        <v>3036.13</v>
      </c>
      <c r="D5996" s="2">
        <v>9412.36</v>
      </c>
      <c r="E5996" s="2">
        <v>9412.36</v>
      </c>
      <c r="G5996" s="1" t="s">
        <v>11985</v>
      </c>
      <c r="H5996" s="2">
        <v>2031.2</v>
      </c>
      <c r="I5996" s="2">
        <v>2031.2</v>
      </c>
    </row>
    <row r="5997">
      <c r="A5997" s="1" t="s">
        <v>11986</v>
      </c>
      <c r="B5997" s="2">
        <v>3029.73</v>
      </c>
      <c r="C5997" s="2">
        <v>3029.73</v>
      </c>
      <c r="D5997" s="2">
        <v>9368.99</v>
      </c>
      <c r="E5997" s="2">
        <v>9368.99</v>
      </c>
      <c r="G5997" s="1" t="s">
        <v>11987</v>
      </c>
      <c r="H5997" s="2">
        <v>2028.54</v>
      </c>
      <c r="I5997" s="2">
        <v>2028.54</v>
      </c>
    </row>
    <row r="5998">
      <c r="A5998" s="1" t="s">
        <v>11988</v>
      </c>
      <c r="B5998" s="2">
        <v>3044.31</v>
      </c>
      <c r="C5998" s="2">
        <v>3044.31</v>
      </c>
      <c r="D5998" s="2">
        <v>9489.87</v>
      </c>
      <c r="E5998" s="2">
        <v>9489.87</v>
      </c>
      <c r="G5998" s="1" t="s">
        <v>11989</v>
      </c>
      <c r="H5998" s="2">
        <v>2029.6</v>
      </c>
      <c r="I5998" s="2">
        <v>2029.6</v>
      </c>
    </row>
    <row r="5999">
      <c r="A5999" s="1" t="s">
        <v>11990</v>
      </c>
      <c r="B5999" s="2" t="s">
        <v>0</v>
      </c>
      <c r="C5999" s="2">
        <v>3044.31</v>
      </c>
      <c r="D5999" s="2" t="s">
        <v>0</v>
      </c>
      <c r="E5999" s="2">
        <v>9489.87</v>
      </c>
      <c r="G5999" s="1" t="s">
        <v>11991</v>
      </c>
      <c r="H5999" s="2" t="s">
        <v>0</v>
      </c>
      <c r="I5999" s="2">
        <v>2029.6</v>
      </c>
    </row>
    <row r="6000">
      <c r="A6000" s="1" t="s">
        <v>11992</v>
      </c>
      <c r="B6000" s="2" t="s">
        <v>0</v>
      </c>
      <c r="C6000" s="2">
        <v>3044.31</v>
      </c>
      <c r="D6000" s="2" t="s">
        <v>0</v>
      </c>
      <c r="E6000" s="2">
        <v>9489.87</v>
      </c>
      <c r="G6000" s="1" t="s">
        <v>11993</v>
      </c>
      <c r="H6000" s="2" t="s">
        <v>0</v>
      </c>
      <c r="I6000" s="2">
        <v>2029.6</v>
      </c>
    </row>
    <row r="6001">
      <c r="A6001" s="1" t="s">
        <v>11994</v>
      </c>
      <c r="B6001" s="2">
        <v>3055.73</v>
      </c>
      <c r="C6001" s="2">
        <v>3055.73</v>
      </c>
      <c r="D6001" s="2">
        <v>9552.05</v>
      </c>
      <c r="E6001" s="2">
        <v>9552.05</v>
      </c>
      <c r="G6001" s="1" t="s">
        <v>11995</v>
      </c>
      <c r="H6001" s="2">
        <v>2065.08</v>
      </c>
      <c r="I6001" s="2">
        <v>2065.08</v>
      </c>
    </row>
    <row r="6002">
      <c r="A6002" s="1" t="s">
        <v>11996</v>
      </c>
      <c r="B6002" s="2">
        <v>3080.82</v>
      </c>
      <c r="C6002" s="2">
        <v>3080.82</v>
      </c>
      <c r="D6002" s="2">
        <v>9608.38</v>
      </c>
      <c r="E6002" s="2">
        <v>9608.38</v>
      </c>
      <c r="G6002" s="1" t="s">
        <v>11997</v>
      </c>
      <c r="H6002" s="2">
        <v>2087.19</v>
      </c>
      <c r="I6002" s="2">
        <v>2087.19</v>
      </c>
    </row>
    <row r="6003">
      <c r="A6003" s="1" t="s">
        <v>11998</v>
      </c>
      <c r="B6003" s="2">
        <v>3122.87</v>
      </c>
      <c r="C6003" s="2">
        <v>3122.87</v>
      </c>
      <c r="D6003" s="2">
        <v>9682.91</v>
      </c>
      <c r="E6003" s="2">
        <v>9682.91</v>
      </c>
      <c r="G6003" s="1" t="s">
        <v>11999</v>
      </c>
      <c r="H6003" s="2">
        <v>2147.0</v>
      </c>
      <c r="I6003" s="2">
        <v>2147.0</v>
      </c>
    </row>
    <row r="6004">
      <c r="A6004" s="1" t="s">
        <v>12000</v>
      </c>
      <c r="B6004" s="2">
        <v>3112.35</v>
      </c>
      <c r="C6004" s="2">
        <v>3112.35</v>
      </c>
      <c r="D6004" s="2">
        <v>9615.81</v>
      </c>
      <c r="E6004" s="2">
        <v>9615.81</v>
      </c>
      <c r="G6004" s="1" t="s">
        <v>12001</v>
      </c>
      <c r="H6004" s="2">
        <v>2151.18</v>
      </c>
      <c r="I6004" s="2">
        <v>2151.18</v>
      </c>
    </row>
    <row r="6005">
      <c r="A6005" s="1" t="s">
        <v>12002</v>
      </c>
      <c r="B6005" s="2">
        <v>3193.93</v>
      </c>
      <c r="C6005" s="2">
        <v>3193.93</v>
      </c>
      <c r="D6005" s="2">
        <v>9814.08</v>
      </c>
      <c r="E6005" s="2">
        <v>9814.08</v>
      </c>
      <c r="G6005" s="1" t="s">
        <v>12003</v>
      </c>
      <c r="H6005" s="2">
        <v>2181.87</v>
      </c>
      <c r="I6005" s="2">
        <v>2181.87</v>
      </c>
    </row>
    <row r="6006">
      <c r="A6006" s="1" t="s">
        <v>12004</v>
      </c>
      <c r="B6006" s="2" t="s">
        <v>0</v>
      </c>
      <c r="C6006" s="2">
        <v>3193.93</v>
      </c>
      <c r="D6006" s="2" t="s">
        <v>0</v>
      </c>
      <c r="E6006" s="2">
        <v>9814.08</v>
      </c>
      <c r="G6006" s="1" t="s">
        <v>12005</v>
      </c>
      <c r="H6006" s="2" t="s">
        <v>0</v>
      </c>
      <c r="I6006" s="2">
        <v>2181.87</v>
      </c>
    </row>
    <row r="6007">
      <c r="A6007" s="1" t="s">
        <v>12006</v>
      </c>
      <c r="B6007" s="2" t="s">
        <v>0</v>
      </c>
      <c r="C6007" s="2">
        <v>3193.93</v>
      </c>
      <c r="D6007" s="2" t="s">
        <v>0</v>
      </c>
      <c r="E6007" s="2">
        <v>9814.08</v>
      </c>
      <c r="G6007" s="1" t="s">
        <v>12007</v>
      </c>
      <c r="H6007" s="2" t="s">
        <v>0</v>
      </c>
      <c r="I6007" s="2">
        <v>2181.87</v>
      </c>
    </row>
    <row r="6008">
      <c r="A6008" s="1" t="s">
        <v>12008</v>
      </c>
      <c r="B6008" s="2">
        <v>3232.39</v>
      </c>
      <c r="C6008" s="2">
        <v>3232.39</v>
      </c>
      <c r="D6008" s="2">
        <v>9924.75</v>
      </c>
      <c r="E6008" s="2">
        <v>9924.75</v>
      </c>
      <c r="G6008" s="1" t="s">
        <v>12009</v>
      </c>
      <c r="H6008" s="2">
        <v>2184.29</v>
      </c>
      <c r="I6008" s="2">
        <v>2184.29</v>
      </c>
    </row>
    <row r="6009">
      <c r="A6009" s="1" t="s">
        <v>12010</v>
      </c>
      <c r="B6009" s="2">
        <v>3207.18</v>
      </c>
      <c r="C6009" s="2">
        <v>3207.18</v>
      </c>
      <c r="D6009" s="2">
        <v>9953.75</v>
      </c>
      <c r="E6009" s="2">
        <v>9953.75</v>
      </c>
      <c r="G6009" s="1" t="s">
        <v>12011</v>
      </c>
      <c r="H6009" s="2">
        <v>2188.92</v>
      </c>
      <c r="I6009" s="2">
        <v>2188.92</v>
      </c>
    </row>
    <row r="6010">
      <c r="A6010" s="1" t="s">
        <v>12012</v>
      </c>
      <c r="B6010" s="2">
        <v>3190.14</v>
      </c>
      <c r="C6010" s="2">
        <v>3190.14</v>
      </c>
      <c r="D6010" s="2">
        <v>10020.35</v>
      </c>
      <c r="E6010" s="2">
        <v>10020.35</v>
      </c>
      <c r="G6010" s="1" t="s">
        <v>12013</v>
      </c>
      <c r="H6010" s="2">
        <v>2195.69</v>
      </c>
      <c r="I6010" s="2">
        <v>2195.69</v>
      </c>
    </row>
    <row r="6011">
      <c r="A6011" s="1" t="s">
        <v>12014</v>
      </c>
      <c r="B6011" s="2">
        <v>3002.1</v>
      </c>
      <c r="C6011" s="2">
        <v>3002.1</v>
      </c>
      <c r="D6011" s="2">
        <v>9492.73</v>
      </c>
      <c r="E6011" s="2">
        <v>9492.73</v>
      </c>
      <c r="G6011" s="1" t="s">
        <v>12015</v>
      </c>
      <c r="H6011" s="2">
        <v>2176.78</v>
      </c>
      <c r="I6011" s="2">
        <v>2176.78</v>
      </c>
    </row>
    <row r="6012">
      <c r="A6012" s="1" t="s">
        <v>12016</v>
      </c>
      <c r="B6012" s="2">
        <v>3041.31</v>
      </c>
      <c r="C6012" s="2">
        <v>3041.31</v>
      </c>
      <c r="D6012" s="2">
        <v>9588.81</v>
      </c>
      <c r="E6012" s="2">
        <v>9588.81</v>
      </c>
      <c r="G6012" s="1" t="s">
        <v>12017</v>
      </c>
      <c r="H6012" s="2">
        <v>2132.3</v>
      </c>
      <c r="I6012" s="2">
        <v>2132.3</v>
      </c>
    </row>
    <row r="6013">
      <c r="A6013" s="1" t="s">
        <v>12018</v>
      </c>
      <c r="B6013" s="2" t="s">
        <v>0</v>
      </c>
      <c r="C6013" s="2">
        <v>3041.31</v>
      </c>
      <c r="D6013" s="2" t="s">
        <v>0</v>
      </c>
      <c r="E6013" s="2">
        <v>9588.81</v>
      </c>
      <c r="G6013" s="1" t="s">
        <v>12019</v>
      </c>
      <c r="H6013" s="2" t="s">
        <v>0</v>
      </c>
      <c r="I6013" s="2">
        <v>2132.3</v>
      </c>
    </row>
    <row r="6014">
      <c r="A6014" s="1" t="s">
        <v>12020</v>
      </c>
      <c r="B6014" s="2" t="s">
        <v>0</v>
      </c>
      <c r="C6014" s="2">
        <v>3041.31</v>
      </c>
      <c r="D6014" s="2" t="s">
        <v>0</v>
      </c>
      <c r="E6014" s="2">
        <v>9588.81</v>
      </c>
      <c r="G6014" s="1" t="s">
        <v>12021</v>
      </c>
      <c r="H6014" s="2" t="s">
        <v>0</v>
      </c>
      <c r="I6014" s="2">
        <v>2132.3</v>
      </c>
    </row>
    <row r="6015">
      <c r="A6015" s="1" t="s">
        <v>12022</v>
      </c>
      <c r="B6015" s="2">
        <v>3066.59</v>
      </c>
      <c r="C6015" s="2">
        <v>3066.59</v>
      </c>
      <c r="D6015" s="2">
        <v>9726.02</v>
      </c>
      <c r="E6015" s="2">
        <v>9726.02</v>
      </c>
      <c r="G6015" s="1" t="s">
        <v>12023</v>
      </c>
      <c r="H6015" s="2">
        <v>2030.82</v>
      </c>
      <c r="I6015" s="2">
        <v>2030.82</v>
      </c>
    </row>
    <row r="6016">
      <c r="A6016" s="1" t="s">
        <v>12024</v>
      </c>
      <c r="B6016" s="2">
        <v>3124.74</v>
      </c>
      <c r="C6016" s="2">
        <v>3124.74</v>
      </c>
      <c r="D6016" s="2">
        <v>9895.87</v>
      </c>
      <c r="E6016" s="2">
        <v>9895.87</v>
      </c>
      <c r="G6016" s="1" t="s">
        <v>12025</v>
      </c>
      <c r="H6016" s="2">
        <v>2138.05</v>
      </c>
      <c r="I6016" s="2">
        <v>2138.05</v>
      </c>
    </row>
    <row r="6017">
      <c r="A6017" s="1" t="s">
        <v>12026</v>
      </c>
      <c r="B6017" s="2">
        <v>3113.49</v>
      </c>
      <c r="C6017" s="2">
        <v>3113.49</v>
      </c>
      <c r="D6017" s="2">
        <v>9910.53</v>
      </c>
      <c r="E6017" s="2">
        <v>9910.53</v>
      </c>
      <c r="G6017" s="1" t="s">
        <v>12027</v>
      </c>
      <c r="H6017" s="2">
        <v>2141.05</v>
      </c>
      <c r="I6017" s="2">
        <v>2141.05</v>
      </c>
    </row>
    <row r="6018">
      <c r="A6018" s="1" t="s">
        <v>12028</v>
      </c>
      <c r="B6018" s="2">
        <v>3115.34</v>
      </c>
      <c r="C6018" s="2">
        <v>3115.34</v>
      </c>
      <c r="D6018" s="2">
        <v>9943.05</v>
      </c>
      <c r="E6018" s="2">
        <v>9943.05</v>
      </c>
      <c r="G6018" s="1" t="s">
        <v>12029</v>
      </c>
      <c r="H6018" s="2">
        <v>2133.48</v>
      </c>
      <c r="I6018" s="2">
        <v>2133.48</v>
      </c>
    </row>
    <row r="6019">
      <c r="A6019" s="1" t="s">
        <v>12030</v>
      </c>
      <c r="B6019" s="2">
        <v>3097.74</v>
      </c>
      <c r="C6019" s="2">
        <v>3097.74</v>
      </c>
      <c r="D6019" s="2">
        <v>9946.12</v>
      </c>
      <c r="E6019" s="2">
        <v>9946.12</v>
      </c>
      <c r="G6019" s="1" t="s">
        <v>12031</v>
      </c>
      <c r="H6019" s="2">
        <v>2141.32</v>
      </c>
      <c r="I6019" s="2">
        <v>2141.32</v>
      </c>
    </row>
    <row r="6020">
      <c r="A6020" s="1" t="s">
        <v>12032</v>
      </c>
      <c r="B6020" s="2" t="s">
        <v>0</v>
      </c>
      <c r="C6020" s="2">
        <v>3097.74</v>
      </c>
      <c r="D6020" s="2" t="s">
        <v>0</v>
      </c>
      <c r="E6020" s="2">
        <v>9946.12</v>
      </c>
      <c r="G6020" s="1" t="s">
        <v>12033</v>
      </c>
      <c r="H6020" s="2" t="s">
        <v>0</v>
      </c>
      <c r="I6020" s="2">
        <v>2141.32</v>
      </c>
    </row>
    <row r="6021">
      <c r="A6021" s="1" t="s">
        <v>12034</v>
      </c>
      <c r="B6021" s="2" t="s">
        <v>0</v>
      </c>
      <c r="C6021" s="2">
        <v>3097.74</v>
      </c>
      <c r="D6021" s="2" t="s">
        <v>0</v>
      </c>
      <c r="E6021" s="2">
        <v>9946.12</v>
      </c>
      <c r="G6021" s="1" t="s">
        <v>12035</v>
      </c>
      <c r="H6021" s="2" t="s">
        <v>0</v>
      </c>
      <c r="I6021" s="2">
        <v>2141.32</v>
      </c>
    </row>
    <row r="6022">
      <c r="A6022" s="1" t="s">
        <v>12036</v>
      </c>
      <c r="B6022" s="2">
        <v>3117.86</v>
      </c>
      <c r="C6022" s="2">
        <v>3117.86</v>
      </c>
      <c r="D6022" s="2">
        <v>10056.48</v>
      </c>
      <c r="E6022" s="2">
        <v>10056.48</v>
      </c>
      <c r="G6022" s="1" t="s">
        <v>12037</v>
      </c>
      <c r="H6022" s="2">
        <v>2126.73</v>
      </c>
      <c r="I6022" s="2">
        <v>2126.73</v>
      </c>
    </row>
    <row r="6023">
      <c r="A6023" s="1" t="s">
        <v>12038</v>
      </c>
      <c r="B6023" s="2">
        <v>3131.29</v>
      </c>
      <c r="C6023" s="2">
        <v>3131.29</v>
      </c>
      <c r="D6023" s="2">
        <v>10131.37</v>
      </c>
      <c r="E6023" s="2">
        <v>10131.37</v>
      </c>
      <c r="G6023" s="1" t="s">
        <v>12039</v>
      </c>
      <c r="H6023" s="2">
        <v>2131.24</v>
      </c>
      <c r="I6023" s="2">
        <v>2131.24</v>
      </c>
    </row>
    <row r="6024">
      <c r="A6024" s="1" t="s">
        <v>12040</v>
      </c>
      <c r="B6024" s="2">
        <v>3050.33</v>
      </c>
      <c r="C6024" s="2">
        <v>3050.33</v>
      </c>
      <c r="D6024" s="2">
        <v>9909.17</v>
      </c>
      <c r="E6024" s="2">
        <v>9909.17</v>
      </c>
      <c r="G6024" s="1" t="s">
        <v>12041</v>
      </c>
      <c r="H6024" s="2">
        <v>2161.51</v>
      </c>
      <c r="I6024" s="2">
        <v>2161.51</v>
      </c>
    </row>
    <row r="6025">
      <c r="A6025" s="1" t="s">
        <v>12042</v>
      </c>
      <c r="B6025" s="2">
        <v>3083.76</v>
      </c>
      <c r="C6025" s="2">
        <v>3083.76</v>
      </c>
      <c r="D6025" s="2">
        <v>10017.0</v>
      </c>
      <c r="E6025" s="2">
        <v>10017.0</v>
      </c>
      <c r="G6025" s="1" t="s">
        <v>12043</v>
      </c>
      <c r="H6025" s="2">
        <v>2112.37</v>
      </c>
      <c r="I6025" s="2">
        <v>2112.37</v>
      </c>
    </row>
    <row r="6026">
      <c r="A6026" s="1" t="s">
        <v>12044</v>
      </c>
      <c r="B6026" s="2">
        <v>3009.05</v>
      </c>
      <c r="C6026" s="2">
        <v>3009.05</v>
      </c>
      <c r="D6026" s="2">
        <v>9757.22</v>
      </c>
      <c r="E6026" s="2">
        <v>9757.22</v>
      </c>
      <c r="G6026" s="1" t="s">
        <v>12045</v>
      </c>
      <c r="H6026" s="2">
        <v>2134.65</v>
      </c>
      <c r="I6026" s="2">
        <v>2134.65</v>
      </c>
    </row>
    <row r="6027">
      <c r="A6027" s="1" t="s">
        <v>12046</v>
      </c>
      <c r="B6027" s="2" t="s">
        <v>0</v>
      </c>
      <c r="C6027" s="2">
        <v>3009.05</v>
      </c>
      <c r="D6027" s="2" t="s">
        <v>0</v>
      </c>
      <c r="E6027" s="2">
        <v>9757.22</v>
      </c>
      <c r="G6027" s="1" t="s">
        <v>12047</v>
      </c>
      <c r="H6027" s="2" t="s">
        <v>0</v>
      </c>
      <c r="I6027" s="2">
        <v>2134.65</v>
      </c>
    </row>
    <row r="6028">
      <c r="A6028" s="1" t="s">
        <v>12048</v>
      </c>
      <c r="B6028" s="2" t="s">
        <v>0</v>
      </c>
      <c r="C6028" s="2">
        <v>3009.05</v>
      </c>
      <c r="D6028" s="2" t="s">
        <v>0</v>
      </c>
      <c r="E6028" s="2">
        <v>9757.22</v>
      </c>
      <c r="G6028" s="1" t="s">
        <v>12049</v>
      </c>
      <c r="H6028" s="2" t="s">
        <v>0</v>
      </c>
      <c r="I6028" s="2">
        <v>2134.65</v>
      </c>
    </row>
    <row r="6029">
      <c r="A6029" s="1" t="s">
        <v>12050</v>
      </c>
      <c r="B6029" s="2">
        <v>3053.24</v>
      </c>
      <c r="C6029" s="2">
        <v>3053.24</v>
      </c>
      <c r="D6029" s="2">
        <v>9874.15</v>
      </c>
      <c r="E6029" s="2">
        <v>9874.15</v>
      </c>
      <c r="G6029" s="1" t="s">
        <v>12051</v>
      </c>
      <c r="H6029" s="2">
        <v>2093.48</v>
      </c>
      <c r="I6029" s="2">
        <v>2093.48</v>
      </c>
    </row>
    <row r="6030">
      <c r="A6030" s="1" t="s">
        <v>12052</v>
      </c>
      <c r="B6030" s="2">
        <v>3100.29</v>
      </c>
      <c r="C6030" s="2">
        <v>3100.29</v>
      </c>
      <c r="D6030" s="2">
        <v>10058.77</v>
      </c>
      <c r="E6030" s="2">
        <v>10058.77</v>
      </c>
      <c r="G6030" s="1" t="s">
        <v>12053</v>
      </c>
      <c r="H6030" s="2">
        <v>2108.33</v>
      </c>
      <c r="I6030" s="2">
        <v>2108.33</v>
      </c>
    </row>
    <row r="6031">
      <c r="A6031" s="1" t="s">
        <v>12054</v>
      </c>
      <c r="B6031" s="2">
        <v>3115.86</v>
      </c>
      <c r="C6031" s="2">
        <v>3115.86</v>
      </c>
      <c r="D6031" s="2">
        <v>10154.63</v>
      </c>
      <c r="E6031" s="2">
        <v>10154.63</v>
      </c>
      <c r="G6031" s="1" t="s">
        <v>12055</v>
      </c>
      <c r="H6031" s="2">
        <v>2106.7</v>
      </c>
      <c r="I6031" s="2">
        <v>2106.7</v>
      </c>
    </row>
    <row r="6032">
      <c r="A6032" s="1" t="s">
        <v>12056</v>
      </c>
      <c r="B6032" s="2">
        <v>3130.01</v>
      </c>
      <c r="C6032" s="2">
        <v>3130.01</v>
      </c>
      <c r="D6032" s="2">
        <v>10207.63</v>
      </c>
      <c r="E6032" s="2">
        <v>10207.63</v>
      </c>
      <c r="G6032" s="1" t="s">
        <v>12057</v>
      </c>
      <c r="H6032" s="2">
        <v>2135.37</v>
      </c>
      <c r="I6032" s="2">
        <v>2135.37</v>
      </c>
    </row>
    <row r="6033">
      <c r="A6033" s="1" t="s">
        <v>12058</v>
      </c>
      <c r="B6033" s="2" t="s">
        <v>0</v>
      </c>
      <c r="C6033" s="2">
        <v>3130.01</v>
      </c>
      <c r="D6033" s="2" t="s">
        <v>0</v>
      </c>
      <c r="E6033" s="2">
        <v>10207.63</v>
      </c>
      <c r="G6033" s="1" t="s">
        <v>12059</v>
      </c>
      <c r="H6033" s="2">
        <v>2152.41</v>
      </c>
      <c r="I6033" s="2">
        <v>2152.41</v>
      </c>
    </row>
    <row r="6034">
      <c r="A6034" s="1" t="s">
        <v>12060</v>
      </c>
      <c r="B6034" s="2" t="s">
        <v>0</v>
      </c>
      <c r="C6034" s="2">
        <v>3130.01</v>
      </c>
      <c r="D6034" s="2" t="s">
        <v>0</v>
      </c>
      <c r="E6034" s="2">
        <v>10207.63</v>
      </c>
      <c r="G6034" s="1" t="s">
        <v>12061</v>
      </c>
      <c r="H6034" s="2" t="s">
        <v>0</v>
      </c>
      <c r="I6034" s="2">
        <v>2152.41</v>
      </c>
    </row>
    <row r="6035">
      <c r="A6035" s="1" t="s">
        <v>12062</v>
      </c>
      <c r="B6035" s="2" t="s">
        <v>0</v>
      </c>
      <c r="C6035" s="2">
        <v>3130.01</v>
      </c>
      <c r="D6035" s="2" t="s">
        <v>0</v>
      </c>
      <c r="E6035" s="2">
        <v>10207.63</v>
      </c>
      <c r="G6035" s="1" t="s">
        <v>12063</v>
      </c>
      <c r="H6035" s="2" t="s">
        <v>0</v>
      </c>
      <c r="I6035" s="2">
        <v>2152.41</v>
      </c>
    </row>
    <row r="6036">
      <c r="A6036" s="1" t="s">
        <v>12064</v>
      </c>
      <c r="B6036" s="2">
        <v>3179.72</v>
      </c>
      <c r="C6036" s="2">
        <v>3179.72</v>
      </c>
      <c r="D6036" s="2">
        <v>10433.65</v>
      </c>
      <c r="E6036" s="2">
        <v>10433.65</v>
      </c>
      <c r="G6036" s="1" t="s">
        <v>12065</v>
      </c>
      <c r="H6036" s="2">
        <v>2187.93</v>
      </c>
      <c r="I6036" s="2">
        <v>2187.93</v>
      </c>
    </row>
    <row r="6037">
      <c r="A6037" s="1" t="s">
        <v>12066</v>
      </c>
      <c r="B6037" s="2">
        <v>3145.32</v>
      </c>
      <c r="C6037" s="2">
        <v>3145.32</v>
      </c>
      <c r="D6037" s="2">
        <v>10343.89</v>
      </c>
      <c r="E6037" s="2">
        <v>10343.89</v>
      </c>
      <c r="G6037" s="1" t="s">
        <v>12067</v>
      </c>
      <c r="H6037" s="2">
        <v>2164.17</v>
      </c>
      <c r="I6037" s="2">
        <v>2164.17</v>
      </c>
    </row>
    <row r="6038">
      <c r="A6038" s="1" t="s">
        <v>12068</v>
      </c>
      <c r="B6038" s="2">
        <v>3169.94</v>
      </c>
      <c r="C6038" s="2">
        <v>3169.94</v>
      </c>
      <c r="D6038" s="2">
        <v>10492.5</v>
      </c>
      <c r="E6038" s="2">
        <v>10492.5</v>
      </c>
      <c r="G6038" s="1" t="s">
        <v>12069</v>
      </c>
      <c r="H6038" s="2">
        <v>2158.88</v>
      </c>
      <c r="I6038" s="2">
        <v>2158.88</v>
      </c>
    </row>
    <row r="6039">
      <c r="A6039" s="1" t="s">
        <v>12070</v>
      </c>
      <c r="B6039" s="2">
        <v>3152.05</v>
      </c>
      <c r="C6039" s="2">
        <v>3152.05</v>
      </c>
      <c r="D6039" s="2">
        <v>10547.75</v>
      </c>
      <c r="E6039" s="2">
        <v>10547.75</v>
      </c>
      <c r="G6039" s="1" t="s">
        <v>12071</v>
      </c>
      <c r="H6039" s="2">
        <v>2167.9</v>
      </c>
      <c r="I6039" s="2">
        <v>2167.9</v>
      </c>
    </row>
    <row r="6040">
      <c r="A6040" s="1" t="s">
        <v>12072</v>
      </c>
      <c r="B6040" s="2">
        <v>3185.04</v>
      </c>
      <c r="C6040" s="2">
        <v>3185.04</v>
      </c>
      <c r="D6040" s="2">
        <v>10617.44</v>
      </c>
      <c r="E6040" s="2">
        <v>10617.44</v>
      </c>
      <c r="G6040" s="1" t="s">
        <v>12073</v>
      </c>
      <c r="H6040" s="2">
        <v>2150.25</v>
      </c>
      <c r="I6040" s="2">
        <v>2150.25</v>
      </c>
    </row>
    <row r="6041">
      <c r="A6041" s="1" t="s">
        <v>12074</v>
      </c>
      <c r="B6041" s="2" t="s">
        <v>0</v>
      </c>
      <c r="C6041" s="2">
        <v>3185.04</v>
      </c>
      <c r="D6041" s="2" t="s">
        <v>0</v>
      </c>
      <c r="E6041" s="2">
        <v>10617.44</v>
      </c>
      <c r="G6041" s="1" t="s">
        <v>12075</v>
      </c>
      <c r="H6041" s="2" t="s">
        <v>0</v>
      </c>
      <c r="I6041" s="2">
        <v>2150.25</v>
      </c>
    </row>
    <row r="6042">
      <c r="A6042" s="1" t="s">
        <v>12076</v>
      </c>
      <c r="B6042" s="2" t="s">
        <v>0</v>
      </c>
      <c r="C6042" s="2">
        <v>3185.04</v>
      </c>
      <c r="D6042" s="2" t="s">
        <v>0</v>
      </c>
      <c r="E6042" s="2">
        <v>10617.44</v>
      </c>
      <c r="G6042" s="1" t="s">
        <v>12077</v>
      </c>
      <c r="H6042" s="2" t="s">
        <v>0</v>
      </c>
      <c r="I6042" s="2">
        <v>2150.25</v>
      </c>
    </row>
    <row r="6043">
      <c r="A6043" s="1" t="s">
        <v>12078</v>
      </c>
      <c r="B6043" s="2">
        <v>3155.22</v>
      </c>
      <c r="C6043" s="2">
        <v>3155.22</v>
      </c>
      <c r="D6043" s="2">
        <v>10390.84</v>
      </c>
      <c r="E6043" s="2">
        <v>10390.84</v>
      </c>
      <c r="G6043" s="1" t="s">
        <v>12079</v>
      </c>
      <c r="H6043" s="2">
        <v>2186.06</v>
      </c>
      <c r="I6043" s="2">
        <v>2186.06</v>
      </c>
    </row>
    <row r="6044">
      <c r="A6044" s="1" t="s">
        <v>12080</v>
      </c>
      <c r="B6044" s="2">
        <v>3197.52</v>
      </c>
      <c r="C6044" s="2">
        <v>3197.52</v>
      </c>
      <c r="D6044" s="2">
        <v>10488.58</v>
      </c>
      <c r="E6044" s="2">
        <v>10488.58</v>
      </c>
      <c r="G6044" s="1" t="s">
        <v>12081</v>
      </c>
      <c r="H6044" s="2">
        <v>2183.61</v>
      </c>
      <c r="I6044" s="2">
        <v>2183.61</v>
      </c>
    </row>
    <row r="6045">
      <c r="A6045" s="1" t="s">
        <v>12082</v>
      </c>
      <c r="B6045" s="2">
        <v>3226.56</v>
      </c>
      <c r="C6045" s="2">
        <v>3226.56</v>
      </c>
      <c r="D6045" s="2">
        <v>10550.49</v>
      </c>
      <c r="E6045" s="2">
        <v>10550.49</v>
      </c>
      <c r="G6045" s="1" t="s">
        <v>12083</v>
      </c>
      <c r="H6045" s="2">
        <v>2201.88</v>
      </c>
      <c r="I6045" s="2">
        <v>2201.88</v>
      </c>
    </row>
    <row r="6046">
      <c r="A6046" s="1" t="s">
        <v>12084</v>
      </c>
      <c r="B6046" s="2">
        <v>3215.57</v>
      </c>
      <c r="C6046" s="2">
        <v>3215.57</v>
      </c>
      <c r="D6046" s="2">
        <v>10473.83</v>
      </c>
      <c r="E6046" s="2">
        <v>10473.83</v>
      </c>
      <c r="G6046" s="1" t="s">
        <v>12085</v>
      </c>
      <c r="H6046" s="2">
        <v>2183.76</v>
      </c>
      <c r="I6046" s="2">
        <v>2183.76</v>
      </c>
    </row>
    <row r="6047">
      <c r="A6047" s="1" t="s">
        <v>12086</v>
      </c>
      <c r="B6047" s="2">
        <v>3224.73</v>
      </c>
      <c r="C6047" s="2">
        <v>3224.73</v>
      </c>
      <c r="D6047" s="2">
        <v>10503.19</v>
      </c>
      <c r="E6047" s="2">
        <v>10503.19</v>
      </c>
      <c r="G6047" s="1" t="s">
        <v>12087</v>
      </c>
      <c r="H6047" s="2">
        <v>2201.19</v>
      </c>
      <c r="I6047" s="2">
        <v>2201.19</v>
      </c>
    </row>
    <row r="6048">
      <c r="A6048" s="1" t="s">
        <v>12088</v>
      </c>
      <c r="B6048" s="2" t="s">
        <v>0</v>
      </c>
      <c r="C6048" s="2">
        <v>3224.73</v>
      </c>
      <c r="D6048" s="2" t="s">
        <v>0</v>
      </c>
      <c r="E6048" s="2">
        <v>10503.19</v>
      </c>
      <c r="G6048" s="1" t="s">
        <v>12089</v>
      </c>
      <c r="H6048" s="2" t="s">
        <v>0</v>
      </c>
      <c r="I6048" s="2">
        <v>2201.19</v>
      </c>
    </row>
    <row r="6049">
      <c r="A6049" s="1" t="s">
        <v>12090</v>
      </c>
      <c r="B6049" s="2" t="s">
        <v>0</v>
      </c>
      <c r="C6049" s="2">
        <v>3224.73</v>
      </c>
      <c r="D6049" s="2" t="s">
        <v>0</v>
      </c>
      <c r="E6049" s="2">
        <v>10503.19</v>
      </c>
      <c r="G6049" s="1" t="s">
        <v>12091</v>
      </c>
      <c r="H6049" s="2" t="s">
        <v>0</v>
      </c>
      <c r="I6049" s="2">
        <v>2201.19</v>
      </c>
    </row>
    <row r="6050">
      <c r="A6050" s="1" t="s">
        <v>12092</v>
      </c>
      <c r="B6050" s="2">
        <v>3251.84</v>
      </c>
      <c r="C6050" s="2">
        <v>3251.84</v>
      </c>
      <c r="D6050" s="2">
        <v>10767.09</v>
      </c>
      <c r="E6050" s="2">
        <v>10767.09</v>
      </c>
      <c r="G6050" s="1" t="s">
        <v>12093</v>
      </c>
      <c r="H6050" s="2">
        <v>2198.2</v>
      </c>
      <c r="I6050" s="2">
        <v>2198.2</v>
      </c>
    </row>
    <row r="6051">
      <c r="A6051" s="1" t="s">
        <v>12094</v>
      </c>
      <c r="B6051" s="2">
        <v>3257.3</v>
      </c>
      <c r="C6051" s="2">
        <v>3257.3</v>
      </c>
      <c r="D6051" s="2">
        <v>10680.36</v>
      </c>
      <c r="E6051" s="2">
        <v>10680.36</v>
      </c>
      <c r="G6051" s="1" t="s">
        <v>12095</v>
      </c>
      <c r="H6051" s="2">
        <v>2228.83</v>
      </c>
      <c r="I6051" s="2">
        <v>2228.83</v>
      </c>
    </row>
    <row r="6052">
      <c r="A6052" s="1" t="s">
        <v>12096</v>
      </c>
      <c r="B6052" s="2">
        <v>3276.02</v>
      </c>
      <c r="C6052" s="2">
        <v>3276.02</v>
      </c>
      <c r="D6052" s="2">
        <v>10706.13</v>
      </c>
      <c r="E6052" s="2">
        <v>10706.13</v>
      </c>
      <c r="G6052" s="1" t="s">
        <v>12097</v>
      </c>
      <c r="H6052" s="2">
        <v>2228.66</v>
      </c>
      <c r="I6052" s="2">
        <v>2228.66</v>
      </c>
    </row>
    <row r="6053">
      <c r="A6053" s="1" t="s">
        <v>12098</v>
      </c>
      <c r="B6053" s="2">
        <v>3235.66</v>
      </c>
      <c r="C6053" s="2">
        <v>3235.66</v>
      </c>
      <c r="D6053" s="2">
        <v>10461.42</v>
      </c>
      <c r="E6053" s="2">
        <v>10461.42</v>
      </c>
      <c r="G6053" s="1" t="s">
        <v>12099</v>
      </c>
      <c r="H6053" s="2">
        <v>2216.19</v>
      </c>
      <c r="I6053" s="2">
        <v>2216.19</v>
      </c>
    </row>
    <row r="6054">
      <c r="A6054" s="1" t="s">
        <v>12100</v>
      </c>
      <c r="B6054" s="2">
        <v>3215.63</v>
      </c>
      <c r="C6054" s="2">
        <v>3215.63</v>
      </c>
      <c r="D6054" s="2">
        <v>10363.18</v>
      </c>
      <c r="E6054" s="2">
        <v>10363.18</v>
      </c>
      <c r="G6054" s="1" t="s">
        <v>12101</v>
      </c>
      <c r="H6054" s="2">
        <v>2200.44</v>
      </c>
      <c r="I6054" s="2">
        <v>2200.44</v>
      </c>
    </row>
    <row r="6055">
      <c r="A6055" s="1" t="s">
        <v>12102</v>
      </c>
      <c r="B6055" s="2" t="s">
        <v>0</v>
      </c>
      <c r="C6055" s="2">
        <v>3215.63</v>
      </c>
      <c r="D6055" s="2" t="s">
        <v>0</v>
      </c>
      <c r="E6055" s="2">
        <v>10363.18</v>
      </c>
      <c r="G6055" s="1" t="s">
        <v>12103</v>
      </c>
      <c r="H6055" s="2" t="s">
        <v>0</v>
      </c>
      <c r="I6055" s="2">
        <v>2200.44</v>
      </c>
    </row>
    <row r="6056">
      <c r="A6056" s="1" t="s">
        <v>12104</v>
      </c>
      <c r="B6056" s="2" t="s">
        <v>0</v>
      </c>
      <c r="C6056" s="2">
        <v>3215.63</v>
      </c>
      <c r="D6056" s="2" t="s">
        <v>0</v>
      </c>
      <c r="E6056" s="2">
        <v>10363.18</v>
      </c>
      <c r="G6056" s="1" t="s">
        <v>12105</v>
      </c>
      <c r="H6056" s="2" t="s">
        <v>0</v>
      </c>
      <c r="I6056" s="2">
        <v>2200.44</v>
      </c>
    </row>
    <row r="6057">
      <c r="A6057" s="1" t="s">
        <v>12106</v>
      </c>
      <c r="B6057" s="2">
        <v>3239.41</v>
      </c>
      <c r="C6057" s="2">
        <v>3239.41</v>
      </c>
      <c r="D6057" s="2">
        <v>10536.27</v>
      </c>
      <c r="E6057" s="2">
        <v>10536.27</v>
      </c>
      <c r="G6057" s="1" t="s">
        <v>12107</v>
      </c>
      <c r="H6057" s="2">
        <v>2217.86</v>
      </c>
      <c r="I6057" s="2">
        <v>2217.86</v>
      </c>
    </row>
    <row r="6058">
      <c r="A6058" s="1" t="s">
        <v>12108</v>
      </c>
      <c r="B6058" s="2">
        <v>3218.44</v>
      </c>
      <c r="C6058" s="2">
        <v>3218.44</v>
      </c>
      <c r="D6058" s="2">
        <v>10402.09</v>
      </c>
      <c r="E6058" s="2">
        <v>10402.09</v>
      </c>
      <c r="G6058" s="1" t="s">
        <v>12109</v>
      </c>
      <c r="H6058" s="2">
        <v>2256.99</v>
      </c>
      <c r="I6058" s="2">
        <v>2256.99</v>
      </c>
    </row>
    <row r="6059">
      <c r="A6059" s="1" t="s">
        <v>12110</v>
      </c>
      <c r="B6059" s="2">
        <v>3258.44</v>
      </c>
      <c r="C6059" s="2">
        <v>3258.44</v>
      </c>
      <c r="D6059" s="2">
        <v>10542.94</v>
      </c>
      <c r="E6059" s="2">
        <v>10542.94</v>
      </c>
      <c r="G6059" s="1" t="s">
        <v>12111</v>
      </c>
      <c r="H6059" s="2">
        <v>2263.16</v>
      </c>
      <c r="I6059" s="2">
        <v>2263.16</v>
      </c>
    </row>
    <row r="6060">
      <c r="A6060" s="1" t="s">
        <v>12112</v>
      </c>
      <c r="B6060" s="2">
        <v>3246.22</v>
      </c>
      <c r="C6060" s="2">
        <v>3246.22</v>
      </c>
      <c r="D6060" s="2">
        <v>10587.81</v>
      </c>
      <c r="E6060" s="2">
        <v>10587.81</v>
      </c>
      <c r="G6060" s="1" t="s">
        <v>12113</v>
      </c>
      <c r="H6060" s="2">
        <v>2267.01</v>
      </c>
      <c r="I6060" s="2">
        <v>2267.01</v>
      </c>
    </row>
    <row r="6061">
      <c r="A6061" s="1" t="s">
        <v>12114</v>
      </c>
      <c r="B6061" s="2">
        <v>3271.12</v>
      </c>
      <c r="C6061" s="2">
        <v>3271.12</v>
      </c>
      <c r="D6061" s="2">
        <v>10745.28</v>
      </c>
      <c r="E6061" s="2">
        <v>10745.28</v>
      </c>
      <c r="G6061" s="1" t="s">
        <v>12115</v>
      </c>
      <c r="H6061" s="2">
        <v>2249.37</v>
      </c>
      <c r="I6061" s="2">
        <v>2249.37</v>
      </c>
    </row>
    <row r="6062">
      <c r="A6062" s="1" t="s">
        <v>12116</v>
      </c>
      <c r="B6062" s="2" t="s">
        <v>0</v>
      </c>
      <c r="C6062" s="2">
        <v>3271.12</v>
      </c>
      <c r="D6062" s="2" t="s">
        <v>0</v>
      </c>
      <c r="E6062" s="2">
        <v>10745.28</v>
      </c>
      <c r="G6062" s="1" t="s">
        <v>12117</v>
      </c>
      <c r="H6062" s="2" t="s">
        <v>0</v>
      </c>
      <c r="I6062" s="2">
        <v>2249.37</v>
      </c>
    </row>
    <row r="6063">
      <c r="A6063" s="1" t="s">
        <v>12118</v>
      </c>
      <c r="B6063" s="2" t="s">
        <v>0</v>
      </c>
      <c r="C6063" s="2">
        <v>3271.12</v>
      </c>
      <c r="D6063" s="2" t="s">
        <v>0</v>
      </c>
      <c r="E6063" s="2">
        <v>10745.28</v>
      </c>
      <c r="G6063" s="1" t="s">
        <v>12119</v>
      </c>
      <c r="H6063" s="2" t="s">
        <v>0</v>
      </c>
      <c r="I6063" s="2">
        <v>2249.37</v>
      </c>
    </row>
    <row r="6064">
      <c r="A6064" s="1" t="s">
        <v>12120</v>
      </c>
      <c r="B6064" s="2">
        <v>3294.61</v>
      </c>
      <c r="C6064" s="2">
        <v>3294.61</v>
      </c>
      <c r="D6064" s="2">
        <v>10902.8</v>
      </c>
      <c r="E6064" s="2">
        <v>10902.8</v>
      </c>
      <c r="G6064" s="1" t="s">
        <v>12121</v>
      </c>
      <c r="H6064" s="2">
        <v>2251.04</v>
      </c>
      <c r="I6064" s="2">
        <v>2251.04</v>
      </c>
    </row>
    <row r="6065">
      <c r="A6065" s="1" t="s">
        <v>12122</v>
      </c>
      <c r="B6065" s="2">
        <v>3306.51</v>
      </c>
      <c r="C6065" s="2">
        <v>3306.51</v>
      </c>
      <c r="D6065" s="2">
        <v>10941.17</v>
      </c>
      <c r="E6065" s="2">
        <v>10941.17</v>
      </c>
      <c r="G6065" s="1" t="s">
        <v>12123</v>
      </c>
      <c r="H6065" s="2">
        <v>2279.97</v>
      </c>
      <c r="I6065" s="2">
        <v>2279.97</v>
      </c>
    </row>
    <row r="6066">
      <c r="A6066" s="1" t="s">
        <v>12124</v>
      </c>
      <c r="B6066" s="2">
        <v>3327.77</v>
      </c>
      <c r="C6066" s="2">
        <v>3327.77</v>
      </c>
      <c r="D6066" s="2">
        <v>10998.4</v>
      </c>
      <c r="E6066" s="2">
        <v>10998.4</v>
      </c>
      <c r="G6066" s="1" t="s">
        <v>12125</v>
      </c>
      <c r="H6066" s="2">
        <v>2311.86</v>
      </c>
      <c r="I6066" s="2">
        <v>2311.86</v>
      </c>
    </row>
    <row r="6067">
      <c r="A6067" s="1" t="s">
        <v>12126</v>
      </c>
      <c r="B6067" s="2">
        <v>3349.16</v>
      </c>
      <c r="C6067" s="2">
        <v>3349.16</v>
      </c>
      <c r="D6067" s="2">
        <v>11108.07</v>
      </c>
      <c r="E6067" s="2">
        <v>11108.07</v>
      </c>
      <c r="G6067" s="1" t="s">
        <v>12127</v>
      </c>
      <c r="H6067" s="2">
        <v>2342.61</v>
      </c>
      <c r="I6067" s="2">
        <v>2342.61</v>
      </c>
    </row>
    <row r="6068">
      <c r="A6068" s="1" t="s">
        <v>12128</v>
      </c>
      <c r="B6068" s="2">
        <v>3351.28</v>
      </c>
      <c r="C6068" s="2">
        <v>3351.28</v>
      </c>
      <c r="D6068" s="2">
        <v>11010.98</v>
      </c>
      <c r="E6068" s="2">
        <v>11010.98</v>
      </c>
      <c r="G6068" s="1" t="s">
        <v>12129</v>
      </c>
      <c r="H6068" s="2">
        <v>2351.67</v>
      </c>
      <c r="I6068" s="2">
        <v>2351.67</v>
      </c>
    </row>
    <row r="6069">
      <c r="A6069" s="1" t="s">
        <v>12130</v>
      </c>
      <c r="B6069" s="2" t="s">
        <v>0</v>
      </c>
      <c r="C6069" s="2">
        <v>3351.28</v>
      </c>
      <c r="D6069" s="2" t="s">
        <v>0</v>
      </c>
      <c r="E6069" s="2">
        <v>11010.98</v>
      </c>
      <c r="G6069" s="1" t="s">
        <v>12131</v>
      </c>
      <c r="H6069" s="2" t="s">
        <v>0</v>
      </c>
      <c r="I6069" s="2">
        <v>2351.67</v>
      </c>
    </row>
    <row r="6070">
      <c r="A6070" s="1" t="s">
        <v>12132</v>
      </c>
      <c r="B6070" s="2" t="s">
        <v>0</v>
      </c>
      <c r="C6070" s="2">
        <v>3351.28</v>
      </c>
      <c r="D6070" s="2" t="s">
        <v>0</v>
      </c>
      <c r="E6070" s="2">
        <v>11010.98</v>
      </c>
      <c r="G6070" s="1" t="s">
        <v>12133</v>
      </c>
      <c r="H6070" s="2" t="s">
        <v>0</v>
      </c>
      <c r="I6070" s="2">
        <v>2351.67</v>
      </c>
    </row>
    <row r="6071">
      <c r="A6071" s="1" t="s">
        <v>12134</v>
      </c>
      <c r="B6071" s="2">
        <v>3360.47</v>
      </c>
      <c r="C6071" s="2">
        <v>3360.47</v>
      </c>
      <c r="D6071" s="2">
        <v>10968.36</v>
      </c>
      <c r="E6071" s="2">
        <v>10968.36</v>
      </c>
      <c r="G6071" s="1" t="s">
        <v>12135</v>
      </c>
      <c r="H6071" s="2">
        <v>2386.38</v>
      </c>
      <c r="I6071" s="2">
        <v>2386.38</v>
      </c>
    </row>
    <row r="6072">
      <c r="A6072" s="1" t="s">
        <v>12136</v>
      </c>
      <c r="B6072" s="2">
        <v>3333.69</v>
      </c>
      <c r="C6072" s="2">
        <v>3333.69</v>
      </c>
      <c r="D6072" s="2">
        <v>10782.82</v>
      </c>
      <c r="E6072" s="2">
        <v>10782.82</v>
      </c>
      <c r="G6072" s="1" t="s">
        <v>12137</v>
      </c>
      <c r="H6072" s="2">
        <v>2418.67</v>
      </c>
      <c r="I6072" s="2">
        <v>2418.67</v>
      </c>
    </row>
    <row r="6073">
      <c r="A6073" s="1" t="s">
        <v>12138</v>
      </c>
      <c r="B6073" s="2">
        <v>3380.35</v>
      </c>
      <c r="C6073" s="2">
        <v>3380.35</v>
      </c>
      <c r="D6073" s="2">
        <v>11012.24</v>
      </c>
      <c r="E6073" s="2">
        <v>11012.24</v>
      </c>
      <c r="G6073" s="1" t="s">
        <v>12139</v>
      </c>
      <c r="H6073" s="2">
        <v>2432.35</v>
      </c>
      <c r="I6073" s="2">
        <v>2432.35</v>
      </c>
    </row>
    <row r="6074">
      <c r="A6074" s="1" t="s">
        <v>12140</v>
      </c>
      <c r="B6074" s="2">
        <v>3373.43</v>
      </c>
      <c r="C6074" s="2">
        <v>3373.43</v>
      </c>
      <c r="D6074" s="2">
        <v>11042.5</v>
      </c>
      <c r="E6074" s="2">
        <v>11042.5</v>
      </c>
      <c r="G6074" s="1" t="s">
        <v>12141</v>
      </c>
      <c r="H6074" s="2">
        <v>2437.53</v>
      </c>
      <c r="I6074" s="2">
        <v>2437.53</v>
      </c>
    </row>
    <row r="6075">
      <c r="A6075" s="1" t="s">
        <v>12142</v>
      </c>
      <c r="B6075" s="2">
        <v>3372.85</v>
      </c>
      <c r="C6075" s="2">
        <v>3372.85</v>
      </c>
      <c r="D6075" s="2">
        <v>11019.3</v>
      </c>
      <c r="E6075" s="2">
        <v>11019.3</v>
      </c>
      <c r="G6075" s="1" t="s">
        <v>12143</v>
      </c>
      <c r="H6075" s="2">
        <v>2407.49</v>
      </c>
      <c r="I6075" s="2">
        <v>2407.49</v>
      </c>
    </row>
    <row r="6076">
      <c r="A6076" s="1" t="s">
        <v>12144</v>
      </c>
      <c r="B6076" s="2" t="s">
        <v>0</v>
      </c>
      <c r="C6076" s="2">
        <v>3372.85</v>
      </c>
      <c r="D6076" s="2" t="s">
        <v>0</v>
      </c>
      <c r="E6076" s="2">
        <v>11019.3</v>
      </c>
      <c r="G6076" s="1" t="s">
        <v>12145</v>
      </c>
      <c r="H6076" s="2" t="s">
        <v>0</v>
      </c>
      <c r="I6076" s="2">
        <v>2407.49</v>
      </c>
    </row>
    <row r="6077">
      <c r="A6077" s="1" t="s">
        <v>12146</v>
      </c>
      <c r="B6077" s="2" t="s">
        <v>0</v>
      </c>
      <c r="C6077" s="2">
        <v>3372.85</v>
      </c>
      <c r="D6077" s="2" t="s">
        <v>0</v>
      </c>
      <c r="E6077" s="2">
        <v>11019.3</v>
      </c>
      <c r="G6077" s="1" t="s">
        <v>12147</v>
      </c>
      <c r="H6077" s="2" t="s">
        <v>0</v>
      </c>
      <c r="I6077" s="2">
        <v>2407.49</v>
      </c>
    </row>
    <row r="6078">
      <c r="A6078" s="1" t="s">
        <v>12148</v>
      </c>
      <c r="B6078" s="2">
        <v>3381.99</v>
      </c>
      <c r="C6078" s="2">
        <v>3381.99</v>
      </c>
      <c r="D6078" s="2">
        <v>11129.73</v>
      </c>
      <c r="E6078" s="2">
        <v>11129.73</v>
      </c>
      <c r="G6078" s="1" t="s">
        <v>12149</v>
      </c>
      <c r="H6078" s="2" t="s">
        <v>0</v>
      </c>
      <c r="I6078" s="2">
        <v>2407.49</v>
      </c>
    </row>
    <row r="6079">
      <c r="A6079" s="1" t="s">
        <v>12150</v>
      </c>
      <c r="B6079" s="2">
        <v>3389.78</v>
      </c>
      <c r="C6079" s="2">
        <v>3389.78</v>
      </c>
      <c r="D6079" s="2">
        <v>11210.84</v>
      </c>
      <c r="E6079" s="2">
        <v>11210.84</v>
      </c>
      <c r="G6079" s="1" t="s">
        <v>12151</v>
      </c>
      <c r="H6079" s="2">
        <v>2348.24</v>
      </c>
      <c r="I6079" s="2">
        <v>2348.24</v>
      </c>
    </row>
    <row r="6080">
      <c r="A6080" s="1" t="s">
        <v>12152</v>
      </c>
      <c r="B6080" s="2">
        <v>3374.85</v>
      </c>
      <c r="C6080" s="2">
        <v>3374.85</v>
      </c>
      <c r="D6080" s="2">
        <v>11146.46</v>
      </c>
      <c r="E6080" s="2">
        <v>11146.46</v>
      </c>
      <c r="G6080" s="1" t="s">
        <v>12153</v>
      </c>
      <c r="H6080" s="2">
        <v>2360.54</v>
      </c>
      <c r="I6080" s="2">
        <v>2360.54</v>
      </c>
    </row>
    <row r="6081">
      <c r="A6081" s="1" t="s">
        <v>12154</v>
      </c>
      <c r="B6081" s="2">
        <v>3385.51</v>
      </c>
      <c r="C6081" s="2">
        <v>3385.51</v>
      </c>
      <c r="D6081" s="2">
        <v>11264.95</v>
      </c>
      <c r="E6081" s="2">
        <v>11264.95</v>
      </c>
      <c r="G6081" s="1" t="s">
        <v>12155</v>
      </c>
      <c r="H6081" s="2">
        <v>2274.22</v>
      </c>
      <c r="I6081" s="2">
        <v>2274.22</v>
      </c>
    </row>
    <row r="6082">
      <c r="A6082" s="1" t="s">
        <v>12156</v>
      </c>
      <c r="B6082" s="2">
        <v>3397.16</v>
      </c>
      <c r="C6082" s="2">
        <v>3397.16</v>
      </c>
      <c r="D6082" s="2">
        <v>11311.8</v>
      </c>
      <c r="E6082" s="2">
        <v>11311.8</v>
      </c>
      <c r="G6082" s="1" t="s">
        <v>12157</v>
      </c>
      <c r="H6082" s="2">
        <v>2304.59</v>
      </c>
      <c r="I6082" s="2">
        <v>2304.59</v>
      </c>
    </row>
    <row r="6083">
      <c r="A6083" s="1" t="s">
        <v>12158</v>
      </c>
      <c r="B6083" s="2" t="s">
        <v>0</v>
      </c>
      <c r="C6083" s="2">
        <v>3397.16</v>
      </c>
      <c r="D6083" s="2" t="s">
        <v>0</v>
      </c>
      <c r="E6083" s="2">
        <v>11311.8</v>
      </c>
      <c r="G6083" s="1" t="s">
        <v>12159</v>
      </c>
      <c r="H6083" s="2" t="s">
        <v>0</v>
      </c>
      <c r="I6083" s="2">
        <v>2304.59</v>
      </c>
    </row>
    <row r="6084">
      <c r="A6084" s="1" t="s">
        <v>12160</v>
      </c>
      <c r="B6084" s="2" t="s">
        <v>0</v>
      </c>
      <c r="C6084" s="2">
        <v>3397.16</v>
      </c>
      <c r="D6084" s="2" t="s">
        <v>0</v>
      </c>
      <c r="E6084" s="2">
        <v>11311.8</v>
      </c>
      <c r="G6084" s="1" t="s">
        <v>12161</v>
      </c>
      <c r="H6084" s="2" t="s">
        <v>0</v>
      </c>
      <c r="I6084" s="2">
        <v>2304.59</v>
      </c>
    </row>
    <row r="6085">
      <c r="A6085" s="1" t="s">
        <v>12162</v>
      </c>
      <c r="B6085" s="2">
        <v>3431.28</v>
      </c>
      <c r="C6085" s="2">
        <v>3431.28</v>
      </c>
      <c r="D6085" s="2">
        <v>11379.72</v>
      </c>
      <c r="E6085" s="2">
        <v>11379.72</v>
      </c>
      <c r="G6085" s="1" t="s">
        <v>12163</v>
      </c>
      <c r="H6085" s="2">
        <v>2329.83</v>
      </c>
      <c r="I6085" s="2">
        <v>2329.83</v>
      </c>
    </row>
    <row r="6086">
      <c r="A6086" s="1" t="s">
        <v>12164</v>
      </c>
      <c r="B6086" s="2">
        <v>3443.62</v>
      </c>
      <c r="C6086" s="2">
        <v>3443.62</v>
      </c>
      <c r="D6086" s="2">
        <v>11466.47</v>
      </c>
      <c r="E6086" s="2">
        <v>11466.47</v>
      </c>
      <c r="G6086" s="1" t="s">
        <v>12165</v>
      </c>
      <c r="H6086" s="2">
        <v>2366.73</v>
      </c>
      <c r="I6086" s="2">
        <v>2366.73</v>
      </c>
    </row>
    <row r="6087">
      <c r="A6087" s="1" t="s">
        <v>12166</v>
      </c>
      <c r="B6087" s="2">
        <v>3478.73</v>
      </c>
      <c r="C6087" s="2">
        <v>3478.73</v>
      </c>
      <c r="D6087" s="2">
        <v>11665.06</v>
      </c>
      <c r="E6087" s="2">
        <v>11665.06</v>
      </c>
      <c r="G6087" s="1" t="s">
        <v>12167</v>
      </c>
      <c r="H6087" s="2">
        <v>2369.32</v>
      </c>
      <c r="I6087" s="2">
        <v>2369.32</v>
      </c>
    </row>
    <row r="6088">
      <c r="A6088" s="1" t="s">
        <v>12168</v>
      </c>
      <c r="B6088" s="2">
        <v>3484.55</v>
      </c>
      <c r="C6088" s="2">
        <v>3484.55</v>
      </c>
      <c r="D6088" s="2">
        <v>11625.34</v>
      </c>
      <c r="E6088" s="2">
        <v>11625.34</v>
      </c>
      <c r="G6088" s="1" t="s">
        <v>12169</v>
      </c>
      <c r="H6088" s="2">
        <v>2344.45</v>
      </c>
      <c r="I6088" s="2">
        <v>2344.45</v>
      </c>
    </row>
    <row r="6089">
      <c r="A6089" s="1" t="s">
        <v>12170</v>
      </c>
      <c r="B6089" s="2">
        <v>3508.01</v>
      </c>
      <c r="C6089" s="2">
        <v>3508.01</v>
      </c>
      <c r="D6089" s="2">
        <v>11695.63</v>
      </c>
      <c r="E6089" s="2">
        <v>11695.63</v>
      </c>
      <c r="G6089" s="1" t="s">
        <v>12171</v>
      </c>
      <c r="H6089" s="2">
        <v>2353.8</v>
      </c>
      <c r="I6089" s="2">
        <v>2353.8</v>
      </c>
    </row>
    <row r="6090">
      <c r="A6090" s="1" t="s">
        <v>12172</v>
      </c>
      <c r="B6090" s="2" t="s">
        <v>0</v>
      </c>
      <c r="C6090" s="2">
        <v>3508.01</v>
      </c>
      <c r="D6090" s="2" t="s">
        <v>0</v>
      </c>
      <c r="E6090" s="2">
        <v>11695.63</v>
      </c>
      <c r="G6090" s="1" t="s">
        <v>12173</v>
      </c>
      <c r="H6090" s="2" t="s">
        <v>0</v>
      </c>
      <c r="I6090" s="2">
        <v>2353.8</v>
      </c>
    </row>
    <row r="6091">
      <c r="A6091" s="1" t="s">
        <v>12174</v>
      </c>
      <c r="B6091" s="2" t="s">
        <v>0</v>
      </c>
      <c r="C6091" s="2">
        <v>3508.01</v>
      </c>
      <c r="D6091" s="2" t="s">
        <v>0</v>
      </c>
      <c r="E6091" s="2">
        <v>11695.63</v>
      </c>
      <c r="G6091" s="1" t="s">
        <v>12175</v>
      </c>
      <c r="H6091" s="2" t="s">
        <v>0</v>
      </c>
      <c r="I6091" s="2">
        <v>2353.8</v>
      </c>
    </row>
    <row r="6092">
      <c r="A6092" s="1" t="s">
        <v>12176</v>
      </c>
      <c r="B6092" s="2">
        <v>3500.31</v>
      </c>
      <c r="C6092" s="2">
        <v>3500.31</v>
      </c>
      <c r="D6092" s="2">
        <v>11775.46</v>
      </c>
      <c r="E6092" s="2">
        <v>11775.46</v>
      </c>
      <c r="G6092" s="1" t="s">
        <v>12177</v>
      </c>
      <c r="H6092" s="2">
        <v>2326.17</v>
      </c>
      <c r="I6092" s="2">
        <v>2326.17</v>
      </c>
    </row>
    <row r="6093">
      <c r="A6093" s="1" t="s">
        <v>12178</v>
      </c>
      <c r="B6093" s="2">
        <v>3526.65</v>
      </c>
      <c r="C6093" s="2">
        <v>3526.65</v>
      </c>
      <c r="D6093" s="2">
        <v>11939.67</v>
      </c>
      <c r="E6093" s="2">
        <v>11939.67</v>
      </c>
      <c r="G6093" s="1" t="s">
        <v>12179</v>
      </c>
      <c r="H6093" s="2">
        <v>2349.55</v>
      </c>
      <c r="I6093" s="2">
        <v>2349.55</v>
      </c>
    </row>
    <row r="6094">
      <c r="A6094" s="1" t="s">
        <v>12180</v>
      </c>
      <c r="B6094" s="2">
        <v>3580.84</v>
      </c>
      <c r="C6094" s="2">
        <v>3580.84</v>
      </c>
      <c r="D6094" s="2">
        <v>12056.44</v>
      </c>
      <c r="E6094" s="2">
        <v>12056.44</v>
      </c>
      <c r="G6094" s="1" t="s">
        <v>12181</v>
      </c>
      <c r="H6094" s="2">
        <v>2364.37</v>
      </c>
      <c r="I6094" s="2">
        <v>2364.37</v>
      </c>
    </row>
    <row r="6095">
      <c r="A6095" s="1" t="s">
        <v>12182</v>
      </c>
      <c r="B6095" s="2">
        <v>3455.06</v>
      </c>
      <c r="C6095" s="2">
        <v>3455.06</v>
      </c>
      <c r="D6095" s="2">
        <v>11458.1</v>
      </c>
      <c r="E6095" s="2">
        <v>11458.1</v>
      </c>
      <c r="G6095" s="1" t="s">
        <v>12183</v>
      </c>
      <c r="H6095" s="2">
        <v>2395.9</v>
      </c>
      <c r="I6095" s="2">
        <v>2395.9</v>
      </c>
    </row>
    <row r="6096">
      <c r="A6096" s="1" t="s">
        <v>12184</v>
      </c>
      <c r="B6096" s="2">
        <v>3426.96</v>
      </c>
      <c r="C6096" s="2">
        <v>3426.96</v>
      </c>
      <c r="D6096" s="2">
        <v>11313.13</v>
      </c>
      <c r="E6096" s="2">
        <v>11313.13</v>
      </c>
      <c r="G6096" s="1" t="s">
        <v>12185</v>
      </c>
      <c r="H6096" s="2">
        <v>2368.25</v>
      </c>
      <c r="I6096" s="2">
        <v>2368.25</v>
      </c>
    </row>
    <row r="6097">
      <c r="A6097" s="1" t="s">
        <v>12186</v>
      </c>
      <c r="B6097" s="2" t="s">
        <v>0</v>
      </c>
      <c r="C6097" s="2">
        <v>3426.96</v>
      </c>
      <c r="D6097" s="2" t="s">
        <v>0</v>
      </c>
      <c r="E6097" s="2">
        <v>11313.13</v>
      </c>
      <c r="G6097" s="1" t="s">
        <v>12187</v>
      </c>
      <c r="H6097" s="2" t="s">
        <v>0</v>
      </c>
      <c r="I6097" s="2">
        <v>2368.25</v>
      </c>
    </row>
    <row r="6098">
      <c r="A6098" s="1" t="s">
        <v>12188</v>
      </c>
      <c r="B6098" s="2" t="s">
        <v>0</v>
      </c>
      <c r="C6098" s="2">
        <v>3426.96</v>
      </c>
      <c r="D6098" s="2" t="s">
        <v>0</v>
      </c>
      <c r="E6098" s="2">
        <v>11313.13</v>
      </c>
      <c r="G6098" s="1" t="s">
        <v>12189</v>
      </c>
      <c r="H6098" s="2" t="s">
        <v>0</v>
      </c>
      <c r="I6098" s="2">
        <v>2368.25</v>
      </c>
    </row>
    <row r="6099">
      <c r="A6099" s="1" t="s">
        <v>12190</v>
      </c>
      <c r="B6099" s="2" t="s">
        <v>0</v>
      </c>
      <c r="C6099" s="2">
        <v>3426.96</v>
      </c>
      <c r="D6099" s="2" t="s">
        <v>0</v>
      </c>
      <c r="E6099" s="2">
        <v>11313.13</v>
      </c>
      <c r="G6099" s="1" t="s">
        <v>12191</v>
      </c>
      <c r="H6099" s="2">
        <v>2384.22</v>
      </c>
      <c r="I6099" s="2">
        <v>2384.22</v>
      </c>
    </row>
    <row r="6100">
      <c r="A6100" s="1" t="s">
        <v>12192</v>
      </c>
      <c r="B6100" s="2">
        <v>3331.84</v>
      </c>
      <c r="C6100" s="2">
        <v>3331.84</v>
      </c>
      <c r="D6100" s="2">
        <v>10847.69</v>
      </c>
      <c r="E6100" s="2">
        <v>10847.69</v>
      </c>
      <c r="G6100" s="1" t="s">
        <v>12193</v>
      </c>
      <c r="H6100" s="2" t="s">
        <v>0</v>
      </c>
      <c r="I6100" s="2">
        <v>2384.22</v>
      </c>
    </row>
    <row r="6101">
      <c r="A6101" s="1" t="s">
        <v>12194</v>
      </c>
      <c r="B6101" s="2">
        <v>3398.96</v>
      </c>
      <c r="C6101" s="2">
        <v>3398.96</v>
      </c>
      <c r="D6101" s="2">
        <v>11141.56</v>
      </c>
      <c r="E6101" s="2">
        <v>11141.56</v>
      </c>
      <c r="G6101" s="1" t="s">
        <v>12195</v>
      </c>
      <c r="H6101" s="2">
        <v>2375.81</v>
      </c>
      <c r="I6101" s="2">
        <v>2375.81</v>
      </c>
    </row>
    <row r="6102">
      <c r="A6102" s="1" t="s">
        <v>12196</v>
      </c>
      <c r="B6102" s="2">
        <v>3339.19</v>
      </c>
      <c r="C6102" s="2">
        <v>3339.19</v>
      </c>
      <c r="D6102" s="2">
        <v>10919.59</v>
      </c>
      <c r="E6102" s="2">
        <v>10919.59</v>
      </c>
      <c r="G6102" s="1" t="s">
        <v>12197</v>
      </c>
      <c r="H6102" s="2">
        <v>2396.48</v>
      </c>
      <c r="I6102" s="2">
        <v>2396.48</v>
      </c>
    </row>
    <row r="6103">
      <c r="A6103" s="1" t="s">
        <v>12198</v>
      </c>
      <c r="B6103" s="2">
        <v>3340.97</v>
      </c>
      <c r="C6103" s="2">
        <v>3340.97</v>
      </c>
      <c r="D6103" s="2">
        <v>10853.55</v>
      </c>
      <c r="E6103" s="2">
        <v>10853.55</v>
      </c>
      <c r="G6103" s="1" t="s">
        <v>12199</v>
      </c>
      <c r="H6103" s="2">
        <v>2396.69</v>
      </c>
      <c r="I6103" s="2">
        <v>2396.69</v>
      </c>
    </row>
    <row r="6104">
      <c r="A6104" s="1" t="s">
        <v>12200</v>
      </c>
      <c r="B6104" s="2" t="s">
        <v>0</v>
      </c>
      <c r="C6104" s="2">
        <v>3340.97</v>
      </c>
      <c r="D6104" s="2" t="s">
        <v>0</v>
      </c>
      <c r="E6104" s="2">
        <v>10853.55</v>
      </c>
      <c r="G6104" s="1" t="s">
        <v>12201</v>
      </c>
      <c r="H6104" s="2" t="s">
        <v>0</v>
      </c>
      <c r="I6104" s="2">
        <v>2396.69</v>
      </c>
    </row>
    <row r="6105">
      <c r="A6105" s="1" t="s">
        <v>12202</v>
      </c>
      <c r="B6105" s="2" t="s">
        <v>0</v>
      </c>
      <c r="C6105" s="2">
        <v>3340.97</v>
      </c>
      <c r="D6105" s="2" t="s">
        <v>0</v>
      </c>
      <c r="E6105" s="2">
        <v>10853.55</v>
      </c>
      <c r="G6105" s="1" t="s">
        <v>12203</v>
      </c>
      <c r="H6105" s="2" t="s">
        <v>0</v>
      </c>
      <c r="I6105" s="2">
        <v>2396.69</v>
      </c>
    </row>
    <row r="6106">
      <c r="A6106" s="1" t="s">
        <v>12204</v>
      </c>
      <c r="B6106" s="2">
        <v>3383.54</v>
      </c>
      <c r="C6106" s="2">
        <v>3383.54</v>
      </c>
      <c r="D6106" s="2">
        <v>11056.65</v>
      </c>
      <c r="E6106" s="2">
        <v>11056.65</v>
      </c>
      <c r="G6106" s="1" t="s">
        <v>12205</v>
      </c>
      <c r="H6106" s="2">
        <v>2427.91</v>
      </c>
      <c r="I6106" s="2">
        <v>2427.91</v>
      </c>
    </row>
    <row r="6107">
      <c r="A6107" s="1" t="s">
        <v>12206</v>
      </c>
      <c r="B6107" s="2">
        <v>3401.2</v>
      </c>
      <c r="C6107" s="2">
        <v>3401.2</v>
      </c>
      <c r="D6107" s="2">
        <v>11190.32</v>
      </c>
      <c r="E6107" s="2">
        <v>11190.32</v>
      </c>
      <c r="G6107" s="1" t="s">
        <v>12207</v>
      </c>
      <c r="H6107" s="2">
        <v>2443.58</v>
      </c>
      <c r="I6107" s="2">
        <v>2443.58</v>
      </c>
    </row>
    <row r="6108">
      <c r="A6108" s="1" t="s">
        <v>12208</v>
      </c>
      <c r="B6108" s="2">
        <v>3385.49</v>
      </c>
      <c r="C6108" s="2">
        <v>3385.49</v>
      </c>
      <c r="D6108" s="2">
        <v>11050.47</v>
      </c>
      <c r="E6108" s="2">
        <v>11050.47</v>
      </c>
      <c r="G6108" s="1" t="s">
        <v>12209</v>
      </c>
      <c r="H6108" s="2">
        <v>2435.92</v>
      </c>
      <c r="I6108" s="2">
        <v>2435.92</v>
      </c>
    </row>
    <row r="6109">
      <c r="A6109" s="1" t="s">
        <v>12210</v>
      </c>
      <c r="B6109" s="2">
        <v>3357.01</v>
      </c>
      <c r="C6109" s="2">
        <v>3357.01</v>
      </c>
      <c r="D6109" s="2">
        <v>10910.28</v>
      </c>
      <c r="E6109" s="2">
        <v>10910.28</v>
      </c>
      <c r="G6109" s="1" t="s">
        <v>12211</v>
      </c>
      <c r="H6109" s="2">
        <v>2406.17</v>
      </c>
      <c r="I6109" s="2">
        <v>2406.17</v>
      </c>
    </row>
    <row r="6110">
      <c r="A6110" s="1" t="s">
        <v>12212</v>
      </c>
      <c r="B6110" s="2">
        <v>3319.47</v>
      </c>
      <c r="C6110" s="2">
        <v>3319.47</v>
      </c>
      <c r="D6110" s="2">
        <v>10793.28</v>
      </c>
      <c r="E6110" s="2">
        <v>10793.28</v>
      </c>
      <c r="G6110" s="1" t="s">
        <v>12213</v>
      </c>
      <c r="H6110" s="2">
        <v>2412.4</v>
      </c>
      <c r="I6110" s="2">
        <v>2412.4</v>
      </c>
    </row>
    <row r="6111">
      <c r="A6111" s="1" t="s">
        <v>12214</v>
      </c>
      <c r="B6111" s="2" t="s">
        <v>0</v>
      </c>
      <c r="C6111" s="2">
        <v>3319.47</v>
      </c>
      <c r="D6111" s="2" t="s">
        <v>0</v>
      </c>
      <c r="E6111" s="2">
        <v>10793.28</v>
      </c>
      <c r="G6111" s="1" t="s">
        <v>12215</v>
      </c>
      <c r="H6111" s="2" t="s">
        <v>0</v>
      </c>
      <c r="I6111" s="2">
        <v>2412.4</v>
      </c>
    </row>
    <row r="6112">
      <c r="A6112" s="1" t="s">
        <v>12216</v>
      </c>
      <c r="B6112" s="2" t="s">
        <v>0</v>
      </c>
      <c r="C6112" s="2">
        <v>3319.47</v>
      </c>
      <c r="D6112" s="2" t="s">
        <v>0</v>
      </c>
      <c r="E6112" s="2">
        <v>10793.28</v>
      </c>
      <c r="G6112" s="1" t="s">
        <v>12217</v>
      </c>
      <c r="H6112" s="2" t="s">
        <v>0</v>
      </c>
      <c r="I6112" s="2">
        <v>2412.4</v>
      </c>
    </row>
    <row r="6113">
      <c r="A6113" s="1" t="s">
        <v>12218</v>
      </c>
      <c r="B6113" s="2">
        <v>3281.06</v>
      </c>
      <c r="C6113" s="2">
        <v>3281.06</v>
      </c>
      <c r="D6113" s="2">
        <v>10778.8</v>
      </c>
      <c r="E6113" s="2">
        <v>10778.8</v>
      </c>
      <c r="G6113" s="1" t="s">
        <v>12219</v>
      </c>
      <c r="H6113" s="2">
        <v>2389.39</v>
      </c>
      <c r="I6113" s="2">
        <v>2389.39</v>
      </c>
    </row>
    <row r="6114">
      <c r="A6114" s="1" t="s">
        <v>12220</v>
      </c>
      <c r="B6114" s="2">
        <v>3315.57</v>
      </c>
      <c r="C6114" s="2">
        <v>3315.57</v>
      </c>
      <c r="D6114" s="2">
        <v>10963.64</v>
      </c>
      <c r="E6114" s="2">
        <v>10963.64</v>
      </c>
      <c r="G6114" s="1" t="s">
        <v>12221</v>
      </c>
      <c r="H6114" s="2">
        <v>2332.59</v>
      </c>
      <c r="I6114" s="2">
        <v>2332.59</v>
      </c>
    </row>
    <row r="6115">
      <c r="A6115" s="1" t="s">
        <v>12222</v>
      </c>
      <c r="B6115" s="2">
        <v>3236.92</v>
      </c>
      <c r="C6115" s="2">
        <v>3236.92</v>
      </c>
      <c r="D6115" s="2">
        <v>10632.99</v>
      </c>
      <c r="E6115" s="2">
        <v>10632.99</v>
      </c>
      <c r="G6115" s="1" t="s">
        <v>12223</v>
      </c>
      <c r="H6115" s="2">
        <v>2333.24</v>
      </c>
      <c r="I6115" s="2">
        <v>2333.24</v>
      </c>
    </row>
    <row r="6116">
      <c r="A6116" s="1" t="s">
        <v>12224</v>
      </c>
      <c r="B6116" s="2">
        <v>3246.59</v>
      </c>
      <c r="C6116" s="2">
        <v>3246.59</v>
      </c>
      <c r="D6116" s="2">
        <v>10672.27</v>
      </c>
      <c r="E6116" s="2">
        <v>10672.27</v>
      </c>
      <c r="G6116" s="1" t="s">
        <v>12225</v>
      </c>
      <c r="H6116" s="2">
        <v>2272.7</v>
      </c>
      <c r="I6116" s="2">
        <v>2272.7</v>
      </c>
    </row>
    <row r="6117">
      <c r="A6117" s="1" t="s">
        <v>12226</v>
      </c>
      <c r="B6117" s="2">
        <v>3298.46</v>
      </c>
      <c r="C6117" s="2">
        <v>3298.46</v>
      </c>
      <c r="D6117" s="2">
        <v>10913.56</v>
      </c>
      <c r="E6117" s="2">
        <v>10913.56</v>
      </c>
      <c r="G6117" s="1" t="s">
        <v>12227</v>
      </c>
      <c r="H6117" s="2">
        <v>2278.79</v>
      </c>
      <c r="I6117" s="2">
        <v>2278.79</v>
      </c>
    </row>
    <row r="6118">
      <c r="A6118" s="1" t="s">
        <v>12228</v>
      </c>
      <c r="B6118" s="2" t="s">
        <v>0</v>
      </c>
      <c r="C6118" s="2">
        <v>3298.46</v>
      </c>
      <c r="D6118" s="2" t="s">
        <v>0</v>
      </c>
      <c r="E6118" s="2">
        <v>10913.56</v>
      </c>
      <c r="G6118" s="1" t="s">
        <v>12229</v>
      </c>
      <c r="H6118" s="2" t="s">
        <v>0</v>
      </c>
      <c r="I6118" s="2">
        <v>2278.79</v>
      </c>
    </row>
    <row r="6119">
      <c r="A6119" s="1" t="s">
        <v>12230</v>
      </c>
      <c r="B6119" s="2" t="s">
        <v>0</v>
      </c>
      <c r="C6119" s="2">
        <v>3298.46</v>
      </c>
      <c r="D6119" s="2" t="s">
        <v>0</v>
      </c>
      <c r="E6119" s="2">
        <v>10913.56</v>
      </c>
      <c r="G6119" s="1" t="s">
        <v>12231</v>
      </c>
      <c r="H6119" s="2" t="s">
        <v>0</v>
      </c>
      <c r="I6119" s="2">
        <v>2278.79</v>
      </c>
    </row>
    <row r="6120">
      <c r="A6120" s="1" t="s">
        <v>12232</v>
      </c>
      <c r="B6120" s="2">
        <v>3351.6</v>
      </c>
      <c r="C6120" s="2">
        <v>3351.6</v>
      </c>
      <c r="D6120" s="2">
        <v>11117.53</v>
      </c>
      <c r="E6120" s="2">
        <v>11117.53</v>
      </c>
      <c r="G6120" s="1" t="s">
        <v>12233</v>
      </c>
      <c r="H6120" s="2">
        <v>2308.08</v>
      </c>
      <c r="I6120" s="2">
        <v>2308.08</v>
      </c>
    </row>
    <row r="6121">
      <c r="A6121" s="1" t="s">
        <v>12234</v>
      </c>
      <c r="B6121" s="2">
        <v>3335.47</v>
      </c>
      <c r="C6121" s="2">
        <v>3335.47</v>
      </c>
      <c r="D6121" s="2">
        <v>11085.25</v>
      </c>
      <c r="E6121" s="2">
        <v>11085.25</v>
      </c>
      <c r="G6121" s="1" t="s">
        <v>12235</v>
      </c>
      <c r="H6121" s="2">
        <v>2327.89</v>
      </c>
      <c r="I6121" s="2">
        <v>2327.89</v>
      </c>
    </row>
    <row r="6122">
      <c r="A6122" s="1" t="s">
        <v>12236</v>
      </c>
      <c r="B6122" s="2">
        <v>3363.0</v>
      </c>
      <c r="C6122" s="2">
        <v>3363.0</v>
      </c>
      <c r="D6122" s="2">
        <v>11167.51</v>
      </c>
      <c r="E6122" s="2">
        <v>11167.51</v>
      </c>
      <c r="G6122" s="1" t="s">
        <v>12237</v>
      </c>
      <c r="H6122" s="2" t="s">
        <v>0</v>
      </c>
      <c r="I6122" s="2">
        <v>2327.89</v>
      </c>
    </row>
    <row r="6123">
      <c r="A6123" s="1" t="s">
        <v>12238</v>
      </c>
      <c r="B6123" s="2">
        <v>3380.8</v>
      </c>
      <c r="C6123" s="2">
        <v>3380.8</v>
      </c>
      <c r="D6123" s="2">
        <v>11326.51</v>
      </c>
      <c r="E6123" s="2">
        <v>11326.51</v>
      </c>
      <c r="G6123" s="1" t="s">
        <v>12239</v>
      </c>
      <c r="H6123" s="2" t="s">
        <v>0</v>
      </c>
      <c r="I6123" s="2">
        <v>2327.89</v>
      </c>
    </row>
    <row r="6124">
      <c r="A6124" s="1" t="s">
        <v>12240</v>
      </c>
      <c r="B6124" s="2">
        <v>3348.44</v>
      </c>
      <c r="C6124" s="2">
        <v>3348.44</v>
      </c>
      <c r="D6124" s="2">
        <v>11075.02</v>
      </c>
      <c r="E6124" s="2">
        <v>11075.02</v>
      </c>
      <c r="G6124" s="1" t="s">
        <v>12241</v>
      </c>
      <c r="H6124" s="2" t="s">
        <v>0</v>
      </c>
      <c r="I6124" s="2">
        <v>2327.89</v>
      </c>
    </row>
    <row r="6125">
      <c r="A6125" s="1" t="s">
        <v>12242</v>
      </c>
      <c r="B6125" s="2" t="s">
        <v>0</v>
      </c>
      <c r="C6125" s="2">
        <v>3348.44</v>
      </c>
      <c r="D6125" s="2" t="s">
        <v>0</v>
      </c>
      <c r="E6125" s="2">
        <v>11075.02</v>
      </c>
      <c r="G6125" s="1" t="s">
        <v>12243</v>
      </c>
      <c r="H6125" s="2" t="s">
        <v>0</v>
      </c>
      <c r="I6125" s="2">
        <v>2327.89</v>
      </c>
    </row>
    <row r="6126">
      <c r="A6126" s="1" t="s">
        <v>12244</v>
      </c>
      <c r="B6126" s="2" t="s">
        <v>0</v>
      </c>
      <c r="C6126" s="2">
        <v>3348.44</v>
      </c>
      <c r="D6126" s="2" t="s">
        <v>0</v>
      </c>
      <c r="E6126" s="2">
        <v>11075.02</v>
      </c>
      <c r="G6126" s="1" t="s">
        <v>12245</v>
      </c>
      <c r="H6126" s="2" t="s">
        <v>0</v>
      </c>
      <c r="I6126" s="2">
        <v>2327.89</v>
      </c>
    </row>
    <row r="6127">
      <c r="A6127" s="1" t="s">
        <v>12246</v>
      </c>
      <c r="B6127" s="2">
        <v>3408.63</v>
      </c>
      <c r="C6127" s="2">
        <v>3408.63</v>
      </c>
      <c r="D6127" s="2">
        <v>11332.49</v>
      </c>
      <c r="E6127" s="2">
        <v>11332.49</v>
      </c>
      <c r="G6127" s="1" t="s">
        <v>12247</v>
      </c>
      <c r="H6127" s="2">
        <v>2358.0</v>
      </c>
      <c r="I6127" s="2">
        <v>2358.0</v>
      </c>
    </row>
    <row r="6128">
      <c r="A6128" s="1" t="s">
        <v>12248</v>
      </c>
      <c r="B6128" s="2">
        <v>3360.95</v>
      </c>
      <c r="C6128" s="2">
        <v>3360.95</v>
      </c>
      <c r="D6128" s="2">
        <v>11154.6</v>
      </c>
      <c r="E6128" s="2">
        <v>11154.6</v>
      </c>
      <c r="G6128" s="1" t="s">
        <v>12249</v>
      </c>
      <c r="H6128" s="2">
        <v>2365.9</v>
      </c>
      <c r="I6128" s="2">
        <v>2365.9</v>
      </c>
    </row>
    <row r="6129">
      <c r="A6129" s="1" t="s">
        <v>12250</v>
      </c>
      <c r="B6129" s="2">
        <v>3419.45</v>
      </c>
      <c r="C6129" s="2">
        <v>3419.45</v>
      </c>
      <c r="D6129" s="2">
        <v>11364.6</v>
      </c>
      <c r="E6129" s="2">
        <v>11364.6</v>
      </c>
      <c r="G6129" s="1" t="s">
        <v>12251</v>
      </c>
      <c r="H6129" s="2">
        <v>2386.94</v>
      </c>
      <c r="I6129" s="2">
        <v>2386.94</v>
      </c>
    </row>
    <row r="6130">
      <c r="A6130" s="1" t="s">
        <v>12252</v>
      </c>
      <c r="B6130" s="2">
        <v>3446.83</v>
      </c>
      <c r="C6130" s="2">
        <v>3446.83</v>
      </c>
      <c r="D6130" s="2">
        <v>11420.98</v>
      </c>
      <c r="E6130" s="2">
        <v>11420.98</v>
      </c>
      <c r="G6130" s="1" t="s">
        <v>12253</v>
      </c>
      <c r="H6130" s="2">
        <v>2391.96</v>
      </c>
      <c r="I6130" s="2">
        <v>2391.96</v>
      </c>
    </row>
    <row r="6131">
      <c r="A6131" s="1" t="s">
        <v>12254</v>
      </c>
      <c r="B6131" s="2">
        <v>3477.13</v>
      </c>
      <c r="C6131" s="2">
        <v>3477.13</v>
      </c>
      <c r="D6131" s="2">
        <v>11579.94</v>
      </c>
      <c r="E6131" s="2">
        <v>11579.94</v>
      </c>
      <c r="G6131" s="1" t="s">
        <v>12255</v>
      </c>
      <c r="H6131" s="2" t="s">
        <v>0</v>
      </c>
      <c r="I6131" s="2">
        <v>2391.96</v>
      </c>
    </row>
    <row r="6132">
      <c r="A6132" s="1" t="s">
        <v>12256</v>
      </c>
      <c r="B6132" s="2" t="s">
        <v>0</v>
      </c>
      <c r="C6132" s="2">
        <v>3477.13</v>
      </c>
      <c r="D6132" s="2" t="s">
        <v>0</v>
      </c>
      <c r="E6132" s="2">
        <v>11579.94</v>
      </c>
      <c r="G6132" s="1" t="s">
        <v>12257</v>
      </c>
      <c r="H6132" s="2" t="s">
        <v>0</v>
      </c>
      <c r="I6132" s="2">
        <v>2391.96</v>
      </c>
    </row>
    <row r="6133">
      <c r="A6133" s="1" t="s">
        <v>12258</v>
      </c>
      <c r="B6133" s="2" t="s">
        <v>0</v>
      </c>
      <c r="C6133" s="2">
        <v>3477.13</v>
      </c>
      <c r="D6133" s="2" t="s">
        <v>0</v>
      </c>
      <c r="E6133" s="2">
        <v>11579.94</v>
      </c>
      <c r="G6133" s="1" t="s">
        <v>12259</v>
      </c>
      <c r="H6133" s="2" t="s">
        <v>0</v>
      </c>
      <c r="I6133" s="2">
        <v>2391.96</v>
      </c>
    </row>
    <row r="6134">
      <c r="A6134" s="1" t="s">
        <v>12260</v>
      </c>
      <c r="B6134" s="2">
        <v>3534.22</v>
      </c>
      <c r="C6134" s="2">
        <v>3534.22</v>
      </c>
      <c r="D6134" s="2">
        <v>11876.26</v>
      </c>
      <c r="E6134" s="2">
        <v>11876.26</v>
      </c>
      <c r="G6134" s="1" t="s">
        <v>12261</v>
      </c>
      <c r="H6134" s="2">
        <v>2403.73</v>
      </c>
      <c r="I6134" s="2">
        <v>2403.73</v>
      </c>
    </row>
    <row r="6135">
      <c r="A6135" s="1" t="s">
        <v>12262</v>
      </c>
      <c r="B6135" s="2">
        <v>3511.93</v>
      </c>
      <c r="C6135" s="2">
        <v>3511.93</v>
      </c>
      <c r="D6135" s="2">
        <v>11863.9</v>
      </c>
      <c r="E6135" s="2">
        <v>11863.9</v>
      </c>
      <c r="G6135" s="1" t="s">
        <v>12263</v>
      </c>
      <c r="H6135" s="2">
        <v>2403.15</v>
      </c>
      <c r="I6135" s="2">
        <v>2403.15</v>
      </c>
    </row>
    <row r="6136">
      <c r="A6136" s="1" t="s">
        <v>12264</v>
      </c>
      <c r="B6136" s="2">
        <v>3488.67</v>
      </c>
      <c r="C6136" s="2">
        <v>3488.67</v>
      </c>
      <c r="D6136" s="2">
        <v>11768.73</v>
      </c>
      <c r="E6136" s="2">
        <v>11768.73</v>
      </c>
      <c r="G6136" s="1" t="s">
        <v>12265</v>
      </c>
      <c r="H6136" s="2">
        <v>2380.48</v>
      </c>
      <c r="I6136" s="2">
        <v>2380.48</v>
      </c>
    </row>
    <row r="6137">
      <c r="A6137" s="1" t="s">
        <v>12266</v>
      </c>
      <c r="B6137" s="2">
        <v>3483.34</v>
      </c>
      <c r="C6137" s="2">
        <v>3483.34</v>
      </c>
      <c r="D6137" s="2">
        <v>11713.87</v>
      </c>
      <c r="E6137" s="2">
        <v>11713.87</v>
      </c>
      <c r="G6137" s="1" t="s">
        <v>12267</v>
      </c>
      <c r="H6137" s="2">
        <v>2361.21</v>
      </c>
      <c r="I6137" s="2">
        <v>2361.21</v>
      </c>
    </row>
    <row r="6138">
      <c r="A6138" s="1" t="s">
        <v>12268</v>
      </c>
      <c r="B6138" s="2">
        <v>3483.81</v>
      </c>
      <c r="C6138" s="2">
        <v>3483.81</v>
      </c>
      <c r="D6138" s="2">
        <v>11671.56</v>
      </c>
      <c r="E6138" s="2">
        <v>11671.56</v>
      </c>
      <c r="G6138" s="1" t="s">
        <v>12269</v>
      </c>
      <c r="H6138" s="2">
        <v>2341.53</v>
      </c>
      <c r="I6138" s="2">
        <v>2341.53</v>
      </c>
    </row>
    <row r="6139">
      <c r="A6139" s="1" t="s">
        <v>12270</v>
      </c>
      <c r="B6139" s="2" t="s">
        <v>0</v>
      </c>
      <c r="C6139" s="2">
        <v>3483.81</v>
      </c>
      <c r="D6139" s="2" t="s">
        <v>0</v>
      </c>
      <c r="E6139" s="2">
        <v>11671.56</v>
      </c>
      <c r="G6139" s="1" t="s">
        <v>12271</v>
      </c>
      <c r="H6139" s="2" t="s">
        <v>0</v>
      </c>
      <c r="I6139" s="2">
        <v>2341.53</v>
      </c>
    </row>
    <row r="6140">
      <c r="A6140" s="1" t="s">
        <v>12272</v>
      </c>
      <c r="B6140" s="2" t="s">
        <v>0</v>
      </c>
      <c r="C6140" s="2">
        <v>3483.81</v>
      </c>
      <c r="D6140" s="2" t="s">
        <v>0</v>
      </c>
      <c r="E6140" s="2">
        <v>11671.56</v>
      </c>
      <c r="G6140" s="1" t="s">
        <v>12273</v>
      </c>
      <c r="H6140" s="2" t="s">
        <v>0</v>
      </c>
      <c r="I6140" s="2">
        <v>2341.53</v>
      </c>
    </row>
    <row r="6141">
      <c r="A6141" s="1" t="s">
        <v>12274</v>
      </c>
      <c r="B6141" s="2">
        <v>3426.92</v>
      </c>
      <c r="C6141" s="2">
        <v>3426.92</v>
      </c>
      <c r="D6141" s="2">
        <v>11478.88</v>
      </c>
      <c r="E6141" s="2">
        <v>11478.88</v>
      </c>
      <c r="G6141" s="1" t="s">
        <v>12275</v>
      </c>
      <c r="H6141" s="2">
        <v>2346.74</v>
      </c>
      <c r="I6141" s="2">
        <v>2346.74</v>
      </c>
    </row>
    <row r="6142">
      <c r="A6142" s="1" t="s">
        <v>12276</v>
      </c>
      <c r="B6142" s="2">
        <v>3443.12</v>
      </c>
      <c r="C6142" s="2">
        <v>3443.12</v>
      </c>
      <c r="D6142" s="2">
        <v>11516.49</v>
      </c>
      <c r="E6142" s="2">
        <v>11516.49</v>
      </c>
      <c r="G6142" s="1" t="s">
        <v>12277</v>
      </c>
      <c r="H6142" s="2">
        <v>2358.41</v>
      </c>
      <c r="I6142" s="2">
        <v>2358.41</v>
      </c>
    </row>
    <row r="6143">
      <c r="A6143" s="1" t="s">
        <v>12278</v>
      </c>
      <c r="B6143" s="2">
        <v>3435.56</v>
      </c>
      <c r="C6143" s="2">
        <v>3435.56</v>
      </c>
      <c r="D6143" s="2">
        <v>11484.69</v>
      </c>
      <c r="E6143" s="2">
        <v>11484.69</v>
      </c>
      <c r="G6143" s="1" t="s">
        <v>12279</v>
      </c>
      <c r="H6143" s="2">
        <v>2370.86</v>
      </c>
      <c r="I6143" s="2">
        <v>2370.86</v>
      </c>
    </row>
    <row r="6144">
      <c r="A6144" s="1" t="s">
        <v>12280</v>
      </c>
      <c r="B6144" s="2">
        <v>3453.49</v>
      </c>
      <c r="C6144" s="2">
        <v>3453.49</v>
      </c>
      <c r="D6144" s="2">
        <v>11506.01</v>
      </c>
      <c r="E6144" s="2">
        <v>11506.01</v>
      </c>
      <c r="G6144" s="1" t="s">
        <v>12281</v>
      </c>
      <c r="H6144" s="2">
        <v>2355.05</v>
      </c>
      <c r="I6144" s="2">
        <v>2355.05</v>
      </c>
    </row>
    <row r="6145">
      <c r="A6145" s="1" t="s">
        <v>12282</v>
      </c>
      <c r="B6145" s="2">
        <v>3465.39</v>
      </c>
      <c r="C6145" s="2">
        <v>3465.39</v>
      </c>
      <c r="D6145" s="2">
        <v>11548.28</v>
      </c>
      <c r="E6145" s="2">
        <v>11548.28</v>
      </c>
      <c r="G6145" s="1" t="s">
        <v>12283</v>
      </c>
      <c r="H6145" s="2">
        <v>2360.81</v>
      </c>
      <c r="I6145" s="2">
        <v>2360.81</v>
      </c>
    </row>
    <row r="6146">
      <c r="A6146" s="1" t="s">
        <v>12284</v>
      </c>
      <c r="B6146" s="2" t="s">
        <v>0</v>
      </c>
      <c r="C6146" s="2">
        <v>3465.39</v>
      </c>
      <c r="D6146" s="2" t="s">
        <v>0</v>
      </c>
      <c r="E6146" s="2">
        <v>11548.28</v>
      </c>
      <c r="G6146" s="1" t="s">
        <v>12285</v>
      </c>
      <c r="H6146" s="2" t="s">
        <v>0</v>
      </c>
      <c r="I6146" s="2">
        <v>2360.81</v>
      </c>
    </row>
    <row r="6147">
      <c r="A6147" s="1" t="s">
        <v>12286</v>
      </c>
      <c r="B6147" s="2" t="s">
        <v>0</v>
      </c>
      <c r="C6147" s="2">
        <v>3465.39</v>
      </c>
      <c r="D6147" s="2" t="s">
        <v>0</v>
      </c>
      <c r="E6147" s="2">
        <v>11548.28</v>
      </c>
      <c r="G6147" s="1" t="s">
        <v>12287</v>
      </c>
      <c r="H6147" s="2" t="s">
        <v>0</v>
      </c>
      <c r="I6147" s="2">
        <v>2360.81</v>
      </c>
    </row>
    <row r="6148">
      <c r="A6148" s="1" t="s">
        <v>12288</v>
      </c>
      <c r="B6148" s="2">
        <v>3400.97</v>
      </c>
      <c r="C6148" s="2">
        <v>3400.97</v>
      </c>
      <c r="D6148" s="2">
        <v>11358.94</v>
      </c>
      <c r="E6148" s="2">
        <v>11358.94</v>
      </c>
      <c r="G6148" s="1" t="s">
        <v>12289</v>
      </c>
      <c r="H6148" s="2">
        <v>2343.91</v>
      </c>
      <c r="I6148" s="2">
        <v>2343.91</v>
      </c>
    </row>
    <row r="6149">
      <c r="A6149" s="1" t="s">
        <v>12290</v>
      </c>
      <c r="B6149" s="2">
        <v>3390.68</v>
      </c>
      <c r="C6149" s="2">
        <v>3390.68</v>
      </c>
      <c r="D6149" s="2">
        <v>11431.35</v>
      </c>
      <c r="E6149" s="2">
        <v>11431.35</v>
      </c>
      <c r="G6149" s="1" t="s">
        <v>12291</v>
      </c>
      <c r="H6149" s="2">
        <v>2330.84</v>
      </c>
      <c r="I6149" s="2">
        <v>2330.84</v>
      </c>
    </row>
    <row r="6150">
      <c r="A6150" s="1" t="s">
        <v>12292</v>
      </c>
      <c r="B6150" s="2">
        <v>3271.03</v>
      </c>
      <c r="C6150" s="2">
        <v>3271.03</v>
      </c>
      <c r="D6150" s="2">
        <v>11004.87</v>
      </c>
      <c r="E6150" s="2">
        <v>11004.87</v>
      </c>
      <c r="G6150" s="1" t="s">
        <v>12293</v>
      </c>
      <c r="H6150" s="2">
        <v>2345.26</v>
      </c>
      <c r="I6150" s="2">
        <v>2345.26</v>
      </c>
    </row>
    <row r="6151">
      <c r="A6151" s="1" t="s">
        <v>12294</v>
      </c>
      <c r="B6151" s="2">
        <v>3310.11</v>
      </c>
      <c r="C6151" s="2">
        <v>3310.11</v>
      </c>
      <c r="D6151" s="2">
        <v>11185.59</v>
      </c>
      <c r="E6151" s="2">
        <v>11185.59</v>
      </c>
      <c r="G6151" s="1" t="s">
        <v>12295</v>
      </c>
      <c r="H6151" s="2">
        <v>2326.67</v>
      </c>
      <c r="I6151" s="2">
        <v>2326.67</v>
      </c>
    </row>
    <row r="6152">
      <c r="A6152" s="1" t="s">
        <v>12296</v>
      </c>
      <c r="B6152" s="2">
        <v>3269.96</v>
      </c>
      <c r="C6152" s="2">
        <v>3269.96</v>
      </c>
      <c r="D6152" s="2">
        <v>10911.59</v>
      </c>
      <c r="E6152" s="2">
        <v>10911.59</v>
      </c>
      <c r="G6152" s="1" t="s">
        <v>12297</v>
      </c>
      <c r="H6152" s="2">
        <v>2267.15</v>
      </c>
      <c r="I6152" s="2">
        <v>2267.15</v>
      </c>
    </row>
    <row r="6153">
      <c r="A6153" s="1" t="s">
        <v>12298</v>
      </c>
      <c r="B6153" s="2" t="s">
        <v>0</v>
      </c>
      <c r="C6153" s="2">
        <v>3269.96</v>
      </c>
      <c r="D6153" s="2" t="s">
        <v>0</v>
      </c>
      <c r="E6153" s="2">
        <v>10911.59</v>
      </c>
      <c r="G6153" s="1" t="s">
        <v>12299</v>
      </c>
      <c r="H6153" s="2" t="s">
        <v>0</v>
      </c>
      <c r="I6153" s="2">
        <v>2267.15</v>
      </c>
    </row>
    <row r="6154">
      <c r="A6154" s="1" t="s">
        <v>12300</v>
      </c>
      <c r="B6154" s="2" t="s">
        <v>0</v>
      </c>
      <c r="C6154" s="2">
        <v>3269.96</v>
      </c>
      <c r="D6154" s="2" t="s">
        <v>0</v>
      </c>
      <c r="E6154" s="2">
        <v>10911.59</v>
      </c>
      <c r="G6154" s="1" t="s">
        <v>12301</v>
      </c>
      <c r="H6154" s="2" t="s">
        <v>0</v>
      </c>
      <c r="I6154" s="2">
        <v>2267.15</v>
      </c>
    </row>
    <row r="6155">
      <c r="A6155" s="1" t="s">
        <v>12302</v>
      </c>
      <c r="B6155" s="2">
        <v>3310.24</v>
      </c>
      <c r="C6155" s="2">
        <v>3310.24</v>
      </c>
      <c r="D6155" s="2">
        <v>10957.61</v>
      </c>
      <c r="E6155" s="2">
        <v>10957.61</v>
      </c>
      <c r="G6155" s="1" t="s">
        <v>12303</v>
      </c>
      <c r="H6155" s="2">
        <v>2300.16</v>
      </c>
      <c r="I6155" s="2">
        <v>2300.16</v>
      </c>
    </row>
    <row r="6156">
      <c r="A6156" s="1" t="s">
        <v>12304</v>
      </c>
      <c r="B6156" s="2">
        <v>3369.02</v>
      </c>
      <c r="C6156" s="2">
        <v>3369.02</v>
      </c>
      <c r="D6156" s="2">
        <v>11160.57</v>
      </c>
      <c r="E6156" s="2">
        <v>11160.57</v>
      </c>
      <c r="G6156" s="1" t="s">
        <v>12305</v>
      </c>
      <c r="H6156" s="2">
        <v>2343.31</v>
      </c>
      <c r="I6156" s="2">
        <v>2343.31</v>
      </c>
    </row>
    <row r="6157">
      <c r="A6157" s="1" t="s">
        <v>12306</v>
      </c>
      <c r="B6157" s="2">
        <v>3443.44</v>
      </c>
      <c r="C6157" s="2">
        <v>3443.44</v>
      </c>
      <c r="D6157" s="2">
        <v>11590.78</v>
      </c>
      <c r="E6157" s="2">
        <v>11590.78</v>
      </c>
      <c r="G6157" s="1" t="s">
        <v>12307</v>
      </c>
      <c r="H6157" s="2">
        <v>2357.32</v>
      </c>
      <c r="I6157" s="2">
        <v>2357.32</v>
      </c>
    </row>
    <row r="6158">
      <c r="A6158" s="1" t="s">
        <v>12308</v>
      </c>
      <c r="B6158" s="2">
        <v>3510.45</v>
      </c>
      <c r="C6158" s="2">
        <v>3510.45</v>
      </c>
      <c r="D6158" s="2">
        <v>11890.93</v>
      </c>
      <c r="E6158" s="2">
        <v>11890.93</v>
      </c>
      <c r="G6158" s="1" t="s">
        <v>12309</v>
      </c>
      <c r="H6158" s="2">
        <v>2413.79</v>
      </c>
      <c r="I6158" s="2">
        <v>2413.79</v>
      </c>
    </row>
    <row r="6159">
      <c r="A6159" s="1" t="s">
        <v>12310</v>
      </c>
      <c r="B6159" s="2">
        <v>3509.44</v>
      </c>
      <c r="C6159" s="2">
        <v>3509.44</v>
      </c>
      <c r="D6159" s="2">
        <v>11895.23</v>
      </c>
      <c r="E6159" s="2">
        <v>11895.23</v>
      </c>
      <c r="G6159" s="1" t="s">
        <v>12311</v>
      </c>
      <c r="H6159" s="2">
        <v>2416.5</v>
      </c>
      <c r="I6159" s="2">
        <v>2416.5</v>
      </c>
    </row>
    <row r="6160">
      <c r="A6160" s="1" t="s">
        <v>12312</v>
      </c>
      <c r="B6160" s="2" t="s">
        <v>0</v>
      </c>
      <c r="C6160" s="2">
        <v>3509.44</v>
      </c>
      <c r="D6160" s="2" t="s">
        <v>0</v>
      </c>
      <c r="E6160" s="2">
        <v>11895.23</v>
      </c>
      <c r="G6160" s="1" t="s">
        <v>12313</v>
      </c>
      <c r="H6160" s="2" t="s">
        <v>0</v>
      </c>
      <c r="I6160" s="2">
        <v>2416.5</v>
      </c>
    </row>
    <row r="6161">
      <c r="A6161" s="1" t="s">
        <v>12314</v>
      </c>
      <c r="B6161" s="2" t="s">
        <v>0</v>
      </c>
      <c r="C6161" s="2">
        <v>3509.44</v>
      </c>
      <c r="D6161" s="2" t="s">
        <v>0</v>
      </c>
      <c r="E6161" s="2">
        <v>11895.23</v>
      </c>
      <c r="G6161" s="1" t="s">
        <v>12315</v>
      </c>
      <c r="H6161" s="2" t="s">
        <v>0</v>
      </c>
      <c r="I6161" s="2">
        <v>2416.5</v>
      </c>
    </row>
    <row r="6162">
      <c r="A6162" s="1" t="s">
        <v>12316</v>
      </c>
      <c r="B6162" s="2">
        <v>3550.5</v>
      </c>
      <c r="C6162" s="2">
        <v>3550.5</v>
      </c>
      <c r="D6162" s="2">
        <v>11713.78</v>
      </c>
      <c r="E6162" s="2">
        <v>11713.78</v>
      </c>
      <c r="G6162" s="1" t="s">
        <v>12317</v>
      </c>
      <c r="H6162" s="2">
        <v>2447.2</v>
      </c>
      <c r="I6162" s="2">
        <v>2447.2</v>
      </c>
    </row>
    <row r="6163">
      <c r="A6163" s="1" t="s">
        <v>12318</v>
      </c>
      <c r="B6163" s="2">
        <v>3545.53</v>
      </c>
      <c r="C6163" s="2">
        <v>3545.53</v>
      </c>
      <c r="D6163" s="2">
        <v>11553.86</v>
      </c>
      <c r="E6163" s="2">
        <v>11553.86</v>
      </c>
      <c r="G6163" s="1" t="s">
        <v>12319</v>
      </c>
      <c r="H6163" s="2">
        <v>2452.83</v>
      </c>
      <c r="I6163" s="2">
        <v>2452.83</v>
      </c>
    </row>
    <row r="6164">
      <c r="A6164" s="1" t="s">
        <v>12320</v>
      </c>
      <c r="B6164" s="2">
        <v>3572.66</v>
      </c>
      <c r="C6164" s="2">
        <v>3572.66</v>
      </c>
      <c r="D6164" s="2">
        <v>11786.43</v>
      </c>
      <c r="E6164" s="2">
        <v>11786.43</v>
      </c>
      <c r="G6164" s="1" t="s">
        <v>12321</v>
      </c>
      <c r="H6164" s="2">
        <v>2485.87</v>
      </c>
      <c r="I6164" s="2">
        <v>2485.87</v>
      </c>
    </row>
    <row r="6165">
      <c r="A6165" s="1" t="s">
        <v>12322</v>
      </c>
      <c r="B6165" s="2">
        <v>3537.01</v>
      </c>
      <c r="C6165" s="2">
        <v>3537.01</v>
      </c>
      <c r="D6165" s="2">
        <v>11709.59</v>
      </c>
      <c r="E6165" s="2">
        <v>11709.59</v>
      </c>
      <c r="G6165" s="1" t="s">
        <v>12323</v>
      </c>
      <c r="H6165" s="2">
        <v>2475.62</v>
      </c>
      <c r="I6165" s="2">
        <v>2475.62</v>
      </c>
    </row>
    <row r="6166">
      <c r="A6166" s="1" t="s">
        <v>12324</v>
      </c>
      <c r="B6166" s="2">
        <v>3585.15</v>
      </c>
      <c r="C6166" s="2">
        <v>3585.15</v>
      </c>
      <c r="D6166" s="2">
        <v>11829.29</v>
      </c>
      <c r="E6166" s="2">
        <v>11829.29</v>
      </c>
      <c r="G6166" s="1" t="s">
        <v>12325</v>
      </c>
      <c r="H6166" s="2">
        <v>2493.87</v>
      </c>
      <c r="I6166" s="2">
        <v>2493.87</v>
      </c>
    </row>
    <row r="6167">
      <c r="A6167" s="1" t="s">
        <v>12326</v>
      </c>
      <c r="B6167" s="2" t="s">
        <v>0</v>
      </c>
      <c r="C6167" s="2">
        <v>3585.15</v>
      </c>
      <c r="D6167" s="2" t="s">
        <v>0</v>
      </c>
      <c r="E6167" s="2">
        <v>11829.29</v>
      </c>
      <c r="G6167" s="1" t="s">
        <v>12327</v>
      </c>
      <c r="H6167" s="2" t="s">
        <v>0</v>
      </c>
      <c r="I6167" s="2">
        <v>2493.87</v>
      </c>
    </row>
    <row r="6168">
      <c r="A6168" s="1" t="s">
        <v>12328</v>
      </c>
      <c r="B6168" s="2" t="s">
        <v>0</v>
      </c>
      <c r="C6168" s="2">
        <v>3585.15</v>
      </c>
      <c r="D6168" s="2" t="s">
        <v>0</v>
      </c>
      <c r="E6168" s="2">
        <v>11829.29</v>
      </c>
      <c r="G6168" s="1" t="s">
        <v>12329</v>
      </c>
      <c r="H6168" s="2" t="s">
        <v>0</v>
      </c>
      <c r="I6168" s="2">
        <v>2493.87</v>
      </c>
    </row>
    <row r="6169">
      <c r="A6169" s="1" t="s">
        <v>12330</v>
      </c>
      <c r="B6169" s="2">
        <v>3626.91</v>
      </c>
      <c r="C6169" s="2">
        <v>3626.91</v>
      </c>
      <c r="D6169" s="2">
        <v>11924.13</v>
      </c>
      <c r="E6169" s="2">
        <v>11924.13</v>
      </c>
      <c r="G6169" s="1" t="s">
        <v>12331</v>
      </c>
      <c r="H6169" s="2">
        <v>2543.03</v>
      </c>
      <c r="I6169" s="2">
        <v>2543.03</v>
      </c>
    </row>
    <row r="6170">
      <c r="A6170" s="1" t="s">
        <v>12332</v>
      </c>
      <c r="B6170" s="2">
        <v>3609.53</v>
      </c>
      <c r="C6170" s="2">
        <v>3609.53</v>
      </c>
      <c r="D6170" s="2">
        <v>11899.34</v>
      </c>
      <c r="E6170" s="2">
        <v>11899.34</v>
      </c>
      <c r="G6170" s="1" t="s">
        <v>12333</v>
      </c>
      <c r="H6170" s="2">
        <v>2539.15</v>
      </c>
      <c r="I6170" s="2">
        <v>2539.15</v>
      </c>
    </row>
    <row r="6171">
      <c r="A6171" s="1" t="s">
        <v>12334</v>
      </c>
      <c r="B6171" s="2">
        <v>3567.79</v>
      </c>
      <c r="C6171" s="2">
        <v>3567.79</v>
      </c>
      <c r="D6171" s="2">
        <v>11801.6</v>
      </c>
      <c r="E6171" s="2">
        <v>11801.6</v>
      </c>
      <c r="G6171" s="1" t="s">
        <v>12335</v>
      </c>
      <c r="H6171" s="2">
        <v>2545.64</v>
      </c>
      <c r="I6171" s="2">
        <v>2545.64</v>
      </c>
    </row>
    <row r="6172">
      <c r="A6172" s="1" t="s">
        <v>12336</v>
      </c>
      <c r="B6172" s="2">
        <v>3581.87</v>
      </c>
      <c r="C6172" s="2">
        <v>3581.87</v>
      </c>
      <c r="D6172" s="2">
        <v>11904.71</v>
      </c>
      <c r="E6172" s="2">
        <v>11904.71</v>
      </c>
      <c r="G6172" s="1" t="s">
        <v>12337</v>
      </c>
      <c r="H6172" s="2">
        <v>2547.42</v>
      </c>
      <c r="I6172" s="2">
        <v>2547.42</v>
      </c>
    </row>
    <row r="6173">
      <c r="A6173" s="1" t="s">
        <v>12338</v>
      </c>
      <c r="B6173" s="2">
        <v>3557.54</v>
      </c>
      <c r="C6173" s="2">
        <v>3557.54</v>
      </c>
      <c r="D6173" s="2">
        <v>11854.97</v>
      </c>
      <c r="E6173" s="2">
        <v>11854.97</v>
      </c>
      <c r="G6173" s="1" t="s">
        <v>12339</v>
      </c>
      <c r="H6173" s="2">
        <v>2553.5</v>
      </c>
      <c r="I6173" s="2">
        <v>2553.5</v>
      </c>
    </row>
    <row r="6174">
      <c r="A6174" s="1" t="s">
        <v>12340</v>
      </c>
      <c r="B6174" s="2" t="s">
        <v>0</v>
      </c>
      <c r="C6174" s="2">
        <v>3557.54</v>
      </c>
      <c r="D6174" s="2" t="s">
        <v>0</v>
      </c>
      <c r="E6174" s="2">
        <v>11854.97</v>
      </c>
      <c r="G6174" s="1" t="s">
        <v>12341</v>
      </c>
      <c r="H6174" s="2" t="s">
        <v>0</v>
      </c>
      <c r="I6174" s="2">
        <v>2553.5</v>
      </c>
    </row>
    <row r="6175">
      <c r="A6175" s="1" t="s">
        <v>12342</v>
      </c>
      <c r="B6175" s="2" t="s">
        <v>0</v>
      </c>
      <c r="C6175" s="2">
        <v>3557.54</v>
      </c>
      <c r="D6175" s="2" t="s">
        <v>0</v>
      </c>
      <c r="E6175" s="2">
        <v>11854.97</v>
      </c>
      <c r="G6175" s="1" t="s">
        <v>12343</v>
      </c>
      <c r="H6175" s="2" t="s">
        <v>0</v>
      </c>
      <c r="I6175" s="2">
        <v>2553.5</v>
      </c>
    </row>
    <row r="6176">
      <c r="A6176" s="1" t="s">
        <v>12344</v>
      </c>
      <c r="B6176" s="2">
        <v>3577.59</v>
      </c>
      <c r="C6176" s="2">
        <v>3577.59</v>
      </c>
      <c r="D6176" s="2">
        <v>11880.63</v>
      </c>
      <c r="E6176" s="2">
        <v>11880.63</v>
      </c>
      <c r="G6176" s="1" t="s">
        <v>12345</v>
      </c>
      <c r="H6176" s="2">
        <v>2602.59</v>
      </c>
      <c r="I6176" s="2">
        <v>2602.59</v>
      </c>
    </row>
    <row r="6177">
      <c r="A6177" s="1" t="s">
        <v>12346</v>
      </c>
      <c r="B6177" s="2">
        <v>3635.41</v>
      </c>
      <c r="C6177" s="2">
        <v>3635.41</v>
      </c>
      <c r="D6177" s="2">
        <v>12036.79</v>
      </c>
      <c r="E6177" s="2">
        <v>12036.79</v>
      </c>
      <c r="G6177" s="1" t="s">
        <v>12347</v>
      </c>
      <c r="H6177" s="2">
        <v>2617.76</v>
      </c>
      <c r="I6177" s="2">
        <v>2617.76</v>
      </c>
    </row>
    <row r="6178">
      <c r="A6178" s="1" t="s">
        <v>12348</v>
      </c>
      <c r="B6178" s="2">
        <v>3629.65</v>
      </c>
      <c r="C6178" s="2">
        <v>3629.65</v>
      </c>
      <c r="D6178" s="2">
        <v>12094.4</v>
      </c>
      <c r="E6178" s="2">
        <v>12094.4</v>
      </c>
      <c r="G6178" s="1" t="s">
        <v>12349</v>
      </c>
      <c r="H6178" s="2">
        <v>2601.54</v>
      </c>
      <c r="I6178" s="2">
        <v>2601.54</v>
      </c>
    </row>
    <row r="6179">
      <c r="A6179" s="1" t="s">
        <v>12350</v>
      </c>
      <c r="B6179" s="2" t="s">
        <v>0</v>
      </c>
      <c r="C6179" s="2">
        <v>3629.65</v>
      </c>
      <c r="D6179" s="2" t="s">
        <v>0</v>
      </c>
      <c r="E6179" s="2">
        <v>12094.4</v>
      </c>
      <c r="G6179" s="1" t="s">
        <v>12351</v>
      </c>
      <c r="H6179" s="2">
        <v>2625.91</v>
      </c>
      <c r="I6179" s="2">
        <v>2625.91</v>
      </c>
    </row>
    <row r="6180">
      <c r="A6180" s="1" t="s">
        <v>12352</v>
      </c>
      <c r="B6180" s="2" t="s">
        <v>0</v>
      </c>
      <c r="C6180" s="2">
        <v>3629.65</v>
      </c>
      <c r="D6180" s="2" t="s">
        <v>0</v>
      </c>
      <c r="E6180" s="2">
        <v>12094.4</v>
      </c>
      <c r="G6180" s="1" t="s">
        <v>12353</v>
      </c>
      <c r="H6180" s="2">
        <v>2633.45</v>
      </c>
      <c r="I6180" s="2">
        <v>2633.45</v>
      </c>
    </row>
    <row r="6181">
      <c r="A6181" s="1" t="s">
        <v>12354</v>
      </c>
      <c r="B6181" s="2" t="s">
        <v>0</v>
      </c>
      <c r="C6181" s="2">
        <v>3629.65</v>
      </c>
      <c r="D6181" s="2" t="s">
        <v>0</v>
      </c>
      <c r="E6181" s="2">
        <v>12094.4</v>
      </c>
      <c r="G6181" s="1" t="s">
        <v>12355</v>
      </c>
      <c r="H6181" s="2" t="s">
        <v>0</v>
      </c>
      <c r="I6181" s="2">
        <v>2633.45</v>
      </c>
    </row>
    <row r="6182">
      <c r="A6182" s="1" t="s">
        <v>12356</v>
      </c>
      <c r="B6182" s="2" t="s">
        <v>0</v>
      </c>
      <c r="C6182" s="2">
        <v>3629.65</v>
      </c>
      <c r="D6182" s="2" t="s">
        <v>0</v>
      </c>
      <c r="E6182" s="2">
        <v>12094.4</v>
      </c>
      <c r="G6182" s="1" t="s">
        <v>12357</v>
      </c>
      <c r="H6182" s="2" t="s">
        <v>0</v>
      </c>
      <c r="I6182" s="2">
        <v>2633.45</v>
      </c>
    </row>
    <row r="6183">
      <c r="A6183" s="1" t="s">
        <v>12358</v>
      </c>
      <c r="B6183" s="2">
        <v>3621.63</v>
      </c>
      <c r="C6183" s="2">
        <v>3621.63</v>
      </c>
      <c r="D6183" s="2">
        <v>12198.74</v>
      </c>
      <c r="E6183" s="2">
        <v>12198.74</v>
      </c>
      <c r="G6183" s="1" t="s">
        <v>12359</v>
      </c>
      <c r="H6183" s="2">
        <v>2591.34</v>
      </c>
      <c r="I6183" s="2">
        <v>2591.34</v>
      </c>
    </row>
    <row r="6184">
      <c r="A6184" s="1" t="s">
        <v>12360</v>
      </c>
      <c r="B6184" s="2">
        <v>3662.45</v>
      </c>
      <c r="C6184" s="2">
        <v>3662.45</v>
      </c>
      <c r="D6184" s="2">
        <v>12355.11</v>
      </c>
      <c r="E6184" s="2">
        <v>12355.11</v>
      </c>
      <c r="G6184" s="1" t="s">
        <v>12361</v>
      </c>
      <c r="H6184" s="2">
        <v>2634.25</v>
      </c>
      <c r="I6184" s="2">
        <v>2634.25</v>
      </c>
    </row>
    <row r="6185">
      <c r="A6185" s="1" t="s">
        <v>12362</v>
      </c>
      <c r="B6185" s="2">
        <v>3669.01</v>
      </c>
      <c r="C6185" s="2">
        <v>3669.01</v>
      </c>
      <c r="D6185" s="2">
        <v>12349.37</v>
      </c>
      <c r="E6185" s="2">
        <v>12349.37</v>
      </c>
      <c r="G6185" s="1" t="s">
        <v>12363</v>
      </c>
      <c r="H6185" s="2">
        <v>2675.9</v>
      </c>
      <c r="I6185" s="2">
        <v>2675.9</v>
      </c>
    </row>
    <row r="6186">
      <c r="A6186" s="1" t="s">
        <v>12364</v>
      </c>
      <c r="B6186" s="2">
        <v>3666.72</v>
      </c>
      <c r="C6186" s="2">
        <v>3666.72</v>
      </c>
      <c r="D6186" s="2">
        <v>12377.18</v>
      </c>
      <c r="E6186" s="2">
        <v>12377.18</v>
      </c>
      <c r="G6186" s="1" t="s">
        <v>12365</v>
      </c>
      <c r="H6186" s="2">
        <v>2696.22</v>
      </c>
      <c r="I6186" s="2">
        <v>2696.22</v>
      </c>
    </row>
    <row r="6187">
      <c r="A6187" s="1" t="s">
        <v>12366</v>
      </c>
      <c r="B6187" s="2">
        <v>3699.12</v>
      </c>
      <c r="C6187" s="2">
        <v>3699.12</v>
      </c>
      <c r="D6187" s="2">
        <v>12464.23</v>
      </c>
      <c r="E6187" s="2">
        <v>12464.23</v>
      </c>
      <c r="G6187" s="1" t="s">
        <v>12367</v>
      </c>
      <c r="H6187" s="2">
        <v>2731.45</v>
      </c>
      <c r="I6187" s="2">
        <v>2731.45</v>
      </c>
    </row>
    <row r="6188">
      <c r="A6188" s="1" t="s">
        <v>12368</v>
      </c>
      <c r="B6188" s="2" t="s">
        <v>0</v>
      </c>
      <c r="C6188" s="2">
        <v>3699.12</v>
      </c>
      <c r="D6188" s="2" t="s">
        <v>0</v>
      </c>
      <c r="E6188" s="2">
        <v>12464.23</v>
      </c>
      <c r="G6188" s="1" t="s">
        <v>12369</v>
      </c>
      <c r="H6188" s="2" t="s">
        <v>0</v>
      </c>
      <c r="I6188" s="2">
        <v>2731.45</v>
      </c>
    </row>
    <row r="6189">
      <c r="A6189" s="1" t="s">
        <v>12370</v>
      </c>
      <c r="B6189" s="2" t="s">
        <v>0</v>
      </c>
      <c r="C6189" s="2">
        <v>3699.12</v>
      </c>
      <c r="D6189" s="2" t="s">
        <v>0</v>
      </c>
      <c r="E6189" s="2">
        <v>12464.23</v>
      </c>
      <c r="G6189" s="1" t="s">
        <v>12371</v>
      </c>
      <c r="H6189" s="2" t="s">
        <v>0</v>
      </c>
      <c r="I6189" s="2">
        <v>2731.45</v>
      </c>
    </row>
    <row r="6190">
      <c r="A6190" s="1" t="s">
        <v>12372</v>
      </c>
      <c r="B6190" s="2">
        <v>3691.96</v>
      </c>
      <c r="C6190" s="2">
        <v>3691.96</v>
      </c>
      <c r="D6190" s="2">
        <v>12519.95</v>
      </c>
      <c r="E6190" s="2">
        <v>12519.95</v>
      </c>
      <c r="G6190" s="1" t="s">
        <v>12373</v>
      </c>
      <c r="H6190" s="2">
        <v>2745.44</v>
      </c>
      <c r="I6190" s="2">
        <v>2745.44</v>
      </c>
    </row>
    <row r="6191">
      <c r="A6191" s="1" t="s">
        <v>12374</v>
      </c>
      <c r="B6191" s="2">
        <v>3702.25</v>
      </c>
      <c r="C6191" s="2">
        <v>3702.25</v>
      </c>
      <c r="D6191" s="2">
        <v>12582.77</v>
      </c>
      <c r="E6191" s="2">
        <v>12582.77</v>
      </c>
      <c r="G6191" s="1" t="s">
        <v>12375</v>
      </c>
      <c r="H6191" s="2">
        <v>2700.93</v>
      </c>
      <c r="I6191" s="2">
        <v>2700.93</v>
      </c>
    </row>
    <row r="6192">
      <c r="A6192" s="1" t="s">
        <v>12376</v>
      </c>
      <c r="B6192" s="2">
        <v>3672.82</v>
      </c>
      <c r="C6192" s="2">
        <v>3672.82</v>
      </c>
      <c r="D6192" s="2">
        <v>12338.95</v>
      </c>
      <c r="E6192" s="2">
        <v>12338.95</v>
      </c>
      <c r="G6192" s="1" t="s">
        <v>12377</v>
      </c>
      <c r="H6192" s="2">
        <v>2755.47</v>
      </c>
      <c r="I6192" s="2">
        <v>2755.47</v>
      </c>
    </row>
    <row r="6193">
      <c r="A6193" s="1" t="s">
        <v>12378</v>
      </c>
      <c r="B6193" s="2">
        <v>3668.1</v>
      </c>
      <c r="C6193" s="2">
        <v>3668.1</v>
      </c>
      <c r="D6193" s="2">
        <v>12405.81</v>
      </c>
      <c r="E6193" s="2">
        <v>12405.81</v>
      </c>
      <c r="G6193" s="1" t="s">
        <v>12379</v>
      </c>
      <c r="H6193" s="2">
        <v>2746.46</v>
      </c>
      <c r="I6193" s="2">
        <v>2746.46</v>
      </c>
    </row>
    <row r="6194">
      <c r="A6194" s="1" t="s">
        <v>12380</v>
      </c>
      <c r="B6194" s="2">
        <v>3663.46</v>
      </c>
      <c r="C6194" s="2">
        <v>3663.46</v>
      </c>
      <c r="D6194" s="2">
        <v>12377.87</v>
      </c>
      <c r="E6194" s="2">
        <v>12377.87</v>
      </c>
      <c r="G6194" s="1" t="s">
        <v>12381</v>
      </c>
      <c r="H6194" s="2">
        <v>2770.06</v>
      </c>
      <c r="I6194" s="2">
        <v>2770.06</v>
      </c>
    </row>
    <row r="6195">
      <c r="A6195" s="1" t="s">
        <v>12382</v>
      </c>
      <c r="B6195" s="2" t="s">
        <v>0</v>
      </c>
      <c r="C6195" s="2">
        <v>3663.46</v>
      </c>
      <c r="D6195" s="2" t="s">
        <v>0</v>
      </c>
      <c r="E6195" s="2">
        <v>12377.87</v>
      </c>
      <c r="G6195" s="1" t="s">
        <v>12383</v>
      </c>
      <c r="H6195" s="2" t="s">
        <v>0</v>
      </c>
      <c r="I6195" s="2">
        <v>2770.06</v>
      </c>
    </row>
    <row r="6196">
      <c r="A6196" s="1" t="s">
        <v>12384</v>
      </c>
      <c r="B6196" s="2" t="s">
        <v>0</v>
      </c>
      <c r="C6196" s="2">
        <v>3663.46</v>
      </c>
      <c r="D6196" s="2" t="s">
        <v>0</v>
      </c>
      <c r="E6196" s="2">
        <v>12377.87</v>
      </c>
      <c r="G6196" s="1" t="s">
        <v>12385</v>
      </c>
      <c r="H6196" s="2" t="s">
        <v>0</v>
      </c>
      <c r="I6196" s="2">
        <v>2770.06</v>
      </c>
    </row>
    <row r="6197">
      <c r="A6197" s="1" t="s">
        <v>12386</v>
      </c>
      <c r="B6197" s="2">
        <v>3647.49</v>
      </c>
      <c r="C6197" s="2">
        <v>3647.49</v>
      </c>
      <c r="D6197" s="2">
        <v>12440.04</v>
      </c>
      <c r="E6197" s="2">
        <v>12440.04</v>
      </c>
      <c r="G6197" s="1" t="s">
        <v>12387</v>
      </c>
      <c r="H6197" s="2">
        <v>2762.2</v>
      </c>
      <c r="I6197" s="2">
        <v>2762.2</v>
      </c>
    </row>
    <row r="6198">
      <c r="A6198" s="1" t="s">
        <v>12388</v>
      </c>
      <c r="B6198" s="2">
        <v>3694.62</v>
      </c>
      <c r="C6198" s="2">
        <v>3694.62</v>
      </c>
      <c r="D6198" s="2">
        <v>12595.06</v>
      </c>
      <c r="E6198" s="2">
        <v>12595.06</v>
      </c>
      <c r="G6198" s="1" t="s">
        <v>12389</v>
      </c>
      <c r="H6198" s="2">
        <v>2756.82</v>
      </c>
      <c r="I6198" s="2">
        <v>2756.82</v>
      </c>
    </row>
    <row r="6199">
      <c r="A6199" s="1" t="s">
        <v>12390</v>
      </c>
      <c r="B6199" s="2">
        <v>3701.17</v>
      </c>
      <c r="C6199" s="2">
        <v>3701.17</v>
      </c>
      <c r="D6199" s="2">
        <v>12658.19</v>
      </c>
      <c r="E6199" s="2">
        <v>12658.19</v>
      </c>
      <c r="G6199" s="1" t="s">
        <v>12391</v>
      </c>
      <c r="H6199" s="2">
        <v>2771.79</v>
      </c>
      <c r="I6199" s="2">
        <v>2771.79</v>
      </c>
    </row>
    <row r="6200">
      <c r="A6200" s="1" t="s">
        <v>12392</v>
      </c>
      <c r="B6200" s="2">
        <v>3722.48</v>
      </c>
      <c r="C6200" s="2">
        <v>3722.48</v>
      </c>
      <c r="D6200" s="2">
        <v>12764.75</v>
      </c>
      <c r="E6200" s="2">
        <v>12764.75</v>
      </c>
      <c r="G6200" s="1" t="s">
        <v>12393</v>
      </c>
      <c r="H6200" s="2">
        <v>2770.43</v>
      </c>
      <c r="I6200" s="2">
        <v>2770.43</v>
      </c>
    </row>
    <row r="6201">
      <c r="A6201" s="1" t="s">
        <v>12394</v>
      </c>
      <c r="B6201" s="2">
        <v>3709.41</v>
      </c>
      <c r="C6201" s="2">
        <v>3709.41</v>
      </c>
      <c r="D6201" s="2">
        <v>12755.64</v>
      </c>
      <c r="E6201" s="2">
        <v>12755.64</v>
      </c>
      <c r="G6201" s="1" t="s">
        <v>12395</v>
      </c>
      <c r="H6201" s="2">
        <v>2772.18</v>
      </c>
      <c r="I6201" s="2">
        <v>2772.18</v>
      </c>
    </row>
    <row r="6202">
      <c r="A6202" s="1" t="s">
        <v>12396</v>
      </c>
      <c r="B6202" s="2" t="s">
        <v>0</v>
      </c>
      <c r="C6202" s="2">
        <v>3709.41</v>
      </c>
      <c r="D6202" s="2" t="s">
        <v>0</v>
      </c>
      <c r="E6202" s="2">
        <v>12755.64</v>
      </c>
      <c r="G6202" s="1" t="s">
        <v>12397</v>
      </c>
      <c r="H6202" s="2" t="s">
        <v>0</v>
      </c>
      <c r="I6202" s="2">
        <v>2772.18</v>
      </c>
    </row>
    <row r="6203">
      <c r="A6203" s="1" t="s">
        <v>12398</v>
      </c>
      <c r="B6203" s="2" t="s">
        <v>0</v>
      </c>
      <c r="C6203" s="2">
        <v>3709.41</v>
      </c>
      <c r="D6203" s="2" t="s">
        <v>0</v>
      </c>
      <c r="E6203" s="2">
        <v>12755.64</v>
      </c>
      <c r="G6203" s="1" t="s">
        <v>12399</v>
      </c>
      <c r="H6203" s="2" t="s">
        <v>0</v>
      </c>
      <c r="I6203" s="2">
        <v>2772.18</v>
      </c>
    </row>
    <row r="6204">
      <c r="A6204" s="1" t="s">
        <v>12400</v>
      </c>
      <c r="B6204" s="2">
        <v>3694.92</v>
      </c>
      <c r="C6204" s="2">
        <v>3694.92</v>
      </c>
      <c r="D6204" s="2">
        <v>12742.52</v>
      </c>
      <c r="E6204" s="2">
        <v>12742.52</v>
      </c>
      <c r="G6204" s="1" t="s">
        <v>12401</v>
      </c>
      <c r="H6204" s="2">
        <v>2778.65</v>
      </c>
      <c r="I6204" s="2">
        <v>2778.65</v>
      </c>
    </row>
    <row r="6205">
      <c r="A6205" s="1" t="s">
        <v>12402</v>
      </c>
      <c r="B6205" s="2">
        <v>3687.26</v>
      </c>
      <c r="C6205" s="2">
        <v>3687.26</v>
      </c>
      <c r="D6205" s="2">
        <v>12807.92</v>
      </c>
      <c r="E6205" s="2">
        <v>12807.92</v>
      </c>
      <c r="G6205" s="1" t="s">
        <v>12403</v>
      </c>
      <c r="H6205" s="2">
        <v>2733.68</v>
      </c>
      <c r="I6205" s="2">
        <v>2733.68</v>
      </c>
    </row>
    <row r="6206">
      <c r="A6206" s="1" t="s">
        <v>12404</v>
      </c>
      <c r="B6206" s="2">
        <v>3690.01</v>
      </c>
      <c r="C6206" s="2">
        <v>3690.01</v>
      </c>
      <c r="D6206" s="2">
        <v>12771.11</v>
      </c>
      <c r="E6206" s="2">
        <v>12771.11</v>
      </c>
      <c r="G6206" s="1" t="s">
        <v>12405</v>
      </c>
      <c r="H6206" s="2">
        <v>2759.82</v>
      </c>
      <c r="I6206" s="2">
        <v>2759.82</v>
      </c>
    </row>
    <row r="6207">
      <c r="A6207" s="1" t="s">
        <v>12406</v>
      </c>
      <c r="B6207" s="2" t="s">
        <v>0</v>
      </c>
      <c r="C6207" s="2">
        <v>3690.01</v>
      </c>
      <c r="D6207" s="2" t="s">
        <v>0</v>
      </c>
      <c r="E6207" s="2">
        <v>12771.11</v>
      </c>
      <c r="G6207" s="1" t="s">
        <v>12407</v>
      </c>
      <c r="H6207" s="2">
        <v>2806.86</v>
      </c>
      <c r="I6207" s="2">
        <v>2806.86</v>
      </c>
    </row>
    <row r="6208">
      <c r="A6208" s="1" t="s">
        <v>12408</v>
      </c>
      <c r="B6208" s="2" t="s">
        <v>0</v>
      </c>
      <c r="C6208" s="2">
        <v>3690.01</v>
      </c>
      <c r="D6208" s="2" t="s">
        <v>0</v>
      </c>
      <c r="E6208" s="2">
        <v>12771.11</v>
      </c>
      <c r="G6208" s="1" t="s">
        <v>12409</v>
      </c>
      <c r="H6208" s="2" t="s">
        <v>0</v>
      </c>
      <c r="I6208" s="2">
        <v>2806.86</v>
      </c>
    </row>
    <row r="6209">
      <c r="A6209" s="1" t="s">
        <v>12410</v>
      </c>
      <c r="B6209" s="2" t="s">
        <v>0</v>
      </c>
      <c r="C6209" s="2">
        <v>3690.01</v>
      </c>
      <c r="D6209" s="2" t="s">
        <v>0</v>
      </c>
      <c r="E6209" s="2">
        <v>12771.11</v>
      </c>
      <c r="G6209" s="1" t="s">
        <v>12411</v>
      </c>
      <c r="H6209" s="2" t="s">
        <v>0</v>
      </c>
      <c r="I6209" s="2">
        <v>2806.86</v>
      </c>
    </row>
    <row r="6210">
      <c r="A6210" s="1" t="s">
        <v>12412</v>
      </c>
      <c r="B6210" s="2" t="s">
        <v>0</v>
      </c>
      <c r="C6210" s="2">
        <v>3690.01</v>
      </c>
      <c r="D6210" s="2" t="s">
        <v>0</v>
      </c>
      <c r="E6210" s="2">
        <v>12771.11</v>
      </c>
      <c r="G6210" s="1" t="s">
        <v>12413</v>
      </c>
      <c r="H6210" s="2" t="s">
        <v>0</v>
      </c>
      <c r="I6210" s="2">
        <v>2806.86</v>
      </c>
    </row>
    <row r="6211">
      <c r="A6211" s="1" t="s">
        <v>12414</v>
      </c>
      <c r="B6211" s="2">
        <v>3735.36</v>
      </c>
      <c r="C6211" s="2">
        <v>3735.36</v>
      </c>
      <c r="D6211" s="2">
        <v>12899.42</v>
      </c>
      <c r="E6211" s="2">
        <v>12899.42</v>
      </c>
      <c r="G6211" s="1" t="s">
        <v>12415</v>
      </c>
      <c r="H6211" s="2">
        <v>2808.6</v>
      </c>
      <c r="I6211" s="2">
        <v>2808.6</v>
      </c>
    </row>
    <row r="6212">
      <c r="A6212" s="1" t="s">
        <v>12416</v>
      </c>
      <c r="B6212" s="2">
        <v>3727.04</v>
      </c>
      <c r="C6212" s="2">
        <v>3727.04</v>
      </c>
      <c r="D6212" s="2">
        <v>12850.22</v>
      </c>
      <c r="E6212" s="2">
        <v>12850.22</v>
      </c>
      <c r="G6212" s="1" t="s">
        <v>12417</v>
      </c>
      <c r="H6212" s="2">
        <v>2820.51</v>
      </c>
      <c r="I6212" s="2">
        <v>2820.51</v>
      </c>
    </row>
    <row r="6213">
      <c r="A6213" s="1" t="s">
        <v>12418</v>
      </c>
      <c r="B6213" s="2">
        <v>3732.04</v>
      </c>
      <c r="C6213" s="2">
        <v>3732.04</v>
      </c>
      <c r="D6213" s="2">
        <v>12870.0</v>
      </c>
      <c r="E6213" s="2">
        <v>12870.0</v>
      </c>
      <c r="G6213" s="1" t="s">
        <v>12419</v>
      </c>
      <c r="H6213" s="2">
        <v>2873.47</v>
      </c>
      <c r="I6213" s="2">
        <v>2873.47</v>
      </c>
    </row>
    <row r="6214">
      <c r="A6214" s="1" t="s">
        <v>12420</v>
      </c>
      <c r="B6214" s="2">
        <v>3756.07</v>
      </c>
      <c r="C6214" s="2">
        <v>3756.07</v>
      </c>
      <c r="D6214" s="2">
        <v>12888.28</v>
      </c>
      <c r="E6214" s="2">
        <v>12888.28</v>
      </c>
      <c r="G6214" s="1" t="s">
        <v>12421</v>
      </c>
      <c r="H6214" s="2" t="s">
        <v>0</v>
      </c>
      <c r="I6214" s="2">
        <v>2873.47</v>
      </c>
    </row>
    <row r="6215">
      <c r="A6215" s="1" t="s">
        <v>12422</v>
      </c>
      <c r="B6215" s="2" t="s">
        <v>0</v>
      </c>
      <c r="C6215" s="2">
        <v>3756.07</v>
      </c>
      <c r="D6215" s="2" t="s">
        <v>0</v>
      </c>
      <c r="E6215" s="2">
        <v>12888.28</v>
      </c>
      <c r="G6215" s="1" t="s">
        <v>12423</v>
      </c>
      <c r="H6215" s="2" t="s">
        <v>0</v>
      </c>
      <c r="I6215" s="2">
        <v>2873.47</v>
      </c>
    </row>
    <row r="6216">
      <c r="A6216" s="1" t="s">
        <v>12424</v>
      </c>
      <c r="B6216" s="2" t="s">
        <v>0</v>
      </c>
      <c r="C6216" s="2">
        <v>3756.07</v>
      </c>
      <c r="D6216" s="2" t="s">
        <v>0</v>
      </c>
      <c r="E6216" s="2">
        <v>12888.28</v>
      </c>
      <c r="G6216" s="1" t="s">
        <v>12425</v>
      </c>
      <c r="H6216" s="2" t="s">
        <v>0</v>
      </c>
      <c r="I6216" s="2">
        <v>2873.47</v>
      </c>
    </row>
    <row r="6217">
      <c r="A6217" s="1" t="s">
        <v>12426</v>
      </c>
      <c r="B6217" s="2" t="s">
        <v>0</v>
      </c>
      <c r="C6217" s="2">
        <v>3756.07</v>
      </c>
      <c r="D6217" s="2" t="s">
        <v>0</v>
      </c>
      <c r="E6217" s="2">
        <v>12888.28</v>
      </c>
      <c r="G6217" s="1" t="s">
        <v>12427</v>
      </c>
      <c r="H6217" s="2" t="s">
        <v>0</v>
      </c>
      <c r="I6217" s="2">
        <v>2873.47</v>
      </c>
    </row>
    <row r="6218">
      <c r="A6218" s="1" t="s">
        <v>12428</v>
      </c>
      <c r="B6218" s="2">
        <v>3700.65</v>
      </c>
      <c r="C6218" s="2">
        <v>3700.65</v>
      </c>
      <c r="D6218" s="2">
        <v>12698.45</v>
      </c>
      <c r="E6218" s="2">
        <v>12698.45</v>
      </c>
      <c r="G6218" s="1" t="s">
        <v>12429</v>
      </c>
      <c r="H6218" s="2">
        <v>2944.45</v>
      </c>
      <c r="I6218" s="2">
        <v>2944.45</v>
      </c>
    </row>
    <row r="6219">
      <c r="A6219" s="1" t="s">
        <v>12430</v>
      </c>
      <c r="B6219" s="2">
        <v>3726.86</v>
      </c>
      <c r="C6219" s="2">
        <v>3726.86</v>
      </c>
      <c r="D6219" s="2">
        <v>12818.96</v>
      </c>
      <c r="E6219" s="2">
        <v>12818.96</v>
      </c>
      <c r="G6219" s="1" t="s">
        <v>12431</v>
      </c>
      <c r="H6219" s="2">
        <v>2990.57</v>
      </c>
      <c r="I6219" s="2">
        <v>2990.57</v>
      </c>
    </row>
    <row r="6220">
      <c r="A6220" s="1" t="s">
        <v>12432</v>
      </c>
      <c r="B6220" s="2">
        <v>3748.14</v>
      </c>
      <c r="C6220" s="2">
        <v>3748.14</v>
      </c>
      <c r="D6220" s="2">
        <v>12740.79</v>
      </c>
      <c r="E6220" s="2">
        <v>12740.79</v>
      </c>
      <c r="G6220" s="1" t="s">
        <v>12433</v>
      </c>
      <c r="H6220" s="2">
        <v>2968.21</v>
      </c>
      <c r="I6220" s="2">
        <v>2968.21</v>
      </c>
    </row>
    <row r="6221">
      <c r="A6221" s="1" t="s">
        <v>12434</v>
      </c>
      <c r="B6221" s="2">
        <v>3803.79</v>
      </c>
      <c r="C6221" s="2">
        <v>3803.79</v>
      </c>
      <c r="D6221" s="2">
        <v>13067.48</v>
      </c>
      <c r="E6221" s="2">
        <v>13067.48</v>
      </c>
      <c r="G6221" s="1" t="s">
        <v>12435</v>
      </c>
      <c r="H6221" s="2">
        <v>3031.68</v>
      </c>
      <c r="I6221" s="2">
        <v>3031.68</v>
      </c>
    </row>
    <row r="6222">
      <c r="A6222" s="1" t="s">
        <v>12436</v>
      </c>
      <c r="B6222" s="2">
        <v>3824.68</v>
      </c>
      <c r="C6222" s="2">
        <v>3824.68</v>
      </c>
      <c r="D6222" s="2">
        <v>13201.98</v>
      </c>
      <c r="E6222" s="2">
        <v>13201.98</v>
      </c>
      <c r="G6222" s="1" t="s">
        <v>12437</v>
      </c>
      <c r="H6222" s="2">
        <v>3152.18</v>
      </c>
      <c r="I6222" s="2">
        <v>3152.18</v>
      </c>
    </row>
    <row r="6223">
      <c r="A6223" s="1" t="s">
        <v>12438</v>
      </c>
      <c r="B6223" s="2" t="s">
        <v>0</v>
      </c>
      <c r="C6223" s="2">
        <v>3824.68</v>
      </c>
      <c r="D6223" s="2" t="s">
        <v>0</v>
      </c>
      <c r="E6223" s="2">
        <v>13201.98</v>
      </c>
      <c r="G6223" s="1" t="s">
        <v>12439</v>
      </c>
      <c r="H6223" s="2" t="s">
        <v>0</v>
      </c>
      <c r="I6223" s="2">
        <v>3152.18</v>
      </c>
    </row>
    <row r="6224">
      <c r="A6224" s="1" t="s">
        <v>12440</v>
      </c>
      <c r="B6224" s="2" t="s">
        <v>0</v>
      </c>
      <c r="C6224" s="2">
        <v>3824.68</v>
      </c>
      <c r="D6224" s="2" t="s">
        <v>0</v>
      </c>
      <c r="E6224" s="2">
        <v>13201.98</v>
      </c>
      <c r="G6224" s="1" t="s">
        <v>12441</v>
      </c>
      <c r="H6224" s="2" t="s">
        <v>0</v>
      </c>
      <c r="I6224" s="2">
        <v>3152.18</v>
      </c>
    </row>
    <row r="6225">
      <c r="A6225" s="1" t="s">
        <v>12442</v>
      </c>
      <c r="B6225" s="2">
        <v>3799.61</v>
      </c>
      <c r="C6225" s="2">
        <v>3799.61</v>
      </c>
      <c r="D6225" s="2">
        <v>13036.43</v>
      </c>
      <c r="E6225" s="2">
        <v>13036.43</v>
      </c>
      <c r="G6225" s="1" t="s">
        <v>12443</v>
      </c>
      <c r="H6225" s="2">
        <v>3148.45</v>
      </c>
      <c r="I6225" s="2">
        <v>3148.45</v>
      </c>
    </row>
    <row r="6226">
      <c r="A6226" s="1" t="s">
        <v>12444</v>
      </c>
      <c r="B6226" s="2">
        <v>3801.19</v>
      </c>
      <c r="C6226" s="2">
        <v>3801.19</v>
      </c>
      <c r="D6226" s="2">
        <v>13072.43</v>
      </c>
      <c r="E6226" s="2">
        <v>13072.43</v>
      </c>
      <c r="G6226" s="1" t="s">
        <v>12445</v>
      </c>
      <c r="H6226" s="2">
        <v>3125.95</v>
      </c>
      <c r="I6226" s="2">
        <v>3125.95</v>
      </c>
    </row>
    <row r="6227">
      <c r="A6227" s="1" t="s">
        <v>12446</v>
      </c>
      <c r="B6227" s="2">
        <v>3809.84</v>
      </c>
      <c r="C6227" s="2">
        <v>3809.84</v>
      </c>
      <c r="D6227" s="2">
        <v>13128.95</v>
      </c>
      <c r="E6227" s="2">
        <v>13128.95</v>
      </c>
      <c r="G6227" s="1" t="s">
        <v>12447</v>
      </c>
      <c r="H6227" s="2">
        <v>3148.29</v>
      </c>
      <c r="I6227" s="2">
        <v>3148.29</v>
      </c>
    </row>
    <row r="6228">
      <c r="A6228" s="1" t="s">
        <v>12448</v>
      </c>
      <c r="B6228" s="2">
        <v>3795.54</v>
      </c>
      <c r="C6228" s="2">
        <v>3795.54</v>
      </c>
      <c r="D6228" s="2">
        <v>13112.64</v>
      </c>
      <c r="E6228" s="2">
        <v>13112.64</v>
      </c>
      <c r="G6228" s="1" t="s">
        <v>12449</v>
      </c>
      <c r="H6228" s="2">
        <v>3149.93</v>
      </c>
      <c r="I6228" s="2">
        <v>3149.93</v>
      </c>
    </row>
    <row r="6229">
      <c r="A6229" s="1" t="s">
        <v>12450</v>
      </c>
      <c r="B6229" s="2">
        <v>3768.25</v>
      </c>
      <c r="C6229" s="2">
        <v>3768.25</v>
      </c>
      <c r="D6229" s="2">
        <v>12998.5</v>
      </c>
      <c r="E6229" s="2">
        <v>12998.5</v>
      </c>
      <c r="G6229" s="1" t="s">
        <v>12451</v>
      </c>
      <c r="H6229" s="2">
        <v>3085.9</v>
      </c>
      <c r="I6229" s="2">
        <v>3085.9</v>
      </c>
    </row>
    <row r="6230">
      <c r="A6230" s="1" t="s">
        <v>12452</v>
      </c>
      <c r="B6230" s="2" t="s">
        <v>0</v>
      </c>
      <c r="C6230" s="2">
        <v>3768.25</v>
      </c>
      <c r="D6230" s="2" t="s">
        <v>0</v>
      </c>
      <c r="E6230" s="2">
        <v>12998.5</v>
      </c>
      <c r="G6230" s="1" t="s">
        <v>12453</v>
      </c>
      <c r="H6230" s="2" t="s">
        <v>0</v>
      </c>
      <c r="I6230" s="2">
        <v>3085.9</v>
      </c>
    </row>
    <row r="6231">
      <c r="A6231" s="1" t="s">
        <v>12454</v>
      </c>
      <c r="B6231" s="2" t="s">
        <v>0</v>
      </c>
      <c r="C6231" s="2">
        <v>3768.25</v>
      </c>
      <c r="D6231" s="2" t="s">
        <v>0</v>
      </c>
      <c r="E6231" s="2">
        <v>12998.5</v>
      </c>
      <c r="G6231" s="1" t="s">
        <v>12455</v>
      </c>
      <c r="H6231" s="2" t="s">
        <v>0</v>
      </c>
      <c r="I6231" s="2">
        <v>3085.9</v>
      </c>
    </row>
    <row r="6232">
      <c r="A6232" s="1" t="s">
        <v>12456</v>
      </c>
      <c r="B6232" s="2" t="s">
        <v>0</v>
      </c>
      <c r="C6232" s="2">
        <v>3768.25</v>
      </c>
      <c r="D6232" s="2" t="s">
        <v>0</v>
      </c>
      <c r="E6232" s="2">
        <v>12998.5</v>
      </c>
      <c r="G6232" s="1" t="s">
        <v>12457</v>
      </c>
      <c r="H6232" s="2">
        <v>3013.93</v>
      </c>
      <c r="I6232" s="2">
        <v>3013.93</v>
      </c>
    </row>
    <row r="6233">
      <c r="A6233" s="1" t="s">
        <v>12458</v>
      </c>
      <c r="B6233" s="2">
        <v>3798.91</v>
      </c>
      <c r="C6233" s="2">
        <v>3798.91</v>
      </c>
      <c r="D6233" s="2">
        <v>13197.18</v>
      </c>
      <c r="E6233" s="2">
        <v>13197.18</v>
      </c>
      <c r="G6233" s="1" t="s">
        <v>12459</v>
      </c>
      <c r="H6233" s="2">
        <v>3092.66</v>
      </c>
      <c r="I6233" s="2">
        <v>3092.66</v>
      </c>
    </row>
    <row r="6234">
      <c r="A6234" s="1" t="s">
        <v>12460</v>
      </c>
      <c r="B6234" s="2">
        <v>3851.85</v>
      </c>
      <c r="C6234" s="2">
        <v>3851.85</v>
      </c>
      <c r="D6234" s="2">
        <v>13457.25</v>
      </c>
      <c r="E6234" s="2">
        <v>13457.25</v>
      </c>
      <c r="G6234" s="1" t="s">
        <v>12461</v>
      </c>
      <c r="H6234" s="2">
        <v>3114.55</v>
      </c>
      <c r="I6234" s="2">
        <v>3114.55</v>
      </c>
    </row>
    <row r="6235">
      <c r="A6235" s="1" t="s">
        <v>12462</v>
      </c>
      <c r="B6235" s="2">
        <v>3853.07</v>
      </c>
      <c r="C6235" s="2">
        <v>3853.07</v>
      </c>
      <c r="D6235" s="2">
        <v>13530.92</v>
      </c>
      <c r="E6235" s="2">
        <v>13530.92</v>
      </c>
      <c r="G6235" s="1" t="s">
        <v>12463</v>
      </c>
      <c r="H6235" s="2">
        <v>3160.84</v>
      </c>
      <c r="I6235" s="2">
        <v>3160.84</v>
      </c>
    </row>
    <row r="6236">
      <c r="A6236" s="1" t="s">
        <v>12464</v>
      </c>
      <c r="B6236" s="2">
        <v>3841.47</v>
      </c>
      <c r="C6236" s="2">
        <v>3841.47</v>
      </c>
      <c r="D6236" s="2">
        <v>13543.06</v>
      </c>
      <c r="E6236" s="2">
        <v>13543.06</v>
      </c>
      <c r="G6236" s="1" t="s">
        <v>12465</v>
      </c>
      <c r="H6236" s="2">
        <v>3140.63</v>
      </c>
      <c r="I6236" s="2">
        <v>3140.63</v>
      </c>
    </row>
    <row r="6237">
      <c r="A6237" s="1" t="s">
        <v>12466</v>
      </c>
      <c r="B6237" s="2" t="s">
        <v>0</v>
      </c>
      <c r="C6237" s="2">
        <v>3841.47</v>
      </c>
      <c r="D6237" s="2" t="s">
        <v>0</v>
      </c>
      <c r="E6237" s="2">
        <v>13543.06</v>
      </c>
      <c r="G6237" s="1" t="s">
        <v>12467</v>
      </c>
      <c r="H6237" s="2" t="s">
        <v>0</v>
      </c>
      <c r="I6237" s="2">
        <v>3140.63</v>
      </c>
    </row>
    <row r="6238">
      <c r="A6238" s="1" t="s">
        <v>12468</v>
      </c>
      <c r="B6238" s="2" t="s">
        <v>0</v>
      </c>
      <c r="C6238" s="2">
        <v>3841.47</v>
      </c>
      <c r="D6238" s="2" t="s">
        <v>0</v>
      </c>
      <c r="E6238" s="2">
        <v>13543.06</v>
      </c>
      <c r="G6238" s="1" t="s">
        <v>12469</v>
      </c>
      <c r="H6238" s="2" t="s">
        <v>0</v>
      </c>
      <c r="I6238" s="2">
        <v>3140.63</v>
      </c>
    </row>
    <row r="6239">
      <c r="A6239" s="1" t="s">
        <v>12470</v>
      </c>
      <c r="B6239" s="2">
        <v>3855.36</v>
      </c>
      <c r="C6239" s="2">
        <v>3855.36</v>
      </c>
      <c r="D6239" s="2">
        <v>13635.99</v>
      </c>
      <c r="E6239" s="2">
        <v>13635.99</v>
      </c>
      <c r="G6239" s="1" t="s">
        <v>12471</v>
      </c>
      <c r="H6239" s="2">
        <v>3208.99</v>
      </c>
      <c r="I6239" s="2">
        <v>3208.99</v>
      </c>
    </row>
    <row r="6240">
      <c r="A6240" s="1" t="s">
        <v>12472</v>
      </c>
      <c r="B6240" s="2">
        <v>3849.62</v>
      </c>
      <c r="C6240" s="2">
        <v>3849.62</v>
      </c>
      <c r="D6240" s="2">
        <v>13626.07</v>
      </c>
      <c r="E6240" s="2">
        <v>13626.07</v>
      </c>
      <c r="G6240" s="1" t="s">
        <v>12473</v>
      </c>
      <c r="H6240" s="2">
        <v>3140.31</v>
      </c>
      <c r="I6240" s="2">
        <v>3140.31</v>
      </c>
    </row>
    <row r="6241">
      <c r="A6241" s="1" t="s">
        <v>12474</v>
      </c>
      <c r="B6241" s="2">
        <v>3750.77</v>
      </c>
      <c r="C6241" s="2">
        <v>3750.77</v>
      </c>
      <c r="D6241" s="2">
        <v>13270.6</v>
      </c>
      <c r="E6241" s="2">
        <v>13270.6</v>
      </c>
      <c r="G6241" s="1" t="s">
        <v>12475</v>
      </c>
      <c r="H6241" s="2">
        <v>3122.56</v>
      </c>
      <c r="I6241" s="2">
        <v>3122.56</v>
      </c>
    </row>
    <row r="6242">
      <c r="A6242" s="1" t="s">
        <v>12476</v>
      </c>
      <c r="B6242" s="2">
        <v>3787.38</v>
      </c>
      <c r="C6242" s="2">
        <v>3787.38</v>
      </c>
      <c r="D6242" s="2">
        <v>13337.16</v>
      </c>
      <c r="E6242" s="2">
        <v>13337.16</v>
      </c>
      <c r="G6242" s="1" t="s">
        <v>12477</v>
      </c>
      <c r="H6242" s="2">
        <v>3069.05</v>
      </c>
      <c r="I6242" s="2">
        <v>3069.05</v>
      </c>
    </row>
    <row r="6243">
      <c r="A6243" s="1" t="s">
        <v>12478</v>
      </c>
      <c r="B6243" s="2">
        <v>3714.24</v>
      </c>
      <c r="C6243" s="2">
        <v>3714.24</v>
      </c>
      <c r="D6243" s="2">
        <v>13070.7</v>
      </c>
      <c r="E6243" s="2">
        <v>13070.7</v>
      </c>
      <c r="G6243" s="1" t="s">
        <v>12479</v>
      </c>
      <c r="H6243" s="2">
        <v>2976.21</v>
      </c>
      <c r="I6243" s="2">
        <v>2976.21</v>
      </c>
    </row>
    <row r="6244">
      <c r="A6244" s="1" t="s">
        <v>12480</v>
      </c>
      <c r="B6244" s="2" t="s">
        <v>0</v>
      </c>
      <c r="C6244" s="2">
        <v>3714.24</v>
      </c>
      <c r="D6244" s="2" t="s">
        <v>0</v>
      </c>
      <c r="E6244" s="2">
        <v>13070.7</v>
      </c>
      <c r="G6244" s="1" t="s">
        <v>12481</v>
      </c>
      <c r="H6244" s="2" t="s">
        <v>0</v>
      </c>
      <c r="I6244" s="2">
        <v>2976.21</v>
      </c>
    </row>
    <row r="6245">
      <c r="A6245" s="1" t="s">
        <v>12482</v>
      </c>
      <c r="B6245" s="2" t="s">
        <v>0</v>
      </c>
      <c r="C6245" s="2">
        <v>3714.24</v>
      </c>
      <c r="D6245" s="2" t="s">
        <v>0</v>
      </c>
      <c r="E6245" s="2">
        <v>13070.7</v>
      </c>
      <c r="G6245" s="1" t="s">
        <v>12483</v>
      </c>
      <c r="H6245" s="2" t="s">
        <v>0</v>
      </c>
      <c r="I6245" s="2">
        <v>2976.21</v>
      </c>
    </row>
    <row r="6246">
      <c r="A6246" s="1" t="s">
        <v>12484</v>
      </c>
      <c r="B6246" s="2">
        <v>3773.86</v>
      </c>
      <c r="C6246" s="2">
        <v>3773.86</v>
      </c>
      <c r="D6246" s="2">
        <v>13403.39</v>
      </c>
      <c r="E6246" s="2">
        <v>13403.39</v>
      </c>
      <c r="G6246" s="1" t="s">
        <v>12485</v>
      </c>
      <c r="H6246" s="2">
        <v>3056.53</v>
      </c>
      <c r="I6246" s="2">
        <v>3056.53</v>
      </c>
    </row>
    <row r="6247">
      <c r="A6247" s="1" t="s">
        <v>12486</v>
      </c>
      <c r="B6247" s="2">
        <v>3826.31</v>
      </c>
      <c r="C6247" s="2">
        <v>3826.31</v>
      </c>
      <c r="D6247" s="2">
        <v>13612.78</v>
      </c>
      <c r="E6247" s="2">
        <v>13612.78</v>
      </c>
      <c r="G6247" s="1" t="s">
        <v>12487</v>
      </c>
      <c r="H6247" s="2">
        <v>3096.81</v>
      </c>
      <c r="I6247" s="2">
        <v>3096.81</v>
      </c>
    </row>
    <row r="6248">
      <c r="A6248" s="1" t="s">
        <v>12488</v>
      </c>
      <c r="B6248" s="2">
        <v>3830.17</v>
      </c>
      <c r="C6248" s="2">
        <v>3830.17</v>
      </c>
      <c r="D6248" s="2">
        <v>13610.54</v>
      </c>
      <c r="E6248" s="2">
        <v>13610.54</v>
      </c>
      <c r="G6248" s="1" t="s">
        <v>12489</v>
      </c>
      <c r="H6248" s="2">
        <v>3129.68</v>
      </c>
      <c r="I6248" s="2">
        <v>3129.68</v>
      </c>
    </row>
    <row r="6249">
      <c r="A6249" s="1" t="s">
        <v>12490</v>
      </c>
      <c r="B6249" s="2">
        <v>3871.74</v>
      </c>
      <c r="C6249" s="2">
        <v>3871.74</v>
      </c>
      <c r="D6249" s="2">
        <v>13777.74</v>
      </c>
      <c r="E6249" s="2">
        <v>13777.74</v>
      </c>
      <c r="G6249" s="1" t="s">
        <v>12491</v>
      </c>
      <c r="H6249" s="2">
        <v>3087.55</v>
      </c>
      <c r="I6249" s="2">
        <v>3087.55</v>
      </c>
    </row>
    <row r="6250">
      <c r="A6250" s="1" t="s">
        <v>12492</v>
      </c>
      <c r="B6250" s="2">
        <v>3886.83</v>
      </c>
      <c r="C6250" s="2">
        <v>3886.83</v>
      </c>
      <c r="D6250" s="2">
        <v>13856.3</v>
      </c>
      <c r="E6250" s="2">
        <v>13856.3</v>
      </c>
      <c r="G6250" s="1" t="s">
        <v>12493</v>
      </c>
      <c r="H6250" s="2">
        <v>3120.63</v>
      </c>
      <c r="I6250" s="2">
        <v>3120.63</v>
      </c>
    </row>
    <row r="6251">
      <c r="A6251" s="1" t="s">
        <v>12494</v>
      </c>
      <c r="B6251" s="2" t="s">
        <v>0</v>
      </c>
      <c r="C6251" s="2">
        <v>3886.83</v>
      </c>
      <c r="D6251" s="2" t="s">
        <v>0</v>
      </c>
      <c r="E6251" s="2">
        <v>13856.3</v>
      </c>
      <c r="G6251" s="1" t="s">
        <v>12495</v>
      </c>
      <c r="H6251" s="2" t="s">
        <v>0</v>
      </c>
      <c r="I6251" s="2">
        <v>3120.63</v>
      </c>
    </row>
    <row r="6252">
      <c r="A6252" s="1" t="s">
        <v>12496</v>
      </c>
      <c r="B6252" s="2" t="s">
        <v>0</v>
      </c>
      <c r="C6252" s="2">
        <v>3886.83</v>
      </c>
      <c r="D6252" s="2" t="s">
        <v>0</v>
      </c>
      <c r="E6252" s="2">
        <v>13856.3</v>
      </c>
      <c r="G6252" s="1" t="s">
        <v>12497</v>
      </c>
      <c r="H6252" s="2" t="s">
        <v>0</v>
      </c>
      <c r="I6252" s="2">
        <v>3120.63</v>
      </c>
    </row>
    <row r="6253">
      <c r="A6253" s="1" t="s">
        <v>12498</v>
      </c>
      <c r="B6253" s="2">
        <v>3915.59</v>
      </c>
      <c r="C6253" s="2">
        <v>3915.59</v>
      </c>
      <c r="D6253" s="2">
        <v>13987.64</v>
      </c>
      <c r="E6253" s="2">
        <v>13987.64</v>
      </c>
      <c r="G6253" s="1" t="s">
        <v>12499</v>
      </c>
      <c r="H6253" s="2">
        <v>3091.24</v>
      </c>
      <c r="I6253" s="2">
        <v>3091.24</v>
      </c>
    </row>
    <row r="6254">
      <c r="A6254" s="1" t="s">
        <v>12500</v>
      </c>
      <c r="B6254" s="2">
        <v>3911.23</v>
      </c>
      <c r="C6254" s="2">
        <v>3911.23</v>
      </c>
      <c r="D6254" s="2">
        <v>14007.7</v>
      </c>
      <c r="E6254" s="2">
        <v>14007.7</v>
      </c>
      <c r="G6254" s="1" t="s">
        <v>12501</v>
      </c>
      <c r="H6254" s="2">
        <v>3084.67</v>
      </c>
      <c r="I6254" s="2">
        <v>3084.67</v>
      </c>
    </row>
    <row r="6255">
      <c r="A6255" s="1" t="s">
        <v>12502</v>
      </c>
      <c r="B6255" s="2">
        <v>3909.88</v>
      </c>
      <c r="C6255" s="2">
        <v>3909.88</v>
      </c>
      <c r="D6255" s="2">
        <v>13972.53</v>
      </c>
      <c r="E6255" s="2">
        <v>13972.53</v>
      </c>
      <c r="G6255" s="1" t="s">
        <v>12503</v>
      </c>
      <c r="H6255" s="2">
        <v>3100.58</v>
      </c>
      <c r="I6255" s="2">
        <v>3100.58</v>
      </c>
    </row>
    <row r="6256">
      <c r="A6256" s="1" t="s">
        <v>12504</v>
      </c>
      <c r="B6256" s="2">
        <v>3916.38</v>
      </c>
      <c r="C6256" s="2">
        <v>3916.38</v>
      </c>
      <c r="D6256" s="2">
        <v>14025.77</v>
      </c>
      <c r="E6256" s="2">
        <v>14025.77</v>
      </c>
      <c r="G6256" s="1" t="s">
        <v>12505</v>
      </c>
      <c r="H6256" s="2" t="s">
        <v>0</v>
      </c>
      <c r="I6256" s="2">
        <v>3100.58</v>
      </c>
    </row>
    <row r="6257">
      <c r="A6257" s="1" t="s">
        <v>12506</v>
      </c>
      <c r="B6257" s="2">
        <v>3934.83</v>
      </c>
      <c r="C6257" s="2">
        <v>3934.83</v>
      </c>
      <c r="D6257" s="2">
        <v>14095.47</v>
      </c>
      <c r="E6257" s="2">
        <v>14095.47</v>
      </c>
      <c r="G6257" s="1" t="s">
        <v>12507</v>
      </c>
      <c r="H6257" s="2" t="s">
        <v>0</v>
      </c>
      <c r="I6257" s="2">
        <v>3100.58</v>
      </c>
    </row>
    <row r="6258">
      <c r="A6258" s="1" t="s">
        <v>12508</v>
      </c>
      <c r="B6258" s="2" t="s">
        <v>0</v>
      </c>
      <c r="C6258" s="2">
        <v>3934.83</v>
      </c>
      <c r="D6258" s="2" t="s">
        <v>0</v>
      </c>
      <c r="E6258" s="2">
        <v>14095.47</v>
      </c>
      <c r="G6258" s="1" t="s">
        <v>12509</v>
      </c>
      <c r="H6258" s="2" t="s">
        <v>0</v>
      </c>
      <c r="I6258" s="2">
        <v>3100.58</v>
      </c>
    </row>
    <row r="6259">
      <c r="A6259" s="1" t="s">
        <v>12510</v>
      </c>
      <c r="B6259" s="2" t="s">
        <v>0</v>
      </c>
      <c r="C6259" s="2">
        <v>3934.83</v>
      </c>
      <c r="D6259" s="2" t="s">
        <v>0</v>
      </c>
      <c r="E6259" s="2">
        <v>14095.47</v>
      </c>
      <c r="G6259" s="1" t="s">
        <v>12511</v>
      </c>
      <c r="H6259" s="2" t="s">
        <v>0</v>
      </c>
      <c r="I6259" s="2">
        <v>3100.58</v>
      </c>
    </row>
    <row r="6260">
      <c r="A6260" s="1" t="s">
        <v>12512</v>
      </c>
      <c r="B6260" s="2" t="s">
        <v>0</v>
      </c>
      <c r="C6260" s="2">
        <v>3934.83</v>
      </c>
      <c r="D6260" s="2" t="s">
        <v>0</v>
      </c>
      <c r="E6260" s="2">
        <v>14095.47</v>
      </c>
      <c r="G6260" s="1" t="s">
        <v>12513</v>
      </c>
      <c r="H6260" s="2">
        <v>3147.0</v>
      </c>
      <c r="I6260" s="2">
        <v>3147.0</v>
      </c>
    </row>
    <row r="6261">
      <c r="A6261" s="1" t="s">
        <v>12514</v>
      </c>
      <c r="B6261" s="2">
        <v>3932.59</v>
      </c>
      <c r="C6261" s="2">
        <v>3932.59</v>
      </c>
      <c r="D6261" s="2">
        <v>14047.5</v>
      </c>
      <c r="E6261" s="2">
        <v>14047.5</v>
      </c>
      <c r="G6261" s="1" t="s">
        <v>12515</v>
      </c>
      <c r="H6261" s="2">
        <v>3163.25</v>
      </c>
      <c r="I6261" s="2">
        <v>3163.25</v>
      </c>
    </row>
    <row r="6262">
      <c r="A6262" s="1" t="s">
        <v>12516</v>
      </c>
      <c r="B6262" s="2">
        <v>3931.33</v>
      </c>
      <c r="C6262" s="2">
        <v>3931.33</v>
      </c>
      <c r="D6262" s="2">
        <v>13965.5</v>
      </c>
      <c r="E6262" s="2">
        <v>13965.5</v>
      </c>
      <c r="G6262" s="1" t="s">
        <v>12517</v>
      </c>
      <c r="H6262" s="2">
        <v>3133.73</v>
      </c>
      <c r="I6262" s="2">
        <v>3133.73</v>
      </c>
    </row>
    <row r="6263">
      <c r="A6263" s="1" t="s">
        <v>12518</v>
      </c>
      <c r="B6263" s="2">
        <v>3913.97</v>
      </c>
      <c r="C6263" s="2">
        <v>3913.97</v>
      </c>
      <c r="D6263" s="2">
        <v>13865.36</v>
      </c>
      <c r="E6263" s="2">
        <v>13865.36</v>
      </c>
      <c r="G6263" s="1" t="s">
        <v>12519</v>
      </c>
      <c r="H6263" s="2">
        <v>3086.66</v>
      </c>
      <c r="I6263" s="2">
        <v>3086.66</v>
      </c>
    </row>
    <row r="6264">
      <c r="A6264" s="1" t="s">
        <v>12520</v>
      </c>
      <c r="B6264" s="2">
        <v>3906.71</v>
      </c>
      <c r="C6264" s="2">
        <v>3906.71</v>
      </c>
      <c r="D6264" s="2">
        <v>13874.46</v>
      </c>
      <c r="E6264" s="2">
        <v>13874.46</v>
      </c>
      <c r="G6264" s="1" t="s">
        <v>12521</v>
      </c>
      <c r="H6264" s="2">
        <v>3107.62</v>
      </c>
      <c r="I6264" s="2">
        <v>3107.62</v>
      </c>
    </row>
    <row r="6265">
      <c r="A6265" s="1" t="s">
        <v>12522</v>
      </c>
      <c r="B6265" s="2" t="s">
        <v>0</v>
      </c>
      <c r="C6265" s="2">
        <v>3906.71</v>
      </c>
      <c r="D6265" s="2" t="s">
        <v>0</v>
      </c>
      <c r="E6265" s="2">
        <v>13874.46</v>
      </c>
      <c r="G6265" s="1" t="s">
        <v>12523</v>
      </c>
      <c r="H6265" s="2" t="s">
        <v>0</v>
      </c>
      <c r="I6265" s="2">
        <v>3107.62</v>
      </c>
    </row>
    <row r="6266">
      <c r="A6266" s="1" t="s">
        <v>12524</v>
      </c>
      <c r="B6266" s="2" t="s">
        <v>0</v>
      </c>
      <c r="C6266" s="2">
        <v>3906.71</v>
      </c>
      <c r="D6266" s="2" t="s">
        <v>0</v>
      </c>
      <c r="E6266" s="2">
        <v>13874.46</v>
      </c>
      <c r="G6266" s="1" t="s">
        <v>12525</v>
      </c>
      <c r="H6266" s="2" t="s">
        <v>0</v>
      </c>
      <c r="I6266" s="2">
        <v>3107.62</v>
      </c>
    </row>
    <row r="6267">
      <c r="A6267" s="1" t="s">
        <v>12526</v>
      </c>
      <c r="B6267" s="2">
        <v>3876.5</v>
      </c>
      <c r="C6267" s="2">
        <v>3876.5</v>
      </c>
      <c r="D6267" s="2">
        <v>13533.05</v>
      </c>
      <c r="E6267" s="2">
        <v>13533.05</v>
      </c>
      <c r="G6267" s="1" t="s">
        <v>12527</v>
      </c>
      <c r="H6267" s="2">
        <v>3079.75</v>
      </c>
      <c r="I6267" s="2">
        <v>3079.75</v>
      </c>
    </row>
    <row r="6268">
      <c r="A6268" s="1" t="s">
        <v>12528</v>
      </c>
      <c r="B6268" s="2">
        <v>3881.37</v>
      </c>
      <c r="C6268" s="2">
        <v>3881.37</v>
      </c>
      <c r="D6268" s="2">
        <v>13465.2</v>
      </c>
      <c r="E6268" s="2">
        <v>13465.2</v>
      </c>
      <c r="G6268" s="1" t="s">
        <v>12529</v>
      </c>
      <c r="H6268" s="2">
        <v>3070.09</v>
      </c>
      <c r="I6268" s="2">
        <v>3070.09</v>
      </c>
    </row>
    <row r="6269">
      <c r="A6269" s="1" t="s">
        <v>12530</v>
      </c>
      <c r="B6269" s="2">
        <v>3925.43</v>
      </c>
      <c r="C6269" s="2">
        <v>3925.43</v>
      </c>
      <c r="D6269" s="2">
        <v>13597.97</v>
      </c>
      <c r="E6269" s="2">
        <v>13597.97</v>
      </c>
      <c r="G6269" s="1" t="s">
        <v>12531</v>
      </c>
      <c r="H6269" s="2">
        <v>2994.98</v>
      </c>
      <c r="I6269" s="2">
        <v>2994.98</v>
      </c>
    </row>
    <row r="6270">
      <c r="A6270" s="1" t="s">
        <v>12532</v>
      </c>
      <c r="B6270" s="2">
        <v>3829.34</v>
      </c>
      <c r="C6270" s="2">
        <v>3829.34</v>
      </c>
      <c r="D6270" s="2">
        <v>13119.43</v>
      </c>
      <c r="E6270" s="2">
        <v>13119.43</v>
      </c>
      <c r="G6270" s="1" t="s">
        <v>12533</v>
      </c>
      <c r="H6270" s="2">
        <v>3099.69</v>
      </c>
      <c r="I6270" s="2">
        <v>3099.69</v>
      </c>
    </row>
    <row r="6271">
      <c r="A6271" s="1" t="s">
        <v>12534</v>
      </c>
      <c r="B6271" s="2">
        <v>3811.15</v>
      </c>
      <c r="C6271" s="2">
        <v>3811.15</v>
      </c>
      <c r="D6271" s="2">
        <v>13192.35</v>
      </c>
      <c r="E6271" s="2">
        <v>13192.35</v>
      </c>
      <c r="G6271" s="1" t="s">
        <v>12535</v>
      </c>
      <c r="H6271" s="2">
        <v>3012.95</v>
      </c>
      <c r="I6271" s="2">
        <v>3012.95</v>
      </c>
    </row>
    <row r="6272">
      <c r="A6272" s="1" t="s">
        <v>12536</v>
      </c>
      <c r="B6272" s="2" t="s">
        <v>0</v>
      </c>
      <c r="C6272" s="2">
        <v>3811.15</v>
      </c>
      <c r="D6272" s="2" t="s">
        <v>0</v>
      </c>
      <c r="E6272" s="2">
        <v>13192.35</v>
      </c>
      <c r="G6272" s="1" t="s">
        <v>12537</v>
      </c>
      <c r="H6272" s="2" t="s">
        <v>0</v>
      </c>
      <c r="I6272" s="2">
        <v>3012.95</v>
      </c>
    </row>
    <row r="6273">
      <c r="A6273" s="1" t="s">
        <v>12538</v>
      </c>
      <c r="B6273" s="2" t="s">
        <v>0</v>
      </c>
      <c r="C6273" s="2">
        <v>3811.15</v>
      </c>
      <c r="D6273" s="2" t="s">
        <v>0</v>
      </c>
      <c r="E6273" s="2">
        <v>13192.35</v>
      </c>
      <c r="G6273" s="1" t="s">
        <v>12539</v>
      </c>
      <c r="H6273" s="2" t="s">
        <v>0</v>
      </c>
      <c r="I6273" s="2">
        <v>3012.95</v>
      </c>
    </row>
    <row r="6274">
      <c r="A6274" s="1" t="s">
        <v>12540</v>
      </c>
      <c r="B6274" s="2">
        <v>3901.82</v>
      </c>
      <c r="C6274" s="2">
        <v>3901.82</v>
      </c>
      <c r="D6274" s="2">
        <v>13588.83</v>
      </c>
      <c r="E6274" s="2">
        <v>13588.83</v>
      </c>
      <c r="G6274" s="1" t="s">
        <v>12541</v>
      </c>
      <c r="H6274" s="2" t="s">
        <v>0</v>
      </c>
      <c r="I6274" s="2">
        <v>3012.95</v>
      </c>
    </row>
    <row r="6275">
      <c r="A6275" s="1" t="s">
        <v>12542</v>
      </c>
      <c r="B6275" s="2">
        <v>3870.29</v>
      </c>
      <c r="C6275" s="2">
        <v>3870.29</v>
      </c>
      <c r="D6275" s="2">
        <v>13358.79</v>
      </c>
      <c r="E6275" s="2">
        <v>13358.79</v>
      </c>
      <c r="G6275" s="1" t="s">
        <v>12543</v>
      </c>
      <c r="H6275" s="2">
        <v>3043.87</v>
      </c>
      <c r="I6275" s="2">
        <v>3043.87</v>
      </c>
    </row>
    <row r="6276">
      <c r="A6276" s="1" t="s">
        <v>12544</v>
      </c>
      <c r="B6276" s="2">
        <v>3819.72</v>
      </c>
      <c r="C6276" s="2">
        <v>3819.72</v>
      </c>
      <c r="D6276" s="2">
        <v>12997.75</v>
      </c>
      <c r="E6276" s="2">
        <v>12997.75</v>
      </c>
      <c r="G6276" s="1" t="s">
        <v>12545</v>
      </c>
      <c r="H6276" s="2">
        <v>3082.99</v>
      </c>
      <c r="I6276" s="2">
        <v>3082.99</v>
      </c>
    </row>
    <row r="6277">
      <c r="A6277" s="1" t="s">
        <v>12546</v>
      </c>
      <c r="B6277" s="2">
        <v>3768.47</v>
      </c>
      <c r="C6277" s="2">
        <v>3768.47</v>
      </c>
      <c r="D6277" s="2">
        <v>12723.47</v>
      </c>
      <c r="E6277" s="2">
        <v>12723.47</v>
      </c>
      <c r="G6277" s="1" t="s">
        <v>12547</v>
      </c>
      <c r="H6277" s="2">
        <v>3043.49</v>
      </c>
      <c r="I6277" s="2">
        <v>3043.49</v>
      </c>
    </row>
    <row r="6278">
      <c r="A6278" s="1" t="s">
        <v>12548</v>
      </c>
      <c r="B6278" s="2">
        <v>3841.94</v>
      </c>
      <c r="C6278" s="2">
        <v>3841.94</v>
      </c>
      <c r="D6278" s="2">
        <v>12920.15</v>
      </c>
      <c r="E6278" s="2">
        <v>12920.15</v>
      </c>
      <c r="G6278" s="1" t="s">
        <v>12549</v>
      </c>
      <c r="H6278" s="2">
        <v>3026.26</v>
      </c>
      <c r="I6278" s="2">
        <v>3026.26</v>
      </c>
    </row>
    <row r="6279">
      <c r="A6279" s="1" t="s">
        <v>12550</v>
      </c>
      <c r="B6279" s="2" t="s">
        <v>0</v>
      </c>
      <c r="C6279" s="2">
        <v>3841.94</v>
      </c>
      <c r="D6279" s="2" t="s">
        <v>0</v>
      </c>
      <c r="E6279" s="2">
        <v>12920.15</v>
      </c>
      <c r="G6279" s="1" t="s">
        <v>12551</v>
      </c>
      <c r="H6279" s="2" t="s">
        <v>0</v>
      </c>
      <c r="I6279" s="2">
        <v>3026.26</v>
      </c>
    </row>
    <row r="6280">
      <c r="A6280" s="1" t="s">
        <v>12552</v>
      </c>
      <c r="B6280" s="2" t="s">
        <v>0</v>
      </c>
      <c r="C6280" s="2">
        <v>3841.94</v>
      </c>
      <c r="D6280" s="2" t="s">
        <v>0</v>
      </c>
      <c r="E6280" s="2">
        <v>12920.15</v>
      </c>
      <c r="G6280" s="1" t="s">
        <v>12553</v>
      </c>
      <c r="H6280" s="2" t="s">
        <v>0</v>
      </c>
      <c r="I6280" s="2">
        <v>3026.26</v>
      </c>
    </row>
    <row r="6281">
      <c r="A6281" s="1" t="s">
        <v>12554</v>
      </c>
      <c r="B6281" s="2">
        <v>3821.35</v>
      </c>
      <c r="C6281" s="2">
        <v>3821.35</v>
      </c>
      <c r="D6281" s="2">
        <v>12609.16</v>
      </c>
      <c r="E6281" s="2">
        <v>12609.16</v>
      </c>
      <c r="G6281" s="1" t="s">
        <v>12555</v>
      </c>
      <c r="H6281" s="2">
        <v>2996.11</v>
      </c>
      <c r="I6281" s="2">
        <v>2996.11</v>
      </c>
    </row>
    <row r="6282">
      <c r="A6282" s="1" t="s">
        <v>12556</v>
      </c>
      <c r="B6282" s="2">
        <v>3875.44</v>
      </c>
      <c r="C6282" s="2">
        <v>3875.44</v>
      </c>
      <c r="D6282" s="2">
        <v>13073.83</v>
      </c>
      <c r="E6282" s="2">
        <v>13073.83</v>
      </c>
      <c r="G6282" s="1" t="s">
        <v>12557</v>
      </c>
      <c r="H6282" s="2">
        <v>2976.12</v>
      </c>
      <c r="I6282" s="2">
        <v>2976.12</v>
      </c>
    </row>
    <row r="6283">
      <c r="A6283" s="1" t="s">
        <v>12558</v>
      </c>
      <c r="B6283" s="2">
        <v>3898.81</v>
      </c>
      <c r="C6283" s="2">
        <v>3898.81</v>
      </c>
      <c r="D6283" s="2">
        <v>13068.83</v>
      </c>
      <c r="E6283" s="2">
        <v>13068.83</v>
      </c>
      <c r="G6283" s="1" t="s">
        <v>12559</v>
      </c>
      <c r="H6283" s="2">
        <v>2958.12</v>
      </c>
      <c r="I6283" s="2">
        <v>2958.12</v>
      </c>
    </row>
    <row r="6284">
      <c r="A6284" s="1" t="s">
        <v>12560</v>
      </c>
      <c r="B6284" s="2">
        <v>3939.34</v>
      </c>
      <c r="C6284" s="2">
        <v>3939.34</v>
      </c>
      <c r="D6284" s="2">
        <v>13398.67</v>
      </c>
      <c r="E6284" s="2">
        <v>13398.67</v>
      </c>
      <c r="G6284" s="1" t="s">
        <v>12561</v>
      </c>
      <c r="H6284" s="2">
        <v>3013.7</v>
      </c>
      <c r="I6284" s="2">
        <v>3013.7</v>
      </c>
    </row>
    <row r="6285">
      <c r="A6285" s="1" t="s">
        <v>12562</v>
      </c>
      <c r="B6285" s="2">
        <v>3943.34</v>
      </c>
      <c r="C6285" s="2">
        <v>3943.34</v>
      </c>
      <c r="D6285" s="2">
        <v>13319.87</v>
      </c>
      <c r="E6285" s="2">
        <v>13319.87</v>
      </c>
      <c r="G6285" s="1" t="s">
        <v>12563</v>
      </c>
      <c r="H6285" s="2">
        <v>3054.39</v>
      </c>
      <c r="I6285" s="2">
        <v>3054.39</v>
      </c>
    </row>
    <row r="6286">
      <c r="A6286" s="1" t="s">
        <v>12564</v>
      </c>
      <c r="B6286" s="2" t="s">
        <v>0</v>
      </c>
      <c r="C6286" s="2">
        <v>3943.34</v>
      </c>
      <c r="D6286" s="2" t="s">
        <v>0</v>
      </c>
      <c r="E6286" s="2">
        <v>13319.87</v>
      </c>
      <c r="G6286" s="1" t="s">
        <v>12565</v>
      </c>
      <c r="H6286" s="2" t="s">
        <v>0</v>
      </c>
      <c r="I6286" s="2">
        <v>3054.39</v>
      </c>
    </row>
    <row r="6287">
      <c r="A6287" s="1" t="s">
        <v>12566</v>
      </c>
      <c r="B6287" s="2" t="s">
        <v>0</v>
      </c>
      <c r="C6287" s="2">
        <v>3943.34</v>
      </c>
      <c r="D6287" s="2" t="s">
        <v>0</v>
      </c>
      <c r="E6287" s="2">
        <v>13319.87</v>
      </c>
      <c r="G6287" s="1" t="s">
        <v>12567</v>
      </c>
      <c r="H6287" s="2" t="s">
        <v>0</v>
      </c>
      <c r="I6287" s="2">
        <v>3054.39</v>
      </c>
    </row>
    <row r="6288">
      <c r="A6288" s="1" t="s">
        <v>12568</v>
      </c>
      <c r="B6288" s="2">
        <v>3968.94</v>
      </c>
      <c r="C6288" s="2">
        <v>3968.94</v>
      </c>
      <c r="D6288" s="2">
        <v>13459.71</v>
      </c>
      <c r="E6288" s="2">
        <v>13459.71</v>
      </c>
      <c r="G6288" s="1" t="s">
        <v>12569</v>
      </c>
      <c r="H6288" s="2">
        <v>3045.71</v>
      </c>
      <c r="I6288" s="2">
        <v>3045.71</v>
      </c>
    </row>
    <row r="6289">
      <c r="A6289" s="1" t="s">
        <v>12570</v>
      </c>
      <c r="B6289" s="2">
        <v>3962.71</v>
      </c>
      <c r="C6289" s="2">
        <v>3962.71</v>
      </c>
      <c r="D6289" s="2">
        <v>13471.57</v>
      </c>
      <c r="E6289" s="2">
        <v>13471.57</v>
      </c>
      <c r="G6289" s="1" t="s">
        <v>12571</v>
      </c>
      <c r="H6289" s="2">
        <v>3067.17</v>
      </c>
      <c r="I6289" s="2">
        <v>3067.17</v>
      </c>
    </row>
    <row r="6290">
      <c r="A6290" s="1" t="s">
        <v>12572</v>
      </c>
      <c r="B6290" s="2">
        <v>3974.12</v>
      </c>
      <c r="C6290" s="2">
        <v>3974.12</v>
      </c>
      <c r="D6290" s="2">
        <v>13525.2</v>
      </c>
      <c r="E6290" s="2">
        <v>13525.2</v>
      </c>
      <c r="G6290" s="1" t="s">
        <v>12573</v>
      </c>
      <c r="H6290" s="2">
        <v>3047.5</v>
      </c>
      <c r="I6290" s="2">
        <v>3047.5</v>
      </c>
    </row>
    <row r="6291">
      <c r="A6291" s="1" t="s">
        <v>12574</v>
      </c>
      <c r="B6291" s="2">
        <v>3915.46</v>
      </c>
      <c r="C6291" s="2">
        <v>3915.46</v>
      </c>
      <c r="D6291" s="2">
        <v>13116.17</v>
      </c>
      <c r="E6291" s="2">
        <v>13116.17</v>
      </c>
      <c r="G6291" s="1" t="s">
        <v>12575</v>
      </c>
      <c r="H6291" s="2">
        <v>3066.01</v>
      </c>
      <c r="I6291" s="2">
        <v>3066.01</v>
      </c>
    </row>
    <row r="6292">
      <c r="A6292" s="1" t="s">
        <v>12576</v>
      </c>
      <c r="B6292" s="2">
        <v>3913.1</v>
      </c>
      <c r="C6292" s="2">
        <v>3913.1</v>
      </c>
      <c r="D6292" s="2">
        <v>13215.24</v>
      </c>
      <c r="E6292" s="2">
        <v>13215.24</v>
      </c>
      <c r="G6292" s="1" t="s">
        <v>12577</v>
      </c>
      <c r="H6292" s="2">
        <v>3039.53</v>
      </c>
      <c r="I6292" s="2">
        <v>3039.53</v>
      </c>
    </row>
    <row r="6293">
      <c r="A6293" s="1" t="s">
        <v>12578</v>
      </c>
      <c r="B6293" s="2" t="s">
        <v>0</v>
      </c>
      <c r="C6293" s="2">
        <v>3913.1</v>
      </c>
      <c r="D6293" s="2" t="s">
        <v>0</v>
      </c>
      <c r="E6293" s="2">
        <v>13215.24</v>
      </c>
      <c r="G6293" s="1" t="s">
        <v>12579</v>
      </c>
      <c r="H6293" s="2" t="s">
        <v>0</v>
      </c>
      <c r="I6293" s="2">
        <v>3039.53</v>
      </c>
    </row>
    <row r="6294">
      <c r="A6294" s="1" t="s">
        <v>12580</v>
      </c>
      <c r="B6294" s="2" t="s">
        <v>0</v>
      </c>
      <c r="C6294" s="2">
        <v>3913.1</v>
      </c>
      <c r="D6294" s="2" t="s">
        <v>0</v>
      </c>
      <c r="E6294" s="2">
        <v>13215.24</v>
      </c>
      <c r="G6294" s="1" t="s">
        <v>12581</v>
      </c>
      <c r="H6294" s="2" t="s">
        <v>0</v>
      </c>
      <c r="I6294" s="2">
        <v>3039.53</v>
      </c>
    </row>
    <row r="6295">
      <c r="A6295" s="1" t="s">
        <v>12582</v>
      </c>
      <c r="B6295" s="2">
        <v>3940.59</v>
      </c>
      <c r="C6295" s="2">
        <v>3940.59</v>
      </c>
      <c r="D6295" s="2">
        <v>13377.54</v>
      </c>
      <c r="E6295" s="2">
        <v>13377.54</v>
      </c>
      <c r="G6295" s="1" t="s">
        <v>12583</v>
      </c>
      <c r="H6295" s="2">
        <v>3035.46</v>
      </c>
      <c r="I6295" s="2">
        <v>3035.46</v>
      </c>
    </row>
    <row r="6296">
      <c r="A6296" s="1" t="s">
        <v>12584</v>
      </c>
      <c r="B6296" s="2">
        <v>3910.52</v>
      </c>
      <c r="C6296" s="2">
        <v>3910.52</v>
      </c>
      <c r="D6296" s="2">
        <v>13227.7</v>
      </c>
      <c r="E6296" s="2">
        <v>13227.7</v>
      </c>
      <c r="G6296" s="1" t="s">
        <v>12585</v>
      </c>
      <c r="H6296" s="2">
        <v>3004.74</v>
      </c>
      <c r="I6296" s="2">
        <v>3004.74</v>
      </c>
    </row>
    <row r="6297">
      <c r="A6297" s="1" t="s">
        <v>12586</v>
      </c>
      <c r="B6297" s="2">
        <v>3889.14</v>
      </c>
      <c r="C6297" s="2">
        <v>3889.14</v>
      </c>
      <c r="D6297" s="2">
        <v>12961.89</v>
      </c>
      <c r="E6297" s="2">
        <v>12961.89</v>
      </c>
      <c r="G6297" s="1" t="s">
        <v>12587</v>
      </c>
      <c r="H6297" s="2">
        <v>2996.35</v>
      </c>
      <c r="I6297" s="2">
        <v>2996.35</v>
      </c>
    </row>
    <row r="6298">
      <c r="A6298" s="1" t="s">
        <v>12588</v>
      </c>
      <c r="B6298" s="2">
        <v>3909.52</v>
      </c>
      <c r="C6298" s="2">
        <v>3909.52</v>
      </c>
      <c r="D6298" s="2">
        <v>12977.68</v>
      </c>
      <c r="E6298" s="2">
        <v>12977.68</v>
      </c>
      <c r="G6298" s="1" t="s">
        <v>12589</v>
      </c>
      <c r="H6298" s="2">
        <v>3008.33</v>
      </c>
      <c r="I6298" s="2">
        <v>3008.33</v>
      </c>
    </row>
    <row r="6299">
      <c r="A6299" s="1" t="s">
        <v>12590</v>
      </c>
      <c r="B6299" s="2">
        <v>3974.54</v>
      </c>
      <c r="C6299" s="2">
        <v>3974.54</v>
      </c>
      <c r="D6299" s="2">
        <v>13138.73</v>
      </c>
      <c r="E6299" s="2">
        <v>13138.73</v>
      </c>
      <c r="G6299" s="1" t="s">
        <v>12591</v>
      </c>
      <c r="H6299" s="2">
        <v>3041.01</v>
      </c>
      <c r="I6299" s="2">
        <v>3041.01</v>
      </c>
    </row>
    <row r="6300">
      <c r="A6300" s="1" t="s">
        <v>12592</v>
      </c>
      <c r="B6300" s="2" t="s">
        <v>0</v>
      </c>
      <c r="C6300" s="2">
        <v>3974.54</v>
      </c>
      <c r="D6300" s="2" t="s">
        <v>0</v>
      </c>
      <c r="E6300" s="2">
        <v>13138.73</v>
      </c>
      <c r="G6300" s="1" t="s">
        <v>12593</v>
      </c>
      <c r="H6300" s="2" t="s">
        <v>0</v>
      </c>
      <c r="I6300" s="2">
        <v>3041.01</v>
      </c>
    </row>
    <row r="6301">
      <c r="A6301" s="1" t="s">
        <v>12594</v>
      </c>
      <c r="B6301" s="2" t="s">
        <v>0</v>
      </c>
      <c r="C6301" s="2">
        <v>3974.54</v>
      </c>
      <c r="D6301" s="2" t="s">
        <v>0</v>
      </c>
      <c r="E6301" s="2">
        <v>13138.73</v>
      </c>
      <c r="G6301" s="1" t="s">
        <v>12595</v>
      </c>
      <c r="H6301" s="2" t="s">
        <v>0</v>
      </c>
      <c r="I6301" s="2">
        <v>3041.01</v>
      </c>
    </row>
    <row r="6302">
      <c r="A6302" s="1" t="s">
        <v>12596</v>
      </c>
      <c r="B6302" s="2">
        <v>3971.09</v>
      </c>
      <c r="C6302" s="2">
        <v>3971.09</v>
      </c>
      <c r="D6302" s="2">
        <v>13059.65</v>
      </c>
      <c r="E6302" s="2">
        <v>13059.65</v>
      </c>
      <c r="G6302" s="1" t="s">
        <v>12597</v>
      </c>
      <c r="H6302" s="2">
        <v>3036.04</v>
      </c>
      <c r="I6302" s="2">
        <v>3036.04</v>
      </c>
    </row>
    <row r="6303">
      <c r="A6303" s="1" t="s">
        <v>12598</v>
      </c>
      <c r="B6303" s="2">
        <v>3958.55</v>
      </c>
      <c r="C6303" s="2">
        <v>3958.55</v>
      </c>
      <c r="D6303" s="2">
        <v>13045.39</v>
      </c>
      <c r="E6303" s="2">
        <v>13045.39</v>
      </c>
      <c r="G6303" s="1" t="s">
        <v>12599</v>
      </c>
      <c r="H6303" s="2">
        <v>3070.0</v>
      </c>
      <c r="I6303" s="2">
        <v>3070.0</v>
      </c>
    </row>
    <row r="6304">
      <c r="A6304" s="1" t="s">
        <v>12600</v>
      </c>
      <c r="B6304" s="2">
        <v>3972.89</v>
      </c>
      <c r="C6304" s="2">
        <v>3972.89</v>
      </c>
      <c r="D6304" s="2">
        <v>13246.87</v>
      </c>
      <c r="E6304" s="2">
        <v>13246.87</v>
      </c>
      <c r="G6304" s="1" t="s">
        <v>12601</v>
      </c>
      <c r="H6304" s="2">
        <v>3061.42</v>
      </c>
      <c r="I6304" s="2">
        <v>3061.42</v>
      </c>
    </row>
    <row r="6305">
      <c r="A6305" s="1" t="s">
        <v>12602</v>
      </c>
      <c r="B6305" s="2">
        <v>4019.87</v>
      </c>
      <c r="C6305" s="2">
        <v>4019.87</v>
      </c>
      <c r="D6305" s="2">
        <v>13480.11</v>
      </c>
      <c r="E6305" s="2">
        <v>13480.11</v>
      </c>
      <c r="G6305" s="1" t="s">
        <v>12603</v>
      </c>
      <c r="H6305" s="2">
        <v>3087.4</v>
      </c>
      <c r="I6305" s="2">
        <v>3087.4</v>
      </c>
    </row>
    <row r="6306">
      <c r="A6306" s="1" t="s">
        <v>12604</v>
      </c>
      <c r="B6306" s="2" t="s">
        <v>0</v>
      </c>
      <c r="C6306" s="2">
        <v>4019.87</v>
      </c>
      <c r="D6306" s="2" t="s">
        <v>0</v>
      </c>
      <c r="E6306" s="2">
        <v>13480.11</v>
      </c>
      <c r="G6306" s="1" t="s">
        <v>12605</v>
      </c>
      <c r="H6306" s="2">
        <v>3112.8</v>
      </c>
      <c r="I6306" s="2">
        <v>3112.8</v>
      </c>
    </row>
    <row r="6307">
      <c r="A6307" s="1" t="s">
        <v>12606</v>
      </c>
      <c r="B6307" s="2" t="s">
        <v>0</v>
      </c>
      <c r="C6307" s="2">
        <v>4019.87</v>
      </c>
      <c r="D6307" s="2" t="s">
        <v>0</v>
      </c>
      <c r="E6307" s="2">
        <v>13480.11</v>
      </c>
      <c r="G6307" s="1" t="s">
        <v>12607</v>
      </c>
      <c r="H6307" s="2" t="s">
        <v>0</v>
      </c>
      <c r="I6307" s="2">
        <v>3112.8</v>
      </c>
    </row>
    <row r="6308">
      <c r="A6308" s="1" t="s">
        <v>12608</v>
      </c>
      <c r="B6308" s="2" t="s">
        <v>0</v>
      </c>
      <c r="C6308" s="2">
        <v>4019.87</v>
      </c>
      <c r="D6308" s="2" t="s">
        <v>0</v>
      </c>
      <c r="E6308" s="2">
        <v>13480.11</v>
      </c>
      <c r="G6308" s="1" t="s">
        <v>12609</v>
      </c>
      <c r="H6308" s="2" t="s">
        <v>0</v>
      </c>
      <c r="I6308" s="2">
        <v>3112.8</v>
      </c>
    </row>
    <row r="6309">
      <c r="A6309" s="1" t="s">
        <v>12610</v>
      </c>
      <c r="B6309" s="2">
        <v>4077.91</v>
      </c>
      <c r="C6309" s="2">
        <v>4077.91</v>
      </c>
      <c r="D6309" s="2">
        <v>13705.59</v>
      </c>
      <c r="E6309" s="2">
        <v>13705.59</v>
      </c>
      <c r="G6309" s="1" t="s">
        <v>12611</v>
      </c>
      <c r="H6309" s="2">
        <v>3120.83</v>
      </c>
      <c r="I6309" s="2">
        <v>3120.83</v>
      </c>
    </row>
    <row r="6310">
      <c r="A6310" s="1" t="s">
        <v>12612</v>
      </c>
      <c r="B6310" s="2">
        <v>4073.94</v>
      </c>
      <c r="C6310" s="2">
        <v>4073.94</v>
      </c>
      <c r="D6310" s="2">
        <v>13698.38</v>
      </c>
      <c r="E6310" s="2">
        <v>13698.38</v>
      </c>
      <c r="G6310" s="1" t="s">
        <v>12613</v>
      </c>
      <c r="H6310" s="2">
        <v>3127.08</v>
      </c>
      <c r="I6310" s="2">
        <v>3127.08</v>
      </c>
    </row>
    <row r="6311">
      <c r="A6311" s="1" t="s">
        <v>12614</v>
      </c>
      <c r="B6311" s="2">
        <v>4079.95</v>
      </c>
      <c r="C6311" s="2">
        <v>4079.95</v>
      </c>
      <c r="D6311" s="2">
        <v>13688.84</v>
      </c>
      <c r="E6311" s="2">
        <v>13688.84</v>
      </c>
      <c r="G6311" s="1" t="s">
        <v>12615</v>
      </c>
      <c r="H6311" s="2">
        <v>3137.41</v>
      </c>
      <c r="I6311" s="2">
        <v>3137.41</v>
      </c>
    </row>
    <row r="6312">
      <c r="A6312" s="1" t="s">
        <v>12616</v>
      </c>
      <c r="B6312" s="2">
        <v>4097.17</v>
      </c>
      <c r="C6312" s="2">
        <v>4097.17</v>
      </c>
      <c r="D6312" s="2">
        <v>13829.31</v>
      </c>
      <c r="E6312" s="2">
        <v>13829.31</v>
      </c>
      <c r="G6312" s="1" t="s">
        <v>12617</v>
      </c>
      <c r="H6312" s="2">
        <v>3143.26</v>
      </c>
      <c r="I6312" s="2">
        <v>3143.26</v>
      </c>
    </row>
    <row r="6313">
      <c r="A6313" s="1" t="s">
        <v>12618</v>
      </c>
      <c r="B6313" s="2">
        <v>4128.8</v>
      </c>
      <c r="C6313" s="2">
        <v>4128.8</v>
      </c>
      <c r="D6313" s="2">
        <v>13900.19</v>
      </c>
      <c r="E6313" s="2">
        <v>13900.19</v>
      </c>
      <c r="G6313" s="1" t="s">
        <v>12619</v>
      </c>
      <c r="H6313" s="2">
        <v>3131.88</v>
      </c>
      <c r="I6313" s="2">
        <v>3131.88</v>
      </c>
    </row>
    <row r="6314">
      <c r="A6314" s="1" t="s">
        <v>12620</v>
      </c>
      <c r="B6314" s="2" t="s">
        <v>0</v>
      </c>
      <c r="C6314" s="2">
        <v>4128.8</v>
      </c>
      <c r="D6314" s="2" t="s">
        <v>0</v>
      </c>
      <c r="E6314" s="2">
        <v>13900.19</v>
      </c>
      <c r="G6314" s="1" t="s">
        <v>12621</v>
      </c>
      <c r="H6314" s="2" t="s">
        <v>0</v>
      </c>
      <c r="I6314" s="2">
        <v>3131.88</v>
      </c>
    </row>
    <row r="6315">
      <c r="A6315" s="1" t="s">
        <v>12622</v>
      </c>
      <c r="B6315" s="2" t="s">
        <v>0</v>
      </c>
      <c r="C6315" s="2">
        <v>4128.8</v>
      </c>
      <c r="D6315" s="2" t="s">
        <v>0</v>
      </c>
      <c r="E6315" s="2">
        <v>13900.19</v>
      </c>
      <c r="G6315" s="1" t="s">
        <v>12623</v>
      </c>
      <c r="H6315" s="2" t="s">
        <v>0</v>
      </c>
      <c r="I6315" s="2">
        <v>3131.88</v>
      </c>
    </row>
    <row r="6316">
      <c r="A6316" s="1" t="s">
        <v>12624</v>
      </c>
      <c r="B6316" s="2">
        <v>4127.99</v>
      </c>
      <c r="C6316" s="2">
        <v>4127.99</v>
      </c>
      <c r="D6316" s="2">
        <v>13850.0</v>
      </c>
      <c r="E6316" s="2">
        <v>13850.0</v>
      </c>
      <c r="G6316" s="1" t="s">
        <v>12625</v>
      </c>
      <c r="H6316" s="2">
        <v>3135.59</v>
      </c>
      <c r="I6316" s="2">
        <v>3135.59</v>
      </c>
    </row>
    <row r="6317">
      <c r="A6317" s="1" t="s">
        <v>12626</v>
      </c>
      <c r="B6317" s="2">
        <v>4141.59</v>
      </c>
      <c r="C6317" s="2">
        <v>4141.59</v>
      </c>
      <c r="D6317" s="2">
        <v>13996.1</v>
      </c>
      <c r="E6317" s="2">
        <v>13996.1</v>
      </c>
      <c r="G6317" s="1" t="s">
        <v>12627</v>
      </c>
      <c r="H6317" s="2">
        <v>3169.08</v>
      </c>
      <c r="I6317" s="2">
        <v>3169.08</v>
      </c>
    </row>
    <row r="6318">
      <c r="A6318" s="1" t="s">
        <v>12628</v>
      </c>
      <c r="B6318" s="2">
        <v>4124.66</v>
      </c>
      <c r="C6318" s="2">
        <v>4124.66</v>
      </c>
      <c r="D6318" s="2">
        <v>13857.84</v>
      </c>
      <c r="E6318" s="2">
        <v>13857.84</v>
      </c>
      <c r="G6318" s="1" t="s">
        <v>12629</v>
      </c>
      <c r="H6318" s="2">
        <v>3182.38</v>
      </c>
      <c r="I6318" s="2">
        <v>3182.38</v>
      </c>
    </row>
    <row r="6319">
      <c r="A6319" s="1" t="s">
        <v>12630</v>
      </c>
      <c r="B6319" s="2">
        <v>4170.42</v>
      </c>
      <c r="C6319" s="2">
        <v>4170.42</v>
      </c>
      <c r="D6319" s="2">
        <v>14038.76</v>
      </c>
      <c r="E6319" s="2">
        <v>14038.76</v>
      </c>
      <c r="G6319" s="1" t="s">
        <v>12631</v>
      </c>
      <c r="H6319" s="2">
        <v>3194.33</v>
      </c>
      <c r="I6319" s="2">
        <v>3194.33</v>
      </c>
    </row>
    <row r="6320">
      <c r="A6320" s="1" t="s">
        <v>12632</v>
      </c>
      <c r="B6320" s="2">
        <v>4185.47</v>
      </c>
      <c r="C6320" s="2">
        <v>4185.47</v>
      </c>
      <c r="D6320" s="2">
        <v>14052.34</v>
      </c>
      <c r="E6320" s="2">
        <v>14052.34</v>
      </c>
      <c r="G6320" s="1" t="s">
        <v>12633</v>
      </c>
      <c r="H6320" s="2">
        <v>3198.62</v>
      </c>
      <c r="I6320" s="2">
        <v>3198.62</v>
      </c>
    </row>
    <row r="6321">
      <c r="A6321" s="1" t="s">
        <v>12634</v>
      </c>
      <c r="B6321" s="2" t="s">
        <v>0</v>
      </c>
      <c r="C6321" s="2">
        <v>4185.47</v>
      </c>
      <c r="D6321" s="2" t="s">
        <v>0</v>
      </c>
      <c r="E6321" s="2">
        <v>14052.34</v>
      </c>
      <c r="G6321" s="1" t="s">
        <v>12635</v>
      </c>
      <c r="H6321" s="2" t="s">
        <v>0</v>
      </c>
      <c r="I6321" s="2">
        <v>3198.62</v>
      </c>
    </row>
    <row r="6322">
      <c r="A6322" s="1" t="s">
        <v>12636</v>
      </c>
      <c r="B6322" s="2" t="s">
        <v>0</v>
      </c>
      <c r="C6322" s="2">
        <v>4185.47</v>
      </c>
      <c r="D6322" s="2" t="s">
        <v>0</v>
      </c>
      <c r="E6322" s="2">
        <v>14052.34</v>
      </c>
      <c r="G6322" s="1" t="s">
        <v>12637</v>
      </c>
      <c r="H6322" s="2" t="s">
        <v>0</v>
      </c>
      <c r="I6322" s="2">
        <v>3198.62</v>
      </c>
    </row>
    <row r="6323">
      <c r="A6323" s="1" t="s">
        <v>12638</v>
      </c>
      <c r="B6323" s="2">
        <v>4163.26</v>
      </c>
      <c r="C6323" s="2">
        <v>4163.26</v>
      </c>
      <c r="D6323" s="2">
        <v>13914.77</v>
      </c>
      <c r="E6323" s="2">
        <v>13914.77</v>
      </c>
      <c r="G6323" s="1" t="s">
        <v>12639</v>
      </c>
      <c r="H6323" s="2">
        <v>3198.84</v>
      </c>
      <c r="I6323" s="2">
        <v>3198.84</v>
      </c>
    </row>
    <row r="6324">
      <c r="A6324" s="1" t="s">
        <v>12640</v>
      </c>
      <c r="B6324" s="2">
        <v>4134.94</v>
      </c>
      <c r="C6324" s="2">
        <v>4134.94</v>
      </c>
      <c r="D6324" s="2">
        <v>13786.27</v>
      </c>
      <c r="E6324" s="2">
        <v>13786.27</v>
      </c>
      <c r="G6324" s="1" t="s">
        <v>12641</v>
      </c>
      <c r="H6324" s="2">
        <v>3220.7</v>
      </c>
      <c r="I6324" s="2">
        <v>3220.7</v>
      </c>
    </row>
    <row r="6325">
      <c r="A6325" s="1" t="s">
        <v>12642</v>
      </c>
      <c r="B6325" s="2">
        <v>4173.42</v>
      </c>
      <c r="C6325" s="2">
        <v>4173.42</v>
      </c>
      <c r="D6325" s="2">
        <v>13950.22</v>
      </c>
      <c r="E6325" s="2">
        <v>13950.22</v>
      </c>
      <c r="G6325" s="1" t="s">
        <v>12643</v>
      </c>
      <c r="H6325" s="2">
        <v>3171.66</v>
      </c>
      <c r="I6325" s="2">
        <v>3171.66</v>
      </c>
    </row>
    <row r="6326">
      <c r="A6326" s="1" t="s">
        <v>12644</v>
      </c>
      <c r="B6326" s="2">
        <v>4134.98</v>
      </c>
      <c r="C6326" s="2">
        <v>4134.98</v>
      </c>
      <c r="D6326" s="2">
        <v>13818.41</v>
      </c>
      <c r="E6326" s="2">
        <v>13818.41</v>
      </c>
      <c r="G6326" s="1" t="s">
        <v>12645</v>
      </c>
      <c r="H6326" s="2">
        <v>3177.52</v>
      </c>
      <c r="I6326" s="2">
        <v>3177.52</v>
      </c>
    </row>
    <row r="6327">
      <c r="A6327" s="1" t="s">
        <v>12646</v>
      </c>
      <c r="B6327" s="2">
        <v>4180.17</v>
      </c>
      <c r="C6327" s="2">
        <v>4180.17</v>
      </c>
      <c r="D6327" s="2">
        <v>14016.81</v>
      </c>
      <c r="E6327" s="2">
        <v>14016.81</v>
      </c>
      <c r="G6327" s="1" t="s">
        <v>12647</v>
      </c>
      <c r="H6327" s="2">
        <v>3186.1</v>
      </c>
      <c r="I6327" s="2">
        <v>3186.1</v>
      </c>
    </row>
    <row r="6328">
      <c r="A6328" s="1" t="s">
        <v>12648</v>
      </c>
      <c r="B6328" s="2" t="s">
        <v>0</v>
      </c>
      <c r="C6328" s="2">
        <v>4180.17</v>
      </c>
      <c r="D6328" s="2" t="s">
        <v>0</v>
      </c>
      <c r="E6328" s="2">
        <v>14016.81</v>
      </c>
      <c r="G6328" s="1" t="s">
        <v>12649</v>
      </c>
      <c r="H6328" s="2" t="s">
        <v>0</v>
      </c>
      <c r="I6328" s="2">
        <v>3186.1</v>
      </c>
    </row>
    <row r="6329">
      <c r="A6329" s="1" t="s">
        <v>12650</v>
      </c>
      <c r="B6329" s="2" t="s">
        <v>0</v>
      </c>
      <c r="C6329" s="2">
        <v>4180.17</v>
      </c>
      <c r="D6329" s="2" t="s">
        <v>0</v>
      </c>
      <c r="E6329" s="2">
        <v>14016.81</v>
      </c>
      <c r="G6329" s="1" t="s">
        <v>12651</v>
      </c>
      <c r="H6329" s="2" t="s">
        <v>0</v>
      </c>
      <c r="I6329" s="2">
        <v>3186.1</v>
      </c>
    </row>
    <row r="6330">
      <c r="A6330" s="1" t="s">
        <v>12652</v>
      </c>
      <c r="B6330" s="2">
        <v>4187.62</v>
      </c>
      <c r="C6330" s="2">
        <v>4187.62</v>
      </c>
      <c r="D6330" s="2">
        <v>14138.78</v>
      </c>
      <c r="E6330" s="2">
        <v>14138.78</v>
      </c>
      <c r="G6330" s="1" t="s">
        <v>12653</v>
      </c>
      <c r="H6330" s="2">
        <v>3217.53</v>
      </c>
      <c r="I6330" s="2">
        <v>3217.53</v>
      </c>
    </row>
    <row r="6331">
      <c r="A6331" s="1" t="s">
        <v>12654</v>
      </c>
      <c r="B6331" s="2">
        <v>4186.72</v>
      </c>
      <c r="C6331" s="2">
        <v>4186.72</v>
      </c>
      <c r="D6331" s="2">
        <v>14090.22</v>
      </c>
      <c r="E6331" s="2">
        <v>14090.22</v>
      </c>
      <c r="G6331" s="1" t="s">
        <v>12655</v>
      </c>
      <c r="H6331" s="2">
        <v>3215.42</v>
      </c>
      <c r="I6331" s="2">
        <v>3215.42</v>
      </c>
    </row>
    <row r="6332">
      <c r="A6332" s="1" t="s">
        <v>12656</v>
      </c>
      <c r="B6332" s="2">
        <v>4183.18</v>
      </c>
      <c r="C6332" s="2">
        <v>4183.18</v>
      </c>
      <c r="D6332" s="2">
        <v>14051.03</v>
      </c>
      <c r="E6332" s="2">
        <v>14051.03</v>
      </c>
      <c r="G6332" s="1" t="s">
        <v>12657</v>
      </c>
      <c r="H6332" s="2">
        <v>3181.47</v>
      </c>
      <c r="I6332" s="2">
        <v>3181.47</v>
      </c>
    </row>
    <row r="6333">
      <c r="A6333" s="1" t="s">
        <v>12658</v>
      </c>
      <c r="B6333" s="2">
        <v>4211.47</v>
      </c>
      <c r="C6333" s="2">
        <v>4211.47</v>
      </c>
      <c r="D6333" s="2">
        <v>14082.55</v>
      </c>
      <c r="E6333" s="2">
        <v>14082.55</v>
      </c>
      <c r="G6333" s="1" t="s">
        <v>12659</v>
      </c>
      <c r="H6333" s="2">
        <v>3174.07</v>
      </c>
      <c r="I6333" s="2">
        <v>3174.07</v>
      </c>
    </row>
    <row r="6334">
      <c r="A6334" s="1" t="s">
        <v>12660</v>
      </c>
      <c r="B6334" s="2">
        <v>4181.17</v>
      </c>
      <c r="C6334" s="2">
        <v>4181.17</v>
      </c>
      <c r="D6334" s="2">
        <v>13962.68</v>
      </c>
      <c r="E6334" s="2">
        <v>13962.68</v>
      </c>
      <c r="G6334" s="1" t="s">
        <v>12661</v>
      </c>
      <c r="H6334" s="2">
        <v>3147.86</v>
      </c>
      <c r="I6334" s="2">
        <v>3147.86</v>
      </c>
    </row>
    <row r="6335">
      <c r="A6335" s="1" t="s">
        <v>12662</v>
      </c>
      <c r="B6335" s="2" t="s">
        <v>0</v>
      </c>
      <c r="C6335" s="2">
        <v>4181.17</v>
      </c>
      <c r="D6335" s="2" t="s">
        <v>0</v>
      </c>
      <c r="E6335" s="2">
        <v>13962.68</v>
      </c>
      <c r="G6335" s="1" t="s">
        <v>12663</v>
      </c>
      <c r="H6335" s="2" t="s">
        <v>0</v>
      </c>
      <c r="I6335" s="2">
        <v>3147.86</v>
      </c>
    </row>
    <row r="6336">
      <c r="A6336" s="1" t="s">
        <v>12664</v>
      </c>
      <c r="B6336" s="2" t="s">
        <v>0</v>
      </c>
      <c r="C6336" s="2">
        <v>4181.17</v>
      </c>
      <c r="D6336" s="2" t="s">
        <v>0</v>
      </c>
      <c r="E6336" s="2">
        <v>13962.68</v>
      </c>
      <c r="G6336" s="1" t="s">
        <v>12665</v>
      </c>
      <c r="H6336" s="2" t="s">
        <v>0</v>
      </c>
      <c r="I6336" s="2">
        <v>3147.86</v>
      </c>
    </row>
    <row r="6337">
      <c r="A6337" s="1" t="s">
        <v>12666</v>
      </c>
      <c r="B6337" s="2">
        <v>4192.66</v>
      </c>
      <c r="C6337" s="2">
        <v>4192.66</v>
      </c>
      <c r="D6337" s="2">
        <v>13895.12</v>
      </c>
      <c r="E6337" s="2">
        <v>13895.12</v>
      </c>
      <c r="G6337" s="1" t="s">
        <v>12667</v>
      </c>
      <c r="H6337" s="2">
        <v>3127.2</v>
      </c>
      <c r="I6337" s="2">
        <v>3127.2</v>
      </c>
    </row>
    <row r="6338">
      <c r="A6338" s="1" t="s">
        <v>12668</v>
      </c>
      <c r="B6338" s="2">
        <v>4164.66</v>
      </c>
      <c r="C6338" s="2">
        <v>4164.66</v>
      </c>
      <c r="D6338" s="2">
        <v>13633.5</v>
      </c>
      <c r="E6338" s="2">
        <v>13633.5</v>
      </c>
      <c r="G6338" s="1" t="s">
        <v>12669</v>
      </c>
      <c r="H6338" s="2">
        <v>3147.37</v>
      </c>
      <c r="I6338" s="2">
        <v>3147.37</v>
      </c>
    </row>
    <row r="6339">
      <c r="A6339" s="1" t="s">
        <v>12670</v>
      </c>
      <c r="B6339" s="2">
        <v>4167.59</v>
      </c>
      <c r="C6339" s="2">
        <v>4167.59</v>
      </c>
      <c r="D6339" s="2">
        <v>13582.43</v>
      </c>
      <c r="E6339" s="2">
        <v>13582.43</v>
      </c>
      <c r="G6339" s="1" t="s">
        <v>12671</v>
      </c>
      <c r="H6339" s="2" t="s">
        <v>0</v>
      </c>
      <c r="I6339" s="2">
        <v>3147.37</v>
      </c>
    </row>
    <row r="6340">
      <c r="A6340" s="1" t="s">
        <v>12672</v>
      </c>
      <c r="B6340" s="2">
        <v>4201.62</v>
      </c>
      <c r="C6340" s="2">
        <v>4201.62</v>
      </c>
      <c r="D6340" s="2">
        <v>13632.84</v>
      </c>
      <c r="E6340" s="2">
        <v>13632.84</v>
      </c>
      <c r="G6340" s="1" t="s">
        <v>12673</v>
      </c>
      <c r="H6340" s="2">
        <v>3178.74</v>
      </c>
      <c r="I6340" s="2">
        <v>3178.74</v>
      </c>
    </row>
    <row r="6341">
      <c r="A6341" s="1" t="s">
        <v>12674</v>
      </c>
      <c r="B6341" s="2">
        <v>4232.6</v>
      </c>
      <c r="C6341" s="2">
        <v>4232.6</v>
      </c>
      <c r="D6341" s="2">
        <v>13752.24</v>
      </c>
      <c r="E6341" s="2">
        <v>13752.24</v>
      </c>
      <c r="G6341" s="1" t="s">
        <v>12675</v>
      </c>
      <c r="H6341" s="2">
        <v>3197.2</v>
      </c>
      <c r="I6341" s="2">
        <v>3197.2</v>
      </c>
    </row>
    <row r="6342">
      <c r="A6342" s="1" t="s">
        <v>12676</v>
      </c>
      <c r="B6342" s="2" t="s">
        <v>0</v>
      </c>
      <c r="C6342" s="2">
        <v>4232.6</v>
      </c>
      <c r="D6342" s="2" t="s">
        <v>0</v>
      </c>
      <c r="E6342" s="2">
        <v>13752.24</v>
      </c>
      <c r="G6342" s="1" t="s">
        <v>12677</v>
      </c>
      <c r="H6342" s="2" t="s">
        <v>0</v>
      </c>
      <c r="I6342" s="2">
        <v>3197.2</v>
      </c>
    </row>
    <row r="6343">
      <c r="A6343" s="1" t="s">
        <v>12678</v>
      </c>
      <c r="B6343" s="2" t="s">
        <v>0</v>
      </c>
      <c r="C6343" s="2">
        <v>4232.6</v>
      </c>
      <c r="D6343" s="2" t="s">
        <v>0</v>
      </c>
      <c r="E6343" s="2">
        <v>13752.24</v>
      </c>
      <c r="G6343" s="1" t="s">
        <v>12679</v>
      </c>
      <c r="H6343" s="2" t="s">
        <v>0</v>
      </c>
      <c r="I6343" s="2">
        <v>3197.2</v>
      </c>
    </row>
    <row r="6344">
      <c r="A6344" s="1" t="s">
        <v>12680</v>
      </c>
      <c r="B6344" s="2">
        <v>4188.43</v>
      </c>
      <c r="C6344" s="2">
        <v>4188.43</v>
      </c>
      <c r="D6344" s="2">
        <v>13401.86</v>
      </c>
      <c r="E6344" s="2">
        <v>13401.86</v>
      </c>
      <c r="G6344" s="1" t="s">
        <v>12681</v>
      </c>
      <c r="H6344" s="2">
        <v>3249.3</v>
      </c>
      <c r="I6344" s="2">
        <v>3249.3</v>
      </c>
    </row>
    <row r="6345">
      <c r="A6345" s="1" t="s">
        <v>12682</v>
      </c>
      <c r="B6345" s="2">
        <v>4152.1</v>
      </c>
      <c r="C6345" s="2">
        <v>4152.1</v>
      </c>
      <c r="D6345" s="2">
        <v>13389.43</v>
      </c>
      <c r="E6345" s="2">
        <v>13389.43</v>
      </c>
      <c r="G6345" s="1" t="s">
        <v>12683</v>
      </c>
      <c r="H6345" s="2">
        <v>3209.43</v>
      </c>
      <c r="I6345" s="2">
        <v>3209.43</v>
      </c>
    </row>
    <row r="6346">
      <c r="A6346" s="1" t="s">
        <v>12684</v>
      </c>
      <c r="B6346" s="2">
        <v>4063.04</v>
      </c>
      <c r="C6346" s="2">
        <v>4063.04</v>
      </c>
      <c r="D6346" s="2">
        <v>13031.68</v>
      </c>
      <c r="E6346" s="2">
        <v>13031.68</v>
      </c>
      <c r="G6346" s="1" t="s">
        <v>12685</v>
      </c>
      <c r="H6346" s="2">
        <v>3161.66</v>
      </c>
      <c r="I6346" s="2">
        <v>3161.66</v>
      </c>
    </row>
    <row r="6347">
      <c r="A6347" s="1" t="s">
        <v>12686</v>
      </c>
      <c r="B6347" s="2">
        <v>4112.5</v>
      </c>
      <c r="C6347" s="2">
        <v>4112.5</v>
      </c>
      <c r="D6347" s="2">
        <v>13124.99</v>
      </c>
      <c r="E6347" s="2">
        <v>13124.99</v>
      </c>
      <c r="G6347" s="1" t="s">
        <v>12687</v>
      </c>
      <c r="H6347" s="2">
        <v>3122.11</v>
      </c>
      <c r="I6347" s="2">
        <v>3122.11</v>
      </c>
    </row>
    <row r="6348">
      <c r="A6348" s="1" t="s">
        <v>12688</v>
      </c>
      <c r="B6348" s="2">
        <v>4173.85</v>
      </c>
      <c r="C6348" s="2">
        <v>4173.85</v>
      </c>
      <c r="D6348" s="2">
        <v>13429.98</v>
      </c>
      <c r="E6348" s="2">
        <v>13429.98</v>
      </c>
      <c r="G6348" s="1" t="s">
        <v>12689</v>
      </c>
      <c r="H6348" s="2">
        <v>3153.32</v>
      </c>
      <c r="I6348" s="2">
        <v>3153.32</v>
      </c>
    </row>
    <row r="6349">
      <c r="A6349" s="1" t="s">
        <v>12690</v>
      </c>
      <c r="B6349" s="2" t="s">
        <v>0</v>
      </c>
      <c r="C6349" s="2">
        <v>4173.85</v>
      </c>
      <c r="D6349" s="2" t="s">
        <v>0</v>
      </c>
      <c r="E6349" s="2">
        <v>13429.98</v>
      </c>
      <c r="G6349" s="1" t="s">
        <v>12691</v>
      </c>
      <c r="H6349" s="2" t="s">
        <v>0</v>
      </c>
      <c r="I6349" s="2">
        <v>3153.32</v>
      </c>
    </row>
    <row r="6350">
      <c r="A6350" s="1" t="s">
        <v>12692</v>
      </c>
      <c r="B6350" s="2" t="s">
        <v>0</v>
      </c>
      <c r="C6350" s="2">
        <v>4173.85</v>
      </c>
      <c r="D6350" s="2" t="s">
        <v>0</v>
      </c>
      <c r="E6350" s="2">
        <v>13429.98</v>
      </c>
      <c r="G6350" s="1" t="s">
        <v>12693</v>
      </c>
      <c r="H6350" s="2" t="s">
        <v>0</v>
      </c>
      <c r="I6350" s="2">
        <v>3153.32</v>
      </c>
    </row>
    <row r="6351">
      <c r="A6351" s="1" t="s">
        <v>12694</v>
      </c>
      <c r="B6351" s="2">
        <v>4163.29</v>
      </c>
      <c r="C6351" s="2">
        <v>4163.29</v>
      </c>
      <c r="D6351" s="2">
        <v>13379.05</v>
      </c>
      <c r="E6351" s="2">
        <v>13379.05</v>
      </c>
      <c r="G6351" s="1" t="s">
        <v>12695</v>
      </c>
      <c r="H6351" s="2">
        <v>3134.52</v>
      </c>
      <c r="I6351" s="2">
        <v>3134.52</v>
      </c>
    </row>
    <row r="6352">
      <c r="A6352" s="1" t="s">
        <v>12696</v>
      </c>
      <c r="B6352" s="2">
        <v>4127.83</v>
      </c>
      <c r="C6352" s="2">
        <v>4127.83</v>
      </c>
      <c r="D6352" s="2">
        <v>13303.64</v>
      </c>
      <c r="E6352" s="2">
        <v>13303.64</v>
      </c>
      <c r="G6352" s="1" t="s">
        <v>12697</v>
      </c>
      <c r="H6352" s="2">
        <v>3173.05</v>
      </c>
      <c r="I6352" s="2">
        <v>3173.05</v>
      </c>
    </row>
    <row r="6353">
      <c r="A6353" s="1" t="s">
        <v>12698</v>
      </c>
      <c r="B6353" s="2">
        <v>4115.68</v>
      </c>
      <c r="C6353" s="2">
        <v>4115.68</v>
      </c>
      <c r="D6353" s="2">
        <v>13299.74</v>
      </c>
      <c r="E6353" s="2">
        <v>13299.74</v>
      </c>
      <c r="G6353" s="1" t="s">
        <v>12699</v>
      </c>
      <c r="H6353" s="2" t="s">
        <v>0</v>
      </c>
      <c r="I6353" s="2">
        <v>3173.05</v>
      </c>
    </row>
    <row r="6354">
      <c r="A6354" s="1" t="s">
        <v>12700</v>
      </c>
      <c r="B6354" s="2">
        <v>4159.12</v>
      </c>
      <c r="C6354" s="2">
        <v>4159.12</v>
      </c>
      <c r="D6354" s="2">
        <v>13535.74</v>
      </c>
      <c r="E6354" s="2">
        <v>13535.74</v>
      </c>
      <c r="G6354" s="1" t="s">
        <v>12701</v>
      </c>
      <c r="H6354" s="2">
        <v>3162.28</v>
      </c>
      <c r="I6354" s="2">
        <v>3162.28</v>
      </c>
    </row>
    <row r="6355">
      <c r="A6355" s="1" t="s">
        <v>12702</v>
      </c>
      <c r="B6355" s="2">
        <v>4155.86</v>
      </c>
      <c r="C6355" s="2">
        <v>4155.86</v>
      </c>
      <c r="D6355" s="2">
        <v>13470.99</v>
      </c>
      <c r="E6355" s="2">
        <v>13470.99</v>
      </c>
      <c r="G6355" s="1" t="s">
        <v>12703</v>
      </c>
      <c r="H6355" s="2">
        <v>3156.42</v>
      </c>
      <c r="I6355" s="2">
        <v>3156.42</v>
      </c>
    </row>
    <row r="6356">
      <c r="A6356" s="1" t="s">
        <v>12704</v>
      </c>
      <c r="B6356" s="2" t="s">
        <v>0</v>
      </c>
      <c r="C6356" s="2">
        <v>4155.86</v>
      </c>
      <c r="D6356" s="2" t="s">
        <v>0</v>
      </c>
      <c r="E6356" s="2">
        <v>13470.99</v>
      </c>
      <c r="G6356" s="1" t="s">
        <v>12705</v>
      </c>
      <c r="H6356" s="2" t="s">
        <v>0</v>
      </c>
      <c r="I6356" s="2">
        <v>3156.42</v>
      </c>
    </row>
    <row r="6357">
      <c r="A6357" s="1" t="s">
        <v>12706</v>
      </c>
      <c r="B6357" s="2" t="s">
        <v>0</v>
      </c>
      <c r="C6357" s="2">
        <v>4155.86</v>
      </c>
      <c r="D6357" s="2" t="s">
        <v>0</v>
      </c>
      <c r="E6357" s="2">
        <v>13470.99</v>
      </c>
      <c r="G6357" s="1" t="s">
        <v>12707</v>
      </c>
      <c r="H6357" s="2" t="s">
        <v>0</v>
      </c>
      <c r="I6357" s="2">
        <v>3156.42</v>
      </c>
    </row>
    <row r="6358">
      <c r="A6358" s="1" t="s">
        <v>12708</v>
      </c>
      <c r="B6358" s="2">
        <v>4197.05</v>
      </c>
      <c r="C6358" s="2">
        <v>4197.05</v>
      </c>
      <c r="D6358" s="2">
        <v>13661.17</v>
      </c>
      <c r="E6358" s="2">
        <v>13661.17</v>
      </c>
      <c r="G6358" s="1" t="s">
        <v>12709</v>
      </c>
      <c r="H6358" s="2">
        <v>3144.3</v>
      </c>
      <c r="I6358" s="2">
        <v>3144.3</v>
      </c>
    </row>
    <row r="6359">
      <c r="A6359" s="1" t="s">
        <v>12710</v>
      </c>
      <c r="B6359" s="2">
        <v>4188.13</v>
      </c>
      <c r="C6359" s="2">
        <v>4188.13</v>
      </c>
      <c r="D6359" s="2">
        <v>13657.17</v>
      </c>
      <c r="E6359" s="2">
        <v>13657.17</v>
      </c>
      <c r="G6359" s="1" t="s">
        <v>12711</v>
      </c>
      <c r="H6359" s="2">
        <v>3171.32</v>
      </c>
      <c r="I6359" s="2">
        <v>3171.32</v>
      </c>
    </row>
    <row r="6360">
      <c r="A6360" s="1" t="s">
        <v>12712</v>
      </c>
      <c r="B6360" s="2">
        <v>4195.99</v>
      </c>
      <c r="C6360" s="2">
        <v>4195.99</v>
      </c>
      <c r="D6360" s="2">
        <v>13738.0</v>
      </c>
      <c r="E6360" s="2">
        <v>13738.0</v>
      </c>
      <c r="G6360" s="1" t="s">
        <v>12713</v>
      </c>
      <c r="H6360" s="2">
        <v>3168.43</v>
      </c>
      <c r="I6360" s="2">
        <v>3168.43</v>
      </c>
    </row>
    <row r="6361">
      <c r="A6361" s="1" t="s">
        <v>12714</v>
      </c>
      <c r="B6361" s="2">
        <v>4200.88</v>
      </c>
      <c r="C6361" s="2">
        <v>4200.88</v>
      </c>
      <c r="D6361" s="2">
        <v>13736.28</v>
      </c>
      <c r="E6361" s="2">
        <v>13736.28</v>
      </c>
      <c r="G6361" s="1" t="s">
        <v>12715</v>
      </c>
      <c r="H6361" s="2">
        <v>3165.51</v>
      </c>
      <c r="I6361" s="2">
        <v>3165.51</v>
      </c>
    </row>
    <row r="6362">
      <c r="A6362" s="1" t="s">
        <v>12716</v>
      </c>
      <c r="B6362" s="2">
        <v>4204.11</v>
      </c>
      <c r="C6362" s="2">
        <v>4204.11</v>
      </c>
      <c r="D6362" s="2">
        <v>13748.74</v>
      </c>
      <c r="E6362" s="2">
        <v>13748.74</v>
      </c>
      <c r="G6362" s="1" t="s">
        <v>12717</v>
      </c>
      <c r="H6362" s="2">
        <v>3188.73</v>
      </c>
      <c r="I6362" s="2">
        <v>3188.73</v>
      </c>
    </row>
    <row r="6363">
      <c r="A6363" s="1" t="s">
        <v>12718</v>
      </c>
      <c r="B6363" s="2" t="s">
        <v>0</v>
      </c>
      <c r="C6363" s="2">
        <v>4204.11</v>
      </c>
      <c r="D6363" s="2" t="s">
        <v>0</v>
      </c>
      <c r="E6363" s="2">
        <v>13748.74</v>
      </c>
      <c r="G6363" s="1" t="s">
        <v>12719</v>
      </c>
      <c r="H6363" s="2" t="s">
        <v>0</v>
      </c>
      <c r="I6363" s="2">
        <v>3188.73</v>
      </c>
    </row>
    <row r="6364">
      <c r="A6364" s="1" t="s">
        <v>12720</v>
      </c>
      <c r="B6364" s="2" t="s">
        <v>0</v>
      </c>
      <c r="C6364" s="2">
        <v>4204.11</v>
      </c>
      <c r="D6364" s="2" t="s">
        <v>0</v>
      </c>
      <c r="E6364" s="2">
        <v>13748.74</v>
      </c>
      <c r="G6364" s="1" t="s">
        <v>12721</v>
      </c>
      <c r="H6364" s="2" t="s">
        <v>0</v>
      </c>
      <c r="I6364" s="2">
        <v>3188.73</v>
      </c>
    </row>
    <row r="6365">
      <c r="A6365" s="1" t="s">
        <v>12722</v>
      </c>
      <c r="B6365" s="2" t="s">
        <v>0</v>
      </c>
      <c r="C6365" s="2">
        <v>4204.11</v>
      </c>
      <c r="D6365" s="2" t="s">
        <v>0</v>
      </c>
      <c r="E6365" s="2">
        <v>13748.74</v>
      </c>
      <c r="G6365" s="1" t="s">
        <v>12723</v>
      </c>
      <c r="H6365" s="2">
        <v>3203.92</v>
      </c>
      <c r="I6365" s="2">
        <v>3203.92</v>
      </c>
    </row>
    <row r="6366">
      <c r="A6366" s="1" t="s">
        <v>12724</v>
      </c>
      <c r="B6366" s="2">
        <v>4202.04</v>
      </c>
      <c r="C6366" s="2">
        <v>4202.04</v>
      </c>
      <c r="D6366" s="2">
        <v>13736.48</v>
      </c>
      <c r="E6366" s="2">
        <v>13736.48</v>
      </c>
      <c r="G6366" s="1" t="s">
        <v>12725</v>
      </c>
      <c r="H6366" s="2">
        <v>3221.87</v>
      </c>
      <c r="I6366" s="2">
        <v>3221.87</v>
      </c>
    </row>
    <row r="6367">
      <c r="A6367" s="1" t="s">
        <v>12726</v>
      </c>
      <c r="B6367" s="2">
        <v>4208.12</v>
      </c>
      <c r="C6367" s="2">
        <v>4208.12</v>
      </c>
      <c r="D6367" s="2">
        <v>13756.33</v>
      </c>
      <c r="E6367" s="2">
        <v>13756.33</v>
      </c>
      <c r="G6367" s="1" t="s">
        <v>12727</v>
      </c>
      <c r="H6367" s="2">
        <v>3224.23</v>
      </c>
      <c r="I6367" s="2">
        <v>3224.23</v>
      </c>
    </row>
    <row r="6368">
      <c r="A6368" s="1" t="s">
        <v>12728</v>
      </c>
      <c r="B6368" s="2">
        <v>4192.85</v>
      </c>
      <c r="C6368" s="2">
        <v>4192.85</v>
      </c>
      <c r="D6368" s="2">
        <v>13614.51</v>
      </c>
      <c r="E6368" s="2">
        <v>13614.51</v>
      </c>
      <c r="G6368" s="1" t="s">
        <v>12729</v>
      </c>
      <c r="H6368" s="2">
        <v>3247.43</v>
      </c>
      <c r="I6368" s="2">
        <v>3247.43</v>
      </c>
    </row>
    <row r="6369">
      <c r="A6369" s="1" t="s">
        <v>12730</v>
      </c>
      <c r="B6369" s="2">
        <v>4229.89</v>
      </c>
      <c r="C6369" s="2">
        <v>4229.89</v>
      </c>
      <c r="D6369" s="2">
        <v>13814.49</v>
      </c>
      <c r="E6369" s="2">
        <v>13814.49</v>
      </c>
      <c r="G6369" s="1" t="s">
        <v>12731</v>
      </c>
      <c r="H6369" s="2">
        <v>3240.08</v>
      </c>
      <c r="I6369" s="2">
        <v>3240.08</v>
      </c>
    </row>
    <row r="6370">
      <c r="A6370" s="1" t="s">
        <v>12732</v>
      </c>
      <c r="B6370" s="2" t="s">
        <v>0</v>
      </c>
      <c r="C6370" s="2">
        <v>4229.89</v>
      </c>
      <c r="D6370" s="2" t="s">
        <v>0</v>
      </c>
      <c r="E6370" s="2">
        <v>13814.49</v>
      </c>
      <c r="G6370" s="1" t="s">
        <v>12733</v>
      </c>
      <c r="H6370" s="2" t="s">
        <v>0</v>
      </c>
      <c r="I6370" s="2">
        <v>3240.08</v>
      </c>
    </row>
    <row r="6371">
      <c r="A6371" s="1" t="s">
        <v>12734</v>
      </c>
      <c r="B6371" s="2" t="s">
        <v>0</v>
      </c>
      <c r="C6371" s="2">
        <v>4229.89</v>
      </c>
      <c r="D6371" s="2" t="s">
        <v>0</v>
      </c>
      <c r="E6371" s="2">
        <v>13814.49</v>
      </c>
      <c r="G6371" s="1" t="s">
        <v>12735</v>
      </c>
      <c r="H6371" s="2" t="s">
        <v>0</v>
      </c>
      <c r="I6371" s="2">
        <v>3240.08</v>
      </c>
    </row>
    <row r="6372">
      <c r="A6372" s="1" t="s">
        <v>12736</v>
      </c>
      <c r="B6372" s="2">
        <v>4226.52</v>
      </c>
      <c r="C6372" s="2">
        <v>4226.52</v>
      </c>
      <c r="D6372" s="2">
        <v>13881.72</v>
      </c>
      <c r="E6372" s="2">
        <v>13881.72</v>
      </c>
      <c r="G6372" s="1" t="s">
        <v>12737</v>
      </c>
      <c r="H6372" s="2">
        <v>3252.12</v>
      </c>
      <c r="I6372" s="2">
        <v>3252.12</v>
      </c>
    </row>
    <row r="6373">
      <c r="A6373" s="1" t="s">
        <v>12738</v>
      </c>
      <c r="B6373" s="2">
        <v>4227.26</v>
      </c>
      <c r="C6373" s="2">
        <v>4227.26</v>
      </c>
      <c r="D6373" s="2">
        <v>13924.91</v>
      </c>
      <c r="E6373" s="2">
        <v>13924.91</v>
      </c>
      <c r="G6373" s="1" t="s">
        <v>12739</v>
      </c>
      <c r="H6373" s="2">
        <v>3247.83</v>
      </c>
      <c r="I6373" s="2">
        <v>3247.83</v>
      </c>
    </row>
    <row r="6374">
      <c r="A6374" s="1" t="s">
        <v>12740</v>
      </c>
      <c r="B6374" s="2">
        <v>4219.55</v>
      </c>
      <c r="C6374" s="2">
        <v>4219.55</v>
      </c>
      <c r="D6374" s="2">
        <v>13911.75</v>
      </c>
      <c r="E6374" s="2">
        <v>13911.75</v>
      </c>
      <c r="G6374" s="1" t="s">
        <v>12741</v>
      </c>
      <c r="H6374" s="2">
        <v>3216.18</v>
      </c>
      <c r="I6374" s="2">
        <v>3216.18</v>
      </c>
    </row>
    <row r="6375">
      <c r="A6375" s="1" t="s">
        <v>12742</v>
      </c>
      <c r="B6375" s="2">
        <v>4239.18</v>
      </c>
      <c r="C6375" s="2">
        <v>4239.18</v>
      </c>
      <c r="D6375" s="2">
        <v>14020.33</v>
      </c>
      <c r="E6375" s="2">
        <v>14020.33</v>
      </c>
      <c r="G6375" s="1" t="s">
        <v>12743</v>
      </c>
      <c r="H6375" s="2">
        <v>3224.64</v>
      </c>
      <c r="I6375" s="2">
        <v>3224.64</v>
      </c>
    </row>
    <row r="6376">
      <c r="A6376" s="1" t="s">
        <v>12744</v>
      </c>
      <c r="B6376" s="2">
        <v>4247.44</v>
      </c>
      <c r="C6376" s="2">
        <v>4247.44</v>
      </c>
      <c r="D6376" s="2">
        <v>14069.42</v>
      </c>
      <c r="E6376" s="2">
        <v>14069.42</v>
      </c>
      <c r="G6376" s="1" t="s">
        <v>12745</v>
      </c>
      <c r="H6376" s="2">
        <v>3249.32</v>
      </c>
      <c r="I6376" s="2">
        <v>3249.32</v>
      </c>
    </row>
    <row r="6377">
      <c r="A6377" s="1" t="s">
        <v>12746</v>
      </c>
      <c r="B6377" s="2" t="s">
        <v>0</v>
      </c>
      <c r="C6377" s="2">
        <v>4247.44</v>
      </c>
      <c r="D6377" s="2" t="s">
        <v>0</v>
      </c>
      <c r="E6377" s="2">
        <v>14069.42</v>
      </c>
      <c r="G6377" s="1" t="s">
        <v>12747</v>
      </c>
      <c r="H6377" s="2" t="s">
        <v>0</v>
      </c>
      <c r="I6377" s="2">
        <v>3249.32</v>
      </c>
    </row>
    <row r="6378">
      <c r="A6378" s="1" t="s">
        <v>12748</v>
      </c>
      <c r="B6378" s="2" t="s">
        <v>0</v>
      </c>
      <c r="C6378" s="2">
        <v>4247.44</v>
      </c>
      <c r="D6378" s="2" t="s">
        <v>0</v>
      </c>
      <c r="E6378" s="2">
        <v>14069.42</v>
      </c>
      <c r="G6378" s="1" t="s">
        <v>12749</v>
      </c>
      <c r="H6378" s="2" t="s">
        <v>0</v>
      </c>
      <c r="I6378" s="2">
        <v>3249.32</v>
      </c>
    </row>
    <row r="6379">
      <c r="A6379" s="1" t="s">
        <v>12750</v>
      </c>
      <c r="B6379" s="2">
        <v>4255.15</v>
      </c>
      <c r="C6379" s="2">
        <v>4255.15</v>
      </c>
      <c r="D6379" s="2">
        <v>14174.14</v>
      </c>
      <c r="E6379" s="2">
        <v>14174.14</v>
      </c>
      <c r="G6379" s="1" t="s">
        <v>12751</v>
      </c>
      <c r="H6379" s="2">
        <v>3252.13</v>
      </c>
      <c r="I6379" s="2">
        <v>3252.13</v>
      </c>
    </row>
    <row r="6380">
      <c r="A6380" s="1" t="s">
        <v>12752</v>
      </c>
      <c r="B6380" s="2">
        <v>4246.59</v>
      </c>
      <c r="C6380" s="2">
        <v>4246.59</v>
      </c>
      <c r="D6380" s="2">
        <v>14072.86</v>
      </c>
      <c r="E6380" s="2">
        <v>14072.86</v>
      </c>
      <c r="G6380" s="1" t="s">
        <v>12753</v>
      </c>
      <c r="H6380" s="2">
        <v>3258.63</v>
      </c>
      <c r="I6380" s="2">
        <v>3258.63</v>
      </c>
    </row>
    <row r="6381">
      <c r="A6381" s="1" t="s">
        <v>12754</v>
      </c>
      <c r="B6381" s="2">
        <v>4223.7</v>
      </c>
      <c r="C6381" s="2">
        <v>4223.7</v>
      </c>
      <c r="D6381" s="2">
        <v>14039.68</v>
      </c>
      <c r="E6381" s="2">
        <v>14039.68</v>
      </c>
      <c r="G6381" s="1" t="s">
        <v>12755</v>
      </c>
      <c r="H6381" s="2">
        <v>3278.68</v>
      </c>
      <c r="I6381" s="2">
        <v>3278.68</v>
      </c>
    </row>
    <row r="6382">
      <c r="A6382" s="1" t="s">
        <v>12756</v>
      </c>
      <c r="B6382" s="2">
        <v>4221.86</v>
      </c>
      <c r="C6382" s="2">
        <v>4221.86</v>
      </c>
      <c r="D6382" s="2">
        <v>14161.35</v>
      </c>
      <c r="E6382" s="2">
        <v>14161.35</v>
      </c>
      <c r="G6382" s="1" t="s">
        <v>12757</v>
      </c>
      <c r="H6382" s="2">
        <v>3264.96</v>
      </c>
      <c r="I6382" s="2">
        <v>3264.96</v>
      </c>
    </row>
    <row r="6383">
      <c r="A6383" s="1" t="s">
        <v>12758</v>
      </c>
      <c r="B6383" s="2">
        <v>4166.45</v>
      </c>
      <c r="C6383" s="2">
        <v>4166.45</v>
      </c>
      <c r="D6383" s="2">
        <v>14030.38</v>
      </c>
      <c r="E6383" s="2">
        <v>14030.38</v>
      </c>
      <c r="G6383" s="1" t="s">
        <v>12759</v>
      </c>
      <c r="H6383" s="2">
        <v>3267.93</v>
      </c>
      <c r="I6383" s="2">
        <v>3267.93</v>
      </c>
    </row>
    <row r="6384">
      <c r="A6384" s="1" t="s">
        <v>12760</v>
      </c>
      <c r="B6384" s="2" t="s">
        <v>0</v>
      </c>
      <c r="C6384" s="2">
        <v>4166.45</v>
      </c>
      <c r="D6384" s="2" t="s">
        <v>0</v>
      </c>
      <c r="E6384" s="2">
        <v>14030.38</v>
      </c>
      <c r="G6384" s="1" t="s">
        <v>12761</v>
      </c>
      <c r="H6384" s="2" t="s">
        <v>0</v>
      </c>
      <c r="I6384" s="2">
        <v>3267.93</v>
      </c>
    </row>
    <row r="6385">
      <c r="A6385" s="1" t="s">
        <v>12762</v>
      </c>
      <c r="B6385" s="2" t="s">
        <v>0</v>
      </c>
      <c r="C6385" s="2">
        <v>4166.45</v>
      </c>
      <c r="D6385" s="2" t="s">
        <v>0</v>
      </c>
      <c r="E6385" s="2">
        <v>14030.38</v>
      </c>
      <c r="G6385" s="1" t="s">
        <v>12763</v>
      </c>
      <c r="H6385" s="2" t="s">
        <v>0</v>
      </c>
      <c r="I6385" s="2">
        <v>3267.93</v>
      </c>
    </row>
    <row r="6386">
      <c r="A6386" s="1" t="s">
        <v>12764</v>
      </c>
      <c r="B6386" s="2">
        <v>4224.79</v>
      </c>
      <c r="C6386" s="2">
        <v>4224.79</v>
      </c>
      <c r="D6386" s="2">
        <v>14141.48</v>
      </c>
      <c r="E6386" s="2">
        <v>14141.48</v>
      </c>
      <c r="G6386" s="1" t="s">
        <v>12765</v>
      </c>
      <c r="H6386" s="2">
        <v>3240.79</v>
      </c>
      <c r="I6386" s="2">
        <v>3240.79</v>
      </c>
    </row>
    <row r="6387">
      <c r="A6387" s="1" t="s">
        <v>12766</v>
      </c>
      <c r="B6387" s="2">
        <v>4246.44</v>
      </c>
      <c r="C6387" s="2">
        <v>4246.44</v>
      </c>
      <c r="D6387" s="2">
        <v>14253.27</v>
      </c>
      <c r="E6387" s="2">
        <v>14253.27</v>
      </c>
      <c r="G6387" s="1" t="s">
        <v>12767</v>
      </c>
      <c r="H6387" s="2">
        <v>3263.88</v>
      </c>
      <c r="I6387" s="2">
        <v>3263.88</v>
      </c>
    </row>
    <row r="6388">
      <c r="A6388" s="1" t="s">
        <v>12768</v>
      </c>
      <c r="B6388" s="2">
        <v>4241.84</v>
      </c>
      <c r="C6388" s="2">
        <v>4241.84</v>
      </c>
      <c r="D6388" s="2">
        <v>14271.73</v>
      </c>
      <c r="E6388" s="2">
        <v>14271.73</v>
      </c>
      <c r="G6388" s="1" t="s">
        <v>12769</v>
      </c>
      <c r="H6388" s="2">
        <v>3276.19</v>
      </c>
      <c r="I6388" s="2">
        <v>3276.19</v>
      </c>
    </row>
    <row r="6389">
      <c r="A6389" s="1" t="s">
        <v>12770</v>
      </c>
      <c r="B6389" s="2">
        <v>4266.49</v>
      </c>
      <c r="C6389" s="2">
        <v>4266.49</v>
      </c>
      <c r="D6389" s="2">
        <v>14369.71</v>
      </c>
      <c r="E6389" s="2">
        <v>14369.71</v>
      </c>
      <c r="G6389" s="1" t="s">
        <v>12771</v>
      </c>
      <c r="H6389" s="2">
        <v>3286.1</v>
      </c>
      <c r="I6389" s="2">
        <v>3286.1</v>
      </c>
    </row>
    <row r="6390">
      <c r="A6390" s="1" t="s">
        <v>12772</v>
      </c>
      <c r="B6390" s="2">
        <v>4280.7</v>
      </c>
      <c r="C6390" s="2">
        <v>4280.7</v>
      </c>
      <c r="D6390" s="2">
        <v>14360.39</v>
      </c>
      <c r="E6390" s="2">
        <v>14360.39</v>
      </c>
      <c r="G6390" s="1" t="s">
        <v>12773</v>
      </c>
      <c r="H6390" s="2">
        <v>3302.84</v>
      </c>
      <c r="I6390" s="2">
        <v>3302.84</v>
      </c>
    </row>
    <row r="6391">
      <c r="A6391" s="1" t="s">
        <v>12774</v>
      </c>
      <c r="B6391" s="2" t="s">
        <v>0</v>
      </c>
      <c r="C6391" s="2">
        <v>4280.7</v>
      </c>
      <c r="D6391" s="2" t="s">
        <v>0</v>
      </c>
      <c r="E6391" s="2">
        <v>14360.39</v>
      </c>
      <c r="G6391" s="1" t="s">
        <v>12775</v>
      </c>
      <c r="H6391" s="2" t="s">
        <v>0</v>
      </c>
      <c r="I6391" s="2">
        <v>3302.84</v>
      </c>
    </row>
    <row r="6392">
      <c r="A6392" s="1" t="s">
        <v>12776</v>
      </c>
      <c r="B6392" s="2" t="s">
        <v>0</v>
      </c>
      <c r="C6392" s="2">
        <v>4280.7</v>
      </c>
      <c r="D6392" s="2" t="s">
        <v>0</v>
      </c>
      <c r="E6392" s="2">
        <v>14360.39</v>
      </c>
      <c r="G6392" s="1" t="s">
        <v>12777</v>
      </c>
      <c r="H6392" s="2" t="s">
        <v>0</v>
      </c>
      <c r="I6392" s="2">
        <v>3302.84</v>
      </c>
    </row>
    <row r="6393">
      <c r="A6393" s="1" t="s">
        <v>12778</v>
      </c>
      <c r="B6393" s="2">
        <v>4290.61</v>
      </c>
      <c r="C6393" s="2">
        <v>4290.61</v>
      </c>
      <c r="D6393" s="2">
        <v>14500.51</v>
      </c>
      <c r="E6393" s="2">
        <v>14500.51</v>
      </c>
      <c r="G6393" s="1" t="s">
        <v>12779</v>
      </c>
      <c r="H6393" s="2">
        <v>3301.89</v>
      </c>
      <c r="I6393" s="2">
        <v>3301.89</v>
      </c>
    </row>
    <row r="6394">
      <c r="A6394" s="1" t="s">
        <v>12780</v>
      </c>
      <c r="B6394" s="2">
        <v>4291.8</v>
      </c>
      <c r="C6394" s="2">
        <v>4291.8</v>
      </c>
      <c r="D6394" s="2">
        <v>14528.34</v>
      </c>
      <c r="E6394" s="2">
        <v>14528.34</v>
      </c>
      <c r="G6394" s="1" t="s">
        <v>12781</v>
      </c>
      <c r="H6394" s="2">
        <v>3286.68</v>
      </c>
      <c r="I6394" s="2">
        <v>3286.68</v>
      </c>
    </row>
    <row r="6395">
      <c r="A6395" s="1" t="s">
        <v>12782</v>
      </c>
      <c r="B6395" s="2">
        <v>4297.5</v>
      </c>
      <c r="C6395" s="2">
        <v>4297.5</v>
      </c>
      <c r="D6395" s="2">
        <v>14503.95</v>
      </c>
      <c r="E6395" s="2">
        <v>14503.95</v>
      </c>
      <c r="G6395" s="1" t="s">
        <v>12783</v>
      </c>
      <c r="H6395" s="2">
        <v>3296.68</v>
      </c>
      <c r="I6395" s="2">
        <v>3296.68</v>
      </c>
    </row>
    <row r="6396">
      <c r="A6396" s="1" t="s">
        <v>12784</v>
      </c>
      <c r="B6396" s="2">
        <v>4319.94</v>
      </c>
      <c r="C6396" s="2">
        <v>4319.94</v>
      </c>
      <c r="D6396" s="2">
        <v>14522.38</v>
      </c>
      <c r="E6396" s="2">
        <v>14522.38</v>
      </c>
      <c r="G6396" s="1" t="s">
        <v>12785</v>
      </c>
      <c r="H6396" s="2">
        <v>3282.06</v>
      </c>
      <c r="I6396" s="2">
        <v>3282.06</v>
      </c>
    </row>
    <row r="6397">
      <c r="A6397" s="1" t="s">
        <v>12786</v>
      </c>
      <c r="B6397" s="2">
        <v>4352.34</v>
      </c>
      <c r="C6397" s="2">
        <v>4352.34</v>
      </c>
      <c r="D6397" s="2">
        <v>14639.33</v>
      </c>
      <c r="E6397" s="2">
        <v>14639.33</v>
      </c>
      <c r="G6397" s="1" t="s">
        <v>12787</v>
      </c>
      <c r="H6397" s="2">
        <v>3281.78</v>
      </c>
      <c r="I6397" s="2">
        <v>3281.78</v>
      </c>
    </row>
    <row r="6398">
      <c r="A6398" s="1" t="s">
        <v>12788</v>
      </c>
      <c r="B6398" s="2" t="s">
        <v>0</v>
      </c>
      <c r="C6398" s="2">
        <v>4352.34</v>
      </c>
      <c r="D6398" s="2" t="s">
        <v>0</v>
      </c>
      <c r="E6398" s="2">
        <v>14639.33</v>
      </c>
      <c r="G6398" s="1" t="s">
        <v>12789</v>
      </c>
      <c r="H6398" s="2" t="s">
        <v>0</v>
      </c>
      <c r="I6398" s="2">
        <v>3281.78</v>
      </c>
    </row>
    <row r="6399">
      <c r="A6399" s="1" t="s">
        <v>12790</v>
      </c>
      <c r="B6399" s="2" t="s">
        <v>0</v>
      </c>
      <c r="C6399" s="2">
        <v>4352.34</v>
      </c>
      <c r="D6399" s="2" t="s">
        <v>0</v>
      </c>
      <c r="E6399" s="2">
        <v>14639.33</v>
      </c>
      <c r="G6399" s="1" t="s">
        <v>12791</v>
      </c>
      <c r="H6399" s="2" t="s">
        <v>0</v>
      </c>
      <c r="I6399" s="2">
        <v>3281.78</v>
      </c>
    </row>
    <row r="6400">
      <c r="A6400" s="1" t="s">
        <v>12792</v>
      </c>
      <c r="B6400" s="2" t="s">
        <v>0</v>
      </c>
      <c r="C6400" s="2">
        <v>4352.34</v>
      </c>
      <c r="D6400" s="2" t="s">
        <v>0</v>
      </c>
      <c r="E6400" s="2">
        <v>14639.33</v>
      </c>
      <c r="G6400" s="1" t="s">
        <v>12793</v>
      </c>
      <c r="H6400" s="2">
        <v>3293.21</v>
      </c>
      <c r="I6400" s="2">
        <v>3293.21</v>
      </c>
    </row>
    <row r="6401">
      <c r="A6401" s="1" t="s">
        <v>12794</v>
      </c>
      <c r="B6401" s="2">
        <v>4343.54</v>
      </c>
      <c r="C6401" s="2">
        <v>4343.54</v>
      </c>
      <c r="D6401" s="2">
        <v>14663.64</v>
      </c>
      <c r="E6401" s="2">
        <v>14663.64</v>
      </c>
      <c r="G6401" s="1" t="s">
        <v>12795</v>
      </c>
      <c r="H6401" s="2">
        <v>3305.21</v>
      </c>
      <c r="I6401" s="2">
        <v>3305.21</v>
      </c>
    </row>
    <row r="6402">
      <c r="A6402" s="1" t="s">
        <v>12796</v>
      </c>
      <c r="B6402" s="2">
        <v>4358.13</v>
      </c>
      <c r="C6402" s="2">
        <v>4358.13</v>
      </c>
      <c r="D6402" s="2">
        <v>14665.06</v>
      </c>
      <c r="E6402" s="2">
        <v>14665.06</v>
      </c>
      <c r="G6402" s="1" t="s">
        <v>12797</v>
      </c>
      <c r="H6402" s="2">
        <v>3285.34</v>
      </c>
      <c r="I6402" s="2">
        <v>3285.34</v>
      </c>
    </row>
    <row r="6403">
      <c r="A6403" s="1" t="s">
        <v>12798</v>
      </c>
      <c r="B6403" s="2">
        <v>4320.82</v>
      </c>
      <c r="C6403" s="2">
        <v>4320.82</v>
      </c>
      <c r="D6403" s="2">
        <v>14559.79</v>
      </c>
      <c r="E6403" s="2">
        <v>14559.79</v>
      </c>
      <c r="G6403" s="1" t="s">
        <v>12799</v>
      </c>
      <c r="H6403" s="2">
        <v>3252.68</v>
      </c>
      <c r="I6403" s="2">
        <v>3252.68</v>
      </c>
    </row>
    <row r="6404">
      <c r="A6404" s="1" t="s">
        <v>12800</v>
      </c>
      <c r="B6404" s="2">
        <v>4369.55</v>
      </c>
      <c r="C6404" s="2">
        <v>4369.55</v>
      </c>
      <c r="D6404" s="2">
        <v>14701.92</v>
      </c>
      <c r="E6404" s="2">
        <v>14701.92</v>
      </c>
      <c r="G6404" s="1" t="s">
        <v>12801</v>
      </c>
      <c r="H6404" s="2">
        <v>3217.95</v>
      </c>
      <c r="I6404" s="2">
        <v>3217.95</v>
      </c>
    </row>
    <row r="6405">
      <c r="A6405" s="1" t="s">
        <v>12802</v>
      </c>
      <c r="B6405" s="2" t="s">
        <v>0</v>
      </c>
      <c r="C6405" s="2">
        <v>4369.55</v>
      </c>
      <c r="D6405" s="2" t="s">
        <v>0</v>
      </c>
      <c r="E6405" s="2">
        <v>14701.92</v>
      </c>
      <c r="G6405" s="1" t="s">
        <v>12803</v>
      </c>
      <c r="H6405" s="2" t="s">
        <v>0</v>
      </c>
      <c r="I6405" s="2">
        <v>3217.95</v>
      </c>
    </row>
    <row r="6406">
      <c r="A6406" s="1" t="s">
        <v>12804</v>
      </c>
      <c r="B6406" s="2" t="s">
        <v>0</v>
      </c>
      <c r="C6406" s="2">
        <v>4369.55</v>
      </c>
      <c r="D6406" s="2" t="s">
        <v>0</v>
      </c>
      <c r="E6406" s="2">
        <v>14701.92</v>
      </c>
      <c r="G6406" s="1" t="s">
        <v>12805</v>
      </c>
      <c r="H6406" s="2" t="s">
        <v>0</v>
      </c>
      <c r="I6406" s="2">
        <v>3217.95</v>
      </c>
    </row>
    <row r="6407">
      <c r="A6407" s="1" t="s">
        <v>12806</v>
      </c>
      <c r="B6407" s="2">
        <v>4384.63</v>
      </c>
      <c r="C6407" s="2">
        <v>4384.63</v>
      </c>
      <c r="D6407" s="2">
        <v>14733.24</v>
      </c>
      <c r="E6407" s="2">
        <v>14733.24</v>
      </c>
      <c r="G6407" s="1" t="s">
        <v>12807</v>
      </c>
      <c r="H6407" s="2">
        <v>3246.47</v>
      </c>
      <c r="I6407" s="2">
        <v>3246.47</v>
      </c>
    </row>
    <row r="6408">
      <c r="A6408" s="1" t="s">
        <v>12808</v>
      </c>
      <c r="B6408" s="2">
        <v>4369.21</v>
      </c>
      <c r="C6408" s="2">
        <v>4369.21</v>
      </c>
      <c r="D6408" s="2">
        <v>14677.65</v>
      </c>
      <c r="E6408" s="2">
        <v>14677.65</v>
      </c>
      <c r="G6408" s="1" t="s">
        <v>12809</v>
      </c>
      <c r="H6408" s="2">
        <v>3271.38</v>
      </c>
      <c r="I6408" s="2">
        <v>3271.38</v>
      </c>
    </row>
    <row r="6409">
      <c r="A6409" s="1" t="s">
        <v>12810</v>
      </c>
      <c r="B6409" s="2">
        <v>4374.3</v>
      </c>
      <c r="C6409" s="2">
        <v>4374.3</v>
      </c>
      <c r="D6409" s="2">
        <v>14644.95</v>
      </c>
      <c r="E6409" s="2">
        <v>14644.95</v>
      </c>
      <c r="G6409" s="1" t="s">
        <v>12811</v>
      </c>
      <c r="H6409" s="2">
        <v>3264.81</v>
      </c>
      <c r="I6409" s="2">
        <v>3264.81</v>
      </c>
    </row>
    <row r="6410">
      <c r="A6410" s="1" t="s">
        <v>12812</v>
      </c>
      <c r="B6410" s="2">
        <v>4360.03</v>
      </c>
      <c r="C6410" s="2">
        <v>4360.03</v>
      </c>
      <c r="D6410" s="2">
        <v>14543.13</v>
      </c>
      <c r="E6410" s="2">
        <v>14543.13</v>
      </c>
      <c r="G6410" s="1" t="s">
        <v>12813</v>
      </c>
      <c r="H6410" s="2">
        <v>3286.22</v>
      </c>
      <c r="I6410" s="2">
        <v>3286.22</v>
      </c>
    </row>
    <row r="6411">
      <c r="A6411" s="1" t="s">
        <v>12814</v>
      </c>
      <c r="B6411" s="2">
        <v>4327.16</v>
      </c>
      <c r="C6411" s="2">
        <v>4327.16</v>
      </c>
      <c r="D6411" s="2">
        <v>14427.24</v>
      </c>
      <c r="E6411" s="2">
        <v>14427.24</v>
      </c>
      <c r="G6411" s="1" t="s">
        <v>12815</v>
      </c>
      <c r="H6411" s="2">
        <v>3276.91</v>
      </c>
      <c r="I6411" s="2">
        <v>3276.91</v>
      </c>
    </row>
    <row r="6412">
      <c r="A6412" s="1" t="s">
        <v>12816</v>
      </c>
      <c r="B6412" s="2" t="s">
        <v>0</v>
      </c>
      <c r="C6412" s="2">
        <v>4327.16</v>
      </c>
      <c r="D6412" s="2" t="s">
        <v>0</v>
      </c>
      <c r="E6412" s="2">
        <v>14427.24</v>
      </c>
      <c r="G6412" s="1" t="s">
        <v>12817</v>
      </c>
      <c r="H6412" s="2" t="s">
        <v>0</v>
      </c>
      <c r="I6412" s="2">
        <v>3276.91</v>
      </c>
    </row>
    <row r="6413">
      <c r="A6413" s="1" t="s">
        <v>12818</v>
      </c>
      <c r="B6413" s="2" t="s">
        <v>0</v>
      </c>
      <c r="C6413" s="2">
        <v>4327.16</v>
      </c>
      <c r="D6413" s="2" t="s">
        <v>0</v>
      </c>
      <c r="E6413" s="2">
        <v>14427.24</v>
      </c>
      <c r="G6413" s="1" t="s">
        <v>12819</v>
      </c>
      <c r="H6413" s="2" t="s">
        <v>0</v>
      </c>
      <c r="I6413" s="2">
        <v>3276.91</v>
      </c>
    </row>
    <row r="6414">
      <c r="A6414" s="1" t="s">
        <v>12820</v>
      </c>
      <c r="B6414" s="2">
        <v>4258.49</v>
      </c>
      <c r="C6414" s="2">
        <v>4258.49</v>
      </c>
      <c r="D6414" s="2">
        <v>14274.98</v>
      </c>
      <c r="E6414" s="2">
        <v>14274.98</v>
      </c>
      <c r="G6414" s="1" t="s">
        <v>12821</v>
      </c>
      <c r="H6414" s="2">
        <v>3244.04</v>
      </c>
      <c r="I6414" s="2">
        <v>3244.04</v>
      </c>
    </row>
    <row r="6415">
      <c r="A6415" s="1" t="s">
        <v>12822</v>
      </c>
      <c r="B6415" s="2">
        <v>4323.06</v>
      </c>
      <c r="C6415" s="2">
        <v>4323.06</v>
      </c>
      <c r="D6415" s="2">
        <v>14498.88</v>
      </c>
      <c r="E6415" s="2">
        <v>14498.88</v>
      </c>
      <c r="G6415" s="1" t="s">
        <v>12823</v>
      </c>
      <c r="H6415" s="2">
        <v>3232.7</v>
      </c>
      <c r="I6415" s="2">
        <v>3232.7</v>
      </c>
    </row>
    <row r="6416">
      <c r="A6416" s="1" t="s">
        <v>12824</v>
      </c>
      <c r="B6416" s="2">
        <v>4358.69</v>
      </c>
      <c r="C6416" s="2">
        <v>4358.69</v>
      </c>
      <c r="D6416" s="2">
        <v>14631.95</v>
      </c>
      <c r="E6416" s="2">
        <v>14631.95</v>
      </c>
      <c r="G6416" s="1" t="s">
        <v>12825</v>
      </c>
      <c r="H6416" s="2">
        <v>3215.91</v>
      </c>
      <c r="I6416" s="2">
        <v>3215.91</v>
      </c>
    </row>
    <row r="6417">
      <c r="A6417" s="1" t="s">
        <v>12826</v>
      </c>
      <c r="B6417" s="2">
        <v>4367.48</v>
      </c>
      <c r="C6417" s="2">
        <v>4367.48</v>
      </c>
      <c r="D6417" s="2">
        <v>14684.6</v>
      </c>
      <c r="E6417" s="2">
        <v>14684.6</v>
      </c>
      <c r="G6417" s="1" t="s">
        <v>12827</v>
      </c>
      <c r="H6417" s="2">
        <v>3250.21</v>
      </c>
      <c r="I6417" s="2">
        <v>3250.21</v>
      </c>
    </row>
    <row r="6418">
      <c r="A6418" s="1" t="s">
        <v>12828</v>
      </c>
      <c r="B6418" s="2">
        <v>4411.79</v>
      </c>
      <c r="C6418" s="2">
        <v>4411.79</v>
      </c>
      <c r="D6418" s="2">
        <v>14836.99</v>
      </c>
      <c r="E6418" s="2">
        <v>14836.99</v>
      </c>
      <c r="G6418" s="1" t="s">
        <v>12829</v>
      </c>
      <c r="H6418" s="2">
        <v>3254.42</v>
      </c>
      <c r="I6418" s="2">
        <v>3254.42</v>
      </c>
    </row>
    <row r="6419">
      <c r="A6419" s="1" t="s">
        <v>12830</v>
      </c>
      <c r="B6419" s="2" t="s">
        <v>0</v>
      </c>
      <c r="C6419" s="2">
        <v>4411.79</v>
      </c>
      <c r="D6419" s="2" t="s">
        <v>0</v>
      </c>
      <c r="E6419" s="2">
        <v>14836.99</v>
      </c>
      <c r="G6419" s="1" t="s">
        <v>12831</v>
      </c>
      <c r="H6419" s="2" t="s">
        <v>0</v>
      </c>
      <c r="I6419" s="2">
        <v>3254.42</v>
      </c>
    </row>
    <row r="6420">
      <c r="A6420" s="1" t="s">
        <v>12832</v>
      </c>
      <c r="B6420" s="2" t="s">
        <v>0</v>
      </c>
      <c r="C6420" s="2">
        <v>4411.79</v>
      </c>
      <c r="D6420" s="2" t="s">
        <v>0</v>
      </c>
      <c r="E6420" s="2">
        <v>14836.99</v>
      </c>
      <c r="G6420" s="1" t="s">
        <v>12833</v>
      </c>
      <c r="H6420" s="2" t="s">
        <v>0</v>
      </c>
      <c r="I6420" s="2">
        <v>3254.42</v>
      </c>
    </row>
    <row r="6421">
      <c r="A6421" s="1" t="s">
        <v>12834</v>
      </c>
      <c r="B6421" s="2">
        <v>4422.3</v>
      </c>
      <c r="C6421" s="2">
        <v>4422.3</v>
      </c>
      <c r="D6421" s="2">
        <v>14840.71</v>
      </c>
      <c r="E6421" s="2">
        <v>14840.71</v>
      </c>
      <c r="G6421" s="1" t="s">
        <v>12835</v>
      </c>
      <c r="H6421" s="2">
        <v>3224.95</v>
      </c>
      <c r="I6421" s="2">
        <v>3224.95</v>
      </c>
    </row>
    <row r="6422">
      <c r="A6422" s="1" t="s">
        <v>12836</v>
      </c>
      <c r="B6422" s="2">
        <v>4401.46</v>
      </c>
      <c r="C6422" s="2">
        <v>4401.46</v>
      </c>
      <c r="D6422" s="2">
        <v>14660.58</v>
      </c>
      <c r="E6422" s="2">
        <v>14660.58</v>
      </c>
      <c r="G6422" s="1" t="s">
        <v>12837</v>
      </c>
      <c r="H6422" s="2">
        <v>3232.53</v>
      </c>
      <c r="I6422" s="2">
        <v>3232.53</v>
      </c>
    </row>
    <row r="6423">
      <c r="A6423" s="1" t="s">
        <v>12838</v>
      </c>
      <c r="B6423" s="2">
        <v>4400.64</v>
      </c>
      <c r="C6423" s="2">
        <v>4400.64</v>
      </c>
      <c r="D6423" s="2">
        <v>14762.58</v>
      </c>
      <c r="E6423" s="2">
        <v>14762.58</v>
      </c>
      <c r="G6423" s="1" t="s">
        <v>12839</v>
      </c>
      <c r="H6423" s="2">
        <v>3236.86</v>
      </c>
      <c r="I6423" s="2">
        <v>3236.86</v>
      </c>
    </row>
    <row r="6424">
      <c r="A6424" s="1" t="s">
        <v>12840</v>
      </c>
      <c r="B6424" s="2">
        <v>4419.15</v>
      </c>
      <c r="C6424" s="2">
        <v>4419.15</v>
      </c>
      <c r="D6424" s="2">
        <v>14778.26</v>
      </c>
      <c r="E6424" s="2">
        <v>14778.26</v>
      </c>
      <c r="G6424" s="1" t="s">
        <v>12841</v>
      </c>
      <c r="H6424" s="2">
        <v>3242.65</v>
      </c>
      <c r="I6424" s="2">
        <v>3242.65</v>
      </c>
    </row>
    <row r="6425">
      <c r="A6425" s="1" t="s">
        <v>12842</v>
      </c>
      <c r="B6425" s="2">
        <v>4395.26</v>
      </c>
      <c r="C6425" s="2">
        <v>4395.26</v>
      </c>
      <c r="D6425" s="2">
        <v>14672.68</v>
      </c>
      <c r="E6425" s="2">
        <v>14672.68</v>
      </c>
      <c r="G6425" s="1" t="s">
        <v>12843</v>
      </c>
      <c r="H6425" s="2">
        <v>3202.32</v>
      </c>
      <c r="I6425" s="2">
        <v>3202.32</v>
      </c>
    </row>
    <row r="6426">
      <c r="A6426" s="1" t="s">
        <v>12844</v>
      </c>
      <c r="B6426" s="2" t="s">
        <v>0</v>
      </c>
      <c r="C6426" s="2">
        <v>4395.26</v>
      </c>
      <c r="D6426" s="2" t="s">
        <v>0</v>
      </c>
      <c r="E6426" s="2">
        <v>14672.68</v>
      </c>
      <c r="G6426" s="1" t="s">
        <v>12845</v>
      </c>
      <c r="H6426" s="2" t="s">
        <v>0</v>
      </c>
      <c r="I6426" s="2">
        <v>3202.32</v>
      </c>
    </row>
    <row r="6427">
      <c r="A6427" s="1" t="s">
        <v>12846</v>
      </c>
      <c r="B6427" s="2" t="s">
        <v>0</v>
      </c>
      <c r="C6427" s="2">
        <v>4395.26</v>
      </c>
      <c r="D6427" s="2" t="s">
        <v>0</v>
      </c>
      <c r="E6427" s="2">
        <v>14672.68</v>
      </c>
      <c r="G6427" s="1" t="s">
        <v>12847</v>
      </c>
      <c r="H6427" s="2" t="s">
        <v>0</v>
      </c>
      <c r="I6427" s="2">
        <v>3202.32</v>
      </c>
    </row>
    <row r="6428">
      <c r="A6428" s="1" t="s">
        <v>12848</v>
      </c>
      <c r="B6428" s="2">
        <v>4387.16</v>
      </c>
      <c r="C6428" s="2">
        <v>4387.16</v>
      </c>
      <c r="D6428" s="2">
        <v>14681.07</v>
      </c>
      <c r="E6428" s="2">
        <v>14681.07</v>
      </c>
      <c r="G6428" s="1" t="s">
        <v>12849</v>
      </c>
      <c r="H6428" s="2">
        <v>3223.04</v>
      </c>
      <c r="I6428" s="2">
        <v>3223.04</v>
      </c>
    </row>
    <row r="6429">
      <c r="A6429" s="1" t="s">
        <v>12850</v>
      </c>
      <c r="B6429" s="2">
        <v>4423.15</v>
      </c>
      <c r="C6429" s="2">
        <v>4423.15</v>
      </c>
      <c r="D6429" s="2">
        <v>14761.3</v>
      </c>
      <c r="E6429" s="2">
        <v>14761.3</v>
      </c>
      <c r="G6429" s="1" t="s">
        <v>12851</v>
      </c>
      <c r="H6429" s="2">
        <v>3237.14</v>
      </c>
      <c r="I6429" s="2">
        <v>3237.14</v>
      </c>
    </row>
    <row r="6430">
      <c r="A6430" s="1" t="s">
        <v>12852</v>
      </c>
      <c r="B6430" s="2">
        <v>4402.66</v>
      </c>
      <c r="C6430" s="2">
        <v>4402.66</v>
      </c>
      <c r="D6430" s="2">
        <v>14780.53</v>
      </c>
      <c r="E6430" s="2">
        <v>14780.53</v>
      </c>
      <c r="G6430" s="1" t="s">
        <v>12853</v>
      </c>
      <c r="H6430" s="2">
        <v>3280.38</v>
      </c>
      <c r="I6430" s="2">
        <v>3280.38</v>
      </c>
    </row>
    <row r="6431">
      <c r="A6431" s="1" t="s">
        <v>12854</v>
      </c>
      <c r="B6431" s="2">
        <v>4429.1</v>
      </c>
      <c r="C6431" s="2">
        <v>4429.1</v>
      </c>
      <c r="D6431" s="2">
        <v>14895.12</v>
      </c>
      <c r="E6431" s="2">
        <v>14895.12</v>
      </c>
      <c r="G6431" s="1" t="s">
        <v>12855</v>
      </c>
      <c r="H6431" s="2">
        <v>3276.13</v>
      </c>
      <c r="I6431" s="2">
        <v>3276.13</v>
      </c>
    </row>
    <row r="6432">
      <c r="A6432" s="1" t="s">
        <v>12856</v>
      </c>
      <c r="B6432" s="2">
        <v>4436.52</v>
      </c>
      <c r="C6432" s="2">
        <v>4436.52</v>
      </c>
      <c r="D6432" s="2">
        <v>14835.76</v>
      </c>
      <c r="E6432" s="2">
        <v>14835.76</v>
      </c>
      <c r="G6432" s="1" t="s">
        <v>12857</v>
      </c>
      <c r="H6432" s="2">
        <v>3270.36</v>
      </c>
      <c r="I6432" s="2">
        <v>3270.36</v>
      </c>
    </row>
    <row r="6433">
      <c r="A6433" s="1" t="s">
        <v>12858</v>
      </c>
      <c r="B6433" s="2" t="s">
        <v>0</v>
      </c>
      <c r="C6433" s="2">
        <v>4436.52</v>
      </c>
      <c r="D6433" s="2" t="s">
        <v>0</v>
      </c>
      <c r="E6433" s="2">
        <v>14835.76</v>
      </c>
      <c r="G6433" s="1" t="s">
        <v>12859</v>
      </c>
      <c r="H6433" s="2" t="s">
        <v>0</v>
      </c>
      <c r="I6433" s="2">
        <v>3270.36</v>
      </c>
    </row>
    <row r="6434">
      <c r="A6434" s="1" t="s">
        <v>12860</v>
      </c>
      <c r="B6434" s="2" t="s">
        <v>0</v>
      </c>
      <c r="C6434" s="2">
        <v>4436.52</v>
      </c>
      <c r="D6434" s="2" t="s">
        <v>0</v>
      </c>
      <c r="E6434" s="2">
        <v>14835.76</v>
      </c>
      <c r="G6434" s="1" t="s">
        <v>12861</v>
      </c>
      <c r="H6434" s="2" t="s">
        <v>0</v>
      </c>
      <c r="I6434" s="2">
        <v>3270.36</v>
      </c>
    </row>
    <row r="6435">
      <c r="A6435" s="1" t="s">
        <v>12862</v>
      </c>
      <c r="B6435" s="2">
        <v>4432.35</v>
      </c>
      <c r="C6435" s="2">
        <v>4432.35</v>
      </c>
      <c r="D6435" s="2">
        <v>14860.18</v>
      </c>
      <c r="E6435" s="2">
        <v>14860.18</v>
      </c>
      <c r="G6435" s="1" t="s">
        <v>12863</v>
      </c>
      <c r="H6435" s="2">
        <v>3260.42</v>
      </c>
      <c r="I6435" s="2">
        <v>3260.42</v>
      </c>
    </row>
    <row r="6436">
      <c r="A6436" s="1" t="s">
        <v>12864</v>
      </c>
      <c r="B6436" s="2">
        <v>4436.75</v>
      </c>
      <c r="C6436" s="2">
        <v>4436.75</v>
      </c>
      <c r="D6436" s="2">
        <v>14788.09</v>
      </c>
      <c r="E6436" s="2">
        <v>14788.09</v>
      </c>
      <c r="G6436" s="1" t="s">
        <v>12865</v>
      </c>
      <c r="H6436" s="2">
        <v>3243.19</v>
      </c>
      <c r="I6436" s="2">
        <v>3243.19</v>
      </c>
    </row>
    <row r="6437">
      <c r="A6437" s="1" t="s">
        <v>12866</v>
      </c>
      <c r="B6437" s="2">
        <v>4447.7</v>
      </c>
      <c r="C6437" s="2">
        <v>4447.7</v>
      </c>
      <c r="D6437" s="2">
        <v>14765.14</v>
      </c>
      <c r="E6437" s="2">
        <v>14765.14</v>
      </c>
      <c r="G6437" s="1" t="s">
        <v>12867</v>
      </c>
      <c r="H6437" s="2">
        <v>3220.62</v>
      </c>
      <c r="I6437" s="2">
        <v>3220.62</v>
      </c>
    </row>
    <row r="6438">
      <c r="A6438" s="1" t="s">
        <v>12868</v>
      </c>
      <c r="B6438" s="2">
        <v>4460.83</v>
      </c>
      <c r="C6438" s="2">
        <v>4460.83</v>
      </c>
      <c r="D6438" s="2">
        <v>14816.26</v>
      </c>
      <c r="E6438" s="2">
        <v>14816.26</v>
      </c>
      <c r="G6438" s="1" t="s">
        <v>12869</v>
      </c>
      <c r="H6438" s="2">
        <v>3208.38</v>
      </c>
      <c r="I6438" s="2">
        <v>3208.38</v>
      </c>
    </row>
    <row r="6439">
      <c r="A6439" s="1" t="s">
        <v>12870</v>
      </c>
      <c r="B6439" s="2">
        <v>4468.0</v>
      </c>
      <c r="C6439" s="2">
        <v>4468.0</v>
      </c>
      <c r="D6439" s="2">
        <v>14822.9</v>
      </c>
      <c r="E6439" s="2">
        <v>14822.9</v>
      </c>
      <c r="G6439" s="1" t="s">
        <v>12871</v>
      </c>
      <c r="H6439" s="2">
        <v>3171.29</v>
      </c>
      <c r="I6439" s="2">
        <v>3171.29</v>
      </c>
    </row>
    <row r="6440">
      <c r="A6440" s="1" t="s">
        <v>12872</v>
      </c>
      <c r="B6440" s="2" t="s">
        <v>0</v>
      </c>
      <c r="C6440" s="2">
        <v>4468.0</v>
      </c>
      <c r="D6440" s="2" t="s">
        <v>0</v>
      </c>
      <c r="E6440" s="2">
        <v>14822.9</v>
      </c>
      <c r="G6440" s="1" t="s">
        <v>12873</v>
      </c>
      <c r="H6440" s="2" t="s">
        <v>0</v>
      </c>
      <c r="I6440" s="2">
        <v>3171.29</v>
      </c>
    </row>
    <row r="6441">
      <c r="A6441" s="1" t="s">
        <v>12874</v>
      </c>
      <c r="B6441" s="2" t="s">
        <v>0</v>
      </c>
      <c r="C6441" s="2">
        <v>4468.0</v>
      </c>
      <c r="D6441" s="2" t="s">
        <v>0</v>
      </c>
      <c r="E6441" s="2">
        <v>14822.9</v>
      </c>
      <c r="G6441" s="1" t="s">
        <v>12875</v>
      </c>
      <c r="H6441" s="2" t="s">
        <v>0</v>
      </c>
      <c r="I6441" s="2">
        <v>3171.29</v>
      </c>
    </row>
    <row r="6442">
      <c r="A6442" s="1" t="s">
        <v>12876</v>
      </c>
      <c r="B6442" s="2">
        <v>4479.71</v>
      </c>
      <c r="C6442" s="2">
        <v>4479.71</v>
      </c>
      <c r="D6442" s="2">
        <v>14793.76</v>
      </c>
      <c r="E6442" s="2">
        <v>14793.76</v>
      </c>
      <c r="G6442" s="1" t="s">
        <v>12877</v>
      </c>
      <c r="H6442" s="2" t="s">
        <v>0</v>
      </c>
      <c r="I6442" s="2">
        <v>3171.29</v>
      </c>
    </row>
    <row r="6443">
      <c r="A6443" s="1" t="s">
        <v>12878</v>
      </c>
      <c r="B6443" s="2">
        <v>4448.08</v>
      </c>
      <c r="C6443" s="2">
        <v>4448.08</v>
      </c>
      <c r="D6443" s="2">
        <v>14656.18</v>
      </c>
      <c r="E6443" s="2">
        <v>14656.18</v>
      </c>
      <c r="G6443" s="1" t="s">
        <v>12879</v>
      </c>
      <c r="H6443" s="2">
        <v>3143.09</v>
      </c>
      <c r="I6443" s="2">
        <v>3143.09</v>
      </c>
    </row>
    <row r="6444">
      <c r="A6444" s="1" t="s">
        <v>12880</v>
      </c>
      <c r="B6444" s="2">
        <v>4400.27</v>
      </c>
      <c r="C6444" s="2">
        <v>4400.27</v>
      </c>
      <c r="D6444" s="2">
        <v>14525.91</v>
      </c>
      <c r="E6444" s="2">
        <v>14525.91</v>
      </c>
      <c r="G6444" s="1" t="s">
        <v>12881</v>
      </c>
      <c r="H6444" s="2">
        <v>3158.93</v>
      </c>
      <c r="I6444" s="2">
        <v>3158.93</v>
      </c>
    </row>
    <row r="6445">
      <c r="A6445" s="1" t="s">
        <v>12882</v>
      </c>
      <c r="B6445" s="2">
        <v>4405.8</v>
      </c>
      <c r="C6445" s="2">
        <v>4405.8</v>
      </c>
      <c r="D6445" s="2">
        <v>14541.79</v>
      </c>
      <c r="E6445" s="2">
        <v>14541.79</v>
      </c>
      <c r="G6445" s="1" t="s">
        <v>12883</v>
      </c>
      <c r="H6445" s="2">
        <v>3097.83</v>
      </c>
      <c r="I6445" s="2">
        <v>3097.83</v>
      </c>
    </row>
    <row r="6446">
      <c r="A6446" s="1" t="s">
        <v>12884</v>
      </c>
      <c r="B6446" s="2">
        <v>4441.67</v>
      </c>
      <c r="C6446" s="2">
        <v>4441.67</v>
      </c>
      <c r="D6446" s="2">
        <v>14714.66</v>
      </c>
      <c r="E6446" s="2">
        <v>14714.66</v>
      </c>
      <c r="G6446" s="1" t="s">
        <v>12885</v>
      </c>
      <c r="H6446" s="2">
        <v>3060.51</v>
      </c>
      <c r="I6446" s="2">
        <v>3060.51</v>
      </c>
    </row>
    <row r="6447">
      <c r="A6447" s="1" t="s">
        <v>12886</v>
      </c>
      <c r="B6447" s="2" t="s">
        <v>0</v>
      </c>
      <c r="C6447" s="2">
        <v>4441.67</v>
      </c>
      <c r="D6447" s="2" t="s">
        <v>0</v>
      </c>
      <c r="E6447" s="2">
        <v>14714.66</v>
      </c>
      <c r="G6447" s="1" t="s">
        <v>12887</v>
      </c>
      <c r="H6447" s="2" t="s">
        <v>0</v>
      </c>
      <c r="I6447" s="2">
        <v>3060.51</v>
      </c>
    </row>
    <row r="6448">
      <c r="A6448" s="1" t="s">
        <v>12888</v>
      </c>
      <c r="B6448" s="2" t="s">
        <v>0</v>
      </c>
      <c r="C6448" s="2">
        <v>4441.67</v>
      </c>
      <c r="D6448" s="2" t="s">
        <v>0</v>
      </c>
      <c r="E6448" s="2">
        <v>14714.66</v>
      </c>
      <c r="G6448" s="1" t="s">
        <v>12889</v>
      </c>
      <c r="H6448" s="2" t="s">
        <v>0</v>
      </c>
      <c r="I6448" s="2">
        <v>3060.51</v>
      </c>
    </row>
    <row r="6449">
      <c r="A6449" s="1" t="s">
        <v>12890</v>
      </c>
      <c r="B6449" s="2">
        <v>4479.53</v>
      </c>
      <c r="C6449" s="2">
        <v>4479.53</v>
      </c>
      <c r="D6449" s="2">
        <v>14942.65</v>
      </c>
      <c r="E6449" s="2">
        <v>14942.65</v>
      </c>
      <c r="G6449" s="1" t="s">
        <v>12891</v>
      </c>
      <c r="H6449" s="2">
        <v>3090.21</v>
      </c>
      <c r="I6449" s="2">
        <v>3090.21</v>
      </c>
    </row>
    <row r="6450">
      <c r="A6450" s="1" t="s">
        <v>12892</v>
      </c>
      <c r="B6450" s="2">
        <v>4486.23</v>
      </c>
      <c r="C6450" s="2">
        <v>4486.23</v>
      </c>
      <c r="D6450" s="2">
        <v>15019.8</v>
      </c>
      <c r="E6450" s="2">
        <v>15019.8</v>
      </c>
      <c r="G6450" s="1" t="s">
        <v>12893</v>
      </c>
      <c r="H6450" s="2">
        <v>3138.3</v>
      </c>
      <c r="I6450" s="2">
        <v>3138.3</v>
      </c>
    </row>
    <row r="6451">
      <c r="A6451" s="1" t="s">
        <v>12894</v>
      </c>
      <c r="B6451" s="2">
        <v>4496.19</v>
      </c>
      <c r="C6451" s="2">
        <v>4496.19</v>
      </c>
      <c r="D6451" s="2">
        <v>15041.86</v>
      </c>
      <c r="E6451" s="2">
        <v>15041.86</v>
      </c>
      <c r="G6451" s="1" t="s">
        <v>12895</v>
      </c>
      <c r="H6451" s="2">
        <v>3146.81</v>
      </c>
      <c r="I6451" s="2">
        <v>3146.81</v>
      </c>
    </row>
    <row r="6452">
      <c r="A6452" s="1" t="s">
        <v>12896</v>
      </c>
      <c r="B6452" s="2">
        <v>4470.0</v>
      </c>
      <c r="C6452" s="2">
        <v>4470.0</v>
      </c>
      <c r="D6452" s="2">
        <v>14945.81</v>
      </c>
      <c r="E6452" s="2">
        <v>14945.81</v>
      </c>
      <c r="G6452" s="1" t="s">
        <v>12897</v>
      </c>
      <c r="H6452" s="2">
        <v>3128.53</v>
      </c>
      <c r="I6452" s="2">
        <v>3128.53</v>
      </c>
    </row>
    <row r="6453">
      <c r="A6453" s="1" t="s">
        <v>12898</v>
      </c>
      <c r="B6453" s="2">
        <v>4509.37</v>
      </c>
      <c r="C6453" s="2">
        <v>4509.37</v>
      </c>
      <c r="D6453" s="2">
        <v>15129.5</v>
      </c>
      <c r="E6453" s="2">
        <v>15129.5</v>
      </c>
      <c r="G6453" s="1" t="s">
        <v>12899</v>
      </c>
      <c r="H6453" s="2">
        <v>3133.9</v>
      </c>
      <c r="I6453" s="2">
        <v>3133.9</v>
      </c>
    </row>
    <row r="6454">
      <c r="A6454" s="1" t="s">
        <v>12900</v>
      </c>
      <c r="B6454" s="2" t="s">
        <v>0</v>
      </c>
      <c r="C6454" s="2">
        <v>4509.37</v>
      </c>
      <c r="D6454" s="2" t="s">
        <v>0</v>
      </c>
      <c r="E6454" s="2">
        <v>15129.5</v>
      </c>
      <c r="G6454" s="1" t="s">
        <v>12901</v>
      </c>
      <c r="H6454" s="2" t="s">
        <v>0</v>
      </c>
      <c r="I6454" s="2">
        <v>3133.9</v>
      </c>
    </row>
    <row r="6455">
      <c r="A6455" s="1" t="s">
        <v>12902</v>
      </c>
      <c r="B6455" s="2" t="s">
        <v>0</v>
      </c>
      <c r="C6455" s="2">
        <v>4509.37</v>
      </c>
      <c r="D6455" s="2" t="s">
        <v>0</v>
      </c>
      <c r="E6455" s="2">
        <v>15129.5</v>
      </c>
      <c r="G6455" s="1" t="s">
        <v>12903</v>
      </c>
      <c r="H6455" s="2" t="s">
        <v>0</v>
      </c>
      <c r="I6455" s="2">
        <v>3133.9</v>
      </c>
    </row>
    <row r="6456">
      <c r="A6456" s="1" t="s">
        <v>12904</v>
      </c>
      <c r="B6456" s="2">
        <v>4528.79</v>
      </c>
      <c r="C6456" s="2">
        <v>4528.79</v>
      </c>
      <c r="D6456" s="2">
        <v>15265.89</v>
      </c>
      <c r="E6456" s="2">
        <v>15265.89</v>
      </c>
      <c r="G6456" s="1" t="s">
        <v>12905</v>
      </c>
      <c r="H6456" s="2">
        <v>3144.19</v>
      </c>
      <c r="I6456" s="2">
        <v>3144.19</v>
      </c>
    </row>
    <row r="6457">
      <c r="A6457" s="1" t="s">
        <v>12906</v>
      </c>
      <c r="B6457" s="2">
        <v>4522.68</v>
      </c>
      <c r="C6457" s="2">
        <v>4522.68</v>
      </c>
      <c r="D6457" s="2">
        <v>15259.24</v>
      </c>
      <c r="E6457" s="2">
        <v>15259.24</v>
      </c>
      <c r="G6457" s="1" t="s">
        <v>12907</v>
      </c>
      <c r="H6457" s="2">
        <v>3199.27</v>
      </c>
      <c r="I6457" s="2">
        <v>3199.27</v>
      </c>
    </row>
    <row r="6458">
      <c r="A6458" s="1" t="s">
        <v>12908</v>
      </c>
      <c r="B6458" s="2">
        <v>4524.09</v>
      </c>
      <c r="C6458" s="2">
        <v>4524.09</v>
      </c>
      <c r="D6458" s="2">
        <v>15309.38</v>
      </c>
      <c r="E6458" s="2">
        <v>15309.38</v>
      </c>
      <c r="G6458" s="1" t="s">
        <v>12909</v>
      </c>
      <c r="H6458" s="2">
        <v>3207.02</v>
      </c>
      <c r="I6458" s="2">
        <v>3207.02</v>
      </c>
    </row>
    <row r="6459">
      <c r="A6459" s="1" t="s">
        <v>12910</v>
      </c>
      <c r="B6459" s="2">
        <v>4536.95</v>
      </c>
      <c r="C6459" s="2">
        <v>4536.95</v>
      </c>
      <c r="D6459" s="2">
        <v>15331.18</v>
      </c>
      <c r="E6459" s="2">
        <v>15331.18</v>
      </c>
      <c r="G6459" s="1" t="s">
        <v>12911</v>
      </c>
      <c r="H6459" s="2">
        <v>3175.85</v>
      </c>
      <c r="I6459" s="2">
        <v>3175.85</v>
      </c>
    </row>
    <row r="6460">
      <c r="A6460" s="1" t="s">
        <v>12912</v>
      </c>
      <c r="B6460" s="2">
        <v>4535.43</v>
      </c>
      <c r="C6460" s="2">
        <v>4535.43</v>
      </c>
      <c r="D6460" s="2">
        <v>15363.52</v>
      </c>
      <c r="E6460" s="2">
        <v>15363.52</v>
      </c>
      <c r="G6460" s="1" t="s">
        <v>12913</v>
      </c>
      <c r="H6460" s="2">
        <v>3201.06</v>
      </c>
      <c r="I6460" s="2">
        <v>3201.06</v>
      </c>
    </row>
    <row r="6461">
      <c r="A6461" s="1" t="s">
        <v>12914</v>
      </c>
      <c r="B6461" s="2" t="s">
        <v>0</v>
      </c>
      <c r="C6461" s="2">
        <v>4535.43</v>
      </c>
      <c r="D6461" s="2" t="s">
        <v>0</v>
      </c>
      <c r="E6461" s="2">
        <v>15363.52</v>
      </c>
      <c r="G6461" s="1" t="s">
        <v>12915</v>
      </c>
      <c r="H6461" s="2" t="s">
        <v>0</v>
      </c>
      <c r="I6461" s="2">
        <v>3201.06</v>
      </c>
    </row>
    <row r="6462">
      <c r="A6462" s="1" t="s">
        <v>12916</v>
      </c>
      <c r="B6462" s="2" t="s">
        <v>0</v>
      </c>
      <c r="C6462" s="2">
        <v>4535.43</v>
      </c>
      <c r="D6462" s="2" t="s">
        <v>0</v>
      </c>
      <c r="E6462" s="2">
        <v>15363.52</v>
      </c>
      <c r="G6462" s="1" t="s">
        <v>12917</v>
      </c>
      <c r="H6462" s="2" t="s">
        <v>0</v>
      </c>
      <c r="I6462" s="2">
        <v>3201.06</v>
      </c>
    </row>
    <row r="6463">
      <c r="A6463" s="1" t="s">
        <v>12918</v>
      </c>
      <c r="B6463" s="2" t="s">
        <v>0</v>
      </c>
      <c r="C6463" s="2">
        <v>4535.43</v>
      </c>
      <c r="D6463" s="2" t="s">
        <v>0</v>
      </c>
      <c r="E6463" s="2">
        <v>15363.52</v>
      </c>
      <c r="G6463" s="1" t="s">
        <v>12919</v>
      </c>
      <c r="H6463" s="2">
        <v>3203.33</v>
      </c>
      <c r="I6463" s="2">
        <v>3203.33</v>
      </c>
    </row>
    <row r="6464">
      <c r="A6464" s="1" t="s">
        <v>12920</v>
      </c>
      <c r="B6464" s="2">
        <v>4520.03</v>
      </c>
      <c r="C6464" s="2">
        <v>4520.03</v>
      </c>
      <c r="D6464" s="2">
        <v>15374.33</v>
      </c>
      <c r="E6464" s="2">
        <v>15374.33</v>
      </c>
      <c r="G6464" s="1" t="s">
        <v>12921</v>
      </c>
      <c r="H6464" s="2">
        <v>3187.42</v>
      </c>
      <c r="I6464" s="2">
        <v>3187.42</v>
      </c>
    </row>
    <row r="6465">
      <c r="A6465" s="1" t="s">
        <v>12922</v>
      </c>
      <c r="B6465" s="2">
        <v>4514.07</v>
      </c>
      <c r="C6465" s="2">
        <v>4514.07</v>
      </c>
      <c r="D6465" s="2">
        <v>15286.64</v>
      </c>
      <c r="E6465" s="2">
        <v>15286.64</v>
      </c>
      <c r="G6465" s="1" t="s">
        <v>12923</v>
      </c>
      <c r="H6465" s="2">
        <v>3162.99</v>
      </c>
      <c r="I6465" s="2">
        <v>3162.99</v>
      </c>
    </row>
    <row r="6466">
      <c r="A6466" s="1" t="s">
        <v>12924</v>
      </c>
      <c r="B6466" s="2">
        <v>4493.28</v>
      </c>
      <c r="C6466" s="2">
        <v>4493.28</v>
      </c>
      <c r="D6466" s="2">
        <v>15248.25</v>
      </c>
      <c r="E6466" s="2">
        <v>15248.25</v>
      </c>
      <c r="G6466" s="1" t="s">
        <v>12925</v>
      </c>
      <c r="H6466" s="2">
        <v>3114.7</v>
      </c>
      <c r="I6466" s="2">
        <v>3114.7</v>
      </c>
    </row>
    <row r="6467">
      <c r="A6467" s="1" t="s">
        <v>12926</v>
      </c>
      <c r="B6467" s="2">
        <v>4458.58</v>
      </c>
      <c r="C6467" s="2">
        <v>4458.58</v>
      </c>
      <c r="D6467" s="2">
        <v>15115.49</v>
      </c>
      <c r="E6467" s="2">
        <v>15115.49</v>
      </c>
      <c r="G6467" s="1" t="s">
        <v>12927</v>
      </c>
      <c r="H6467" s="2">
        <v>3125.76</v>
      </c>
      <c r="I6467" s="2">
        <v>3125.76</v>
      </c>
    </row>
    <row r="6468">
      <c r="A6468" s="1" t="s">
        <v>12928</v>
      </c>
      <c r="B6468" s="2" t="s">
        <v>0</v>
      </c>
      <c r="C6468" s="2">
        <v>4458.58</v>
      </c>
      <c r="D6468" s="2" t="s">
        <v>0</v>
      </c>
      <c r="E6468" s="2">
        <v>15115.49</v>
      </c>
      <c r="G6468" s="1" t="s">
        <v>12929</v>
      </c>
      <c r="H6468" s="2" t="s">
        <v>0</v>
      </c>
      <c r="I6468" s="2">
        <v>3125.76</v>
      </c>
    </row>
    <row r="6469">
      <c r="A6469" s="1" t="s">
        <v>12930</v>
      </c>
      <c r="B6469" s="2" t="s">
        <v>0</v>
      </c>
      <c r="C6469" s="2">
        <v>4458.58</v>
      </c>
      <c r="D6469" s="2" t="s">
        <v>0</v>
      </c>
      <c r="E6469" s="2">
        <v>15115.49</v>
      </c>
      <c r="G6469" s="1" t="s">
        <v>12931</v>
      </c>
      <c r="H6469" s="2" t="s">
        <v>0</v>
      </c>
      <c r="I6469" s="2">
        <v>3125.76</v>
      </c>
    </row>
    <row r="6470">
      <c r="A6470" s="1" t="s">
        <v>12932</v>
      </c>
      <c r="B6470" s="2">
        <v>4468.73</v>
      </c>
      <c r="C6470" s="2">
        <v>4468.73</v>
      </c>
      <c r="D6470" s="2">
        <v>15105.58</v>
      </c>
      <c r="E6470" s="2">
        <v>15105.58</v>
      </c>
      <c r="G6470" s="1" t="s">
        <v>12933</v>
      </c>
      <c r="H6470" s="2">
        <v>3127.86</v>
      </c>
      <c r="I6470" s="2">
        <v>3127.86</v>
      </c>
    </row>
    <row r="6471">
      <c r="A6471" s="1" t="s">
        <v>12934</v>
      </c>
      <c r="B6471" s="2">
        <v>4443.05</v>
      </c>
      <c r="C6471" s="2">
        <v>4443.05</v>
      </c>
      <c r="D6471" s="2">
        <v>15037.76</v>
      </c>
      <c r="E6471" s="2">
        <v>15037.76</v>
      </c>
      <c r="G6471" s="1" t="s">
        <v>12935</v>
      </c>
      <c r="H6471" s="2">
        <v>3148.83</v>
      </c>
      <c r="I6471" s="2">
        <v>3148.83</v>
      </c>
    </row>
    <row r="6472">
      <c r="A6472" s="1" t="s">
        <v>12936</v>
      </c>
      <c r="B6472" s="2">
        <v>4480.7</v>
      </c>
      <c r="C6472" s="2">
        <v>4480.7</v>
      </c>
      <c r="D6472" s="2">
        <v>15161.53</v>
      </c>
      <c r="E6472" s="2">
        <v>15161.53</v>
      </c>
      <c r="G6472" s="1" t="s">
        <v>12937</v>
      </c>
      <c r="H6472" s="2">
        <v>3153.4</v>
      </c>
      <c r="I6472" s="2">
        <v>3153.4</v>
      </c>
    </row>
    <row r="6473">
      <c r="A6473" s="1" t="s">
        <v>12938</v>
      </c>
      <c r="B6473" s="2">
        <v>4473.75</v>
      </c>
      <c r="C6473" s="2">
        <v>4473.75</v>
      </c>
      <c r="D6473" s="2">
        <v>15181.92</v>
      </c>
      <c r="E6473" s="2">
        <v>15181.92</v>
      </c>
      <c r="G6473" s="1" t="s">
        <v>12939</v>
      </c>
      <c r="H6473" s="2">
        <v>3130.09</v>
      </c>
      <c r="I6473" s="2">
        <v>3130.09</v>
      </c>
    </row>
    <row r="6474">
      <c r="A6474" s="1" t="s">
        <v>12940</v>
      </c>
      <c r="B6474" s="2">
        <v>4432.99</v>
      </c>
      <c r="C6474" s="2">
        <v>4432.99</v>
      </c>
      <c r="D6474" s="2">
        <v>15043.97</v>
      </c>
      <c r="E6474" s="2">
        <v>15043.97</v>
      </c>
      <c r="G6474" s="1" t="s">
        <v>12941</v>
      </c>
      <c r="H6474" s="2">
        <v>3140.51</v>
      </c>
      <c r="I6474" s="2">
        <v>3140.51</v>
      </c>
    </row>
    <row r="6475">
      <c r="A6475" s="1" t="s">
        <v>12942</v>
      </c>
      <c r="B6475" s="2" t="s">
        <v>0</v>
      </c>
      <c r="C6475" s="2">
        <v>4432.99</v>
      </c>
      <c r="D6475" s="2" t="s">
        <v>0</v>
      </c>
      <c r="E6475" s="2">
        <v>15043.97</v>
      </c>
      <c r="G6475" s="1" t="s">
        <v>12943</v>
      </c>
      <c r="H6475" s="2" t="s">
        <v>0</v>
      </c>
      <c r="I6475" s="2">
        <v>3140.51</v>
      </c>
    </row>
    <row r="6476">
      <c r="A6476" s="1" t="s">
        <v>12944</v>
      </c>
      <c r="B6476" s="2" t="s">
        <v>0</v>
      </c>
      <c r="C6476" s="2">
        <v>4432.99</v>
      </c>
      <c r="D6476" s="2" t="s">
        <v>0</v>
      </c>
      <c r="E6476" s="2">
        <v>15043.97</v>
      </c>
      <c r="G6476" s="1" t="s">
        <v>12945</v>
      </c>
      <c r="H6476" s="2" t="s">
        <v>0</v>
      </c>
      <c r="I6476" s="2">
        <v>3140.51</v>
      </c>
    </row>
    <row r="6477">
      <c r="A6477" s="1" t="s">
        <v>12946</v>
      </c>
      <c r="B6477" s="2">
        <v>4357.73</v>
      </c>
      <c r="C6477" s="2">
        <v>4357.73</v>
      </c>
      <c r="D6477" s="2">
        <v>14713.9</v>
      </c>
      <c r="E6477" s="2">
        <v>14713.9</v>
      </c>
      <c r="G6477" s="1" t="s">
        <v>12947</v>
      </c>
      <c r="H6477" s="2" t="s">
        <v>0</v>
      </c>
      <c r="I6477" s="2">
        <v>3140.51</v>
      </c>
    </row>
    <row r="6478">
      <c r="A6478" s="1" t="s">
        <v>12948</v>
      </c>
      <c r="B6478" s="2">
        <v>4354.19</v>
      </c>
      <c r="C6478" s="2">
        <v>4354.19</v>
      </c>
      <c r="D6478" s="2">
        <v>14746.4</v>
      </c>
      <c r="E6478" s="2">
        <v>14746.4</v>
      </c>
      <c r="G6478" s="1" t="s">
        <v>12949</v>
      </c>
      <c r="H6478" s="2" t="s">
        <v>0</v>
      </c>
      <c r="I6478" s="2">
        <v>3140.51</v>
      </c>
    </row>
    <row r="6479">
      <c r="A6479" s="1" t="s">
        <v>12950</v>
      </c>
      <c r="B6479" s="2">
        <v>4395.64</v>
      </c>
      <c r="C6479" s="2">
        <v>4395.64</v>
      </c>
      <c r="D6479" s="2">
        <v>14896.85</v>
      </c>
      <c r="E6479" s="2">
        <v>14896.85</v>
      </c>
      <c r="G6479" s="1" t="s">
        <v>12951</v>
      </c>
      <c r="H6479" s="2" t="s">
        <v>0</v>
      </c>
      <c r="I6479" s="2">
        <v>3140.51</v>
      </c>
    </row>
    <row r="6480">
      <c r="A6480" s="1" t="s">
        <v>12952</v>
      </c>
      <c r="B6480" s="2">
        <v>4448.98</v>
      </c>
      <c r="C6480" s="2">
        <v>4448.98</v>
      </c>
      <c r="D6480" s="2">
        <v>15052.24</v>
      </c>
      <c r="E6480" s="2">
        <v>15052.24</v>
      </c>
      <c r="G6480" s="1" t="s">
        <v>12953</v>
      </c>
      <c r="H6480" s="2">
        <v>3127.58</v>
      </c>
      <c r="I6480" s="2">
        <v>3127.58</v>
      </c>
    </row>
    <row r="6481">
      <c r="A6481" s="1" t="s">
        <v>12954</v>
      </c>
      <c r="B6481" s="2">
        <v>4455.48</v>
      </c>
      <c r="C6481" s="2">
        <v>4455.48</v>
      </c>
      <c r="D6481" s="2">
        <v>15047.7</v>
      </c>
      <c r="E6481" s="2">
        <v>15047.7</v>
      </c>
      <c r="G6481" s="1" t="s">
        <v>12955</v>
      </c>
      <c r="H6481" s="2">
        <v>3125.24</v>
      </c>
      <c r="I6481" s="2">
        <v>3125.24</v>
      </c>
    </row>
    <row r="6482">
      <c r="A6482" s="1" t="s">
        <v>12956</v>
      </c>
      <c r="B6482" s="2" t="s">
        <v>0</v>
      </c>
      <c r="C6482" s="2">
        <v>4455.48</v>
      </c>
      <c r="D6482" s="2" t="s">
        <v>0</v>
      </c>
      <c r="E6482" s="2">
        <v>15047.7</v>
      </c>
      <c r="G6482" s="1" t="s">
        <v>12957</v>
      </c>
      <c r="H6482" s="2" t="s">
        <v>0</v>
      </c>
      <c r="I6482" s="2">
        <v>3125.24</v>
      </c>
    </row>
    <row r="6483">
      <c r="A6483" s="1" t="s">
        <v>12958</v>
      </c>
      <c r="B6483" s="2" t="s">
        <v>0</v>
      </c>
      <c r="C6483" s="2">
        <v>4455.48</v>
      </c>
      <c r="D6483" s="2" t="s">
        <v>0</v>
      </c>
      <c r="E6483" s="2">
        <v>15047.7</v>
      </c>
      <c r="G6483" s="1" t="s">
        <v>12959</v>
      </c>
      <c r="H6483" s="2" t="s">
        <v>0</v>
      </c>
      <c r="I6483" s="2">
        <v>3125.24</v>
      </c>
    </row>
    <row r="6484">
      <c r="A6484" s="1" t="s">
        <v>12960</v>
      </c>
      <c r="B6484" s="2">
        <v>4443.11</v>
      </c>
      <c r="C6484" s="2">
        <v>4443.11</v>
      </c>
      <c r="D6484" s="2">
        <v>14969.97</v>
      </c>
      <c r="E6484" s="2">
        <v>14969.97</v>
      </c>
      <c r="G6484" s="1" t="s">
        <v>12961</v>
      </c>
      <c r="H6484" s="2">
        <v>3133.64</v>
      </c>
      <c r="I6484" s="2">
        <v>3133.64</v>
      </c>
    </row>
    <row r="6485">
      <c r="A6485" s="1" t="s">
        <v>12962</v>
      </c>
      <c r="B6485" s="2">
        <v>4352.63</v>
      </c>
      <c r="C6485" s="2">
        <v>4352.63</v>
      </c>
      <c r="D6485" s="2">
        <v>14546.68</v>
      </c>
      <c r="E6485" s="2">
        <v>14546.68</v>
      </c>
      <c r="G6485" s="1" t="s">
        <v>12963</v>
      </c>
      <c r="H6485" s="2">
        <v>3097.92</v>
      </c>
      <c r="I6485" s="2">
        <v>3097.92</v>
      </c>
    </row>
    <row r="6486">
      <c r="A6486" s="1" t="s">
        <v>12964</v>
      </c>
      <c r="B6486" s="2">
        <v>4359.46</v>
      </c>
      <c r="C6486" s="2">
        <v>4359.46</v>
      </c>
      <c r="D6486" s="2">
        <v>14512.44</v>
      </c>
      <c r="E6486" s="2">
        <v>14512.44</v>
      </c>
      <c r="G6486" s="1" t="s">
        <v>12965</v>
      </c>
      <c r="H6486" s="2">
        <v>3060.27</v>
      </c>
      <c r="I6486" s="2">
        <v>3060.27</v>
      </c>
    </row>
    <row r="6487">
      <c r="A6487" s="1" t="s">
        <v>12966</v>
      </c>
      <c r="B6487" s="2">
        <v>4307.54</v>
      </c>
      <c r="C6487" s="2">
        <v>4307.54</v>
      </c>
      <c r="D6487" s="2">
        <v>14448.58</v>
      </c>
      <c r="E6487" s="2">
        <v>14448.58</v>
      </c>
      <c r="G6487" s="1" t="s">
        <v>12967</v>
      </c>
      <c r="H6487" s="2">
        <v>3068.82</v>
      </c>
      <c r="I6487" s="2">
        <v>3068.82</v>
      </c>
    </row>
    <row r="6488">
      <c r="A6488" s="1" t="s">
        <v>12968</v>
      </c>
      <c r="B6488" s="2">
        <v>4357.04</v>
      </c>
      <c r="C6488" s="2">
        <v>4357.04</v>
      </c>
      <c r="D6488" s="2">
        <v>14566.7</v>
      </c>
      <c r="E6488" s="2">
        <v>14566.7</v>
      </c>
      <c r="G6488" s="1" t="s">
        <v>12969</v>
      </c>
      <c r="H6488" s="2">
        <v>3019.18</v>
      </c>
      <c r="I6488" s="2">
        <v>3019.18</v>
      </c>
    </row>
    <row r="6489">
      <c r="A6489" s="1" t="s">
        <v>12970</v>
      </c>
      <c r="B6489" s="2" t="s">
        <v>0</v>
      </c>
      <c r="C6489" s="2">
        <v>4357.04</v>
      </c>
      <c r="D6489" s="2" t="s">
        <v>0</v>
      </c>
      <c r="E6489" s="2">
        <v>14566.7</v>
      </c>
      <c r="G6489" s="1" t="s">
        <v>12971</v>
      </c>
      <c r="H6489" s="2" t="s">
        <v>0</v>
      </c>
      <c r="I6489" s="2">
        <v>3019.18</v>
      </c>
    </row>
    <row r="6490">
      <c r="A6490" s="1" t="s">
        <v>12972</v>
      </c>
      <c r="B6490" s="2" t="s">
        <v>0</v>
      </c>
      <c r="C6490" s="2">
        <v>4357.04</v>
      </c>
      <c r="D6490" s="2" t="s">
        <v>0</v>
      </c>
      <c r="E6490" s="2">
        <v>14566.7</v>
      </c>
      <c r="G6490" s="1" t="s">
        <v>12973</v>
      </c>
      <c r="H6490" s="2" t="s">
        <v>0</v>
      </c>
      <c r="I6490" s="2">
        <v>3019.18</v>
      </c>
    </row>
    <row r="6491">
      <c r="A6491" s="1" t="s">
        <v>12974</v>
      </c>
      <c r="B6491" s="2">
        <v>4300.46</v>
      </c>
      <c r="C6491" s="2">
        <v>4300.46</v>
      </c>
      <c r="D6491" s="2">
        <v>14255.49</v>
      </c>
      <c r="E6491" s="2">
        <v>14255.49</v>
      </c>
      <c r="G6491" s="1" t="s">
        <v>12975</v>
      </c>
      <c r="H6491" s="2" t="s">
        <v>0</v>
      </c>
      <c r="I6491" s="2">
        <v>3019.18</v>
      </c>
    </row>
    <row r="6492">
      <c r="A6492" s="1" t="s">
        <v>12976</v>
      </c>
      <c r="B6492" s="2">
        <v>4345.72</v>
      </c>
      <c r="C6492" s="2">
        <v>4345.72</v>
      </c>
      <c r="D6492" s="2">
        <v>14433.83</v>
      </c>
      <c r="E6492" s="2">
        <v>14433.83</v>
      </c>
      <c r="G6492" s="1" t="s">
        <v>12977</v>
      </c>
      <c r="H6492" s="2">
        <v>2962.17</v>
      </c>
      <c r="I6492" s="2">
        <v>2962.17</v>
      </c>
    </row>
    <row r="6493">
      <c r="A6493" s="1" t="s">
        <v>12978</v>
      </c>
      <c r="B6493" s="2">
        <v>4363.55</v>
      </c>
      <c r="C6493" s="2">
        <v>4363.55</v>
      </c>
      <c r="D6493" s="2">
        <v>14501.91</v>
      </c>
      <c r="E6493" s="2">
        <v>14501.91</v>
      </c>
      <c r="G6493" s="1" t="s">
        <v>12979</v>
      </c>
      <c r="H6493" s="2">
        <v>2908.31</v>
      </c>
      <c r="I6493" s="2">
        <v>2908.31</v>
      </c>
    </row>
    <row r="6494">
      <c r="A6494" s="1" t="s">
        <v>12980</v>
      </c>
      <c r="B6494" s="2">
        <v>4399.76</v>
      </c>
      <c r="C6494" s="2">
        <v>4399.76</v>
      </c>
      <c r="D6494" s="2">
        <v>14654.02</v>
      </c>
      <c r="E6494" s="2">
        <v>14654.02</v>
      </c>
      <c r="G6494" s="1" t="s">
        <v>12981</v>
      </c>
      <c r="H6494" s="2">
        <v>2959.46</v>
      </c>
      <c r="I6494" s="2">
        <v>2959.46</v>
      </c>
    </row>
    <row r="6495">
      <c r="A6495" s="1" t="s">
        <v>12982</v>
      </c>
      <c r="B6495" s="2">
        <v>4391.34</v>
      </c>
      <c r="C6495" s="2">
        <v>4391.34</v>
      </c>
      <c r="D6495" s="2">
        <v>14579.54</v>
      </c>
      <c r="E6495" s="2">
        <v>14579.54</v>
      </c>
      <c r="G6495" s="1" t="s">
        <v>12983</v>
      </c>
      <c r="H6495" s="2">
        <v>2956.3</v>
      </c>
      <c r="I6495" s="2">
        <v>2956.3</v>
      </c>
    </row>
    <row r="6496">
      <c r="A6496" s="1" t="s">
        <v>12984</v>
      </c>
      <c r="B6496" s="2" t="s">
        <v>0</v>
      </c>
      <c r="C6496" s="2">
        <v>4391.34</v>
      </c>
      <c r="D6496" s="2" t="s">
        <v>0</v>
      </c>
      <c r="E6496" s="2">
        <v>14579.54</v>
      </c>
      <c r="G6496" s="1" t="s">
        <v>12985</v>
      </c>
      <c r="H6496" s="2" t="s">
        <v>0</v>
      </c>
      <c r="I6496" s="2">
        <v>2956.3</v>
      </c>
    </row>
    <row r="6497">
      <c r="A6497" s="1" t="s">
        <v>12986</v>
      </c>
      <c r="B6497" s="2" t="s">
        <v>0</v>
      </c>
      <c r="C6497" s="2">
        <v>4391.34</v>
      </c>
      <c r="D6497" s="2" t="s">
        <v>0</v>
      </c>
      <c r="E6497" s="2">
        <v>14579.54</v>
      </c>
      <c r="G6497" s="1" t="s">
        <v>12987</v>
      </c>
      <c r="H6497" s="2" t="s">
        <v>0</v>
      </c>
      <c r="I6497" s="2">
        <v>2956.3</v>
      </c>
    </row>
    <row r="6498">
      <c r="A6498" s="1" t="s">
        <v>12988</v>
      </c>
      <c r="B6498" s="2">
        <v>4361.19</v>
      </c>
      <c r="C6498" s="2">
        <v>4361.19</v>
      </c>
      <c r="D6498" s="2">
        <v>14486.2</v>
      </c>
      <c r="E6498" s="2">
        <v>14486.2</v>
      </c>
      <c r="G6498" s="1" t="s">
        <v>12989</v>
      </c>
      <c r="H6498" s="2" t="s">
        <v>0</v>
      </c>
      <c r="I6498" s="2">
        <v>2956.3</v>
      </c>
    </row>
    <row r="6499">
      <c r="A6499" s="1" t="s">
        <v>12990</v>
      </c>
      <c r="B6499" s="2">
        <v>4350.65</v>
      </c>
      <c r="C6499" s="2">
        <v>4350.65</v>
      </c>
      <c r="D6499" s="2">
        <v>14465.93</v>
      </c>
      <c r="E6499" s="2">
        <v>14465.93</v>
      </c>
      <c r="G6499" s="1" t="s">
        <v>12991</v>
      </c>
      <c r="H6499" s="2">
        <v>2916.38</v>
      </c>
      <c r="I6499" s="2">
        <v>2916.38</v>
      </c>
    </row>
    <row r="6500">
      <c r="A6500" s="1" t="s">
        <v>12992</v>
      </c>
      <c r="B6500" s="2">
        <v>4363.8</v>
      </c>
      <c r="C6500" s="2">
        <v>4363.8</v>
      </c>
      <c r="D6500" s="2">
        <v>14571.64</v>
      </c>
      <c r="E6500" s="2">
        <v>14571.64</v>
      </c>
      <c r="G6500" s="1" t="s">
        <v>12993</v>
      </c>
      <c r="H6500" s="2">
        <v>2944.41</v>
      </c>
      <c r="I6500" s="2">
        <v>2944.41</v>
      </c>
    </row>
    <row r="6501">
      <c r="A6501" s="1" t="s">
        <v>12994</v>
      </c>
      <c r="B6501" s="2">
        <v>4438.26</v>
      </c>
      <c r="C6501" s="2">
        <v>4438.26</v>
      </c>
      <c r="D6501" s="2">
        <v>14823.43</v>
      </c>
      <c r="E6501" s="2">
        <v>14823.43</v>
      </c>
      <c r="G6501" s="1" t="s">
        <v>12995</v>
      </c>
      <c r="H6501" s="2">
        <v>2988.64</v>
      </c>
      <c r="I6501" s="2">
        <v>2988.64</v>
      </c>
    </row>
    <row r="6502">
      <c r="A6502" s="1" t="s">
        <v>12996</v>
      </c>
      <c r="B6502" s="2">
        <v>4471.37</v>
      </c>
      <c r="C6502" s="2">
        <v>4471.37</v>
      </c>
      <c r="D6502" s="2">
        <v>14897.34</v>
      </c>
      <c r="E6502" s="2">
        <v>14897.34</v>
      </c>
      <c r="G6502" s="1" t="s">
        <v>12997</v>
      </c>
      <c r="H6502" s="2">
        <v>3015.06</v>
      </c>
      <c r="I6502" s="2">
        <v>3015.06</v>
      </c>
    </row>
    <row r="6503">
      <c r="A6503" s="1" t="s">
        <v>12998</v>
      </c>
      <c r="B6503" s="2" t="s">
        <v>0</v>
      </c>
      <c r="C6503" s="2">
        <v>4471.37</v>
      </c>
      <c r="D6503" s="2" t="s">
        <v>0</v>
      </c>
      <c r="E6503" s="2">
        <v>14897.34</v>
      </c>
      <c r="G6503" s="1" t="s">
        <v>12999</v>
      </c>
      <c r="H6503" s="2" t="s">
        <v>0</v>
      </c>
      <c r="I6503" s="2">
        <v>3015.06</v>
      </c>
    </row>
    <row r="6504">
      <c r="A6504" s="1" t="s">
        <v>13000</v>
      </c>
      <c r="B6504" s="2" t="s">
        <v>0</v>
      </c>
      <c r="C6504" s="2">
        <v>4471.37</v>
      </c>
      <c r="D6504" s="2" t="s">
        <v>0</v>
      </c>
      <c r="E6504" s="2">
        <v>14897.34</v>
      </c>
      <c r="G6504" s="1" t="s">
        <v>13001</v>
      </c>
      <c r="H6504" s="2" t="s">
        <v>0</v>
      </c>
      <c r="I6504" s="2">
        <v>3015.06</v>
      </c>
    </row>
    <row r="6505">
      <c r="A6505" s="1" t="s">
        <v>13002</v>
      </c>
      <c r="B6505" s="2">
        <v>4486.46</v>
      </c>
      <c r="C6505" s="2">
        <v>4486.46</v>
      </c>
      <c r="D6505" s="2">
        <v>15021.81</v>
      </c>
      <c r="E6505" s="2">
        <v>15021.81</v>
      </c>
      <c r="G6505" s="1" t="s">
        <v>13003</v>
      </c>
      <c r="H6505" s="2">
        <v>3006.68</v>
      </c>
      <c r="I6505" s="2">
        <v>3006.68</v>
      </c>
    </row>
    <row r="6506">
      <c r="A6506" s="1" t="s">
        <v>13004</v>
      </c>
      <c r="B6506" s="2">
        <v>4519.63</v>
      </c>
      <c r="C6506" s="2">
        <v>4519.63</v>
      </c>
      <c r="D6506" s="2">
        <v>15129.09</v>
      </c>
      <c r="E6506" s="2">
        <v>15129.09</v>
      </c>
      <c r="G6506" s="1" t="s">
        <v>13005</v>
      </c>
      <c r="H6506" s="2">
        <v>3029.04</v>
      </c>
      <c r="I6506" s="2">
        <v>3029.04</v>
      </c>
    </row>
    <row r="6507">
      <c r="A6507" s="1" t="s">
        <v>13006</v>
      </c>
      <c r="B6507" s="2">
        <v>4536.19</v>
      </c>
      <c r="C6507" s="2">
        <v>4536.19</v>
      </c>
      <c r="D6507" s="2">
        <v>15121.68</v>
      </c>
      <c r="E6507" s="2">
        <v>15121.68</v>
      </c>
      <c r="G6507" s="1" t="s">
        <v>13007</v>
      </c>
      <c r="H6507" s="2">
        <v>3013.13</v>
      </c>
      <c r="I6507" s="2">
        <v>3013.13</v>
      </c>
    </row>
    <row r="6508">
      <c r="A6508" s="1" t="s">
        <v>13008</v>
      </c>
      <c r="B6508" s="2">
        <v>4549.78</v>
      </c>
      <c r="C6508" s="2">
        <v>4549.78</v>
      </c>
      <c r="D6508" s="2">
        <v>15215.7</v>
      </c>
      <c r="E6508" s="2">
        <v>15215.7</v>
      </c>
      <c r="G6508" s="1" t="s">
        <v>13009</v>
      </c>
      <c r="H6508" s="2">
        <v>3007.33</v>
      </c>
      <c r="I6508" s="2">
        <v>3007.33</v>
      </c>
    </row>
    <row r="6509">
      <c r="A6509" s="1" t="s">
        <v>13010</v>
      </c>
      <c r="B6509" s="2">
        <v>4544.9</v>
      </c>
      <c r="C6509" s="2">
        <v>4544.9</v>
      </c>
      <c r="D6509" s="2">
        <v>15090.2</v>
      </c>
      <c r="E6509" s="2">
        <v>15090.2</v>
      </c>
      <c r="G6509" s="1" t="s">
        <v>13011</v>
      </c>
      <c r="H6509" s="2">
        <v>3006.16</v>
      </c>
      <c r="I6509" s="2">
        <v>3006.16</v>
      </c>
    </row>
    <row r="6510">
      <c r="A6510" s="1" t="s">
        <v>13012</v>
      </c>
      <c r="B6510" s="2" t="s">
        <v>0</v>
      </c>
      <c r="C6510" s="2">
        <v>4544.9</v>
      </c>
      <c r="D6510" s="2" t="s">
        <v>0</v>
      </c>
      <c r="E6510" s="2">
        <v>15090.2</v>
      </c>
      <c r="G6510" s="1" t="s">
        <v>13013</v>
      </c>
      <c r="H6510" s="2" t="s">
        <v>0</v>
      </c>
      <c r="I6510" s="2">
        <v>3006.16</v>
      </c>
    </row>
    <row r="6511">
      <c r="A6511" s="1" t="s">
        <v>13014</v>
      </c>
      <c r="B6511" s="2" t="s">
        <v>0</v>
      </c>
      <c r="C6511" s="2">
        <v>4544.9</v>
      </c>
      <c r="D6511" s="2" t="s">
        <v>0</v>
      </c>
      <c r="E6511" s="2">
        <v>15090.2</v>
      </c>
      <c r="G6511" s="1" t="s">
        <v>13015</v>
      </c>
      <c r="H6511" s="2" t="s">
        <v>0</v>
      </c>
      <c r="I6511" s="2">
        <v>3006.16</v>
      </c>
    </row>
    <row r="6512">
      <c r="A6512" s="1" t="s">
        <v>13016</v>
      </c>
      <c r="B6512" s="2">
        <v>4566.48</v>
      </c>
      <c r="C6512" s="2">
        <v>4566.48</v>
      </c>
      <c r="D6512" s="2">
        <v>15226.71</v>
      </c>
      <c r="E6512" s="2">
        <v>15226.71</v>
      </c>
      <c r="G6512" s="1" t="s">
        <v>13017</v>
      </c>
      <c r="H6512" s="2">
        <v>3020.54</v>
      </c>
      <c r="I6512" s="2">
        <v>3020.54</v>
      </c>
    </row>
    <row r="6513">
      <c r="A6513" s="1" t="s">
        <v>13018</v>
      </c>
      <c r="B6513" s="2">
        <v>4574.79</v>
      </c>
      <c r="C6513" s="2">
        <v>4574.79</v>
      </c>
      <c r="D6513" s="2">
        <v>15235.72</v>
      </c>
      <c r="E6513" s="2">
        <v>15235.72</v>
      </c>
      <c r="G6513" s="1" t="s">
        <v>13019</v>
      </c>
      <c r="H6513" s="2">
        <v>3049.08</v>
      </c>
      <c r="I6513" s="2">
        <v>3049.08</v>
      </c>
    </row>
    <row r="6514">
      <c r="A6514" s="1" t="s">
        <v>13020</v>
      </c>
      <c r="B6514" s="2">
        <v>4551.68</v>
      </c>
      <c r="C6514" s="2">
        <v>4551.68</v>
      </c>
      <c r="D6514" s="2">
        <v>15235.84</v>
      </c>
      <c r="E6514" s="2">
        <v>15235.84</v>
      </c>
      <c r="G6514" s="1" t="s">
        <v>13021</v>
      </c>
      <c r="H6514" s="2">
        <v>3025.49</v>
      </c>
      <c r="I6514" s="2">
        <v>3025.49</v>
      </c>
    </row>
    <row r="6515">
      <c r="A6515" s="1" t="s">
        <v>13022</v>
      </c>
      <c r="B6515" s="2">
        <v>4596.42</v>
      </c>
      <c r="C6515" s="2">
        <v>4596.42</v>
      </c>
      <c r="D6515" s="2">
        <v>15448.12</v>
      </c>
      <c r="E6515" s="2">
        <v>15448.12</v>
      </c>
      <c r="G6515" s="1" t="s">
        <v>13023</v>
      </c>
      <c r="H6515" s="2">
        <v>3009.55</v>
      </c>
      <c r="I6515" s="2">
        <v>3009.55</v>
      </c>
    </row>
    <row r="6516">
      <c r="A6516" s="1" t="s">
        <v>13024</v>
      </c>
      <c r="B6516" s="2">
        <v>4605.38</v>
      </c>
      <c r="C6516" s="2">
        <v>4605.38</v>
      </c>
      <c r="D6516" s="2">
        <v>15498.39</v>
      </c>
      <c r="E6516" s="2">
        <v>15498.39</v>
      </c>
      <c r="G6516" s="1" t="s">
        <v>13025</v>
      </c>
      <c r="H6516" s="2">
        <v>2970.68</v>
      </c>
      <c r="I6516" s="2">
        <v>2970.68</v>
      </c>
    </row>
    <row r="6517">
      <c r="A6517" s="1" t="s">
        <v>13026</v>
      </c>
      <c r="B6517" s="2" t="s">
        <v>0</v>
      </c>
      <c r="C6517" s="2">
        <v>4605.38</v>
      </c>
      <c r="D6517" s="2" t="s">
        <v>0</v>
      </c>
      <c r="E6517" s="2">
        <v>15498.39</v>
      </c>
      <c r="G6517" s="1" t="s">
        <v>13027</v>
      </c>
      <c r="H6517" s="2" t="s">
        <v>0</v>
      </c>
      <c r="I6517" s="2">
        <v>2970.68</v>
      </c>
    </row>
    <row r="6518">
      <c r="A6518" s="1" t="s">
        <v>13028</v>
      </c>
      <c r="B6518" s="2" t="s">
        <v>0</v>
      </c>
      <c r="C6518" s="2">
        <v>4605.38</v>
      </c>
      <c r="D6518" s="2" t="s">
        <v>0</v>
      </c>
      <c r="E6518" s="2">
        <v>15498.39</v>
      </c>
      <c r="G6518" s="1" t="s">
        <v>13029</v>
      </c>
      <c r="H6518" s="2" t="s">
        <v>0</v>
      </c>
      <c r="I6518" s="2">
        <v>2970.68</v>
      </c>
    </row>
    <row r="6519">
      <c r="A6519" s="1" t="s">
        <v>13030</v>
      </c>
      <c r="B6519" s="2">
        <v>4613.67</v>
      </c>
      <c r="C6519" s="2">
        <v>4613.67</v>
      </c>
      <c r="D6519" s="2">
        <v>15595.92</v>
      </c>
      <c r="E6519" s="2">
        <v>15595.92</v>
      </c>
      <c r="G6519" s="1" t="s">
        <v>13031</v>
      </c>
      <c r="H6519" s="2">
        <v>2978.94</v>
      </c>
      <c r="I6519" s="2">
        <v>2978.94</v>
      </c>
    </row>
    <row r="6520">
      <c r="A6520" s="1" t="s">
        <v>13032</v>
      </c>
      <c r="B6520" s="2">
        <v>4630.65</v>
      </c>
      <c r="C6520" s="2">
        <v>4630.65</v>
      </c>
      <c r="D6520" s="2">
        <v>15649.6</v>
      </c>
      <c r="E6520" s="2">
        <v>15649.6</v>
      </c>
      <c r="G6520" s="1" t="s">
        <v>13033</v>
      </c>
      <c r="H6520" s="2">
        <v>3013.49</v>
      </c>
      <c r="I6520" s="2">
        <v>3013.49</v>
      </c>
    </row>
    <row r="6521">
      <c r="A6521" s="1" t="s">
        <v>13034</v>
      </c>
      <c r="B6521" s="2">
        <v>4660.57</v>
      </c>
      <c r="C6521" s="2">
        <v>4660.57</v>
      </c>
      <c r="D6521" s="2">
        <v>15811.58</v>
      </c>
      <c r="E6521" s="2">
        <v>15811.58</v>
      </c>
      <c r="G6521" s="1" t="s">
        <v>13035</v>
      </c>
      <c r="H6521" s="2">
        <v>2975.71</v>
      </c>
      <c r="I6521" s="2">
        <v>2975.71</v>
      </c>
    </row>
    <row r="6522">
      <c r="A6522" s="1" t="s">
        <v>13036</v>
      </c>
      <c r="B6522" s="2">
        <v>4680.06</v>
      </c>
      <c r="C6522" s="2">
        <v>4680.06</v>
      </c>
      <c r="D6522" s="2">
        <v>15940.31</v>
      </c>
      <c r="E6522" s="2">
        <v>15940.31</v>
      </c>
      <c r="G6522" s="1" t="s">
        <v>13037</v>
      </c>
      <c r="H6522" s="2">
        <v>2983.22</v>
      </c>
      <c r="I6522" s="2">
        <v>2983.22</v>
      </c>
    </row>
    <row r="6523">
      <c r="A6523" s="1" t="s">
        <v>13038</v>
      </c>
      <c r="B6523" s="2">
        <v>4697.53</v>
      </c>
      <c r="C6523" s="2">
        <v>4697.53</v>
      </c>
      <c r="D6523" s="2">
        <v>15971.59</v>
      </c>
      <c r="E6523" s="2">
        <v>15971.59</v>
      </c>
      <c r="G6523" s="1" t="s">
        <v>13039</v>
      </c>
      <c r="H6523" s="2">
        <v>2969.27</v>
      </c>
      <c r="I6523" s="2">
        <v>2969.27</v>
      </c>
    </row>
    <row r="6524">
      <c r="A6524" s="1" t="s">
        <v>13040</v>
      </c>
      <c r="B6524" s="2" t="s">
        <v>0</v>
      </c>
      <c r="C6524" s="2">
        <v>4697.53</v>
      </c>
      <c r="D6524" s="2" t="s">
        <v>0</v>
      </c>
      <c r="E6524" s="2">
        <v>15971.59</v>
      </c>
      <c r="G6524" s="1" t="s">
        <v>13041</v>
      </c>
      <c r="H6524" s="2" t="s">
        <v>0</v>
      </c>
      <c r="I6524" s="2">
        <v>2969.27</v>
      </c>
    </row>
    <row r="6525">
      <c r="A6525" s="1" t="s">
        <v>13042</v>
      </c>
      <c r="B6525" s="2" t="s">
        <v>0</v>
      </c>
      <c r="C6525" s="2">
        <v>4697.53</v>
      </c>
      <c r="D6525" s="2" t="s">
        <v>0</v>
      </c>
      <c r="E6525" s="2">
        <v>15971.59</v>
      </c>
      <c r="G6525" s="1" t="s">
        <v>13043</v>
      </c>
      <c r="H6525" s="2" t="s">
        <v>0</v>
      </c>
      <c r="I6525" s="2">
        <v>2969.27</v>
      </c>
    </row>
    <row r="6526">
      <c r="A6526" s="1" t="s">
        <v>13044</v>
      </c>
      <c r="B6526" s="2">
        <v>4701.7</v>
      </c>
      <c r="C6526" s="2">
        <v>4701.7</v>
      </c>
      <c r="D6526" s="2">
        <v>15982.36</v>
      </c>
      <c r="E6526" s="2">
        <v>15982.36</v>
      </c>
      <c r="G6526" s="1" t="s">
        <v>13045</v>
      </c>
      <c r="H6526" s="2">
        <v>2960.2</v>
      </c>
      <c r="I6526" s="2">
        <v>2960.2</v>
      </c>
    </row>
    <row r="6527">
      <c r="A6527" s="1" t="s">
        <v>13046</v>
      </c>
      <c r="B6527" s="2">
        <v>4685.25</v>
      </c>
      <c r="C6527" s="2">
        <v>4685.25</v>
      </c>
      <c r="D6527" s="2">
        <v>15886.54</v>
      </c>
      <c r="E6527" s="2">
        <v>15886.54</v>
      </c>
      <c r="G6527" s="1" t="s">
        <v>13047</v>
      </c>
      <c r="H6527" s="2">
        <v>2962.46</v>
      </c>
      <c r="I6527" s="2">
        <v>2962.46</v>
      </c>
    </row>
    <row r="6528">
      <c r="A6528" s="1" t="s">
        <v>13048</v>
      </c>
      <c r="B6528" s="2">
        <v>4646.71</v>
      </c>
      <c r="C6528" s="2">
        <v>4646.71</v>
      </c>
      <c r="D6528" s="2">
        <v>15622.71</v>
      </c>
      <c r="E6528" s="2">
        <v>15622.71</v>
      </c>
      <c r="G6528" s="1" t="s">
        <v>13049</v>
      </c>
      <c r="H6528" s="2">
        <v>2930.17</v>
      </c>
      <c r="I6528" s="2">
        <v>2930.17</v>
      </c>
    </row>
    <row r="6529">
      <c r="A6529" s="1" t="s">
        <v>13050</v>
      </c>
      <c r="B6529" s="2">
        <v>4649.27</v>
      </c>
      <c r="C6529" s="2">
        <v>4649.27</v>
      </c>
      <c r="D6529" s="2">
        <v>15704.28</v>
      </c>
      <c r="E6529" s="2">
        <v>15704.28</v>
      </c>
      <c r="G6529" s="1" t="s">
        <v>13051</v>
      </c>
      <c r="H6529" s="2">
        <v>2924.92</v>
      </c>
      <c r="I6529" s="2">
        <v>2924.92</v>
      </c>
    </row>
    <row r="6530">
      <c r="A6530" s="1" t="s">
        <v>13052</v>
      </c>
      <c r="B6530" s="2">
        <v>4682.85</v>
      </c>
      <c r="C6530" s="2">
        <v>4682.85</v>
      </c>
      <c r="D6530" s="2">
        <v>15860.96</v>
      </c>
      <c r="E6530" s="2">
        <v>15860.96</v>
      </c>
      <c r="G6530" s="1" t="s">
        <v>13053</v>
      </c>
      <c r="H6530" s="2">
        <v>2968.8</v>
      </c>
      <c r="I6530" s="2">
        <v>2968.8</v>
      </c>
    </row>
    <row r="6531">
      <c r="A6531" s="1" t="s">
        <v>13054</v>
      </c>
      <c r="B6531" s="2" t="s">
        <v>0</v>
      </c>
      <c r="C6531" s="2">
        <v>4682.85</v>
      </c>
      <c r="D6531" s="2" t="s">
        <v>0</v>
      </c>
      <c r="E6531" s="2">
        <v>15860.96</v>
      </c>
      <c r="G6531" s="1" t="s">
        <v>13055</v>
      </c>
      <c r="H6531" s="2" t="s">
        <v>0</v>
      </c>
      <c r="I6531" s="2">
        <v>2968.8</v>
      </c>
    </row>
    <row r="6532">
      <c r="A6532" s="1" t="s">
        <v>13056</v>
      </c>
      <c r="B6532" s="2" t="s">
        <v>0</v>
      </c>
      <c r="C6532" s="2">
        <v>4682.85</v>
      </c>
      <c r="D6532" s="2" t="s">
        <v>0</v>
      </c>
      <c r="E6532" s="2">
        <v>15860.96</v>
      </c>
      <c r="G6532" s="1" t="s">
        <v>13057</v>
      </c>
      <c r="H6532" s="2" t="s">
        <v>0</v>
      </c>
      <c r="I6532" s="2">
        <v>2968.8</v>
      </c>
    </row>
    <row r="6533">
      <c r="A6533" s="1" t="s">
        <v>13058</v>
      </c>
      <c r="B6533" s="2">
        <v>4682.8</v>
      </c>
      <c r="C6533" s="2">
        <v>4682.8</v>
      </c>
      <c r="D6533" s="2">
        <v>15853.85</v>
      </c>
      <c r="E6533" s="2">
        <v>15853.85</v>
      </c>
      <c r="G6533" s="1" t="s">
        <v>13059</v>
      </c>
      <c r="H6533" s="2">
        <v>2999.52</v>
      </c>
      <c r="I6533" s="2">
        <v>2999.52</v>
      </c>
    </row>
    <row r="6534">
      <c r="A6534" s="1" t="s">
        <v>13060</v>
      </c>
      <c r="B6534" s="2">
        <v>4700.9</v>
      </c>
      <c r="C6534" s="2">
        <v>4700.9</v>
      </c>
      <c r="D6534" s="2">
        <v>15973.86</v>
      </c>
      <c r="E6534" s="2">
        <v>15973.86</v>
      </c>
      <c r="G6534" s="1" t="s">
        <v>13061</v>
      </c>
      <c r="H6534" s="2">
        <v>2997.21</v>
      </c>
      <c r="I6534" s="2">
        <v>2997.21</v>
      </c>
    </row>
    <row r="6535">
      <c r="A6535" s="1" t="s">
        <v>13062</v>
      </c>
      <c r="B6535" s="2">
        <v>4688.67</v>
      </c>
      <c r="C6535" s="2">
        <v>4688.67</v>
      </c>
      <c r="D6535" s="2">
        <v>15921.57</v>
      </c>
      <c r="E6535" s="2">
        <v>15921.57</v>
      </c>
      <c r="G6535" s="1" t="s">
        <v>13063</v>
      </c>
      <c r="H6535" s="2">
        <v>2962.42</v>
      </c>
      <c r="I6535" s="2">
        <v>2962.42</v>
      </c>
    </row>
    <row r="6536">
      <c r="A6536" s="1" t="s">
        <v>13064</v>
      </c>
      <c r="B6536" s="2">
        <v>4704.54</v>
      </c>
      <c r="C6536" s="2">
        <v>4704.54</v>
      </c>
      <c r="D6536" s="2">
        <v>15993.71</v>
      </c>
      <c r="E6536" s="2">
        <v>15993.71</v>
      </c>
      <c r="G6536" s="1" t="s">
        <v>13065</v>
      </c>
      <c r="H6536" s="2">
        <v>2947.38</v>
      </c>
      <c r="I6536" s="2">
        <v>2947.38</v>
      </c>
    </row>
    <row r="6537">
      <c r="A6537" s="1" t="s">
        <v>13066</v>
      </c>
      <c r="B6537" s="2">
        <v>4697.96</v>
      </c>
      <c r="C6537" s="2">
        <v>4697.96</v>
      </c>
      <c r="D6537" s="2">
        <v>16057.44</v>
      </c>
      <c r="E6537" s="2">
        <v>16057.44</v>
      </c>
      <c r="G6537" s="1" t="s">
        <v>13067</v>
      </c>
      <c r="H6537" s="2">
        <v>2971.02</v>
      </c>
      <c r="I6537" s="2">
        <v>2971.02</v>
      </c>
    </row>
    <row r="6538">
      <c r="A6538" s="1" t="s">
        <v>13068</v>
      </c>
      <c r="B6538" s="2" t="s">
        <v>0</v>
      </c>
      <c r="C6538" s="2">
        <v>4697.96</v>
      </c>
      <c r="D6538" s="2" t="s">
        <v>0</v>
      </c>
      <c r="E6538" s="2">
        <v>16057.44</v>
      </c>
      <c r="G6538" s="1" t="s">
        <v>13069</v>
      </c>
      <c r="H6538" s="2" t="s">
        <v>0</v>
      </c>
      <c r="I6538" s="2">
        <v>2971.02</v>
      </c>
    </row>
    <row r="6539">
      <c r="A6539" s="1" t="s">
        <v>13070</v>
      </c>
      <c r="B6539" s="2" t="s">
        <v>0</v>
      </c>
      <c r="C6539" s="2">
        <v>4697.96</v>
      </c>
      <c r="D6539" s="2" t="s">
        <v>0</v>
      </c>
      <c r="E6539" s="2">
        <v>16057.44</v>
      </c>
      <c r="G6539" s="1" t="s">
        <v>13071</v>
      </c>
      <c r="H6539" s="2" t="s">
        <v>0</v>
      </c>
      <c r="I6539" s="2">
        <v>2971.02</v>
      </c>
    </row>
    <row r="6540">
      <c r="A6540" s="1" t="s">
        <v>13072</v>
      </c>
      <c r="B6540" s="2">
        <v>4682.94</v>
      </c>
      <c r="C6540" s="2">
        <v>4682.94</v>
      </c>
      <c r="D6540" s="2">
        <v>15854.76</v>
      </c>
      <c r="E6540" s="2">
        <v>15854.76</v>
      </c>
      <c r="G6540" s="1" t="s">
        <v>13073</v>
      </c>
      <c r="H6540" s="2">
        <v>3013.25</v>
      </c>
      <c r="I6540" s="2">
        <v>3013.25</v>
      </c>
    </row>
    <row r="6541">
      <c r="A6541" s="1" t="s">
        <v>13074</v>
      </c>
      <c r="B6541" s="2">
        <v>4690.7</v>
      </c>
      <c r="C6541" s="2">
        <v>4690.7</v>
      </c>
      <c r="D6541" s="2">
        <v>15775.14</v>
      </c>
      <c r="E6541" s="2">
        <v>15775.14</v>
      </c>
      <c r="G6541" s="1" t="s">
        <v>13075</v>
      </c>
      <c r="H6541" s="2">
        <v>2997.33</v>
      </c>
      <c r="I6541" s="2">
        <v>2997.33</v>
      </c>
    </row>
    <row r="6542">
      <c r="A6542" s="1" t="s">
        <v>13076</v>
      </c>
      <c r="B6542" s="2">
        <v>4701.46</v>
      </c>
      <c r="C6542" s="2">
        <v>4701.46</v>
      </c>
      <c r="D6542" s="2">
        <v>15845.23</v>
      </c>
      <c r="E6542" s="2">
        <v>15845.23</v>
      </c>
      <c r="G6542" s="1" t="s">
        <v>13077</v>
      </c>
      <c r="H6542" s="2">
        <v>2994.29</v>
      </c>
      <c r="I6542" s="2">
        <v>2994.29</v>
      </c>
    </row>
    <row r="6543">
      <c r="A6543" s="1" t="s">
        <v>13078</v>
      </c>
      <c r="B6543" s="2" t="s">
        <v>0</v>
      </c>
      <c r="C6543" s="2">
        <v>4701.46</v>
      </c>
      <c r="D6543" s="2" t="s">
        <v>0</v>
      </c>
      <c r="E6543" s="2">
        <v>15845.23</v>
      </c>
      <c r="G6543" s="1" t="s">
        <v>13079</v>
      </c>
      <c r="H6543" s="2">
        <v>2980.27</v>
      </c>
      <c r="I6543" s="2">
        <v>2980.27</v>
      </c>
    </row>
    <row r="6544">
      <c r="A6544" s="1" t="s">
        <v>13080</v>
      </c>
      <c r="B6544" s="2" t="s">
        <v>0</v>
      </c>
      <c r="C6544" s="2">
        <v>4701.46</v>
      </c>
      <c r="D6544" s="2" t="s">
        <v>0</v>
      </c>
      <c r="E6544" s="2">
        <v>15845.23</v>
      </c>
      <c r="G6544" s="1" t="s">
        <v>13081</v>
      </c>
      <c r="H6544" s="2">
        <v>2936.44</v>
      </c>
      <c r="I6544" s="2">
        <v>2936.44</v>
      </c>
    </row>
    <row r="6545">
      <c r="A6545" s="1" t="s">
        <v>13082</v>
      </c>
      <c r="B6545" s="2" t="s">
        <v>0</v>
      </c>
      <c r="C6545" s="2">
        <v>4701.46</v>
      </c>
      <c r="D6545" s="2" t="s">
        <v>0</v>
      </c>
      <c r="E6545" s="2">
        <v>15845.23</v>
      </c>
      <c r="G6545" s="1" t="s">
        <v>13083</v>
      </c>
      <c r="H6545" s="2" t="s">
        <v>0</v>
      </c>
      <c r="I6545" s="2">
        <v>2936.44</v>
      </c>
    </row>
    <row r="6546">
      <c r="A6546" s="1" t="s">
        <v>13084</v>
      </c>
      <c r="B6546" s="2" t="s">
        <v>0</v>
      </c>
      <c r="C6546" s="2">
        <v>4701.46</v>
      </c>
      <c r="D6546" s="2" t="s">
        <v>0</v>
      </c>
      <c r="E6546" s="2">
        <v>15845.23</v>
      </c>
      <c r="G6546" s="1" t="s">
        <v>13085</v>
      </c>
      <c r="H6546" s="2" t="s">
        <v>0</v>
      </c>
      <c r="I6546" s="2">
        <v>2936.44</v>
      </c>
    </row>
    <row r="6547">
      <c r="A6547" s="1" t="s">
        <v>13086</v>
      </c>
      <c r="B6547" s="2">
        <v>4655.27</v>
      </c>
      <c r="C6547" s="2">
        <v>4655.27</v>
      </c>
      <c r="D6547" s="2">
        <v>15782.83</v>
      </c>
      <c r="E6547" s="2">
        <v>15782.83</v>
      </c>
      <c r="G6547" s="1" t="s">
        <v>13087</v>
      </c>
      <c r="H6547" s="2">
        <v>2909.32</v>
      </c>
      <c r="I6547" s="2">
        <v>2909.32</v>
      </c>
    </row>
    <row r="6548">
      <c r="A6548" s="1" t="s">
        <v>13088</v>
      </c>
      <c r="B6548" s="2">
        <v>4567.0</v>
      </c>
      <c r="C6548" s="2">
        <v>4567.0</v>
      </c>
      <c r="D6548" s="2">
        <v>15537.69</v>
      </c>
      <c r="E6548" s="2">
        <v>15537.69</v>
      </c>
      <c r="G6548" s="1" t="s">
        <v>13089</v>
      </c>
      <c r="H6548" s="2">
        <v>2839.01</v>
      </c>
      <c r="I6548" s="2">
        <v>2839.01</v>
      </c>
    </row>
    <row r="6549">
      <c r="A6549" s="1" t="s">
        <v>13090</v>
      </c>
      <c r="B6549" s="2">
        <v>4513.04</v>
      </c>
      <c r="C6549" s="2">
        <v>4513.04</v>
      </c>
      <c r="D6549" s="2">
        <v>15254.05</v>
      </c>
      <c r="E6549" s="2">
        <v>15254.05</v>
      </c>
      <c r="G6549" s="1" t="s">
        <v>13091</v>
      </c>
      <c r="H6549" s="2">
        <v>2899.72</v>
      </c>
      <c r="I6549" s="2">
        <v>2899.72</v>
      </c>
    </row>
    <row r="6550">
      <c r="A6550" s="1" t="s">
        <v>13092</v>
      </c>
      <c r="B6550" s="2">
        <v>4577.1</v>
      </c>
      <c r="C6550" s="2">
        <v>4577.1</v>
      </c>
      <c r="D6550" s="2">
        <v>15381.32</v>
      </c>
      <c r="E6550" s="2">
        <v>15381.32</v>
      </c>
      <c r="G6550" s="1" t="s">
        <v>13093</v>
      </c>
      <c r="H6550" s="2">
        <v>2945.27</v>
      </c>
      <c r="I6550" s="2">
        <v>2945.27</v>
      </c>
    </row>
    <row r="6551">
      <c r="A6551" s="1" t="s">
        <v>13094</v>
      </c>
      <c r="B6551" s="2">
        <v>4538.43</v>
      </c>
      <c r="C6551" s="2">
        <v>4538.43</v>
      </c>
      <c r="D6551" s="2">
        <v>15085.47</v>
      </c>
      <c r="E6551" s="2">
        <v>15085.47</v>
      </c>
      <c r="G6551" s="1" t="s">
        <v>13095</v>
      </c>
      <c r="H6551" s="2">
        <v>2968.33</v>
      </c>
      <c r="I6551" s="2">
        <v>2968.33</v>
      </c>
    </row>
    <row r="6552">
      <c r="A6552" s="1" t="s">
        <v>13096</v>
      </c>
      <c r="B6552" s="2" t="s">
        <v>0</v>
      </c>
      <c r="C6552" s="2">
        <v>4538.43</v>
      </c>
      <c r="D6552" s="2" t="s">
        <v>0</v>
      </c>
      <c r="E6552" s="2">
        <v>15085.47</v>
      </c>
      <c r="G6552" s="1" t="s">
        <v>13097</v>
      </c>
      <c r="H6552" s="2" t="s">
        <v>0</v>
      </c>
      <c r="I6552" s="2">
        <v>2968.33</v>
      </c>
    </row>
    <row r="6553">
      <c r="A6553" s="1" t="s">
        <v>13098</v>
      </c>
      <c r="B6553" s="2" t="s">
        <v>0</v>
      </c>
      <c r="C6553" s="2">
        <v>4538.43</v>
      </c>
      <c r="D6553" s="2" t="s">
        <v>0</v>
      </c>
      <c r="E6553" s="2">
        <v>15085.47</v>
      </c>
      <c r="G6553" s="1" t="s">
        <v>13099</v>
      </c>
      <c r="H6553" s="2" t="s">
        <v>0</v>
      </c>
      <c r="I6553" s="2">
        <v>2968.33</v>
      </c>
    </row>
    <row r="6554">
      <c r="A6554" s="1" t="s">
        <v>13100</v>
      </c>
      <c r="B6554" s="2">
        <v>4591.67</v>
      </c>
      <c r="C6554" s="2">
        <v>4591.67</v>
      </c>
      <c r="D6554" s="2">
        <v>15225.15</v>
      </c>
      <c r="E6554" s="2">
        <v>15225.15</v>
      </c>
      <c r="G6554" s="1" t="s">
        <v>13101</v>
      </c>
      <c r="H6554" s="2">
        <v>2973.25</v>
      </c>
      <c r="I6554" s="2">
        <v>2973.25</v>
      </c>
    </row>
    <row r="6555">
      <c r="A6555" s="1" t="s">
        <v>13102</v>
      </c>
      <c r="B6555" s="2">
        <v>4686.75</v>
      </c>
      <c r="C6555" s="2">
        <v>4686.75</v>
      </c>
      <c r="D6555" s="2">
        <v>15686.92</v>
      </c>
      <c r="E6555" s="2">
        <v>15686.92</v>
      </c>
      <c r="G6555" s="1" t="s">
        <v>13103</v>
      </c>
      <c r="H6555" s="2">
        <v>2991.72</v>
      </c>
      <c r="I6555" s="2">
        <v>2991.72</v>
      </c>
    </row>
    <row r="6556">
      <c r="A6556" s="1" t="s">
        <v>13104</v>
      </c>
      <c r="B6556" s="2">
        <v>4701.21</v>
      </c>
      <c r="C6556" s="2">
        <v>4701.21</v>
      </c>
      <c r="D6556" s="2">
        <v>15786.99</v>
      </c>
      <c r="E6556" s="2">
        <v>15786.99</v>
      </c>
      <c r="G6556" s="1" t="s">
        <v>13105</v>
      </c>
      <c r="H6556" s="2">
        <v>3001.8</v>
      </c>
      <c r="I6556" s="2">
        <v>3001.8</v>
      </c>
    </row>
    <row r="6557">
      <c r="A6557" s="1" t="s">
        <v>13106</v>
      </c>
      <c r="B6557" s="2">
        <v>4667.45</v>
      </c>
      <c r="C6557" s="2">
        <v>4667.45</v>
      </c>
      <c r="D6557" s="2">
        <v>15517.37</v>
      </c>
      <c r="E6557" s="2">
        <v>15517.37</v>
      </c>
      <c r="G6557" s="1" t="s">
        <v>13107</v>
      </c>
      <c r="H6557" s="2">
        <v>3029.57</v>
      </c>
      <c r="I6557" s="2">
        <v>3029.57</v>
      </c>
    </row>
    <row r="6558">
      <c r="A6558" s="1" t="s">
        <v>13108</v>
      </c>
      <c r="B6558" s="2">
        <v>4712.02</v>
      </c>
      <c r="C6558" s="2">
        <v>4712.02</v>
      </c>
      <c r="D6558" s="2">
        <v>15630.6</v>
      </c>
      <c r="E6558" s="2">
        <v>15630.6</v>
      </c>
      <c r="G6558" s="1" t="s">
        <v>13109</v>
      </c>
      <c r="H6558" s="2">
        <v>3010.23</v>
      </c>
      <c r="I6558" s="2">
        <v>3010.23</v>
      </c>
    </row>
    <row r="6559">
      <c r="A6559" s="1" t="s">
        <v>13110</v>
      </c>
      <c r="B6559" s="2" t="s">
        <v>0</v>
      </c>
      <c r="C6559" s="2">
        <v>4712.02</v>
      </c>
      <c r="D6559" s="2" t="s">
        <v>0</v>
      </c>
      <c r="E6559" s="2">
        <v>15630.6</v>
      </c>
      <c r="G6559" s="1" t="s">
        <v>13111</v>
      </c>
      <c r="H6559" s="2" t="s">
        <v>0</v>
      </c>
      <c r="I6559" s="2">
        <v>3010.23</v>
      </c>
    </row>
    <row r="6560">
      <c r="A6560" s="1" t="s">
        <v>13112</v>
      </c>
      <c r="B6560" s="2" t="s">
        <v>0</v>
      </c>
      <c r="C6560" s="2">
        <v>4712.02</v>
      </c>
      <c r="D6560" s="2" t="s">
        <v>0</v>
      </c>
      <c r="E6560" s="2">
        <v>15630.6</v>
      </c>
      <c r="G6560" s="1" t="s">
        <v>13113</v>
      </c>
      <c r="H6560" s="2" t="s">
        <v>0</v>
      </c>
      <c r="I6560" s="2">
        <v>3010.23</v>
      </c>
    </row>
    <row r="6561">
      <c r="A6561" s="1" t="s">
        <v>13114</v>
      </c>
      <c r="B6561" s="2">
        <v>4668.97</v>
      </c>
      <c r="C6561" s="2">
        <v>4668.97</v>
      </c>
      <c r="D6561" s="2">
        <v>15413.28</v>
      </c>
      <c r="E6561" s="2">
        <v>15413.28</v>
      </c>
      <c r="G6561" s="1" t="s">
        <v>13115</v>
      </c>
      <c r="H6561" s="2">
        <v>3001.66</v>
      </c>
      <c r="I6561" s="2">
        <v>3001.66</v>
      </c>
    </row>
    <row r="6562">
      <c r="A6562" s="1" t="s">
        <v>13116</v>
      </c>
      <c r="B6562" s="2">
        <v>4634.09</v>
      </c>
      <c r="C6562" s="2">
        <v>4634.09</v>
      </c>
      <c r="D6562" s="2">
        <v>15237.64</v>
      </c>
      <c r="E6562" s="2">
        <v>15237.64</v>
      </c>
      <c r="G6562" s="1" t="s">
        <v>13117</v>
      </c>
      <c r="H6562" s="2">
        <v>2987.95</v>
      </c>
      <c r="I6562" s="2">
        <v>2987.95</v>
      </c>
    </row>
    <row r="6563">
      <c r="A6563" s="1" t="s">
        <v>13118</v>
      </c>
      <c r="B6563" s="2">
        <v>4709.85</v>
      </c>
      <c r="C6563" s="2">
        <v>4709.85</v>
      </c>
      <c r="D6563" s="2">
        <v>15565.58</v>
      </c>
      <c r="E6563" s="2">
        <v>15565.58</v>
      </c>
      <c r="G6563" s="1" t="s">
        <v>13119</v>
      </c>
      <c r="H6563" s="2">
        <v>2989.39</v>
      </c>
      <c r="I6563" s="2">
        <v>2989.39</v>
      </c>
    </row>
    <row r="6564">
      <c r="A6564" s="1" t="s">
        <v>13120</v>
      </c>
      <c r="B6564" s="2">
        <v>4668.67</v>
      </c>
      <c r="C6564" s="2">
        <v>4668.67</v>
      </c>
      <c r="D6564" s="2">
        <v>15180.44</v>
      </c>
      <c r="E6564" s="2">
        <v>15180.44</v>
      </c>
      <c r="G6564" s="1" t="s">
        <v>13121</v>
      </c>
      <c r="H6564" s="2">
        <v>3006.41</v>
      </c>
      <c r="I6564" s="2">
        <v>3006.41</v>
      </c>
    </row>
    <row r="6565">
      <c r="A6565" s="1" t="s">
        <v>13122</v>
      </c>
      <c r="B6565" s="2">
        <v>4620.64</v>
      </c>
      <c r="C6565" s="2">
        <v>4620.64</v>
      </c>
      <c r="D6565" s="2">
        <v>15169.68</v>
      </c>
      <c r="E6565" s="2">
        <v>15169.68</v>
      </c>
      <c r="G6565" s="1" t="s">
        <v>13123</v>
      </c>
      <c r="H6565" s="2">
        <v>3017.73</v>
      </c>
      <c r="I6565" s="2">
        <v>3017.73</v>
      </c>
    </row>
    <row r="6566">
      <c r="A6566" s="1" t="s">
        <v>13124</v>
      </c>
      <c r="B6566" s="2" t="s">
        <v>0</v>
      </c>
      <c r="C6566" s="2">
        <v>4620.64</v>
      </c>
      <c r="D6566" s="2" t="s">
        <v>0</v>
      </c>
      <c r="E6566" s="2">
        <v>15169.68</v>
      </c>
      <c r="G6566" s="1" t="s">
        <v>13125</v>
      </c>
      <c r="H6566" s="2" t="s">
        <v>0</v>
      </c>
      <c r="I6566" s="2">
        <v>3017.73</v>
      </c>
    </row>
    <row r="6567">
      <c r="A6567" s="1" t="s">
        <v>13126</v>
      </c>
      <c r="B6567" s="2" t="s">
        <v>0</v>
      </c>
      <c r="C6567" s="2">
        <v>4620.64</v>
      </c>
      <c r="D6567" s="2" t="s">
        <v>0</v>
      </c>
      <c r="E6567" s="2">
        <v>15169.68</v>
      </c>
      <c r="G6567" s="1" t="s">
        <v>13127</v>
      </c>
      <c r="H6567" s="2" t="s">
        <v>0</v>
      </c>
      <c r="I6567" s="2">
        <v>3017.73</v>
      </c>
    </row>
    <row r="6568">
      <c r="A6568" s="1" t="s">
        <v>13128</v>
      </c>
      <c r="B6568" s="2">
        <v>4568.02</v>
      </c>
      <c r="C6568" s="2">
        <v>4568.02</v>
      </c>
      <c r="D6568" s="2">
        <v>14980.94</v>
      </c>
      <c r="E6568" s="2">
        <v>14980.94</v>
      </c>
      <c r="G6568" s="1" t="s">
        <v>13129</v>
      </c>
      <c r="H6568" s="2">
        <v>2963.0</v>
      </c>
      <c r="I6568" s="2">
        <v>2963.0</v>
      </c>
    </row>
    <row r="6569">
      <c r="A6569" s="1" t="s">
        <v>13130</v>
      </c>
      <c r="B6569" s="2">
        <v>4649.23</v>
      </c>
      <c r="C6569" s="2">
        <v>4649.23</v>
      </c>
      <c r="D6569" s="2">
        <v>15341.09</v>
      </c>
      <c r="E6569" s="2">
        <v>15341.09</v>
      </c>
      <c r="G6569" s="1" t="s">
        <v>13131</v>
      </c>
      <c r="H6569" s="2">
        <v>2975.03</v>
      </c>
      <c r="I6569" s="2">
        <v>2975.03</v>
      </c>
    </row>
    <row r="6570">
      <c r="A6570" s="1" t="s">
        <v>13132</v>
      </c>
      <c r="B6570" s="2">
        <v>4696.56</v>
      </c>
      <c r="C6570" s="2">
        <v>4696.56</v>
      </c>
      <c r="D6570" s="2">
        <v>15521.89</v>
      </c>
      <c r="E6570" s="2">
        <v>15521.89</v>
      </c>
      <c r="G6570" s="1" t="s">
        <v>13133</v>
      </c>
      <c r="H6570" s="2">
        <v>2984.48</v>
      </c>
      <c r="I6570" s="2">
        <v>2984.48</v>
      </c>
    </row>
    <row r="6571">
      <c r="A6571" s="1" t="s">
        <v>13134</v>
      </c>
      <c r="B6571" s="2">
        <v>4725.79</v>
      </c>
      <c r="C6571" s="2">
        <v>4725.79</v>
      </c>
      <c r="D6571" s="2">
        <v>15653.37</v>
      </c>
      <c r="E6571" s="2">
        <v>15653.37</v>
      </c>
      <c r="G6571" s="1" t="s">
        <v>13135</v>
      </c>
      <c r="H6571" s="2">
        <v>2998.17</v>
      </c>
      <c r="I6571" s="2">
        <v>2998.17</v>
      </c>
    </row>
    <row r="6572">
      <c r="A6572" s="1" t="s">
        <v>13136</v>
      </c>
      <c r="B6572" s="2" t="s">
        <v>0</v>
      </c>
      <c r="C6572" s="2">
        <v>4725.79</v>
      </c>
      <c r="D6572" s="2" t="s">
        <v>0</v>
      </c>
      <c r="E6572" s="2">
        <v>15653.37</v>
      </c>
      <c r="G6572" s="1" t="s">
        <v>13137</v>
      </c>
      <c r="H6572" s="2">
        <v>3012.43</v>
      </c>
      <c r="I6572" s="2">
        <v>3012.43</v>
      </c>
    </row>
    <row r="6573">
      <c r="A6573" s="1" t="s">
        <v>13138</v>
      </c>
      <c r="B6573" s="2" t="s">
        <v>0</v>
      </c>
      <c r="C6573" s="2">
        <v>4725.79</v>
      </c>
      <c r="D6573" s="2" t="s">
        <v>0</v>
      </c>
      <c r="E6573" s="2">
        <v>15653.37</v>
      </c>
      <c r="G6573" s="1" t="s">
        <v>13139</v>
      </c>
      <c r="H6573" s="2" t="s">
        <v>0</v>
      </c>
      <c r="I6573" s="2">
        <v>3012.43</v>
      </c>
    </row>
    <row r="6574">
      <c r="A6574" s="1" t="s">
        <v>13140</v>
      </c>
      <c r="B6574" s="2" t="s">
        <v>0</v>
      </c>
      <c r="C6574" s="2">
        <v>4725.79</v>
      </c>
      <c r="D6574" s="2" t="s">
        <v>0</v>
      </c>
      <c r="E6574" s="2">
        <v>15653.37</v>
      </c>
      <c r="G6574" s="1" t="s">
        <v>13141</v>
      </c>
      <c r="H6574" s="2" t="s">
        <v>0</v>
      </c>
      <c r="I6574" s="2">
        <v>3012.43</v>
      </c>
    </row>
    <row r="6575">
      <c r="A6575" s="1" t="s">
        <v>13142</v>
      </c>
      <c r="B6575" s="2">
        <v>4791.19</v>
      </c>
      <c r="C6575" s="2">
        <v>4791.19</v>
      </c>
      <c r="D6575" s="2">
        <v>15871.26</v>
      </c>
      <c r="E6575" s="2">
        <v>15871.26</v>
      </c>
      <c r="G6575" s="1" t="s">
        <v>13143</v>
      </c>
      <c r="H6575" s="2">
        <v>2999.55</v>
      </c>
      <c r="I6575" s="2">
        <v>2999.55</v>
      </c>
    </row>
    <row r="6576">
      <c r="A6576" s="1" t="s">
        <v>13144</v>
      </c>
      <c r="B6576" s="2">
        <v>4786.35</v>
      </c>
      <c r="C6576" s="2">
        <v>4786.35</v>
      </c>
      <c r="D6576" s="2">
        <v>15781.72</v>
      </c>
      <c r="E6576" s="2">
        <v>15781.72</v>
      </c>
      <c r="G6576" s="1" t="s">
        <v>13145</v>
      </c>
      <c r="H6576" s="2">
        <v>3020.24</v>
      </c>
      <c r="I6576" s="2">
        <v>3020.24</v>
      </c>
    </row>
    <row r="6577">
      <c r="A6577" s="1" t="s">
        <v>13146</v>
      </c>
      <c r="B6577" s="2">
        <v>4793.06</v>
      </c>
      <c r="C6577" s="2">
        <v>4793.06</v>
      </c>
      <c r="D6577" s="2">
        <v>15766.22</v>
      </c>
      <c r="E6577" s="2">
        <v>15766.22</v>
      </c>
      <c r="G6577" s="1" t="s">
        <v>13147</v>
      </c>
      <c r="H6577" s="2">
        <v>2993.29</v>
      </c>
      <c r="I6577" s="2">
        <v>2993.29</v>
      </c>
    </row>
    <row r="6578">
      <c r="A6578" s="1" t="s">
        <v>13148</v>
      </c>
      <c r="B6578" s="2">
        <v>4778.73</v>
      </c>
      <c r="C6578" s="2">
        <v>4778.73</v>
      </c>
      <c r="D6578" s="2">
        <v>15741.56</v>
      </c>
      <c r="E6578" s="2">
        <v>15741.56</v>
      </c>
      <c r="G6578" s="1" t="s">
        <v>13149</v>
      </c>
      <c r="H6578" s="2">
        <v>2977.65</v>
      </c>
      <c r="I6578" s="2">
        <v>2977.65</v>
      </c>
    </row>
    <row r="6579">
      <c r="A6579" s="1" t="s">
        <v>13150</v>
      </c>
      <c r="B6579" s="2">
        <v>4766.18</v>
      </c>
      <c r="C6579" s="2">
        <v>4766.18</v>
      </c>
      <c r="D6579" s="2">
        <v>15644.97</v>
      </c>
      <c r="E6579" s="2">
        <v>15644.97</v>
      </c>
      <c r="G6579" s="1" t="s">
        <v>13151</v>
      </c>
      <c r="H6579" s="2" t="s">
        <v>0</v>
      </c>
      <c r="I6579" s="2">
        <v>2977.65</v>
      </c>
    </row>
    <row r="6580">
      <c r="A6580" s="1" t="s">
        <v>13152</v>
      </c>
      <c r="B6580" s="2" t="s">
        <v>0</v>
      </c>
      <c r="C6580" s="2">
        <v>4766.18</v>
      </c>
      <c r="D6580" s="2" t="s">
        <v>0</v>
      </c>
      <c r="E6580" s="2">
        <v>15644.97</v>
      </c>
      <c r="G6580" s="1" t="s">
        <v>13153</v>
      </c>
      <c r="H6580" s="2" t="s">
        <v>0</v>
      </c>
      <c r="I6580" s="2">
        <v>2977.65</v>
      </c>
    </row>
    <row r="6581">
      <c r="A6581" s="1" t="s">
        <v>13154</v>
      </c>
      <c r="B6581" s="2" t="s">
        <v>0</v>
      </c>
      <c r="C6581" s="2">
        <v>4766.18</v>
      </c>
      <c r="D6581" s="2" t="s">
        <v>0</v>
      </c>
      <c r="E6581" s="2">
        <v>15644.97</v>
      </c>
      <c r="G6581" s="1" t="s">
        <v>13155</v>
      </c>
      <c r="H6581" s="2" t="s">
        <v>0</v>
      </c>
      <c r="I6581" s="2">
        <v>2977.65</v>
      </c>
    </row>
    <row r="6582">
      <c r="A6582" s="1" t="s">
        <v>13156</v>
      </c>
      <c r="B6582" s="2">
        <v>4796.56</v>
      </c>
      <c r="C6582" s="2">
        <v>4796.56</v>
      </c>
      <c r="D6582" s="2">
        <v>15832.8</v>
      </c>
      <c r="E6582" s="2">
        <v>15832.8</v>
      </c>
      <c r="G6582" s="1" t="s">
        <v>13157</v>
      </c>
      <c r="H6582" s="2">
        <v>2988.77</v>
      </c>
      <c r="I6582" s="2">
        <v>2988.77</v>
      </c>
    </row>
    <row r="6583">
      <c r="A6583" s="1" t="s">
        <v>13158</v>
      </c>
      <c r="B6583" s="2">
        <v>4793.54</v>
      </c>
      <c r="C6583" s="2">
        <v>4793.54</v>
      </c>
      <c r="D6583" s="2">
        <v>15622.72</v>
      </c>
      <c r="E6583" s="2">
        <v>15622.72</v>
      </c>
      <c r="G6583" s="1" t="s">
        <v>13159</v>
      </c>
      <c r="H6583" s="2">
        <v>2989.24</v>
      </c>
      <c r="I6583" s="2">
        <v>2989.24</v>
      </c>
    </row>
    <row r="6584">
      <c r="A6584" s="1" t="s">
        <v>13160</v>
      </c>
      <c r="B6584" s="2">
        <v>4700.58</v>
      </c>
      <c r="C6584" s="2">
        <v>4700.58</v>
      </c>
      <c r="D6584" s="2">
        <v>15100.17</v>
      </c>
      <c r="E6584" s="2">
        <v>15100.17</v>
      </c>
      <c r="G6584" s="1" t="s">
        <v>13161</v>
      </c>
      <c r="H6584" s="2">
        <v>2953.97</v>
      </c>
      <c r="I6584" s="2">
        <v>2953.97</v>
      </c>
    </row>
    <row r="6585">
      <c r="A6585" s="1" t="s">
        <v>13162</v>
      </c>
      <c r="B6585" s="2">
        <v>4696.05</v>
      </c>
      <c r="C6585" s="2">
        <v>4696.05</v>
      </c>
      <c r="D6585" s="2">
        <v>15080.87</v>
      </c>
      <c r="E6585" s="2">
        <v>15080.87</v>
      </c>
      <c r="G6585" s="1" t="s">
        <v>13163</v>
      </c>
      <c r="H6585" s="2">
        <v>2920.53</v>
      </c>
      <c r="I6585" s="2">
        <v>2920.53</v>
      </c>
    </row>
    <row r="6586">
      <c r="A6586" s="1" t="s">
        <v>13164</v>
      </c>
      <c r="B6586" s="2">
        <v>4677.03</v>
      </c>
      <c r="C6586" s="2">
        <v>4677.03</v>
      </c>
      <c r="D6586" s="2">
        <v>14935.9</v>
      </c>
      <c r="E6586" s="2">
        <v>14935.9</v>
      </c>
      <c r="G6586" s="1" t="s">
        <v>13165</v>
      </c>
      <c r="H6586" s="2">
        <v>2954.89</v>
      </c>
      <c r="I6586" s="2">
        <v>2954.89</v>
      </c>
    </row>
    <row r="6587">
      <c r="A6587" s="1" t="s">
        <v>13166</v>
      </c>
      <c r="B6587" s="2" t="s">
        <v>0</v>
      </c>
      <c r="C6587" s="2">
        <v>4677.03</v>
      </c>
      <c r="D6587" s="2" t="s">
        <v>0</v>
      </c>
      <c r="E6587" s="2">
        <v>14935.9</v>
      </c>
      <c r="G6587" s="1" t="s">
        <v>13167</v>
      </c>
      <c r="H6587" s="2" t="s">
        <v>0</v>
      </c>
      <c r="I6587" s="2">
        <v>2954.89</v>
      </c>
    </row>
    <row r="6588">
      <c r="A6588" s="1" t="s">
        <v>13168</v>
      </c>
      <c r="B6588" s="2" t="s">
        <v>0</v>
      </c>
      <c r="C6588" s="2">
        <v>4677.03</v>
      </c>
      <c r="D6588" s="2" t="s">
        <v>0</v>
      </c>
      <c r="E6588" s="2">
        <v>14935.9</v>
      </c>
      <c r="G6588" s="1" t="s">
        <v>13169</v>
      </c>
      <c r="H6588" s="2" t="s">
        <v>0</v>
      </c>
      <c r="I6588" s="2">
        <v>2954.89</v>
      </c>
    </row>
    <row r="6589">
      <c r="A6589" s="1" t="s">
        <v>13170</v>
      </c>
      <c r="B6589" s="2">
        <v>4670.29</v>
      </c>
      <c r="C6589" s="2">
        <v>4670.29</v>
      </c>
      <c r="D6589" s="2">
        <v>14942.83</v>
      </c>
      <c r="E6589" s="2">
        <v>14942.83</v>
      </c>
      <c r="G6589" s="1" t="s">
        <v>13171</v>
      </c>
      <c r="H6589" s="2">
        <v>2926.72</v>
      </c>
      <c r="I6589" s="2">
        <v>2926.72</v>
      </c>
    </row>
    <row r="6590">
      <c r="A6590" s="1" t="s">
        <v>13172</v>
      </c>
      <c r="B6590" s="2">
        <v>4713.07</v>
      </c>
      <c r="C6590" s="2">
        <v>4713.07</v>
      </c>
      <c r="D6590" s="2">
        <v>15153.45</v>
      </c>
      <c r="E6590" s="2">
        <v>15153.45</v>
      </c>
      <c r="G6590" s="1" t="s">
        <v>13173</v>
      </c>
      <c r="H6590" s="2">
        <v>2927.38</v>
      </c>
      <c r="I6590" s="2">
        <v>2927.38</v>
      </c>
    </row>
    <row r="6591">
      <c r="A6591" s="1" t="s">
        <v>13174</v>
      </c>
      <c r="B6591" s="2">
        <v>4726.35</v>
      </c>
      <c r="C6591" s="2">
        <v>4726.35</v>
      </c>
      <c r="D6591" s="2">
        <v>15188.39</v>
      </c>
      <c r="E6591" s="2">
        <v>15188.39</v>
      </c>
      <c r="G6591" s="1" t="s">
        <v>13175</v>
      </c>
      <c r="H6591" s="2">
        <v>2972.48</v>
      </c>
      <c r="I6591" s="2">
        <v>2972.48</v>
      </c>
    </row>
    <row r="6592">
      <c r="A6592" s="1" t="s">
        <v>13176</v>
      </c>
      <c r="B6592" s="2">
        <v>4659.03</v>
      </c>
      <c r="C6592" s="2">
        <v>4659.03</v>
      </c>
      <c r="D6592" s="2">
        <v>14806.81</v>
      </c>
      <c r="E6592" s="2">
        <v>14806.81</v>
      </c>
      <c r="G6592" s="1" t="s">
        <v>13177</v>
      </c>
      <c r="H6592" s="2">
        <v>2962.09</v>
      </c>
      <c r="I6592" s="2">
        <v>2962.09</v>
      </c>
    </row>
    <row r="6593">
      <c r="A6593" s="1" t="s">
        <v>13178</v>
      </c>
      <c r="B6593" s="2">
        <v>4662.85</v>
      </c>
      <c r="C6593" s="2">
        <v>4662.85</v>
      </c>
      <c r="D6593" s="2">
        <v>14893.75</v>
      </c>
      <c r="E6593" s="2">
        <v>14893.75</v>
      </c>
      <c r="G6593" s="1" t="s">
        <v>13179</v>
      </c>
      <c r="H6593" s="2">
        <v>2921.92</v>
      </c>
      <c r="I6593" s="2">
        <v>2921.92</v>
      </c>
    </row>
    <row r="6594">
      <c r="A6594" s="1" t="s">
        <v>13180</v>
      </c>
      <c r="B6594" s="2" t="s">
        <v>0</v>
      </c>
      <c r="C6594" s="2">
        <v>4662.85</v>
      </c>
      <c r="D6594" s="2" t="s">
        <v>0</v>
      </c>
      <c r="E6594" s="2">
        <v>14893.75</v>
      </c>
      <c r="G6594" s="1" t="s">
        <v>13181</v>
      </c>
      <c r="H6594" s="2" t="s">
        <v>0</v>
      </c>
      <c r="I6594" s="2">
        <v>2921.92</v>
      </c>
    </row>
    <row r="6595">
      <c r="A6595" s="1" t="s">
        <v>13182</v>
      </c>
      <c r="B6595" s="2" t="s">
        <v>0</v>
      </c>
      <c r="C6595" s="2">
        <v>4662.85</v>
      </c>
      <c r="D6595" s="2" t="s">
        <v>0</v>
      </c>
      <c r="E6595" s="2">
        <v>14893.75</v>
      </c>
      <c r="G6595" s="1" t="s">
        <v>13183</v>
      </c>
      <c r="H6595" s="2" t="s">
        <v>0</v>
      </c>
      <c r="I6595" s="2">
        <v>2921.92</v>
      </c>
    </row>
    <row r="6596">
      <c r="A6596" s="1" t="s">
        <v>13184</v>
      </c>
      <c r="B6596" s="2" t="s">
        <v>0</v>
      </c>
      <c r="C6596" s="2">
        <v>4662.85</v>
      </c>
      <c r="D6596" s="2" t="s">
        <v>0</v>
      </c>
      <c r="E6596" s="2">
        <v>14893.75</v>
      </c>
      <c r="G6596" s="1" t="s">
        <v>13185</v>
      </c>
      <c r="H6596" s="2">
        <v>2890.1</v>
      </c>
      <c r="I6596" s="2">
        <v>2890.1</v>
      </c>
    </row>
    <row r="6597">
      <c r="A6597" s="1" t="s">
        <v>13186</v>
      </c>
      <c r="B6597" s="2">
        <v>4577.11</v>
      </c>
      <c r="C6597" s="2">
        <v>4577.11</v>
      </c>
      <c r="D6597" s="2">
        <v>14506.9</v>
      </c>
      <c r="E6597" s="2">
        <v>14506.9</v>
      </c>
      <c r="G6597" s="1" t="s">
        <v>13187</v>
      </c>
      <c r="H6597" s="2">
        <v>2864.24</v>
      </c>
      <c r="I6597" s="2">
        <v>2864.24</v>
      </c>
    </row>
    <row r="6598">
      <c r="A6598" s="1" t="s">
        <v>13188</v>
      </c>
      <c r="B6598" s="2">
        <v>4532.76</v>
      </c>
      <c r="C6598" s="2">
        <v>4532.76</v>
      </c>
      <c r="D6598" s="2">
        <v>14340.26</v>
      </c>
      <c r="E6598" s="2">
        <v>14340.26</v>
      </c>
      <c r="G6598" s="1" t="s">
        <v>13189</v>
      </c>
      <c r="H6598" s="2">
        <v>2842.28</v>
      </c>
      <c r="I6598" s="2">
        <v>2842.28</v>
      </c>
    </row>
    <row r="6599">
      <c r="A6599" s="1" t="s">
        <v>13190</v>
      </c>
      <c r="B6599" s="2">
        <v>4482.73</v>
      </c>
      <c r="C6599" s="2">
        <v>4482.73</v>
      </c>
      <c r="D6599" s="2">
        <v>14154.02</v>
      </c>
      <c r="E6599" s="2">
        <v>14154.02</v>
      </c>
      <c r="G6599" s="1" t="s">
        <v>13191</v>
      </c>
      <c r="H6599" s="2">
        <v>2862.68</v>
      </c>
      <c r="I6599" s="2">
        <v>2862.68</v>
      </c>
    </row>
    <row r="6600">
      <c r="A6600" s="1" t="s">
        <v>13192</v>
      </c>
      <c r="B6600" s="2">
        <v>4397.94</v>
      </c>
      <c r="C6600" s="2">
        <v>4397.94</v>
      </c>
      <c r="D6600" s="2">
        <v>13768.92</v>
      </c>
      <c r="E6600" s="2">
        <v>13768.92</v>
      </c>
      <c r="G6600" s="1" t="s">
        <v>13193</v>
      </c>
      <c r="H6600" s="2">
        <v>2834.29</v>
      </c>
      <c r="I6600" s="2">
        <v>2834.29</v>
      </c>
    </row>
    <row r="6601">
      <c r="A6601" s="1" t="s">
        <v>13194</v>
      </c>
      <c r="B6601" s="2" t="s">
        <v>0</v>
      </c>
      <c r="C6601" s="2">
        <v>4397.94</v>
      </c>
      <c r="D6601" s="2" t="s">
        <v>0</v>
      </c>
      <c r="E6601" s="2">
        <v>13768.92</v>
      </c>
      <c r="G6601" s="1" t="s">
        <v>13195</v>
      </c>
      <c r="H6601" s="2" t="s">
        <v>0</v>
      </c>
      <c r="I6601" s="2">
        <v>2834.29</v>
      </c>
    </row>
    <row r="6602">
      <c r="A6602" s="1" t="s">
        <v>13196</v>
      </c>
      <c r="B6602" s="2" t="s">
        <v>0</v>
      </c>
      <c r="C6602" s="2">
        <v>4397.94</v>
      </c>
      <c r="D6602" s="2" t="s">
        <v>0</v>
      </c>
      <c r="E6602" s="2">
        <v>13768.92</v>
      </c>
      <c r="G6602" s="1" t="s">
        <v>13197</v>
      </c>
      <c r="H6602" s="2" t="s">
        <v>0</v>
      </c>
      <c r="I6602" s="2">
        <v>2834.29</v>
      </c>
    </row>
    <row r="6603">
      <c r="A6603" s="1" t="s">
        <v>13198</v>
      </c>
      <c r="B6603" s="2">
        <v>4410.13</v>
      </c>
      <c r="C6603" s="2">
        <v>4410.13</v>
      </c>
      <c r="D6603" s="2">
        <v>13855.13</v>
      </c>
      <c r="E6603" s="2">
        <v>13855.13</v>
      </c>
      <c r="G6603" s="1" t="s">
        <v>13199</v>
      </c>
      <c r="H6603" s="2">
        <v>2792.0</v>
      </c>
      <c r="I6603" s="2">
        <v>2792.0</v>
      </c>
    </row>
    <row r="6604">
      <c r="A6604" s="1" t="s">
        <v>13200</v>
      </c>
      <c r="B6604" s="2">
        <v>4356.45</v>
      </c>
      <c r="C6604" s="2">
        <v>4356.45</v>
      </c>
      <c r="D6604" s="2">
        <v>13539.3</v>
      </c>
      <c r="E6604" s="2">
        <v>13539.3</v>
      </c>
      <c r="G6604" s="1" t="s">
        <v>13201</v>
      </c>
      <c r="H6604" s="2">
        <v>2720.39</v>
      </c>
      <c r="I6604" s="2">
        <v>2720.39</v>
      </c>
    </row>
    <row r="6605">
      <c r="A6605" s="1" t="s">
        <v>13202</v>
      </c>
      <c r="B6605" s="2">
        <v>4349.93</v>
      </c>
      <c r="C6605" s="2">
        <v>4349.93</v>
      </c>
      <c r="D6605" s="2">
        <v>13542.12</v>
      </c>
      <c r="E6605" s="2">
        <v>13542.12</v>
      </c>
      <c r="G6605" s="1" t="s">
        <v>13203</v>
      </c>
      <c r="H6605" s="2">
        <v>2709.24</v>
      </c>
      <c r="I6605" s="2">
        <v>2709.24</v>
      </c>
    </row>
    <row r="6606">
      <c r="A6606" s="1" t="s">
        <v>13204</v>
      </c>
      <c r="B6606" s="2">
        <v>4326.51</v>
      </c>
      <c r="C6606" s="2">
        <v>4326.51</v>
      </c>
      <c r="D6606" s="2">
        <v>13352.78</v>
      </c>
      <c r="E6606" s="2">
        <v>13352.78</v>
      </c>
      <c r="G6606" s="1" t="s">
        <v>13205</v>
      </c>
      <c r="H6606" s="2">
        <v>2614.49</v>
      </c>
      <c r="I6606" s="2">
        <v>2614.49</v>
      </c>
    </row>
    <row r="6607">
      <c r="A6607" s="1" t="s">
        <v>13206</v>
      </c>
      <c r="B6607" s="2">
        <v>4431.85</v>
      </c>
      <c r="C6607" s="2">
        <v>4431.85</v>
      </c>
      <c r="D6607" s="2">
        <v>13770.57</v>
      </c>
      <c r="E6607" s="2">
        <v>13770.57</v>
      </c>
      <c r="G6607" s="1" t="s">
        <v>13207</v>
      </c>
      <c r="H6607" s="2">
        <v>2663.34</v>
      </c>
      <c r="I6607" s="2">
        <v>2663.34</v>
      </c>
    </row>
    <row r="6608">
      <c r="A6608" s="1" t="s">
        <v>13208</v>
      </c>
      <c r="B6608" s="2" t="s">
        <v>0</v>
      </c>
      <c r="C6608" s="2">
        <v>4431.85</v>
      </c>
      <c r="D6608" s="2" t="s">
        <v>0</v>
      </c>
      <c r="E6608" s="2">
        <v>13770.57</v>
      </c>
      <c r="G6608" s="1" t="s">
        <v>13209</v>
      </c>
      <c r="H6608" s="2" t="s">
        <v>0</v>
      </c>
      <c r="I6608" s="2">
        <v>2663.34</v>
      </c>
    </row>
    <row r="6609">
      <c r="A6609" s="1" t="s">
        <v>13210</v>
      </c>
      <c r="B6609" s="2" t="s">
        <v>0</v>
      </c>
      <c r="C6609" s="2">
        <v>4431.85</v>
      </c>
      <c r="D6609" s="2" t="s">
        <v>0</v>
      </c>
      <c r="E6609" s="2">
        <v>13770.57</v>
      </c>
      <c r="G6609" s="1" t="s">
        <v>13211</v>
      </c>
      <c r="H6609" s="2" t="s">
        <v>0</v>
      </c>
      <c r="I6609" s="2">
        <v>2663.34</v>
      </c>
    </row>
    <row r="6610">
      <c r="A6610" s="1" t="s">
        <v>13212</v>
      </c>
      <c r="B6610" s="2">
        <v>4515.55</v>
      </c>
      <c r="C6610" s="2">
        <v>4515.55</v>
      </c>
      <c r="D6610" s="2">
        <v>14239.88</v>
      </c>
      <c r="E6610" s="2">
        <v>14239.88</v>
      </c>
      <c r="G6610" s="1" t="s">
        <v>13213</v>
      </c>
      <c r="H6610" s="2" t="s">
        <v>0</v>
      </c>
      <c r="I6610" s="2">
        <v>2663.34</v>
      </c>
    </row>
    <row r="6611">
      <c r="A6611" s="1" t="s">
        <v>13214</v>
      </c>
      <c r="B6611" s="2">
        <v>4546.54</v>
      </c>
      <c r="C6611" s="2">
        <v>4546.54</v>
      </c>
      <c r="D6611" s="2">
        <v>14346.0</v>
      </c>
      <c r="E6611" s="2">
        <v>14346.0</v>
      </c>
      <c r="G6611" s="1" t="s">
        <v>13215</v>
      </c>
      <c r="H6611" s="2" t="s">
        <v>0</v>
      </c>
      <c r="I6611" s="2">
        <v>2663.34</v>
      </c>
    </row>
    <row r="6612">
      <c r="A6612" s="1" t="s">
        <v>13216</v>
      </c>
      <c r="B6612" s="2">
        <v>4589.38</v>
      </c>
      <c r="C6612" s="2">
        <v>4589.38</v>
      </c>
      <c r="D6612" s="2">
        <v>14417.55</v>
      </c>
      <c r="E6612" s="2">
        <v>14417.55</v>
      </c>
      <c r="G6612" s="1" t="s">
        <v>13217</v>
      </c>
      <c r="H6612" s="2" t="s">
        <v>0</v>
      </c>
      <c r="I6612" s="2">
        <v>2663.34</v>
      </c>
    </row>
    <row r="6613">
      <c r="A6613" s="1" t="s">
        <v>13218</v>
      </c>
      <c r="B6613" s="2">
        <v>4477.44</v>
      </c>
      <c r="C6613" s="2">
        <v>4477.44</v>
      </c>
      <c r="D6613" s="2">
        <v>13878.82</v>
      </c>
      <c r="E6613" s="2">
        <v>13878.82</v>
      </c>
      <c r="G6613" s="1" t="s">
        <v>13219</v>
      </c>
      <c r="H6613" s="2">
        <v>2707.82</v>
      </c>
      <c r="I6613" s="2">
        <v>2707.82</v>
      </c>
    </row>
    <row r="6614">
      <c r="A6614" s="1" t="s">
        <v>13220</v>
      </c>
      <c r="B6614" s="2">
        <v>4500.53</v>
      </c>
      <c r="C6614" s="2">
        <v>4500.53</v>
      </c>
      <c r="D6614" s="2">
        <v>14098.01</v>
      </c>
      <c r="E6614" s="2">
        <v>14098.01</v>
      </c>
      <c r="G6614" s="1" t="s">
        <v>13221</v>
      </c>
      <c r="H6614" s="2">
        <v>2750.26</v>
      </c>
      <c r="I6614" s="2">
        <v>2750.26</v>
      </c>
    </row>
    <row r="6615">
      <c r="A6615" s="1" t="s">
        <v>13222</v>
      </c>
      <c r="B6615" s="2" t="s">
        <v>0</v>
      </c>
      <c r="C6615" s="2">
        <v>4500.53</v>
      </c>
      <c r="D6615" s="2" t="s">
        <v>0</v>
      </c>
      <c r="E6615" s="2">
        <v>14098.01</v>
      </c>
      <c r="G6615" s="1" t="s">
        <v>13223</v>
      </c>
      <c r="H6615" s="2" t="s">
        <v>0</v>
      </c>
      <c r="I6615" s="2">
        <v>2750.26</v>
      </c>
    </row>
    <row r="6616">
      <c r="A6616" s="1" t="s">
        <v>13224</v>
      </c>
      <c r="B6616" s="2" t="s">
        <v>0</v>
      </c>
      <c r="C6616" s="2">
        <v>4500.53</v>
      </c>
      <c r="D6616" s="2" t="s">
        <v>0</v>
      </c>
      <c r="E6616" s="2">
        <v>14098.01</v>
      </c>
      <c r="G6616" s="1" t="s">
        <v>13225</v>
      </c>
      <c r="H6616" s="2" t="s">
        <v>0</v>
      </c>
      <c r="I6616" s="2">
        <v>2750.26</v>
      </c>
    </row>
    <row r="6617">
      <c r="A6617" s="1" t="s">
        <v>13226</v>
      </c>
      <c r="B6617" s="2">
        <v>4483.87</v>
      </c>
      <c r="C6617" s="2">
        <v>4483.87</v>
      </c>
      <c r="D6617" s="2">
        <v>14015.67</v>
      </c>
      <c r="E6617" s="2">
        <v>14015.67</v>
      </c>
      <c r="G6617" s="1" t="s">
        <v>13227</v>
      </c>
      <c r="H6617" s="2">
        <v>2745.06</v>
      </c>
      <c r="I6617" s="2">
        <v>2745.06</v>
      </c>
    </row>
    <row r="6618">
      <c r="A6618" s="1" t="s">
        <v>13228</v>
      </c>
      <c r="B6618" s="2">
        <v>4521.54</v>
      </c>
      <c r="C6618" s="2">
        <v>4521.54</v>
      </c>
      <c r="D6618" s="2">
        <v>14194.46</v>
      </c>
      <c r="E6618" s="2">
        <v>14194.46</v>
      </c>
      <c r="G6618" s="1" t="s">
        <v>13229</v>
      </c>
      <c r="H6618" s="2">
        <v>2746.47</v>
      </c>
      <c r="I6618" s="2">
        <v>2746.47</v>
      </c>
    </row>
    <row r="6619">
      <c r="A6619" s="1" t="s">
        <v>13230</v>
      </c>
      <c r="B6619" s="2">
        <v>4587.18</v>
      </c>
      <c r="C6619" s="2">
        <v>4587.18</v>
      </c>
      <c r="D6619" s="2">
        <v>14490.37</v>
      </c>
      <c r="E6619" s="2">
        <v>14490.37</v>
      </c>
      <c r="G6619" s="1" t="s">
        <v>13231</v>
      </c>
      <c r="H6619" s="2">
        <v>2768.85</v>
      </c>
      <c r="I6619" s="2">
        <v>2768.85</v>
      </c>
    </row>
    <row r="6620">
      <c r="A6620" s="1" t="s">
        <v>13232</v>
      </c>
      <c r="B6620" s="2">
        <v>4504.08</v>
      </c>
      <c r="C6620" s="2">
        <v>4504.08</v>
      </c>
      <c r="D6620" s="2">
        <v>14185.64</v>
      </c>
      <c r="E6620" s="2">
        <v>14185.64</v>
      </c>
      <c r="G6620" s="1" t="s">
        <v>13233</v>
      </c>
      <c r="H6620" s="2">
        <v>2771.93</v>
      </c>
      <c r="I6620" s="2">
        <v>2771.93</v>
      </c>
    </row>
    <row r="6621">
      <c r="A6621" s="1" t="s">
        <v>13234</v>
      </c>
      <c r="B6621" s="2">
        <v>4418.64</v>
      </c>
      <c r="C6621" s="2">
        <v>4418.64</v>
      </c>
      <c r="D6621" s="2">
        <v>13791.15</v>
      </c>
      <c r="E6621" s="2">
        <v>13791.15</v>
      </c>
      <c r="G6621" s="1" t="s">
        <v>13235</v>
      </c>
      <c r="H6621" s="2">
        <v>2747.71</v>
      </c>
      <c r="I6621" s="2">
        <v>2747.71</v>
      </c>
    </row>
    <row r="6622">
      <c r="A6622" s="1" t="s">
        <v>13236</v>
      </c>
      <c r="B6622" s="2" t="s">
        <v>0</v>
      </c>
      <c r="C6622" s="2">
        <v>4418.64</v>
      </c>
      <c r="D6622" s="2" t="s">
        <v>0</v>
      </c>
      <c r="E6622" s="2">
        <v>13791.15</v>
      </c>
      <c r="G6622" s="1" t="s">
        <v>13237</v>
      </c>
      <c r="H6622" s="2" t="s">
        <v>0</v>
      </c>
      <c r="I6622" s="2">
        <v>2747.71</v>
      </c>
    </row>
    <row r="6623">
      <c r="A6623" s="1" t="s">
        <v>13238</v>
      </c>
      <c r="B6623" s="2" t="s">
        <v>0</v>
      </c>
      <c r="C6623" s="2">
        <v>4418.64</v>
      </c>
      <c r="D6623" s="2" t="s">
        <v>0</v>
      </c>
      <c r="E6623" s="2">
        <v>13791.15</v>
      </c>
      <c r="G6623" s="1" t="s">
        <v>13239</v>
      </c>
      <c r="H6623" s="2" t="s">
        <v>0</v>
      </c>
      <c r="I6623" s="2">
        <v>2747.71</v>
      </c>
    </row>
    <row r="6624">
      <c r="A6624" s="1" t="s">
        <v>13240</v>
      </c>
      <c r="B6624" s="2">
        <v>4401.67</v>
      </c>
      <c r="C6624" s="2">
        <v>4401.67</v>
      </c>
      <c r="D6624" s="2">
        <v>13790.92</v>
      </c>
      <c r="E6624" s="2">
        <v>13790.92</v>
      </c>
      <c r="G6624" s="1" t="s">
        <v>13241</v>
      </c>
      <c r="H6624" s="2">
        <v>2704.48</v>
      </c>
      <c r="I6624" s="2">
        <v>2704.48</v>
      </c>
    </row>
    <row r="6625">
      <c r="A6625" s="1" t="s">
        <v>13242</v>
      </c>
      <c r="B6625" s="2">
        <v>4471.07</v>
      </c>
      <c r="C6625" s="2">
        <v>4471.07</v>
      </c>
      <c r="D6625" s="2">
        <v>14139.76</v>
      </c>
      <c r="E6625" s="2">
        <v>14139.76</v>
      </c>
      <c r="G6625" s="1" t="s">
        <v>13243</v>
      </c>
      <c r="H6625" s="2">
        <v>2676.54</v>
      </c>
      <c r="I6625" s="2">
        <v>2676.54</v>
      </c>
    </row>
    <row r="6626">
      <c r="A6626" s="1" t="s">
        <v>13244</v>
      </c>
      <c r="B6626" s="2">
        <v>4475.01</v>
      </c>
      <c r="C6626" s="2">
        <v>4475.01</v>
      </c>
      <c r="D6626" s="2">
        <v>14124.1</v>
      </c>
      <c r="E6626" s="2">
        <v>14124.1</v>
      </c>
      <c r="G6626" s="1" t="s">
        <v>13245</v>
      </c>
      <c r="H6626" s="2">
        <v>2729.68</v>
      </c>
      <c r="I6626" s="2">
        <v>2729.68</v>
      </c>
    </row>
    <row r="6627">
      <c r="A6627" s="1" t="s">
        <v>13246</v>
      </c>
      <c r="B6627" s="2">
        <v>4380.26</v>
      </c>
      <c r="C6627" s="2">
        <v>4380.26</v>
      </c>
      <c r="D6627" s="2">
        <v>13716.72</v>
      </c>
      <c r="E6627" s="2">
        <v>13716.72</v>
      </c>
      <c r="G6627" s="1" t="s">
        <v>13247</v>
      </c>
      <c r="H6627" s="2">
        <v>2744.09</v>
      </c>
      <c r="I6627" s="2">
        <v>2744.09</v>
      </c>
    </row>
    <row r="6628">
      <c r="A6628" s="1" t="s">
        <v>13248</v>
      </c>
      <c r="B6628" s="2">
        <v>4348.87</v>
      </c>
      <c r="C6628" s="2">
        <v>4348.87</v>
      </c>
      <c r="D6628" s="2">
        <v>13548.07</v>
      </c>
      <c r="E6628" s="2">
        <v>13548.07</v>
      </c>
      <c r="G6628" s="1" t="s">
        <v>13249</v>
      </c>
      <c r="H6628" s="2">
        <v>2744.52</v>
      </c>
      <c r="I6628" s="2">
        <v>2744.52</v>
      </c>
    </row>
    <row r="6629">
      <c r="A6629" s="1" t="s">
        <v>13250</v>
      </c>
      <c r="B6629" s="2" t="s">
        <v>0</v>
      </c>
      <c r="C6629" s="2">
        <v>4348.87</v>
      </c>
      <c r="D6629" s="2" t="s">
        <v>0</v>
      </c>
      <c r="E6629" s="2">
        <v>13548.07</v>
      </c>
      <c r="G6629" s="1" t="s">
        <v>13251</v>
      </c>
      <c r="H6629" s="2" t="s">
        <v>0</v>
      </c>
      <c r="I6629" s="2">
        <v>2744.52</v>
      </c>
    </row>
    <row r="6630">
      <c r="A6630" s="1" t="s">
        <v>13252</v>
      </c>
      <c r="B6630" s="2" t="s">
        <v>0</v>
      </c>
      <c r="C6630" s="2">
        <v>4348.87</v>
      </c>
      <c r="D6630" s="2" t="s">
        <v>0</v>
      </c>
      <c r="E6630" s="2">
        <v>13548.07</v>
      </c>
      <c r="G6630" s="1" t="s">
        <v>13253</v>
      </c>
      <c r="H6630" s="2" t="s">
        <v>0</v>
      </c>
      <c r="I6630" s="2">
        <v>2744.52</v>
      </c>
    </row>
    <row r="6631">
      <c r="A6631" s="1" t="s">
        <v>13254</v>
      </c>
      <c r="B6631" s="2" t="s">
        <v>0</v>
      </c>
      <c r="C6631" s="2">
        <v>4348.87</v>
      </c>
      <c r="D6631" s="2" t="s">
        <v>0</v>
      </c>
      <c r="E6631" s="2">
        <v>13548.07</v>
      </c>
      <c r="G6631" s="1" t="s">
        <v>13255</v>
      </c>
      <c r="H6631" s="2">
        <v>2743.8</v>
      </c>
      <c r="I6631" s="2">
        <v>2743.8</v>
      </c>
    </row>
    <row r="6632">
      <c r="A6632" s="1" t="s">
        <v>13256</v>
      </c>
      <c r="B6632" s="2">
        <v>4304.76</v>
      </c>
      <c r="C6632" s="2">
        <v>4304.76</v>
      </c>
      <c r="D6632" s="2">
        <v>13381.52</v>
      </c>
      <c r="E6632" s="2">
        <v>13381.52</v>
      </c>
      <c r="G6632" s="1" t="s">
        <v>13257</v>
      </c>
      <c r="H6632" s="2">
        <v>2706.79</v>
      </c>
      <c r="I6632" s="2">
        <v>2706.79</v>
      </c>
    </row>
    <row r="6633">
      <c r="A6633" s="1" t="s">
        <v>13258</v>
      </c>
      <c r="B6633" s="2">
        <v>4225.5</v>
      </c>
      <c r="C6633" s="2">
        <v>4225.5</v>
      </c>
      <c r="D6633" s="2">
        <v>13037.49</v>
      </c>
      <c r="E6633" s="2">
        <v>13037.49</v>
      </c>
      <c r="G6633" s="1" t="s">
        <v>13259</v>
      </c>
      <c r="H6633" s="2">
        <v>2719.53</v>
      </c>
      <c r="I6633" s="2">
        <v>2719.53</v>
      </c>
    </row>
    <row r="6634">
      <c r="A6634" s="1" t="s">
        <v>13260</v>
      </c>
      <c r="B6634" s="2">
        <v>4288.7</v>
      </c>
      <c r="C6634" s="2">
        <v>4288.7</v>
      </c>
      <c r="D6634" s="2">
        <v>13473.59</v>
      </c>
      <c r="E6634" s="2">
        <v>13473.59</v>
      </c>
      <c r="G6634" s="1" t="s">
        <v>13261</v>
      </c>
      <c r="H6634" s="2">
        <v>2648.8</v>
      </c>
      <c r="I6634" s="2">
        <v>2648.8</v>
      </c>
    </row>
    <row r="6635">
      <c r="A6635" s="1" t="s">
        <v>13262</v>
      </c>
      <c r="B6635" s="2">
        <v>4384.65</v>
      </c>
      <c r="C6635" s="2">
        <v>4384.65</v>
      </c>
      <c r="D6635" s="2">
        <v>13694.62</v>
      </c>
      <c r="E6635" s="2">
        <v>13694.62</v>
      </c>
      <c r="G6635" s="1" t="s">
        <v>13263</v>
      </c>
      <c r="H6635" s="2">
        <v>2676.76</v>
      </c>
      <c r="I6635" s="2">
        <v>2676.76</v>
      </c>
    </row>
    <row r="6636">
      <c r="A6636" s="1" t="s">
        <v>13264</v>
      </c>
      <c r="B6636" s="2" t="s">
        <v>0</v>
      </c>
      <c r="C6636" s="2">
        <v>4384.65</v>
      </c>
      <c r="D6636" s="2" t="s">
        <v>0</v>
      </c>
      <c r="E6636" s="2">
        <v>13694.62</v>
      </c>
      <c r="G6636" s="1" t="s">
        <v>13265</v>
      </c>
      <c r="H6636" s="2" t="s">
        <v>0</v>
      </c>
      <c r="I6636" s="2">
        <v>2676.76</v>
      </c>
    </row>
    <row r="6637">
      <c r="A6637" s="1" t="s">
        <v>13266</v>
      </c>
      <c r="B6637" s="2" t="s">
        <v>0</v>
      </c>
      <c r="C6637" s="2">
        <v>4384.65</v>
      </c>
      <c r="D6637" s="2" t="s">
        <v>0</v>
      </c>
      <c r="E6637" s="2">
        <v>13694.62</v>
      </c>
      <c r="G6637" s="1" t="s">
        <v>13267</v>
      </c>
      <c r="H6637" s="2" t="s">
        <v>0</v>
      </c>
      <c r="I6637" s="2">
        <v>2676.76</v>
      </c>
    </row>
    <row r="6638">
      <c r="A6638" s="1" t="s">
        <v>13268</v>
      </c>
      <c r="B6638" s="2">
        <v>4373.94</v>
      </c>
      <c r="C6638" s="2">
        <v>4373.94</v>
      </c>
      <c r="D6638" s="2">
        <v>13751.4</v>
      </c>
      <c r="E6638" s="2">
        <v>13751.4</v>
      </c>
      <c r="G6638" s="1" t="s">
        <v>13269</v>
      </c>
      <c r="H6638" s="2">
        <v>2699.18</v>
      </c>
      <c r="I6638" s="2">
        <v>2699.18</v>
      </c>
    </row>
    <row r="6639">
      <c r="A6639" s="1" t="s">
        <v>13270</v>
      </c>
      <c r="B6639" s="2">
        <v>4306.26</v>
      </c>
      <c r="C6639" s="2">
        <v>4306.26</v>
      </c>
      <c r="D6639" s="2">
        <v>13532.46</v>
      </c>
      <c r="E6639" s="2">
        <v>13532.46</v>
      </c>
      <c r="G6639" s="1" t="s">
        <v>13271</v>
      </c>
      <c r="H6639" s="2" t="s">
        <v>0</v>
      </c>
      <c r="I6639" s="2">
        <v>2699.18</v>
      </c>
    </row>
    <row r="6640">
      <c r="A6640" s="1" t="s">
        <v>13272</v>
      </c>
      <c r="B6640" s="2">
        <v>4386.54</v>
      </c>
      <c r="C6640" s="2">
        <v>4386.54</v>
      </c>
      <c r="D6640" s="2">
        <v>13752.02</v>
      </c>
      <c r="E6640" s="2">
        <v>13752.02</v>
      </c>
      <c r="G6640" s="1" t="s">
        <v>13273</v>
      </c>
      <c r="H6640" s="2">
        <v>2703.52</v>
      </c>
      <c r="I6640" s="2">
        <v>2703.52</v>
      </c>
    </row>
    <row r="6641">
      <c r="A6641" s="1" t="s">
        <v>13274</v>
      </c>
      <c r="B6641" s="2">
        <v>4363.49</v>
      </c>
      <c r="C6641" s="2">
        <v>4363.49</v>
      </c>
      <c r="D6641" s="2">
        <v>13537.94</v>
      </c>
      <c r="E6641" s="2">
        <v>13537.94</v>
      </c>
      <c r="G6641" s="1" t="s">
        <v>13275</v>
      </c>
      <c r="H6641" s="2">
        <v>2747.08</v>
      </c>
      <c r="I6641" s="2">
        <v>2747.08</v>
      </c>
    </row>
    <row r="6642">
      <c r="A6642" s="1" t="s">
        <v>13276</v>
      </c>
      <c r="B6642" s="2">
        <v>4328.87</v>
      </c>
      <c r="C6642" s="2">
        <v>4328.87</v>
      </c>
      <c r="D6642" s="2">
        <v>13313.44</v>
      </c>
      <c r="E6642" s="2">
        <v>13313.44</v>
      </c>
      <c r="G6642" s="1" t="s">
        <v>13277</v>
      </c>
      <c r="H6642" s="2">
        <v>2713.43</v>
      </c>
      <c r="I6642" s="2">
        <v>2713.43</v>
      </c>
    </row>
    <row r="6643">
      <c r="A6643" s="1" t="s">
        <v>13278</v>
      </c>
      <c r="B6643" s="2" t="s">
        <v>0</v>
      </c>
      <c r="C6643" s="2">
        <v>4328.87</v>
      </c>
      <c r="D6643" s="2" t="s">
        <v>0</v>
      </c>
      <c r="E6643" s="2">
        <v>13313.44</v>
      </c>
      <c r="G6643" s="1" t="s">
        <v>13279</v>
      </c>
      <c r="H6643" s="2" t="s">
        <v>0</v>
      </c>
      <c r="I6643" s="2">
        <v>2713.43</v>
      </c>
    </row>
    <row r="6644">
      <c r="A6644" s="1" t="s">
        <v>13280</v>
      </c>
      <c r="B6644" s="2" t="s">
        <v>0</v>
      </c>
      <c r="C6644" s="2">
        <v>4328.87</v>
      </c>
      <c r="D6644" s="2" t="s">
        <v>0</v>
      </c>
      <c r="E6644" s="2">
        <v>13313.44</v>
      </c>
      <c r="G6644" s="1" t="s">
        <v>13281</v>
      </c>
      <c r="H6644" s="2" t="s">
        <v>0</v>
      </c>
      <c r="I6644" s="2">
        <v>2713.43</v>
      </c>
    </row>
    <row r="6645">
      <c r="A6645" s="1" t="s">
        <v>13282</v>
      </c>
      <c r="B6645" s="2">
        <v>4201.09</v>
      </c>
      <c r="C6645" s="2">
        <v>4201.09</v>
      </c>
      <c r="D6645" s="2">
        <v>12830.96</v>
      </c>
      <c r="E6645" s="2">
        <v>12830.96</v>
      </c>
      <c r="G6645" s="1" t="s">
        <v>13283</v>
      </c>
      <c r="H6645" s="2">
        <v>2651.31</v>
      </c>
      <c r="I6645" s="2">
        <v>2651.31</v>
      </c>
    </row>
    <row r="6646">
      <c r="A6646" s="1" t="s">
        <v>13284</v>
      </c>
      <c r="B6646" s="2">
        <v>4170.7</v>
      </c>
      <c r="C6646" s="2">
        <v>4170.7</v>
      </c>
      <c r="D6646" s="2">
        <v>12795.55</v>
      </c>
      <c r="E6646" s="2">
        <v>12795.55</v>
      </c>
      <c r="G6646" s="1" t="s">
        <v>13285</v>
      </c>
      <c r="H6646" s="2">
        <v>2622.4</v>
      </c>
      <c r="I6646" s="2">
        <v>2622.4</v>
      </c>
    </row>
    <row r="6647">
      <c r="A6647" s="1" t="s">
        <v>13286</v>
      </c>
      <c r="B6647" s="2">
        <v>4277.88</v>
      </c>
      <c r="C6647" s="2">
        <v>4277.88</v>
      </c>
      <c r="D6647" s="2">
        <v>13255.55</v>
      </c>
      <c r="E6647" s="2">
        <v>13255.55</v>
      </c>
      <c r="G6647" s="1" t="s">
        <v>13287</v>
      </c>
      <c r="H6647" s="2" t="s">
        <v>0</v>
      </c>
      <c r="I6647" s="2">
        <v>2622.4</v>
      </c>
    </row>
    <row r="6648">
      <c r="A6648" s="1" t="s">
        <v>13288</v>
      </c>
      <c r="B6648" s="2">
        <v>4259.52</v>
      </c>
      <c r="C6648" s="2">
        <v>4259.52</v>
      </c>
      <c r="D6648" s="2">
        <v>13129.96</v>
      </c>
      <c r="E6648" s="2">
        <v>13129.96</v>
      </c>
      <c r="G6648" s="1" t="s">
        <v>13289</v>
      </c>
      <c r="H6648" s="2">
        <v>2680.32</v>
      </c>
      <c r="I6648" s="2">
        <v>2680.32</v>
      </c>
    </row>
    <row r="6649">
      <c r="A6649" s="1" t="s">
        <v>13290</v>
      </c>
      <c r="B6649" s="2">
        <v>4204.31</v>
      </c>
      <c r="C6649" s="2">
        <v>4204.31</v>
      </c>
      <c r="D6649" s="2">
        <v>12843.81</v>
      </c>
      <c r="E6649" s="2">
        <v>12843.81</v>
      </c>
      <c r="G6649" s="1" t="s">
        <v>13291</v>
      </c>
      <c r="H6649" s="2">
        <v>2661.28</v>
      </c>
      <c r="I6649" s="2">
        <v>2661.28</v>
      </c>
    </row>
    <row r="6650">
      <c r="A6650" s="1" t="s">
        <v>13292</v>
      </c>
      <c r="B6650" s="2" t="s">
        <v>0</v>
      </c>
      <c r="C6650" s="2">
        <v>4204.31</v>
      </c>
      <c r="D6650" s="2" t="s">
        <v>0</v>
      </c>
      <c r="E6650" s="2">
        <v>12843.81</v>
      </c>
      <c r="G6650" s="1" t="s">
        <v>13293</v>
      </c>
      <c r="H6650" s="2" t="s">
        <v>0</v>
      </c>
      <c r="I6650" s="2">
        <v>2661.28</v>
      </c>
    </row>
    <row r="6651">
      <c r="A6651" s="1" t="s">
        <v>13294</v>
      </c>
      <c r="B6651" s="2" t="s">
        <v>0</v>
      </c>
      <c r="C6651" s="2">
        <v>4204.31</v>
      </c>
      <c r="D6651" s="2" t="s">
        <v>0</v>
      </c>
      <c r="E6651" s="2">
        <v>12843.81</v>
      </c>
      <c r="G6651" s="1" t="s">
        <v>13295</v>
      </c>
      <c r="H6651" s="2" t="s">
        <v>0</v>
      </c>
      <c r="I6651" s="2">
        <v>2661.28</v>
      </c>
    </row>
    <row r="6652">
      <c r="A6652" s="1" t="s">
        <v>13296</v>
      </c>
      <c r="B6652" s="2">
        <v>4173.11</v>
      </c>
      <c r="C6652" s="2">
        <v>4173.11</v>
      </c>
      <c r="D6652" s="2">
        <v>12581.22</v>
      </c>
      <c r="E6652" s="2">
        <v>12581.22</v>
      </c>
      <c r="G6652" s="1" t="s">
        <v>13297</v>
      </c>
      <c r="H6652" s="2">
        <v>2645.65</v>
      </c>
      <c r="I6652" s="2">
        <v>2645.65</v>
      </c>
    </row>
    <row r="6653">
      <c r="A6653" s="1" t="s">
        <v>13298</v>
      </c>
      <c r="B6653" s="2">
        <v>4262.45</v>
      </c>
      <c r="C6653" s="2">
        <v>4262.45</v>
      </c>
      <c r="D6653" s="2">
        <v>12948.62</v>
      </c>
      <c r="E6653" s="2">
        <v>12948.62</v>
      </c>
      <c r="G6653" s="1" t="s">
        <v>13299</v>
      </c>
      <c r="H6653" s="2">
        <v>2621.53</v>
      </c>
      <c r="I6653" s="2">
        <v>2621.53</v>
      </c>
    </row>
    <row r="6654">
      <c r="A6654" s="1" t="s">
        <v>13300</v>
      </c>
      <c r="B6654" s="2">
        <v>4357.86</v>
      </c>
      <c r="C6654" s="2">
        <v>4357.86</v>
      </c>
      <c r="D6654" s="2">
        <v>13436.55</v>
      </c>
      <c r="E6654" s="2">
        <v>13436.55</v>
      </c>
      <c r="G6654" s="1" t="s">
        <v>13301</v>
      </c>
      <c r="H6654" s="2">
        <v>2659.23</v>
      </c>
      <c r="I6654" s="2">
        <v>2659.23</v>
      </c>
    </row>
    <row r="6655">
      <c r="A6655" s="1" t="s">
        <v>13302</v>
      </c>
      <c r="B6655" s="2">
        <v>4411.67</v>
      </c>
      <c r="C6655" s="2">
        <v>4411.67</v>
      </c>
      <c r="D6655" s="2">
        <v>13614.78</v>
      </c>
      <c r="E6655" s="2">
        <v>13614.78</v>
      </c>
      <c r="G6655" s="1" t="s">
        <v>13303</v>
      </c>
      <c r="H6655" s="2">
        <v>2694.51</v>
      </c>
      <c r="I6655" s="2">
        <v>2694.51</v>
      </c>
    </row>
    <row r="6656">
      <c r="A6656" s="1" t="s">
        <v>13304</v>
      </c>
      <c r="B6656" s="2">
        <v>4463.12</v>
      </c>
      <c r="C6656" s="2">
        <v>4463.12</v>
      </c>
      <c r="D6656" s="2">
        <v>13893.84</v>
      </c>
      <c r="E6656" s="2">
        <v>13893.84</v>
      </c>
      <c r="G6656" s="1" t="s">
        <v>13305</v>
      </c>
      <c r="H6656" s="2">
        <v>2707.02</v>
      </c>
      <c r="I6656" s="2">
        <v>2707.02</v>
      </c>
    </row>
    <row r="6657">
      <c r="A6657" s="1" t="s">
        <v>13306</v>
      </c>
      <c r="B6657" s="2" t="s">
        <v>0</v>
      </c>
      <c r="C6657" s="2">
        <v>4463.12</v>
      </c>
      <c r="D6657" s="2" t="s">
        <v>0</v>
      </c>
      <c r="E6657" s="2">
        <v>13893.84</v>
      </c>
      <c r="G6657" s="1" t="s">
        <v>13307</v>
      </c>
      <c r="H6657" s="2" t="s">
        <v>0</v>
      </c>
      <c r="I6657" s="2">
        <v>2707.02</v>
      </c>
    </row>
    <row r="6658">
      <c r="A6658" s="1" t="s">
        <v>13308</v>
      </c>
      <c r="B6658" s="2" t="s">
        <v>0</v>
      </c>
      <c r="C6658" s="2">
        <v>4463.12</v>
      </c>
      <c r="D6658" s="2" t="s">
        <v>0</v>
      </c>
      <c r="E6658" s="2">
        <v>13893.84</v>
      </c>
      <c r="G6658" s="1" t="s">
        <v>13309</v>
      </c>
      <c r="H6658" s="2" t="s">
        <v>0</v>
      </c>
      <c r="I6658" s="2">
        <v>2707.02</v>
      </c>
    </row>
    <row r="6659">
      <c r="A6659" s="1" t="s">
        <v>13310</v>
      </c>
      <c r="B6659" s="2">
        <v>4461.18</v>
      </c>
      <c r="C6659" s="2">
        <v>4461.18</v>
      </c>
      <c r="D6659" s="2">
        <v>13838.46</v>
      </c>
      <c r="E6659" s="2">
        <v>13838.46</v>
      </c>
      <c r="G6659" s="1" t="s">
        <v>13311</v>
      </c>
      <c r="H6659" s="2">
        <v>2686.05</v>
      </c>
      <c r="I6659" s="2">
        <v>2686.05</v>
      </c>
    </row>
    <row r="6660">
      <c r="A6660" s="1" t="s">
        <v>13312</v>
      </c>
      <c r="B6660" s="2">
        <v>4511.61</v>
      </c>
      <c r="C6660" s="2">
        <v>4511.61</v>
      </c>
      <c r="D6660" s="2">
        <v>14108.82</v>
      </c>
      <c r="E6660" s="2">
        <v>14108.82</v>
      </c>
      <c r="G6660" s="1" t="s">
        <v>13313</v>
      </c>
      <c r="H6660" s="2">
        <v>2710.0</v>
      </c>
      <c r="I6660" s="2">
        <v>2710.0</v>
      </c>
    </row>
    <row r="6661">
      <c r="A6661" s="1" t="s">
        <v>13314</v>
      </c>
      <c r="B6661" s="2">
        <v>4456.24</v>
      </c>
      <c r="C6661" s="2">
        <v>4456.24</v>
      </c>
      <c r="D6661" s="2">
        <v>13922.6</v>
      </c>
      <c r="E6661" s="2">
        <v>13922.6</v>
      </c>
      <c r="G6661" s="1" t="s">
        <v>13315</v>
      </c>
      <c r="H6661" s="2">
        <v>2735.05</v>
      </c>
      <c r="I6661" s="2">
        <v>2735.05</v>
      </c>
    </row>
    <row r="6662">
      <c r="A6662" s="1" t="s">
        <v>13316</v>
      </c>
      <c r="B6662" s="2">
        <v>4520.16</v>
      </c>
      <c r="C6662" s="2">
        <v>4520.16</v>
      </c>
      <c r="D6662" s="2">
        <v>14191.84</v>
      </c>
      <c r="E6662" s="2">
        <v>14191.84</v>
      </c>
      <c r="G6662" s="1" t="s">
        <v>13317</v>
      </c>
      <c r="H6662" s="2">
        <v>2729.66</v>
      </c>
      <c r="I6662" s="2">
        <v>2729.66</v>
      </c>
    </row>
    <row r="6663">
      <c r="A6663" s="1" t="s">
        <v>13318</v>
      </c>
      <c r="B6663" s="2">
        <v>4543.06</v>
      </c>
      <c r="C6663" s="2">
        <v>4543.06</v>
      </c>
      <c r="D6663" s="2">
        <v>14169.3</v>
      </c>
      <c r="E6663" s="2">
        <v>14169.3</v>
      </c>
      <c r="G6663" s="1" t="s">
        <v>13319</v>
      </c>
      <c r="H6663" s="2">
        <v>2729.98</v>
      </c>
      <c r="I6663" s="2">
        <v>2729.98</v>
      </c>
    </row>
    <row r="6664">
      <c r="A6664" s="1" t="s">
        <v>13320</v>
      </c>
      <c r="B6664" s="2" t="s">
        <v>0</v>
      </c>
      <c r="C6664" s="2">
        <v>4543.06</v>
      </c>
      <c r="D6664" s="2" t="s">
        <v>0</v>
      </c>
      <c r="E6664" s="2">
        <v>14169.3</v>
      </c>
      <c r="G6664" s="1" t="s">
        <v>13321</v>
      </c>
      <c r="H6664" s="2" t="s">
        <v>0</v>
      </c>
      <c r="I6664" s="2">
        <v>2729.98</v>
      </c>
    </row>
    <row r="6665">
      <c r="A6665" s="1" t="s">
        <v>13322</v>
      </c>
      <c r="B6665" s="2" t="s">
        <v>0</v>
      </c>
      <c r="C6665" s="2">
        <v>4543.06</v>
      </c>
      <c r="D6665" s="2" t="s">
        <v>0</v>
      </c>
      <c r="E6665" s="2">
        <v>14169.3</v>
      </c>
      <c r="G6665" s="1" t="s">
        <v>13323</v>
      </c>
      <c r="H6665" s="2" t="s">
        <v>0</v>
      </c>
      <c r="I6665" s="2">
        <v>2729.98</v>
      </c>
    </row>
    <row r="6666">
      <c r="A6666" s="1" t="s">
        <v>13324</v>
      </c>
      <c r="B6666" s="2">
        <v>4575.52</v>
      </c>
      <c r="C6666" s="2">
        <v>4575.52</v>
      </c>
      <c r="D6666" s="2">
        <v>14354.9</v>
      </c>
      <c r="E6666" s="2">
        <v>14354.9</v>
      </c>
      <c r="G6666" s="1" t="s">
        <v>13325</v>
      </c>
      <c r="H6666" s="2">
        <v>2729.56</v>
      </c>
      <c r="I6666" s="2">
        <v>2729.56</v>
      </c>
    </row>
    <row r="6667">
      <c r="A6667" s="1" t="s">
        <v>13326</v>
      </c>
      <c r="B6667" s="2">
        <v>4631.6</v>
      </c>
      <c r="C6667" s="2">
        <v>4631.6</v>
      </c>
      <c r="D6667" s="2">
        <v>14619.64</v>
      </c>
      <c r="E6667" s="2">
        <v>14619.64</v>
      </c>
      <c r="G6667" s="1" t="s">
        <v>13327</v>
      </c>
      <c r="H6667" s="2">
        <v>2741.07</v>
      </c>
      <c r="I6667" s="2">
        <v>2741.07</v>
      </c>
    </row>
    <row r="6668">
      <c r="A6668" s="1" t="s">
        <v>13328</v>
      </c>
      <c r="B6668" s="2">
        <v>4602.45</v>
      </c>
      <c r="C6668" s="2">
        <v>4602.45</v>
      </c>
      <c r="D6668" s="2">
        <v>14442.28</v>
      </c>
      <c r="E6668" s="2">
        <v>14442.28</v>
      </c>
      <c r="G6668" s="1" t="s">
        <v>13329</v>
      </c>
      <c r="H6668" s="2">
        <v>2746.74</v>
      </c>
      <c r="I6668" s="2">
        <v>2746.74</v>
      </c>
    </row>
    <row r="6669">
      <c r="A6669" s="1" t="s">
        <v>13330</v>
      </c>
      <c r="B6669" s="2">
        <v>4530.41</v>
      </c>
      <c r="C6669" s="2">
        <v>4530.41</v>
      </c>
      <c r="D6669" s="2">
        <v>14220.52</v>
      </c>
      <c r="E6669" s="2">
        <v>14220.52</v>
      </c>
      <c r="G6669" s="1" t="s">
        <v>13331</v>
      </c>
      <c r="H6669" s="2">
        <v>2757.65</v>
      </c>
      <c r="I6669" s="2">
        <v>2757.65</v>
      </c>
    </row>
    <row r="6670">
      <c r="A6670" s="1" t="s">
        <v>13332</v>
      </c>
      <c r="B6670" s="2">
        <v>4545.86</v>
      </c>
      <c r="C6670" s="2">
        <v>4545.86</v>
      </c>
      <c r="D6670" s="2">
        <v>14261.5</v>
      </c>
      <c r="E6670" s="2">
        <v>14261.5</v>
      </c>
      <c r="G6670" s="1" t="s">
        <v>13333</v>
      </c>
      <c r="H6670" s="2">
        <v>2739.85</v>
      </c>
      <c r="I6670" s="2">
        <v>2739.85</v>
      </c>
    </row>
    <row r="6671">
      <c r="A6671" s="1" t="s">
        <v>13334</v>
      </c>
      <c r="B6671" s="2" t="s">
        <v>0</v>
      </c>
      <c r="C6671" s="2">
        <v>4545.86</v>
      </c>
      <c r="D6671" s="2" t="s">
        <v>0</v>
      </c>
      <c r="E6671" s="2">
        <v>14261.5</v>
      </c>
      <c r="G6671" s="1" t="s">
        <v>13335</v>
      </c>
      <c r="H6671" s="2" t="s">
        <v>0</v>
      </c>
      <c r="I6671" s="2">
        <v>2739.85</v>
      </c>
    </row>
    <row r="6672">
      <c r="A6672" s="1" t="s">
        <v>13336</v>
      </c>
      <c r="B6672" s="2" t="s">
        <v>0</v>
      </c>
      <c r="C6672" s="2">
        <v>4545.86</v>
      </c>
      <c r="D6672" s="2" t="s">
        <v>0</v>
      </c>
      <c r="E6672" s="2">
        <v>14261.5</v>
      </c>
      <c r="G6672" s="1" t="s">
        <v>13337</v>
      </c>
      <c r="H6672" s="2" t="s">
        <v>0</v>
      </c>
      <c r="I6672" s="2">
        <v>2739.85</v>
      </c>
    </row>
    <row r="6673">
      <c r="A6673" s="1" t="s">
        <v>13338</v>
      </c>
      <c r="B6673" s="2">
        <v>4582.64</v>
      </c>
      <c r="C6673" s="2">
        <v>4582.64</v>
      </c>
      <c r="D6673" s="2">
        <v>14532.55</v>
      </c>
      <c r="E6673" s="2">
        <v>14532.55</v>
      </c>
      <c r="G6673" s="1" t="s">
        <v>13339</v>
      </c>
      <c r="H6673" s="2">
        <v>2757.9</v>
      </c>
      <c r="I6673" s="2">
        <v>2757.9</v>
      </c>
    </row>
    <row r="6674">
      <c r="A6674" s="1" t="s">
        <v>13340</v>
      </c>
      <c r="B6674" s="2">
        <v>4525.12</v>
      </c>
      <c r="C6674" s="2">
        <v>4525.12</v>
      </c>
      <c r="D6674" s="2">
        <v>14204.17</v>
      </c>
      <c r="E6674" s="2">
        <v>14204.17</v>
      </c>
      <c r="G6674" s="1" t="s">
        <v>13341</v>
      </c>
      <c r="H6674" s="2">
        <v>2759.2</v>
      </c>
      <c r="I6674" s="2">
        <v>2759.2</v>
      </c>
    </row>
    <row r="6675">
      <c r="A6675" s="1" t="s">
        <v>13342</v>
      </c>
      <c r="B6675" s="2">
        <v>4481.15</v>
      </c>
      <c r="C6675" s="2">
        <v>4481.15</v>
      </c>
      <c r="D6675" s="2">
        <v>13888.82</v>
      </c>
      <c r="E6675" s="2">
        <v>13888.82</v>
      </c>
      <c r="G6675" s="1" t="s">
        <v>13343</v>
      </c>
      <c r="H6675" s="2">
        <v>2735.03</v>
      </c>
      <c r="I6675" s="2">
        <v>2735.03</v>
      </c>
    </row>
    <row r="6676">
      <c r="A6676" s="1" t="s">
        <v>13344</v>
      </c>
      <c r="B6676" s="2">
        <v>4500.21</v>
      </c>
      <c r="C6676" s="2">
        <v>4500.21</v>
      </c>
      <c r="D6676" s="2">
        <v>13897.3</v>
      </c>
      <c r="E6676" s="2">
        <v>13897.3</v>
      </c>
      <c r="G6676" s="1" t="s">
        <v>13345</v>
      </c>
      <c r="H6676" s="2">
        <v>2695.86</v>
      </c>
      <c r="I6676" s="2">
        <v>2695.86</v>
      </c>
    </row>
    <row r="6677">
      <c r="A6677" s="1" t="s">
        <v>13346</v>
      </c>
      <c r="B6677" s="2">
        <v>4488.28</v>
      </c>
      <c r="C6677" s="2">
        <v>4488.28</v>
      </c>
      <c r="D6677" s="2">
        <v>13711.0</v>
      </c>
      <c r="E6677" s="2">
        <v>13711.0</v>
      </c>
      <c r="G6677" s="1" t="s">
        <v>13347</v>
      </c>
      <c r="H6677" s="2">
        <v>2700.39</v>
      </c>
      <c r="I6677" s="2">
        <v>2700.39</v>
      </c>
    </row>
    <row r="6678">
      <c r="A6678" s="1" t="s">
        <v>13348</v>
      </c>
      <c r="B6678" s="2" t="s">
        <v>0</v>
      </c>
      <c r="C6678" s="2">
        <v>4488.28</v>
      </c>
      <c r="D6678" s="2" t="s">
        <v>0</v>
      </c>
      <c r="E6678" s="2">
        <v>13711.0</v>
      </c>
      <c r="G6678" s="1" t="s">
        <v>13349</v>
      </c>
      <c r="H6678" s="2" t="s">
        <v>0</v>
      </c>
      <c r="I6678" s="2">
        <v>2700.39</v>
      </c>
    </row>
    <row r="6679">
      <c r="A6679" s="1" t="s">
        <v>13350</v>
      </c>
      <c r="B6679" s="2" t="s">
        <v>0</v>
      </c>
      <c r="C6679" s="2">
        <v>4488.28</v>
      </c>
      <c r="D6679" s="2" t="s">
        <v>0</v>
      </c>
      <c r="E6679" s="2">
        <v>13711.0</v>
      </c>
      <c r="G6679" s="1" t="s">
        <v>13351</v>
      </c>
      <c r="H6679" s="2" t="s">
        <v>0</v>
      </c>
      <c r="I6679" s="2">
        <v>2700.39</v>
      </c>
    </row>
    <row r="6680">
      <c r="A6680" s="1" t="s">
        <v>13352</v>
      </c>
      <c r="B6680" s="2">
        <v>4412.53</v>
      </c>
      <c r="C6680" s="2">
        <v>4412.53</v>
      </c>
      <c r="D6680" s="2">
        <v>13411.96</v>
      </c>
      <c r="E6680" s="2">
        <v>13411.96</v>
      </c>
      <c r="G6680" s="1" t="s">
        <v>13353</v>
      </c>
      <c r="H6680" s="2">
        <v>2693.1</v>
      </c>
      <c r="I6680" s="2">
        <v>2693.1</v>
      </c>
    </row>
    <row r="6681">
      <c r="A6681" s="1" t="s">
        <v>13354</v>
      </c>
      <c r="B6681" s="2">
        <v>4397.45</v>
      </c>
      <c r="C6681" s="2">
        <v>4397.45</v>
      </c>
      <c r="D6681" s="2">
        <v>13371.57</v>
      </c>
      <c r="E6681" s="2">
        <v>13371.57</v>
      </c>
      <c r="G6681" s="1" t="s">
        <v>13355</v>
      </c>
      <c r="H6681" s="2">
        <v>2666.76</v>
      </c>
      <c r="I6681" s="2">
        <v>2666.76</v>
      </c>
    </row>
    <row r="6682">
      <c r="A6682" s="1" t="s">
        <v>13356</v>
      </c>
      <c r="B6682" s="2">
        <v>4446.59</v>
      </c>
      <c r="C6682" s="2">
        <v>4446.59</v>
      </c>
      <c r="D6682" s="2">
        <v>13643.59</v>
      </c>
      <c r="E6682" s="2">
        <v>13643.59</v>
      </c>
      <c r="G6682" s="1" t="s">
        <v>13357</v>
      </c>
      <c r="H6682" s="2">
        <v>2716.49</v>
      </c>
      <c r="I6682" s="2">
        <v>2716.49</v>
      </c>
    </row>
    <row r="6683">
      <c r="A6683" s="1" t="s">
        <v>13358</v>
      </c>
      <c r="B6683" s="2">
        <v>4392.59</v>
      </c>
      <c r="C6683" s="2">
        <v>4392.59</v>
      </c>
      <c r="D6683" s="2">
        <v>13351.08</v>
      </c>
      <c r="E6683" s="2">
        <v>13351.08</v>
      </c>
      <c r="G6683" s="1" t="s">
        <v>13359</v>
      </c>
      <c r="H6683" s="2">
        <v>2716.71</v>
      </c>
      <c r="I6683" s="2">
        <v>2716.71</v>
      </c>
    </row>
    <row r="6684">
      <c r="A6684" s="1" t="s">
        <v>13360</v>
      </c>
      <c r="B6684" s="2" t="s">
        <v>0</v>
      </c>
      <c r="C6684" s="2">
        <v>4392.59</v>
      </c>
      <c r="D6684" s="2" t="s">
        <v>0</v>
      </c>
      <c r="E6684" s="2">
        <v>13351.08</v>
      </c>
      <c r="G6684" s="1" t="s">
        <v>13361</v>
      </c>
      <c r="H6684" s="2">
        <v>2696.06</v>
      </c>
      <c r="I6684" s="2">
        <v>2696.06</v>
      </c>
    </row>
    <row r="6685">
      <c r="A6685" s="1" t="s">
        <v>13362</v>
      </c>
      <c r="B6685" s="2" t="s">
        <v>0</v>
      </c>
      <c r="C6685" s="2">
        <v>4392.59</v>
      </c>
      <c r="D6685" s="2" t="s">
        <v>0</v>
      </c>
      <c r="E6685" s="2">
        <v>13351.08</v>
      </c>
      <c r="G6685" s="1" t="s">
        <v>13363</v>
      </c>
      <c r="H6685" s="2" t="s">
        <v>0</v>
      </c>
      <c r="I6685" s="2">
        <v>2696.06</v>
      </c>
    </row>
    <row r="6686">
      <c r="A6686" s="1" t="s">
        <v>13364</v>
      </c>
      <c r="B6686" s="2" t="s">
        <v>0</v>
      </c>
      <c r="C6686" s="2">
        <v>4392.59</v>
      </c>
      <c r="D6686" s="2" t="s">
        <v>0</v>
      </c>
      <c r="E6686" s="2">
        <v>13351.08</v>
      </c>
      <c r="G6686" s="1" t="s">
        <v>13365</v>
      </c>
      <c r="H6686" s="2" t="s">
        <v>0</v>
      </c>
      <c r="I6686" s="2">
        <v>2696.06</v>
      </c>
    </row>
    <row r="6687">
      <c r="A6687" s="1" t="s">
        <v>13366</v>
      </c>
      <c r="B6687" s="2">
        <v>4391.69</v>
      </c>
      <c r="C6687" s="2">
        <v>4391.69</v>
      </c>
      <c r="D6687" s="2">
        <v>13332.36</v>
      </c>
      <c r="E6687" s="2">
        <v>13332.36</v>
      </c>
      <c r="G6687" s="1" t="s">
        <v>13367</v>
      </c>
      <c r="H6687" s="2">
        <v>2693.21</v>
      </c>
      <c r="I6687" s="2">
        <v>2693.21</v>
      </c>
    </row>
    <row r="6688">
      <c r="A6688" s="1" t="s">
        <v>13368</v>
      </c>
      <c r="B6688" s="2">
        <v>4462.21</v>
      </c>
      <c r="C6688" s="2">
        <v>4462.21</v>
      </c>
      <c r="D6688" s="2">
        <v>13619.66</v>
      </c>
      <c r="E6688" s="2">
        <v>13619.66</v>
      </c>
      <c r="G6688" s="1" t="s">
        <v>13369</v>
      </c>
      <c r="H6688" s="2">
        <v>2718.89</v>
      </c>
      <c r="I6688" s="2">
        <v>2718.89</v>
      </c>
    </row>
    <row r="6689">
      <c r="A6689" s="1" t="s">
        <v>13370</v>
      </c>
      <c r="B6689" s="2">
        <v>4459.45</v>
      </c>
      <c r="C6689" s="2">
        <v>4459.45</v>
      </c>
      <c r="D6689" s="2">
        <v>13453.07</v>
      </c>
      <c r="E6689" s="2">
        <v>13453.07</v>
      </c>
      <c r="G6689" s="1" t="s">
        <v>13371</v>
      </c>
      <c r="H6689" s="2">
        <v>2718.69</v>
      </c>
      <c r="I6689" s="2">
        <v>2718.69</v>
      </c>
    </row>
    <row r="6690">
      <c r="A6690" s="1" t="s">
        <v>13372</v>
      </c>
      <c r="B6690" s="2">
        <v>4393.66</v>
      </c>
      <c r="C6690" s="2">
        <v>4393.66</v>
      </c>
      <c r="D6690" s="2">
        <v>13174.65</v>
      </c>
      <c r="E6690" s="2">
        <v>13174.65</v>
      </c>
      <c r="G6690" s="1" t="s">
        <v>13373</v>
      </c>
      <c r="H6690" s="2">
        <v>2728.21</v>
      </c>
      <c r="I6690" s="2">
        <v>2728.21</v>
      </c>
    </row>
    <row r="6691">
      <c r="A6691" s="1" t="s">
        <v>13374</v>
      </c>
      <c r="B6691" s="2">
        <v>4271.78</v>
      </c>
      <c r="C6691" s="2">
        <v>4271.78</v>
      </c>
      <c r="D6691" s="2">
        <v>12839.29</v>
      </c>
      <c r="E6691" s="2">
        <v>12839.29</v>
      </c>
      <c r="G6691" s="1" t="s">
        <v>13375</v>
      </c>
      <c r="H6691" s="2">
        <v>2704.71</v>
      </c>
      <c r="I6691" s="2">
        <v>2704.71</v>
      </c>
    </row>
    <row r="6692">
      <c r="A6692" s="1" t="s">
        <v>13376</v>
      </c>
      <c r="B6692" s="2" t="s">
        <v>0</v>
      </c>
      <c r="C6692" s="2">
        <v>4271.78</v>
      </c>
      <c r="D6692" s="2" t="s">
        <v>0</v>
      </c>
      <c r="E6692" s="2">
        <v>12839.29</v>
      </c>
      <c r="G6692" s="1" t="s">
        <v>13377</v>
      </c>
      <c r="H6692" s="2" t="s">
        <v>0</v>
      </c>
      <c r="I6692" s="2">
        <v>2704.71</v>
      </c>
    </row>
    <row r="6693">
      <c r="A6693" s="1" t="s">
        <v>13378</v>
      </c>
      <c r="B6693" s="2" t="s">
        <v>0</v>
      </c>
      <c r="C6693" s="2">
        <v>4271.78</v>
      </c>
      <c r="D6693" s="2" t="s">
        <v>0</v>
      </c>
      <c r="E6693" s="2">
        <v>12839.29</v>
      </c>
      <c r="G6693" s="1" t="s">
        <v>13379</v>
      </c>
      <c r="H6693" s="2" t="s">
        <v>0</v>
      </c>
      <c r="I6693" s="2">
        <v>2704.71</v>
      </c>
    </row>
    <row r="6694">
      <c r="A6694" s="1" t="s">
        <v>13380</v>
      </c>
      <c r="B6694" s="2">
        <v>4296.12</v>
      </c>
      <c r="C6694" s="2">
        <v>4296.12</v>
      </c>
      <c r="D6694" s="2">
        <v>13004.85</v>
      </c>
      <c r="E6694" s="2">
        <v>13004.85</v>
      </c>
      <c r="G6694" s="1" t="s">
        <v>13381</v>
      </c>
      <c r="H6694" s="2">
        <v>2657.13</v>
      </c>
      <c r="I6694" s="2">
        <v>2657.13</v>
      </c>
    </row>
    <row r="6695">
      <c r="A6695" s="1" t="s">
        <v>13382</v>
      </c>
      <c r="B6695" s="2">
        <v>4175.2</v>
      </c>
      <c r="C6695" s="2">
        <v>4175.2</v>
      </c>
      <c r="D6695" s="2">
        <v>12490.74</v>
      </c>
      <c r="E6695" s="2">
        <v>12490.74</v>
      </c>
      <c r="G6695" s="1" t="s">
        <v>13383</v>
      </c>
      <c r="H6695" s="2">
        <v>2668.31</v>
      </c>
      <c r="I6695" s="2">
        <v>2668.31</v>
      </c>
    </row>
    <row r="6696">
      <c r="A6696" s="1" t="s">
        <v>13384</v>
      </c>
      <c r="B6696" s="2">
        <v>4183.96</v>
      </c>
      <c r="C6696" s="2">
        <v>4183.96</v>
      </c>
      <c r="D6696" s="2">
        <v>12488.93</v>
      </c>
      <c r="E6696" s="2">
        <v>12488.93</v>
      </c>
      <c r="G6696" s="1" t="s">
        <v>13385</v>
      </c>
      <c r="H6696" s="2">
        <v>2639.06</v>
      </c>
      <c r="I6696" s="2">
        <v>2639.06</v>
      </c>
    </row>
    <row r="6697">
      <c r="A6697" s="1" t="s">
        <v>13386</v>
      </c>
      <c r="B6697" s="2">
        <v>4287.5</v>
      </c>
      <c r="C6697" s="2">
        <v>4287.5</v>
      </c>
      <c r="D6697" s="2">
        <v>12871.53</v>
      </c>
      <c r="E6697" s="2">
        <v>12871.53</v>
      </c>
      <c r="G6697" s="1" t="s">
        <v>13387</v>
      </c>
      <c r="H6697" s="2">
        <v>2667.49</v>
      </c>
      <c r="I6697" s="2">
        <v>2667.49</v>
      </c>
    </row>
    <row r="6698">
      <c r="A6698" s="1" t="s">
        <v>13388</v>
      </c>
      <c r="B6698" s="2">
        <v>4131.93</v>
      </c>
      <c r="C6698" s="2">
        <v>4131.93</v>
      </c>
      <c r="D6698" s="2">
        <v>12334.64</v>
      </c>
      <c r="E6698" s="2">
        <v>12334.64</v>
      </c>
      <c r="G6698" s="1" t="s">
        <v>13389</v>
      </c>
      <c r="H6698" s="2">
        <v>2695.05</v>
      </c>
      <c r="I6698" s="2">
        <v>2695.05</v>
      </c>
    </row>
    <row r="6699">
      <c r="A6699" s="1" t="s">
        <v>13390</v>
      </c>
      <c r="B6699" s="2" t="s">
        <v>0</v>
      </c>
      <c r="C6699" s="2">
        <v>4131.93</v>
      </c>
      <c r="D6699" s="2" t="s">
        <v>0</v>
      </c>
      <c r="E6699" s="2">
        <v>12334.64</v>
      </c>
      <c r="G6699" s="1" t="s">
        <v>13391</v>
      </c>
      <c r="H6699" s="2" t="s">
        <v>0</v>
      </c>
      <c r="I6699" s="2">
        <v>2695.05</v>
      </c>
    </row>
    <row r="6700">
      <c r="A6700" s="1" t="s">
        <v>13392</v>
      </c>
      <c r="B6700" s="2" t="s">
        <v>0</v>
      </c>
      <c r="C6700" s="2">
        <v>4131.93</v>
      </c>
      <c r="D6700" s="2" t="s">
        <v>0</v>
      </c>
      <c r="E6700" s="2">
        <v>12334.64</v>
      </c>
      <c r="G6700" s="1" t="s">
        <v>13393</v>
      </c>
      <c r="H6700" s="2" t="s">
        <v>0</v>
      </c>
      <c r="I6700" s="2">
        <v>2695.05</v>
      </c>
    </row>
    <row r="6701">
      <c r="A6701" s="1" t="s">
        <v>13394</v>
      </c>
      <c r="B6701" s="2">
        <v>4155.38</v>
      </c>
      <c r="C6701" s="2">
        <v>4155.38</v>
      </c>
      <c r="D6701" s="2">
        <v>12536.02</v>
      </c>
      <c r="E6701" s="2">
        <v>12536.02</v>
      </c>
      <c r="G6701" s="1" t="s">
        <v>13395</v>
      </c>
      <c r="H6701" s="2">
        <v>2687.45</v>
      </c>
      <c r="I6701" s="2">
        <v>2687.45</v>
      </c>
    </row>
    <row r="6702">
      <c r="A6702" s="1" t="s">
        <v>13396</v>
      </c>
      <c r="B6702" s="2">
        <v>4175.48</v>
      </c>
      <c r="C6702" s="2">
        <v>4175.48</v>
      </c>
      <c r="D6702" s="2">
        <v>12563.76</v>
      </c>
      <c r="E6702" s="2">
        <v>12563.76</v>
      </c>
      <c r="G6702" s="1" t="s">
        <v>13397</v>
      </c>
      <c r="H6702" s="2">
        <v>2680.46</v>
      </c>
      <c r="I6702" s="2">
        <v>2680.46</v>
      </c>
    </row>
    <row r="6703">
      <c r="A6703" s="1" t="s">
        <v>13398</v>
      </c>
      <c r="B6703" s="2">
        <v>4300.17</v>
      </c>
      <c r="C6703" s="2">
        <v>4300.17</v>
      </c>
      <c r="D6703" s="2">
        <v>12964.86</v>
      </c>
      <c r="E6703" s="2">
        <v>12964.86</v>
      </c>
      <c r="G6703" s="1" t="s">
        <v>13399</v>
      </c>
      <c r="H6703" s="2">
        <v>2677.57</v>
      </c>
      <c r="I6703" s="2">
        <v>2677.57</v>
      </c>
    </row>
    <row r="6704">
      <c r="A6704" s="1" t="s">
        <v>13400</v>
      </c>
      <c r="B6704" s="2">
        <v>4146.87</v>
      </c>
      <c r="C6704" s="2">
        <v>4146.87</v>
      </c>
      <c r="D6704" s="2">
        <v>12317.69</v>
      </c>
      <c r="E6704" s="2">
        <v>12317.69</v>
      </c>
      <c r="G6704" s="1" t="s">
        <v>13401</v>
      </c>
      <c r="H6704" s="2" t="s">
        <v>0</v>
      </c>
      <c r="I6704" s="2">
        <v>2677.57</v>
      </c>
    </row>
    <row r="6705">
      <c r="A6705" s="1" t="s">
        <v>13402</v>
      </c>
      <c r="B6705" s="2">
        <v>4123.34</v>
      </c>
      <c r="C6705" s="2">
        <v>4123.34</v>
      </c>
      <c r="D6705" s="2">
        <v>12144.66</v>
      </c>
      <c r="E6705" s="2">
        <v>12144.66</v>
      </c>
      <c r="G6705" s="1" t="s">
        <v>13403</v>
      </c>
      <c r="H6705" s="2">
        <v>2644.51</v>
      </c>
      <c r="I6705" s="2">
        <v>2644.51</v>
      </c>
    </row>
    <row r="6706">
      <c r="A6706" s="1" t="s">
        <v>13404</v>
      </c>
      <c r="B6706" s="2" t="s">
        <v>0</v>
      </c>
      <c r="C6706" s="2">
        <v>4123.34</v>
      </c>
      <c r="D6706" s="2" t="s">
        <v>0</v>
      </c>
      <c r="E6706" s="2">
        <v>12144.66</v>
      </c>
      <c r="G6706" s="1" t="s">
        <v>13405</v>
      </c>
      <c r="H6706" s="2" t="s">
        <v>0</v>
      </c>
      <c r="I6706" s="2">
        <v>2644.51</v>
      </c>
    </row>
    <row r="6707">
      <c r="A6707" s="1" t="s">
        <v>13406</v>
      </c>
      <c r="B6707" s="2" t="s">
        <v>0</v>
      </c>
      <c r="C6707" s="2">
        <v>4123.34</v>
      </c>
      <c r="D6707" s="2" t="s">
        <v>0</v>
      </c>
      <c r="E6707" s="2">
        <v>12144.66</v>
      </c>
      <c r="G6707" s="1" t="s">
        <v>13407</v>
      </c>
      <c r="H6707" s="2" t="s">
        <v>0</v>
      </c>
      <c r="I6707" s="2">
        <v>2644.51</v>
      </c>
    </row>
    <row r="6708">
      <c r="A6708" s="1" t="s">
        <v>13408</v>
      </c>
      <c r="B6708" s="2">
        <v>3991.24</v>
      </c>
      <c r="C6708" s="2">
        <v>3991.24</v>
      </c>
      <c r="D6708" s="2">
        <v>11623.25</v>
      </c>
      <c r="E6708" s="2">
        <v>11623.25</v>
      </c>
      <c r="G6708" s="1" t="s">
        <v>13409</v>
      </c>
      <c r="H6708" s="2">
        <v>2610.81</v>
      </c>
      <c r="I6708" s="2">
        <v>2610.81</v>
      </c>
    </row>
    <row r="6709">
      <c r="A6709" s="1" t="s">
        <v>13410</v>
      </c>
      <c r="B6709" s="2">
        <v>4001.05</v>
      </c>
      <c r="C6709" s="2">
        <v>4001.05</v>
      </c>
      <c r="D6709" s="2">
        <v>11737.67</v>
      </c>
      <c r="E6709" s="2">
        <v>11737.67</v>
      </c>
      <c r="G6709" s="1" t="s">
        <v>13411</v>
      </c>
      <c r="H6709" s="2">
        <v>2596.56</v>
      </c>
      <c r="I6709" s="2">
        <v>2596.56</v>
      </c>
    </row>
    <row r="6710">
      <c r="A6710" s="1" t="s">
        <v>13412</v>
      </c>
      <c r="B6710" s="2">
        <v>3935.18</v>
      </c>
      <c r="C6710" s="2">
        <v>3935.18</v>
      </c>
      <c r="D6710" s="2">
        <v>11364.24</v>
      </c>
      <c r="E6710" s="2">
        <v>11364.24</v>
      </c>
      <c r="G6710" s="1" t="s">
        <v>13413</v>
      </c>
      <c r="H6710" s="2">
        <v>2592.27</v>
      </c>
      <c r="I6710" s="2">
        <v>2592.27</v>
      </c>
    </row>
    <row r="6711">
      <c r="A6711" s="1" t="s">
        <v>13414</v>
      </c>
      <c r="B6711" s="2">
        <v>3930.08</v>
      </c>
      <c r="C6711" s="2">
        <v>3930.08</v>
      </c>
      <c r="D6711" s="2">
        <v>11370.96</v>
      </c>
      <c r="E6711" s="2">
        <v>11370.96</v>
      </c>
      <c r="G6711" s="1" t="s">
        <v>13415</v>
      </c>
      <c r="H6711" s="2">
        <v>2550.08</v>
      </c>
      <c r="I6711" s="2">
        <v>2550.08</v>
      </c>
    </row>
    <row r="6712">
      <c r="A6712" s="1" t="s">
        <v>13416</v>
      </c>
      <c r="B6712" s="2">
        <v>4023.89</v>
      </c>
      <c r="C6712" s="2">
        <v>4023.89</v>
      </c>
      <c r="D6712" s="2">
        <v>11805.0</v>
      </c>
      <c r="E6712" s="2">
        <v>11805.0</v>
      </c>
      <c r="G6712" s="1" t="s">
        <v>13417</v>
      </c>
      <c r="H6712" s="2">
        <v>2604.24</v>
      </c>
      <c r="I6712" s="2">
        <v>2604.24</v>
      </c>
    </row>
    <row r="6713">
      <c r="A6713" s="1" t="s">
        <v>13418</v>
      </c>
      <c r="B6713" s="2" t="s">
        <v>0</v>
      </c>
      <c r="C6713" s="2">
        <v>4023.89</v>
      </c>
      <c r="D6713" s="2" t="s">
        <v>0</v>
      </c>
      <c r="E6713" s="2">
        <v>11805.0</v>
      </c>
      <c r="G6713" s="1" t="s">
        <v>13419</v>
      </c>
      <c r="H6713" s="2" t="s">
        <v>0</v>
      </c>
      <c r="I6713" s="2">
        <v>2604.24</v>
      </c>
    </row>
    <row r="6714">
      <c r="A6714" s="1" t="s">
        <v>13420</v>
      </c>
      <c r="B6714" s="2" t="s">
        <v>0</v>
      </c>
      <c r="C6714" s="2">
        <v>4023.89</v>
      </c>
      <c r="D6714" s="2" t="s">
        <v>0</v>
      </c>
      <c r="E6714" s="2">
        <v>11805.0</v>
      </c>
      <c r="G6714" s="1" t="s">
        <v>13421</v>
      </c>
      <c r="H6714" s="2" t="s">
        <v>0</v>
      </c>
      <c r="I6714" s="2">
        <v>2604.24</v>
      </c>
    </row>
    <row r="6715">
      <c r="A6715" s="1" t="s">
        <v>13422</v>
      </c>
      <c r="B6715" s="2">
        <v>4008.01</v>
      </c>
      <c r="C6715" s="2">
        <v>4008.01</v>
      </c>
      <c r="D6715" s="2">
        <v>11662.79</v>
      </c>
      <c r="E6715" s="2">
        <v>11662.79</v>
      </c>
      <c r="G6715" s="1" t="s">
        <v>13423</v>
      </c>
      <c r="H6715" s="2">
        <v>2596.58</v>
      </c>
      <c r="I6715" s="2">
        <v>2596.58</v>
      </c>
    </row>
    <row r="6716">
      <c r="A6716" s="1" t="s">
        <v>13424</v>
      </c>
      <c r="B6716" s="2">
        <v>4088.85</v>
      </c>
      <c r="C6716" s="2">
        <v>4088.85</v>
      </c>
      <c r="D6716" s="2">
        <v>11984.52</v>
      </c>
      <c r="E6716" s="2">
        <v>11984.52</v>
      </c>
      <c r="G6716" s="1" t="s">
        <v>13425</v>
      </c>
      <c r="H6716" s="2">
        <v>2620.44</v>
      </c>
      <c r="I6716" s="2">
        <v>2620.44</v>
      </c>
    </row>
    <row r="6717">
      <c r="A6717" s="1" t="s">
        <v>13426</v>
      </c>
      <c r="B6717" s="2">
        <v>3923.68</v>
      </c>
      <c r="C6717" s="2">
        <v>3923.68</v>
      </c>
      <c r="D6717" s="2">
        <v>11418.15</v>
      </c>
      <c r="E6717" s="2">
        <v>11418.15</v>
      </c>
      <c r="G6717" s="1" t="s">
        <v>13427</v>
      </c>
      <c r="H6717" s="2">
        <v>2625.98</v>
      </c>
      <c r="I6717" s="2">
        <v>2625.98</v>
      </c>
    </row>
    <row r="6718">
      <c r="A6718" s="1" t="s">
        <v>13428</v>
      </c>
      <c r="B6718" s="2">
        <v>3900.79</v>
      </c>
      <c r="C6718" s="2">
        <v>3900.79</v>
      </c>
      <c r="D6718" s="2">
        <v>11388.5</v>
      </c>
      <c r="E6718" s="2">
        <v>11388.5</v>
      </c>
      <c r="G6718" s="1" t="s">
        <v>13429</v>
      </c>
      <c r="H6718" s="2">
        <v>2592.34</v>
      </c>
      <c r="I6718" s="2">
        <v>2592.34</v>
      </c>
    </row>
    <row r="6719">
      <c r="A6719" s="1" t="s">
        <v>13430</v>
      </c>
      <c r="B6719" s="2">
        <v>3901.36</v>
      </c>
      <c r="C6719" s="2">
        <v>3901.36</v>
      </c>
      <c r="D6719" s="2">
        <v>11354.62</v>
      </c>
      <c r="E6719" s="2">
        <v>11354.62</v>
      </c>
      <c r="G6719" s="1" t="s">
        <v>13431</v>
      </c>
      <c r="H6719" s="2">
        <v>2639.29</v>
      </c>
      <c r="I6719" s="2">
        <v>2639.29</v>
      </c>
    </row>
    <row r="6720">
      <c r="A6720" s="1" t="s">
        <v>13432</v>
      </c>
      <c r="B6720" s="2" t="s">
        <v>0</v>
      </c>
      <c r="C6720" s="2">
        <v>3901.36</v>
      </c>
      <c r="D6720" s="2" t="s">
        <v>0</v>
      </c>
      <c r="E6720" s="2">
        <v>11354.62</v>
      </c>
      <c r="G6720" s="1" t="s">
        <v>13433</v>
      </c>
      <c r="H6720" s="2" t="s">
        <v>0</v>
      </c>
      <c r="I6720" s="2">
        <v>2639.29</v>
      </c>
    </row>
    <row r="6721">
      <c r="A6721" s="1" t="s">
        <v>13434</v>
      </c>
      <c r="B6721" s="2" t="s">
        <v>0</v>
      </c>
      <c r="C6721" s="2">
        <v>3901.36</v>
      </c>
      <c r="D6721" s="2" t="s">
        <v>0</v>
      </c>
      <c r="E6721" s="2">
        <v>11354.62</v>
      </c>
      <c r="G6721" s="1" t="s">
        <v>13435</v>
      </c>
      <c r="H6721" s="2" t="s">
        <v>0</v>
      </c>
      <c r="I6721" s="2">
        <v>2639.29</v>
      </c>
    </row>
    <row r="6722">
      <c r="A6722" s="1" t="s">
        <v>13436</v>
      </c>
      <c r="B6722" s="2">
        <v>3973.75</v>
      </c>
      <c r="C6722" s="2">
        <v>3973.75</v>
      </c>
      <c r="D6722" s="2">
        <v>11535.28</v>
      </c>
      <c r="E6722" s="2">
        <v>11535.28</v>
      </c>
      <c r="G6722" s="1" t="s">
        <v>13437</v>
      </c>
      <c r="H6722" s="2">
        <v>2647.38</v>
      </c>
      <c r="I6722" s="2">
        <v>2647.38</v>
      </c>
    </row>
    <row r="6723">
      <c r="A6723" s="1" t="s">
        <v>13438</v>
      </c>
      <c r="B6723" s="2">
        <v>3941.48</v>
      </c>
      <c r="C6723" s="2">
        <v>3941.48</v>
      </c>
      <c r="D6723" s="2">
        <v>11264.45</v>
      </c>
      <c r="E6723" s="2">
        <v>11264.45</v>
      </c>
      <c r="G6723" s="1" t="s">
        <v>13439</v>
      </c>
      <c r="H6723" s="2">
        <v>2605.87</v>
      </c>
      <c r="I6723" s="2">
        <v>2605.87</v>
      </c>
    </row>
    <row r="6724">
      <c r="A6724" s="1" t="s">
        <v>13440</v>
      </c>
      <c r="B6724" s="2">
        <v>3978.73</v>
      </c>
      <c r="C6724" s="2">
        <v>3978.73</v>
      </c>
      <c r="D6724" s="2">
        <v>11434.74</v>
      </c>
      <c r="E6724" s="2">
        <v>11434.74</v>
      </c>
      <c r="G6724" s="1" t="s">
        <v>13441</v>
      </c>
      <c r="H6724" s="2">
        <v>2617.22</v>
      </c>
      <c r="I6724" s="2">
        <v>2617.22</v>
      </c>
    </row>
    <row r="6725">
      <c r="A6725" s="1" t="s">
        <v>13442</v>
      </c>
      <c r="B6725" s="2">
        <v>4057.84</v>
      </c>
      <c r="C6725" s="2">
        <v>4057.84</v>
      </c>
      <c r="D6725" s="2">
        <v>11740.65</v>
      </c>
      <c r="E6725" s="2">
        <v>11740.65</v>
      </c>
      <c r="G6725" s="1" t="s">
        <v>13443</v>
      </c>
      <c r="H6725" s="2">
        <v>2612.45</v>
      </c>
      <c r="I6725" s="2">
        <v>2612.45</v>
      </c>
    </row>
    <row r="6726">
      <c r="A6726" s="1" t="s">
        <v>13444</v>
      </c>
      <c r="B6726" s="2">
        <v>4158.24</v>
      </c>
      <c r="C6726" s="2">
        <v>4158.24</v>
      </c>
      <c r="D6726" s="2">
        <v>12131.13</v>
      </c>
      <c r="E6726" s="2">
        <v>12131.13</v>
      </c>
      <c r="G6726" s="1" t="s">
        <v>13445</v>
      </c>
      <c r="H6726" s="2">
        <v>2638.05</v>
      </c>
      <c r="I6726" s="2">
        <v>2638.05</v>
      </c>
    </row>
    <row r="6727">
      <c r="A6727" s="1" t="s">
        <v>13446</v>
      </c>
      <c r="B6727" s="2" t="s">
        <v>0</v>
      </c>
      <c r="C6727" s="2">
        <v>4158.24</v>
      </c>
      <c r="D6727" s="2" t="s">
        <v>0</v>
      </c>
      <c r="E6727" s="2">
        <v>12131.13</v>
      </c>
      <c r="G6727" s="1" t="s">
        <v>13447</v>
      </c>
      <c r="H6727" s="2" t="s">
        <v>0</v>
      </c>
      <c r="I6727" s="2">
        <v>2638.05</v>
      </c>
    </row>
    <row r="6728">
      <c r="A6728" s="1" t="s">
        <v>13448</v>
      </c>
      <c r="B6728" s="2" t="s">
        <v>0</v>
      </c>
      <c r="C6728" s="2">
        <v>4158.24</v>
      </c>
      <c r="D6728" s="2" t="s">
        <v>0</v>
      </c>
      <c r="E6728" s="2">
        <v>12131.13</v>
      </c>
      <c r="G6728" s="1" t="s">
        <v>13449</v>
      </c>
      <c r="H6728" s="2" t="s">
        <v>0</v>
      </c>
      <c r="I6728" s="2">
        <v>2638.05</v>
      </c>
    </row>
    <row r="6729">
      <c r="A6729" s="1" t="s">
        <v>13450</v>
      </c>
      <c r="B6729" s="2" t="s">
        <v>0</v>
      </c>
      <c r="C6729" s="2">
        <v>4158.24</v>
      </c>
      <c r="D6729" s="2" t="s">
        <v>0</v>
      </c>
      <c r="E6729" s="2">
        <v>12131.13</v>
      </c>
      <c r="G6729" s="1" t="s">
        <v>13451</v>
      </c>
      <c r="H6729" s="2">
        <v>2669.66</v>
      </c>
      <c r="I6729" s="2">
        <v>2669.66</v>
      </c>
    </row>
    <row r="6730">
      <c r="A6730" s="1" t="s">
        <v>13452</v>
      </c>
      <c r="B6730" s="2">
        <v>4132.15</v>
      </c>
      <c r="C6730" s="2">
        <v>4132.15</v>
      </c>
      <c r="D6730" s="2">
        <v>12081.39</v>
      </c>
      <c r="E6730" s="2">
        <v>12081.39</v>
      </c>
      <c r="G6730" s="1" t="s">
        <v>13453</v>
      </c>
      <c r="H6730" s="2">
        <v>2685.9</v>
      </c>
      <c r="I6730" s="2">
        <v>2685.9</v>
      </c>
    </row>
    <row r="6731">
      <c r="A6731" s="1" t="s">
        <v>13454</v>
      </c>
      <c r="B6731" s="2">
        <v>4101.23</v>
      </c>
      <c r="C6731" s="2">
        <v>4101.23</v>
      </c>
      <c r="D6731" s="2">
        <v>11994.46</v>
      </c>
      <c r="E6731" s="2">
        <v>11994.46</v>
      </c>
      <c r="G6731" s="1" t="s">
        <v>13455</v>
      </c>
      <c r="H6731" s="2" t="s">
        <v>0</v>
      </c>
      <c r="I6731" s="2">
        <v>2685.9</v>
      </c>
    </row>
    <row r="6732">
      <c r="A6732" s="1" t="s">
        <v>13456</v>
      </c>
      <c r="B6732" s="2">
        <v>4176.82</v>
      </c>
      <c r="C6732" s="2">
        <v>4176.82</v>
      </c>
      <c r="D6732" s="2">
        <v>12316.9</v>
      </c>
      <c r="E6732" s="2">
        <v>12316.9</v>
      </c>
      <c r="G6732" s="1" t="s">
        <v>13457</v>
      </c>
      <c r="H6732" s="2">
        <v>2658.99</v>
      </c>
      <c r="I6732" s="2">
        <v>2658.99</v>
      </c>
    </row>
    <row r="6733">
      <c r="A6733" s="1" t="s">
        <v>13458</v>
      </c>
      <c r="B6733" s="2">
        <v>4108.54</v>
      </c>
      <c r="C6733" s="2">
        <v>4108.54</v>
      </c>
      <c r="D6733" s="2">
        <v>12012.73</v>
      </c>
      <c r="E6733" s="2">
        <v>12012.73</v>
      </c>
      <c r="G6733" s="1" t="s">
        <v>13459</v>
      </c>
      <c r="H6733" s="2">
        <v>2670.65</v>
      </c>
      <c r="I6733" s="2">
        <v>2670.65</v>
      </c>
    </row>
    <row r="6734">
      <c r="A6734" s="1" t="s">
        <v>13460</v>
      </c>
      <c r="B6734" s="2" t="s">
        <v>0</v>
      </c>
      <c r="C6734" s="2">
        <v>4108.54</v>
      </c>
      <c r="D6734" s="2" t="s">
        <v>0</v>
      </c>
      <c r="E6734" s="2">
        <v>12012.73</v>
      </c>
      <c r="G6734" s="1" t="s">
        <v>13461</v>
      </c>
      <c r="H6734" s="2" t="s">
        <v>0</v>
      </c>
      <c r="I6734" s="2">
        <v>2670.65</v>
      </c>
    </row>
    <row r="6735">
      <c r="A6735" s="1" t="s">
        <v>13462</v>
      </c>
      <c r="B6735" s="2" t="s">
        <v>0</v>
      </c>
      <c r="C6735" s="2">
        <v>4108.54</v>
      </c>
      <c r="D6735" s="2" t="s">
        <v>0</v>
      </c>
      <c r="E6735" s="2">
        <v>12012.73</v>
      </c>
      <c r="G6735" s="1" t="s">
        <v>13463</v>
      </c>
      <c r="H6735" s="2" t="s">
        <v>0</v>
      </c>
      <c r="I6735" s="2">
        <v>2670.65</v>
      </c>
    </row>
    <row r="6736">
      <c r="A6736" s="1" t="s">
        <v>13464</v>
      </c>
      <c r="B6736" s="2">
        <v>4121.43</v>
      </c>
      <c r="C6736" s="2">
        <v>4121.43</v>
      </c>
      <c r="D6736" s="2">
        <v>12061.37</v>
      </c>
      <c r="E6736" s="2">
        <v>12061.37</v>
      </c>
      <c r="G6736" s="1" t="s">
        <v>13465</v>
      </c>
      <c r="H6736" s="2" t="s">
        <v>0</v>
      </c>
      <c r="I6736" s="2">
        <v>2670.65</v>
      </c>
    </row>
    <row r="6737">
      <c r="A6737" s="1" t="s">
        <v>13466</v>
      </c>
      <c r="B6737" s="2">
        <v>4160.68</v>
      </c>
      <c r="C6737" s="2">
        <v>4160.68</v>
      </c>
      <c r="D6737" s="2">
        <v>12175.23</v>
      </c>
      <c r="E6737" s="2">
        <v>12175.23</v>
      </c>
      <c r="G6737" s="1" t="s">
        <v>13467</v>
      </c>
      <c r="H6737" s="2">
        <v>2626.34</v>
      </c>
      <c r="I6737" s="2">
        <v>2626.34</v>
      </c>
    </row>
    <row r="6738">
      <c r="A6738" s="1" t="s">
        <v>13468</v>
      </c>
      <c r="B6738" s="2">
        <v>4115.77</v>
      </c>
      <c r="C6738" s="2">
        <v>4115.77</v>
      </c>
      <c r="D6738" s="2">
        <v>12086.27</v>
      </c>
      <c r="E6738" s="2">
        <v>12086.27</v>
      </c>
      <c r="G6738" s="1" t="s">
        <v>13469</v>
      </c>
      <c r="H6738" s="2">
        <v>2626.15</v>
      </c>
      <c r="I6738" s="2">
        <v>2626.15</v>
      </c>
    </row>
    <row r="6739">
      <c r="A6739" s="1" t="s">
        <v>13470</v>
      </c>
      <c r="B6739" s="2">
        <v>4017.82</v>
      </c>
      <c r="C6739" s="2">
        <v>4017.82</v>
      </c>
      <c r="D6739" s="2">
        <v>11754.23</v>
      </c>
      <c r="E6739" s="2">
        <v>11754.23</v>
      </c>
      <c r="G6739" s="1" t="s">
        <v>13471</v>
      </c>
      <c r="H6739" s="2">
        <v>2625.44</v>
      </c>
      <c r="I6739" s="2">
        <v>2625.44</v>
      </c>
    </row>
    <row r="6740">
      <c r="A6740" s="1" t="s">
        <v>13472</v>
      </c>
      <c r="B6740" s="2">
        <v>3900.86</v>
      </c>
      <c r="C6740" s="2">
        <v>3900.86</v>
      </c>
      <c r="D6740" s="2">
        <v>11340.02</v>
      </c>
      <c r="E6740" s="2">
        <v>11340.02</v>
      </c>
      <c r="G6740" s="1" t="s">
        <v>13473</v>
      </c>
      <c r="H6740" s="2">
        <v>2595.87</v>
      </c>
      <c r="I6740" s="2">
        <v>2595.87</v>
      </c>
    </row>
    <row r="6741">
      <c r="A6741" s="1" t="s">
        <v>13474</v>
      </c>
      <c r="B6741" s="2" t="s">
        <v>0</v>
      </c>
      <c r="C6741" s="2">
        <v>3900.86</v>
      </c>
      <c r="D6741" s="2" t="s">
        <v>0</v>
      </c>
      <c r="E6741" s="2">
        <v>11340.02</v>
      </c>
      <c r="G6741" s="1" t="s">
        <v>13475</v>
      </c>
      <c r="H6741" s="2" t="s">
        <v>0</v>
      </c>
      <c r="I6741" s="2">
        <v>2595.87</v>
      </c>
    </row>
    <row r="6742">
      <c r="A6742" s="1" t="s">
        <v>13476</v>
      </c>
      <c r="B6742" s="2" t="s">
        <v>0</v>
      </c>
      <c r="C6742" s="2">
        <v>3900.86</v>
      </c>
      <c r="D6742" s="2" t="s">
        <v>0</v>
      </c>
      <c r="E6742" s="2">
        <v>11340.02</v>
      </c>
      <c r="G6742" s="1" t="s">
        <v>13477</v>
      </c>
      <c r="H6742" s="2" t="s">
        <v>0</v>
      </c>
      <c r="I6742" s="2">
        <v>2595.87</v>
      </c>
    </row>
    <row r="6743">
      <c r="A6743" s="1" t="s">
        <v>13478</v>
      </c>
      <c r="B6743" s="2">
        <v>3749.63</v>
      </c>
      <c r="C6743" s="2">
        <v>3749.63</v>
      </c>
      <c r="D6743" s="2">
        <v>10809.23</v>
      </c>
      <c r="E6743" s="2">
        <v>10809.23</v>
      </c>
      <c r="G6743" s="1" t="s">
        <v>13479</v>
      </c>
      <c r="H6743" s="2">
        <v>2504.51</v>
      </c>
      <c r="I6743" s="2">
        <v>2504.51</v>
      </c>
    </row>
    <row r="6744">
      <c r="A6744" s="1" t="s">
        <v>13480</v>
      </c>
      <c r="B6744" s="2">
        <v>3735.48</v>
      </c>
      <c r="C6744" s="2">
        <v>3735.48</v>
      </c>
      <c r="D6744" s="2">
        <v>10828.35</v>
      </c>
      <c r="E6744" s="2">
        <v>10828.35</v>
      </c>
      <c r="G6744" s="1" t="s">
        <v>13481</v>
      </c>
      <c r="H6744" s="2">
        <v>2492.97</v>
      </c>
      <c r="I6744" s="2">
        <v>2492.97</v>
      </c>
    </row>
    <row r="6745">
      <c r="A6745" s="1" t="s">
        <v>13482</v>
      </c>
      <c r="B6745" s="2">
        <v>3789.99</v>
      </c>
      <c r="C6745" s="2">
        <v>3789.99</v>
      </c>
      <c r="D6745" s="2">
        <v>11099.16</v>
      </c>
      <c r="E6745" s="2">
        <v>11099.16</v>
      </c>
      <c r="G6745" s="1" t="s">
        <v>13483</v>
      </c>
      <c r="H6745" s="2">
        <v>2447.38</v>
      </c>
      <c r="I6745" s="2">
        <v>2447.38</v>
      </c>
    </row>
    <row r="6746">
      <c r="A6746" s="1" t="s">
        <v>13484</v>
      </c>
      <c r="B6746" s="2">
        <v>3666.77</v>
      </c>
      <c r="C6746" s="2">
        <v>3666.77</v>
      </c>
      <c r="D6746" s="2">
        <v>10646.1</v>
      </c>
      <c r="E6746" s="2">
        <v>10646.1</v>
      </c>
      <c r="G6746" s="1" t="s">
        <v>13485</v>
      </c>
      <c r="H6746" s="2">
        <v>2451.41</v>
      </c>
      <c r="I6746" s="2">
        <v>2451.41</v>
      </c>
    </row>
    <row r="6747">
      <c r="A6747" s="1" t="s">
        <v>13486</v>
      </c>
      <c r="B6747" s="2">
        <v>3674.84</v>
      </c>
      <c r="C6747" s="2">
        <v>3674.84</v>
      </c>
      <c r="D6747" s="2">
        <v>10798.35</v>
      </c>
      <c r="E6747" s="2">
        <v>10798.35</v>
      </c>
      <c r="G6747" s="1" t="s">
        <v>13487</v>
      </c>
      <c r="H6747" s="2">
        <v>2440.93</v>
      </c>
      <c r="I6747" s="2">
        <v>2440.93</v>
      </c>
    </row>
    <row r="6748">
      <c r="A6748" s="1" t="s">
        <v>13488</v>
      </c>
      <c r="B6748" s="2" t="s">
        <v>0</v>
      </c>
      <c r="C6748" s="2">
        <v>3674.84</v>
      </c>
      <c r="D6748" s="2" t="s">
        <v>0</v>
      </c>
      <c r="E6748" s="2">
        <v>10798.35</v>
      </c>
      <c r="G6748" s="1" t="s">
        <v>13489</v>
      </c>
      <c r="H6748" s="2" t="s">
        <v>0</v>
      </c>
      <c r="I6748" s="2">
        <v>2440.93</v>
      </c>
    </row>
    <row r="6749">
      <c r="A6749" s="1" t="s">
        <v>13490</v>
      </c>
      <c r="B6749" s="2" t="s">
        <v>0</v>
      </c>
      <c r="C6749" s="2">
        <v>3674.84</v>
      </c>
      <c r="D6749" s="2" t="s">
        <v>0</v>
      </c>
      <c r="E6749" s="2">
        <v>10798.35</v>
      </c>
      <c r="G6749" s="1" t="s">
        <v>13491</v>
      </c>
      <c r="H6749" s="2" t="s">
        <v>0</v>
      </c>
      <c r="I6749" s="2">
        <v>2440.93</v>
      </c>
    </row>
    <row r="6750">
      <c r="A6750" s="1" t="s">
        <v>13492</v>
      </c>
      <c r="B6750" s="2" t="s">
        <v>0</v>
      </c>
      <c r="C6750" s="2">
        <v>3674.84</v>
      </c>
      <c r="D6750" s="2" t="s">
        <v>0</v>
      </c>
      <c r="E6750" s="2">
        <v>10798.35</v>
      </c>
      <c r="G6750" s="1" t="s">
        <v>13493</v>
      </c>
      <c r="H6750" s="2">
        <v>2391.03</v>
      </c>
      <c r="I6750" s="2">
        <v>2391.03</v>
      </c>
    </row>
    <row r="6751">
      <c r="A6751" s="1" t="s">
        <v>13494</v>
      </c>
      <c r="B6751" s="2">
        <v>3764.79</v>
      </c>
      <c r="C6751" s="2">
        <v>3764.79</v>
      </c>
      <c r="D6751" s="2">
        <v>11069.3</v>
      </c>
      <c r="E6751" s="2">
        <v>11069.3</v>
      </c>
      <c r="G6751" s="1" t="s">
        <v>13495</v>
      </c>
      <c r="H6751" s="2">
        <v>2408.93</v>
      </c>
      <c r="I6751" s="2">
        <v>2408.93</v>
      </c>
    </row>
    <row r="6752">
      <c r="A6752" s="1" t="s">
        <v>13496</v>
      </c>
      <c r="B6752" s="2">
        <v>3759.89</v>
      </c>
      <c r="C6752" s="2">
        <v>3759.89</v>
      </c>
      <c r="D6752" s="2">
        <v>11053.08</v>
      </c>
      <c r="E6752" s="2">
        <v>11053.08</v>
      </c>
      <c r="G6752" s="1" t="s">
        <v>13497</v>
      </c>
      <c r="H6752" s="2">
        <v>2342.81</v>
      </c>
      <c r="I6752" s="2">
        <v>2342.81</v>
      </c>
    </row>
    <row r="6753">
      <c r="A6753" s="1" t="s">
        <v>13498</v>
      </c>
      <c r="B6753" s="2">
        <v>3795.73</v>
      </c>
      <c r="C6753" s="2">
        <v>3795.73</v>
      </c>
      <c r="D6753" s="2">
        <v>11232.19</v>
      </c>
      <c r="E6753" s="2">
        <v>11232.19</v>
      </c>
      <c r="G6753" s="1" t="s">
        <v>13499</v>
      </c>
      <c r="H6753" s="2">
        <v>2314.32</v>
      </c>
      <c r="I6753" s="2">
        <v>2314.32</v>
      </c>
    </row>
    <row r="6754">
      <c r="A6754" s="1" t="s">
        <v>13500</v>
      </c>
      <c r="B6754" s="2">
        <v>3911.74</v>
      </c>
      <c r="C6754" s="2">
        <v>3911.74</v>
      </c>
      <c r="D6754" s="2">
        <v>11607.62</v>
      </c>
      <c r="E6754" s="2">
        <v>11607.62</v>
      </c>
      <c r="G6754" s="1" t="s">
        <v>13501</v>
      </c>
      <c r="H6754" s="2">
        <v>2366.6</v>
      </c>
      <c r="I6754" s="2">
        <v>2366.6</v>
      </c>
    </row>
    <row r="6755">
      <c r="A6755" s="1" t="s">
        <v>13502</v>
      </c>
      <c r="B6755" s="2" t="s">
        <v>0</v>
      </c>
      <c r="C6755" s="2">
        <v>3911.74</v>
      </c>
      <c r="D6755" s="2" t="s">
        <v>0</v>
      </c>
      <c r="E6755" s="2">
        <v>11607.62</v>
      </c>
      <c r="G6755" s="1" t="s">
        <v>13503</v>
      </c>
      <c r="H6755" s="2" t="s">
        <v>0</v>
      </c>
      <c r="I6755" s="2">
        <v>2366.6</v>
      </c>
    </row>
    <row r="6756">
      <c r="A6756" s="1" t="s">
        <v>13504</v>
      </c>
      <c r="B6756" s="2" t="s">
        <v>0</v>
      </c>
      <c r="C6756" s="2">
        <v>3911.74</v>
      </c>
      <c r="D6756" s="2" t="s">
        <v>0</v>
      </c>
      <c r="E6756" s="2">
        <v>11607.62</v>
      </c>
      <c r="G6756" s="1" t="s">
        <v>13505</v>
      </c>
      <c r="H6756" s="2" t="s">
        <v>0</v>
      </c>
      <c r="I6756" s="2">
        <v>2366.6</v>
      </c>
    </row>
    <row r="6757">
      <c r="A6757" s="1" t="s">
        <v>13506</v>
      </c>
      <c r="B6757" s="2">
        <v>3900.11</v>
      </c>
      <c r="C6757" s="2">
        <v>3900.11</v>
      </c>
      <c r="D6757" s="2">
        <v>11524.55</v>
      </c>
      <c r="E6757" s="2">
        <v>11524.55</v>
      </c>
      <c r="G6757" s="1" t="s">
        <v>13507</v>
      </c>
      <c r="H6757" s="2">
        <v>2401.92</v>
      </c>
      <c r="I6757" s="2">
        <v>2401.92</v>
      </c>
    </row>
    <row r="6758">
      <c r="A6758" s="1" t="s">
        <v>13508</v>
      </c>
      <c r="B6758" s="2">
        <v>3821.55</v>
      </c>
      <c r="C6758" s="2">
        <v>3821.55</v>
      </c>
      <c r="D6758" s="2">
        <v>11181.54</v>
      </c>
      <c r="E6758" s="2">
        <v>11181.54</v>
      </c>
      <c r="G6758" s="1" t="s">
        <v>13509</v>
      </c>
      <c r="H6758" s="2">
        <v>2422.09</v>
      </c>
      <c r="I6758" s="2">
        <v>2422.09</v>
      </c>
    </row>
    <row r="6759">
      <c r="A6759" s="1" t="s">
        <v>13510</v>
      </c>
      <c r="B6759" s="2">
        <v>3818.83</v>
      </c>
      <c r="C6759" s="2">
        <v>3818.83</v>
      </c>
      <c r="D6759" s="2">
        <v>11177.89</v>
      </c>
      <c r="E6759" s="2">
        <v>11177.89</v>
      </c>
      <c r="G6759" s="1" t="s">
        <v>13511</v>
      </c>
      <c r="H6759" s="2">
        <v>2377.99</v>
      </c>
      <c r="I6759" s="2">
        <v>2377.99</v>
      </c>
    </row>
    <row r="6760">
      <c r="A6760" s="1" t="s">
        <v>13512</v>
      </c>
      <c r="B6760" s="2">
        <v>3785.38</v>
      </c>
      <c r="C6760" s="2">
        <v>3785.38</v>
      </c>
      <c r="D6760" s="2">
        <v>11028.74</v>
      </c>
      <c r="E6760" s="2">
        <v>11028.74</v>
      </c>
      <c r="G6760" s="1" t="s">
        <v>13513</v>
      </c>
      <c r="H6760" s="2">
        <v>2332.64</v>
      </c>
      <c r="I6760" s="2">
        <v>2332.64</v>
      </c>
    </row>
    <row r="6761">
      <c r="A6761" s="1" t="s">
        <v>13514</v>
      </c>
      <c r="B6761" s="2">
        <v>3825.33</v>
      </c>
      <c r="C6761" s="2">
        <v>3825.33</v>
      </c>
      <c r="D6761" s="2">
        <v>11127.85</v>
      </c>
      <c r="E6761" s="2">
        <v>11127.85</v>
      </c>
      <c r="G6761" s="1" t="s">
        <v>13515</v>
      </c>
      <c r="H6761" s="2">
        <v>2305.42</v>
      </c>
      <c r="I6761" s="2">
        <v>2305.42</v>
      </c>
    </row>
    <row r="6762">
      <c r="A6762" s="1" t="s">
        <v>13516</v>
      </c>
      <c r="B6762" s="2" t="s">
        <v>0</v>
      </c>
      <c r="C6762" s="2">
        <v>3825.33</v>
      </c>
      <c r="D6762" s="2" t="s">
        <v>0</v>
      </c>
      <c r="E6762" s="2">
        <v>11127.85</v>
      </c>
      <c r="G6762" s="1" t="s">
        <v>13517</v>
      </c>
      <c r="H6762" s="2" t="s">
        <v>0</v>
      </c>
      <c r="I6762" s="2">
        <v>2305.42</v>
      </c>
    </row>
    <row r="6763">
      <c r="A6763" s="1" t="s">
        <v>13518</v>
      </c>
      <c r="B6763" s="2" t="s">
        <v>0</v>
      </c>
      <c r="C6763" s="2">
        <v>3825.33</v>
      </c>
      <c r="D6763" s="2" t="s">
        <v>0</v>
      </c>
      <c r="E6763" s="2">
        <v>11127.85</v>
      </c>
      <c r="G6763" s="1" t="s">
        <v>13519</v>
      </c>
      <c r="H6763" s="2" t="s">
        <v>0</v>
      </c>
      <c r="I6763" s="2">
        <v>2305.42</v>
      </c>
    </row>
    <row r="6764">
      <c r="A6764" s="1" t="s">
        <v>13520</v>
      </c>
      <c r="B6764" s="2" t="s">
        <v>0</v>
      </c>
      <c r="C6764" s="2">
        <v>3825.33</v>
      </c>
      <c r="D6764" s="2" t="s">
        <v>0</v>
      </c>
      <c r="E6764" s="2">
        <v>11127.85</v>
      </c>
      <c r="G6764" s="1" t="s">
        <v>13521</v>
      </c>
      <c r="H6764" s="2">
        <v>2300.34</v>
      </c>
      <c r="I6764" s="2">
        <v>2300.34</v>
      </c>
    </row>
    <row r="6765">
      <c r="A6765" s="1" t="s">
        <v>13522</v>
      </c>
      <c r="B6765" s="2">
        <v>3831.39</v>
      </c>
      <c r="C6765" s="2">
        <v>3831.39</v>
      </c>
      <c r="D6765" s="2">
        <v>11322.24</v>
      </c>
      <c r="E6765" s="2">
        <v>11322.24</v>
      </c>
      <c r="G6765" s="1" t="s">
        <v>13523</v>
      </c>
      <c r="H6765" s="2">
        <v>2341.78</v>
      </c>
      <c r="I6765" s="2">
        <v>2341.78</v>
      </c>
    </row>
    <row r="6766">
      <c r="A6766" s="1" t="s">
        <v>13524</v>
      </c>
      <c r="B6766" s="2">
        <v>3845.08</v>
      </c>
      <c r="C6766" s="2">
        <v>3845.08</v>
      </c>
      <c r="D6766" s="2">
        <v>11361.85</v>
      </c>
      <c r="E6766" s="2">
        <v>11361.85</v>
      </c>
      <c r="G6766" s="1" t="s">
        <v>13525</v>
      </c>
      <c r="H6766" s="2">
        <v>2292.01</v>
      </c>
      <c r="I6766" s="2">
        <v>2292.01</v>
      </c>
    </row>
    <row r="6767">
      <c r="A6767" s="1" t="s">
        <v>13526</v>
      </c>
      <c r="B6767" s="2">
        <v>3902.62</v>
      </c>
      <c r="C6767" s="2">
        <v>3902.62</v>
      </c>
      <c r="D6767" s="2">
        <v>11621.35</v>
      </c>
      <c r="E6767" s="2">
        <v>11621.35</v>
      </c>
      <c r="G6767" s="1" t="s">
        <v>13527</v>
      </c>
      <c r="H6767" s="2">
        <v>2334.27</v>
      </c>
      <c r="I6767" s="2">
        <v>2334.27</v>
      </c>
    </row>
    <row r="6768">
      <c r="A6768" s="1" t="s">
        <v>13528</v>
      </c>
      <c r="B6768" s="2">
        <v>3899.38</v>
      </c>
      <c r="C6768" s="2">
        <v>3899.38</v>
      </c>
      <c r="D6768" s="2">
        <v>11635.31</v>
      </c>
      <c r="E6768" s="2">
        <v>11635.31</v>
      </c>
      <c r="G6768" s="1" t="s">
        <v>13529</v>
      </c>
      <c r="H6768" s="2">
        <v>2350.61</v>
      </c>
      <c r="I6768" s="2">
        <v>2350.61</v>
      </c>
    </row>
    <row r="6769">
      <c r="A6769" s="1" t="s">
        <v>13530</v>
      </c>
      <c r="B6769" s="2" t="s">
        <v>0</v>
      </c>
      <c r="C6769" s="2">
        <v>3899.38</v>
      </c>
      <c r="D6769" s="2" t="s">
        <v>0</v>
      </c>
      <c r="E6769" s="2">
        <v>11635.31</v>
      </c>
      <c r="G6769" s="1" t="s">
        <v>13531</v>
      </c>
      <c r="H6769" s="2" t="s">
        <v>0</v>
      </c>
      <c r="I6769" s="2">
        <v>2350.61</v>
      </c>
    </row>
    <row r="6770">
      <c r="A6770" s="1" t="s">
        <v>13532</v>
      </c>
      <c r="B6770" s="2" t="s">
        <v>0</v>
      </c>
      <c r="C6770" s="2">
        <v>3899.38</v>
      </c>
      <c r="D6770" s="2" t="s">
        <v>0</v>
      </c>
      <c r="E6770" s="2">
        <v>11635.31</v>
      </c>
      <c r="G6770" s="1" t="s">
        <v>13533</v>
      </c>
      <c r="H6770" s="2" t="s">
        <v>0</v>
      </c>
      <c r="I6770" s="2">
        <v>2350.61</v>
      </c>
    </row>
    <row r="6771">
      <c r="A6771" s="1" t="s">
        <v>13534</v>
      </c>
      <c r="B6771" s="2">
        <v>3854.43</v>
      </c>
      <c r="C6771" s="2">
        <v>3854.43</v>
      </c>
      <c r="D6771" s="2">
        <v>11372.6</v>
      </c>
      <c r="E6771" s="2">
        <v>11372.6</v>
      </c>
      <c r="G6771" s="1" t="s">
        <v>13535</v>
      </c>
      <c r="H6771" s="2">
        <v>2340.27</v>
      </c>
      <c r="I6771" s="2">
        <v>2340.27</v>
      </c>
    </row>
    <row r="6772">
      <c r="A6772" s="1" t="s">
        <v>13536</v>
      </c>
      <c r="B6772" s="2">
        <v>3818.8</v>
      </c>
      <c r="C6772" s="2">
        <v>3818.8</v>
      </c>
      <c r="D6772" s="2">
        <v>11264.73</v>
      </c>
      <c r="E6772" s="2">
        <v>11264.73</v>
      </c>
      <c r="G6772" s="1" t="s">
        <v>13537</v>
      </c>
      <c r="H6772" s="2">
        <v>2317.76</v>
      </c>
      <c r="I6772" s="2">
        <v>2317.76</v>
      </c>
    </row>
    <row r="6773">
      <c r="A6773" s="1" t="s">
        <v>13538</v>
      </c>
      <c r="B6773" s="2">
        <v>3801.78</v>
      </c>
      <c r="C6773" s="2">
        <v>3801.78</v>
      </c>
      <c r="D6773" s="2">
        <v>11247.58</v>
      </c>
      <c r="E6773" s="2">
        <v>11247.58</v>
      </c>
      <c r="G6773" s="1" t="s">
        <v>13539</v>
      </c>
      <c r="H6773" s="2">
        <v>2328.61</v>
      </c>
      <c r="I6773" s="2">
        <v>2328.61</v>
      </c>
    </row>
    <row r="6774">
      <c r="A6774" s="1" t="s">
        <v>13540</v>
      </c>
      <c r="B6774" s="2">
        <v>3790.38</v>
      </c>
      <c r="C6774" s="2">
        <v>3790.38</v>
      </c>
      <c r="D6774" s="2">
        <v>11251.19</v>
      </c>
      <c r="E6774" s="2">
        <v>11251.19</v>
      </c>
      <c r="G6774" s="1" t="s">
        <v>13541</v>
      </c>
      <c r="H6774" s="2">
        <v>2322.32</v>
      </c>
      <c r="I6774" s="2">
        <v>2322.32</v>
      </c>
    </row>
    <row r="6775">
      <c r="A6775" s="1" t="s">
        <v>13542</v>
      </c>
      <c r="B6775" s="2">
        <v>3863.16</v>
      </c>
      <c r="C6775" s="2">
        <v>3863.16</v>
      </c>
      <c r="D6775" s="2">
        <v>11452.42</v>
      </c>
      <c r="E6775" s="2">
        <v>11452.42</v>
      </c>
      <c r="G6775" s="1" t="s">
        <v>13543</v>
      </c>
      <c r="H6775" s="2">
        <v>2330.98</v>
      </c>
      <c r="I6775" s="2">
        <v>2330.98</v>
      </c>
    </row>
    <row r="6776">
      <c r="A6776" s="1" t="s">
        <v>13544</v>
      </c>
      <c r="B6776" s="2" t="s">
        <v>0</v>
      </c>
      <c r="C6776" s="2">
        <v>3863.16</v>
      </c>
      <c r="D6776" s="2" t="s">
        <v>0</v>
      </c>
      <c r="E6776" s="2">
        <v>11452.42</v>
      </c>
      <c r="G6776" s="1" t="s">
        <v>13545</v>
      </c>
      <c r="H6776" s="2" t="s">
        <v>0</v>
      </c>
      <c r="I6776" s="2">
        <v>2330.98</v>
      </c>
    </row>
    <row r="6777">
      <c r="A6777" s="1" t="s">
        <v>13546</v>
      </c>
      <c r="B6777" s="2" t="s">
        <v>0</v>
      </c>
      <c r="C6777" s="2">
        <v>3863.16</v>
      </c>
      <c r="D6777" s="2" t="s">
        <v>0</v>
      </c>
      <c r="E6777" s="2">
        <v>11452.42</v>
      </c>
      <c r="G6777" s="1" t="s">
        <v>13547</v>
      </c>
      <c r="H6777" s="2" t="s">
        <v>0</v>
      </c>
      <c r="I6777" s="2">
        <v>2330.98</v>
      </c>
    </row>
    <row r="6778">
      <c r="A6778" s="1" t="s">
        <v>13548</v>
      </c>
      <c r="B6778" s="2">
        <v>3830.85</v>
      </c>
      <c r="C6778" s="2">
        <v>3830.85</v>
      </c>
      <c r="D6778" s="2">
        <v>11360.05</v>
      </c>
      <c r="E6778" s="2">
        <v>11360.05</v>
      </c>
      <c r="G6778" s="1" t="s">
        <v>13549</v>
      </c>
      <c r="H6778" s="2">
        <v>2375.25</v>
      </c>
      <c r="I6778" s="2">
        <v>2375.25</v>
      </c>
    </row>
    <row r="6779">
      <c r="A6779" s="1" t="s">
        <v>13550</v>
      </c>
      <c r="B6779" s="2">
        <v>3936.69</v>
      </c>
      <c r="C6779" s="2">
        <v>3936.69</v>
      </c>
      <c r="D6779" s="2">
        <v>11713.15</v>
      </c>
      <c r="E6779" s="2">
        <v>11713.15</v>
      </c>
      <c r="G6779" s="1" t="s">
        <v>13551</v>
      </c>
      <c r="H6779" s="2">
        <v>2370.97</v>
      </c>
      <c r="I6779" s="2">
        <v>2370.97</v>
      </c>
    </row>
    <row r="6780">
      <c r="A6780" s="1" t="s">
        <v>13552</v>
      </c>
      <c r="B6780" s="2">
        <v>3959.9</v>
      </c>
      <c r="C6780" s="2">
        <v>3959.9</v>
      </c>
      <c r="D6780" s="2">
        <v>11897.65</v>
      </c>
      <c r="E6780" s="2">
        <v>11897.65</v>
      </c>
      <c r="G6780" s="1" t="s">
        <v>13553</v>
      </c>
      <c r="H6780" s="2">
        <v>2386.85</v>
      </c>
      <c r="I6780" s="2">
        <v>2386.85</v>
      </c>
    </row>
    <row r="6781">
      <c r="A6781" s="1" t="s">
        <v>13554</v>
      </c>
      <c r="B6781" s="2">
        <v>3998.95</v>
      </c>
      <c r="C6781" s="2">
        <v>3998.95</v>
      </c>
      <c r="D6781" s="2">
        <v>12059.61</v>
      </c>
      <c r="E6781" s="2">
        <v>12059.61</v>
      </c>
      <c r="G6781" s="1" t="s">
        <v>13555</v>
      </c>
      <c r="H6781" s="2">
        <v>2409.16</v>
      </c>
      <c r="I6781" s="2">
        <v>2409.16</v>
      </c>
    </row>
    <row r="6782">
      <c r="A6782" s="1" t="s">
        <v>13556</v>
      </c>
      <c r="B6782" s="2">
        <v>3961.63</v>
      </c>
      <c r="C6782" s="2">
        <v>3961.63</v>
      </c>
      <c r="D6782" s="2">
        <v>11834.11</v>
      </c>
      <c r="E6782" s="2">
        <v>11834.11</v>
      </c>
      <c r="G6782" s="1" t="s">
        <v>13557</v>
      </c>
      <c r="H6782" s="2">
        <v>2393.14</v>
      </c>
      <c r="I6782" s="2">
        <v>2393.14</v>
      </c>
    </row>
    <row r="6783">
      <c r="A6783" s="1" t="s">
        <v>13558</v>
      </c>
      <c r="B6783" s="2" t="s">
        <v>0</v>
      </c>
      <c r="C6783" s="2">
        <v>3961.63</v>
      </c>
      <c r="D6783" s="2" t="s">
        <v>0</v>
      </c>
      <c r="E6783" s="2">
        <v>11834.11</v>
      </c>
      <c r="G6783" s="1" t="s">
        <v>13559</v>
      </c>
      <c r="H6783" s="2" t="s">
        <v>0</v>
      </c>
      <c r="I6783" s="2">
        <v>2393.14</v>
      </c>
    </row>
    <row r="6784">
      <c r="A6784" s="1" t="s">
        <v>13560</v>
      </c>
      <c r="B6784" s="2" t="s">
        <v>0</v>
      </c>
      <c r="C6784" s="2">
        <v>3961.63</v>
      </c>
      <c r="D6784" s="2" t="s">
        <v>0</v>
      </c>
      <c r="E6784" s="2">
        <v>11834.11</v>
      </c>
      <c r="G6784" s="1" t="s">
        <v>13561</v>
      </c>
      <c r="H6784" s="2" t="s">
        <v>0</v>
      </c>
      <c r="I6784" s="2">
        <v>2393.14</v>
      </c>
    </row>
    <row r="6785">
      <c r="A6785" s="1" t="s">
        <v>13562</v>
      </c>
      <c r="B6785" s="2">
        <v>3966.84</v>
      </c>
      <c r="C6785" s="2">
        <v>3966.84</v>
      </c>
      <c r="D6785" s="2">
        <v>11782.67</v>
      </c>
      <c r="E6785" s="2">
        <v>11782.67</v>
      </c>
      <c r="G6785" s="1" t="s">
        <v>13563</v>
      </c>
      <c r="H6785" s="2">
        <v>2403.69</v>
      </c>
      <c r="I6785" s="2">
        <v>2403.69</v>
      </c>
    </row>
    <row r="6786">
      <c r="A6786" s="1" t="s">
        <v>13564</v>
      </c>
      <c r="B6786" s="2">
        <v>3921.05</v>
      </c>
      <c r="C6786" s="2">
        <v>3921.05</v>
      </c>
      <c r="D6786" s="2">
        <v>11562.58</v>
      </c>
      <c r="E6786" s="2">
        <v>11562.58</v>
      </c>
      <c r="G6786" s="1" t="s">
        <v>13565</v>
      </c>
      <c r="H6786" s="2">
        <v>2412.96</v>
      </c>
      <c r="I6786" s="2">
        <v>2412.96</v>
      </c>
    </row>
    <row r="6787">
      <c r="A6787" s="1" t="s">
        <v>13566</v>
      </c>
      <c r="B6787" s="2">
        <v>4023.61</v>
      </c>
      <c r="C6787" s="2">
        <v>4023.61</v>
      </c>
      <c r="D6787" s="2">
        <v>12032.42</v>
      </c>
      <c r="E6787" s="2">
        <v>12032.42</v>
      </c>
      <c r="G6787" s="1" t="s">
        <v>13567</v>
      </c>
      <c r="H6787" s="2">
        <v>2415.53</v>
      </c>
      <c r="I6787" s="2">
        <v>2415.53</v>
      </c>
    </row>
    <row r="6788">
      <c r="A6788" s="1" t="s">
        <v>13568</v>
      </c>
      <c r="B6788" s="2">
        <v>4072.43</v>
      </c>
      <c r="C6788" s="2">
        <v>4072.43</v>
      </c>
      <c r="D6788" s="2">
        <v>12162.59</v>
      </c>
      <c r="E6788" s="2">
        <v>12162.59</v>
      </c>
      <c r="G6788" s="1" t="s">
        <v>13569</v>
      </c>
      <c r="H6788" s="2">
        <v>2435.27</v>
      </c>
      <c r="I6788" s="2">
        <v>2435.27</v>
      </c>
    </row>
    <row r="6789">
      <c r="A6789" s="1" t="s">
        <v>13570</v>
      </c>
      <c r="B6789" s="2">
        <v>4130.29</v>
      </c>
      <c r="C6789" s="2">
        <v>4130.29</v>
      </c>
      <c r="D6789" s="2">
        <v>12390.69</v>
      </c>
      <c r="E6789" s="2">
        <v>12390.69</v>
      </c>
      <c r="G6789" s="1" t="s">
        <v>13571</v>
      </c>
      <c r="H6789" s="2">
        <v>2451.5</v>
      </c>
      <c r="I6789" s="2">
        <v>2451.5</v>
      </c>
    </row>
    <row r="6790">
      <c r="A6790" s="1" t="s">
        <v>13572</v>
      </c>
      <c r="B6790" s="2" t="s">
        <v>0</v>
      </c>
      <c r="C6790" s="2">
        <v>4130.29</v>
      </c>
      <c r="D6790" s="2" t="s">
        <v>0</v>
      </c>
      <c r="E6790" s="2">
        <v>12390.69</v>
      </c>
      <c r="G6790" s="1" t="s">
        <v>13573</v>
      </c>
      <c r="H6790" s="2" t="s">
        <v>0</v>
      </c>
      <c r="I6790" s="2">
        <v>2451.5</v>
      </c>
    </row>
    <row r="6791">
      <c r="A6791" s="1" t="s">
        <v>13574</v>
      </c>
      <c r="B6791" s="2" t="s">
        <v>0</v>
      </c>
      <c r="C6791" s="2">
        <v>4130.29</v>
      </c>
      <c r="D6791" s="2" t="s">
        <v>0</v>
      </c>
      <c r="E6791" s="2">
        <v>12390.69</v>
      </c>
      <c r="G6791" s="1" t="s">
        <v>13575</v>
      </c>
      <c r="H6791" s="2" t="s">
        <v>0</v>
      </c>
      <c r="I6791" s="2">
        <v>2451.5</v>
      </c>
    </row>
    <row r="6792">
      <c r="A6792" s="1" t="s">
        <v>13576</v>
      </c>
      <c r="B6792" s="2">
        <v>4118.63</v>
      </c>
      <c r="C6792" s="2">
        <v>4118.63</v>
      </c>
      <c r="D6792" s="2">
        <v>12368.98</v>
      </c>
      <c r="E6792" s="2">
        <v>12368.98</v>
      </c>
      <c r="G6792" s="1" t="s">
        <v>13577</v>
      </c>
      <c r="H6792" s="2">
        <v>2452.25</v>
      </c>
      <c r="I6792" s="2">
        <v>2452.25</v>
      </c>
    </row>
    <row r="6793">
      <c r="A6793" s="1" t="s">
        <v>13578</v>
      </c>
      <c r="B6793" s="2">
        <v>4091.19</v>
      </c>
      <c r="C6793" s="2">
        <v>4091.19</v>
      </c>
      <c r="D6793" s="2">
        <v>12348.76</v>
      </c>
      <c r="E6793" s="2">
        <v>12348.76</v>
      </c>
      <c r="G6793" s="1" t="s">
        <v>13579</v>
      </c>
      <c r="H6793" s="2">
        <v>2439.62</v>
      </c>
      <c r="I6793" s="2">
        <v>2439.62</v>
      </c>
    </row>
    <row r="6794">
      <c r="A6794" s="1" t="s">
        <v>13580</v>
      </c>
      <c r="B6794" s="2">
        <v>4155.17</v>
      </c>
      <c r="C6794" s="2">
        <v>4155.17</v>
      </c>
      <c r="D6794" s="2">
        <v>12668.16</v>
      </c>
      <c r="E6794" s="2">
        <v>12668.16</v>
      </c>
      <c r="G6794" s="1" t="s">
        <v>13581</v>
      </c>
      <c r="H6794" s="2">
        <v>2461.45</v>
      </c>
      <c r="I6794" s="2">
        <v>2461.45</v>
      </c>
    </row>
    <row r="6795">
      <c r="A6795" s="1" t="s">
        <v>13582</v>
      </c>
      <c r="B6795" s="2">
        <v>4151.94</v>
      </c>
      <c r="C6795" s="2">
        <v>4151.94</v>
      </c>
      <c r="D6795" s="2">
        <v>12720.58</v>
      </c>
      <c r="E6795" s="2">
        <v>12720.58</v>
      </c>
      <c r="G6795" s="1" t="s">
        <v>13583</v>
      </c>
      <c r="H6795" s="2">
        <v>2473.11</v>
      </c>
      <c r="I6795" s="2">
        <v>2473.11</v>
      </c>
    </row>
    <row r="6796">
      <c r="A6796" s="1" t="s">
        <v>13584</v>
      </c>
      <c r="B6796" s="2">
        <v>4145.19</v>
      </c>
      <c r="C6796" s="2">
        <v>4145.19</v>
      </c>
      <c r="D6796" s="2">
        <v>12657.56</v>
      </c>
      <c r="E6796" s="2">
        <v>12657.56</v>
      </c>
      <c r="G6796" s="1" t="s">
        <v>13585</v>
      </c>
      <c r="H6796" s="2">
        <v>2490.8</v>
      </c>
      <c r="I6796" s="2">
        <v>2490.8</v>
      </c>
    </row>
    <row r="6797">
      <c r="A6797" s="1" t="s">
        <v>13586</v>
      </c>
      <c r="B6797" s="2" t="s">
        <v>0</v>
      </c>
      <c r="C6797" s="2">
        <v>4145.19</v>
      </c>
      <c r="D6797" s="2" t="s">
        <v>0</v>
      </c>
      <c r="E6797" s="2">
        <v>12657.56</v>
      </c>
      <c r="G6797" s="1" t="s">
        <v>13587</v>
      </c>
      <c r="H6797" s="2" t="s">
        <v>0</v>
      </c>
      <c r="I6797" s="2">
        <v>2490.8</v>
      </c>
    </row>
    <row r="6798">
      <c r="A6798" s="1" t="s">
        <v>13588</v>
      </c>
      <c r="B6798" s="2" t="s">
        <v>0</v>
      </c>
      <c r="C6798" s="2">
        <v>4145.19</v>
      </c>
      <c r="D6798" s="2" t="s">
        <v>0</v>
      </c>
      <c r="E6798" s="2">
        <v>12657.56</v>
      </c>
      <c r="G6798" s="1" t="s">
        <v>13589</v>
      </c>
      <c r="H6798" s="2" t="s">
        <v>0</v>
      </c>
      <c r="I6798" s="2">
        <v>2490.8</v>
      </c>
    </row>
    <row r="6799">
      <c r="A6799" s="1" t="s">
        <v>13590</v>
      </c>
      <c r="B6799" s="2">
        <v>4140.06</v>
      </c>
      <c r="C6799" s="2">
        <v>4140.06</v>
      </c>
      <c r="D6799" s="2">
        <v>12644.46</v>
      </c>
      <c r="E6799" s="2">
        <v>12644.46</v>
      </c>
      <c r="G6799" s="1" t="s">
        <v>13591</v>
      </c>
      <c r="H6799" s="2">
        <v>2493.1</v>
      </c>
      <c r="I6799" s="2">
        <v>2493.1</v>
      </c>
    </row>
    <row r="6800">
      <c r="A6800" s="1" t="s">
        <v>13592</v>
      </c>
      <c r="B6800" s="2">
        <v>4122.47</v>
      </c>
      <c r="C6800" s="2">
        <v>4122.47</v>
      </c>
      <c r="D6800" s="2">
        <v>12493.93</v>
      </c>
      <c r="E6800" s="2">
        <v>12493.93</v>
      </c>
      <c r="G6800" s="1" t="s">
        <v>13593</v>
      </c>
      <c r="H6800" s="2">
        <v>2503.46</v>
      </c>
      <c r="I6800" s="2">
        <v>2503.46</v>
      </c>
    </row>
    <row r="6801">
      <c r="A6801" s="1" t="s">
        <v>13594</v>
      </c>
      <c r="B6801" s="2">
        <v>4210.24</v>
      </c>
      <c r="C6801" s="2">
        <v>4210.24</v>
      </c>
      <c r="D6801" s="2">
        <v>12854.81</v>
      </c>
      <c r="E6801" s="2">
        <v>12854.81</v>
      </c>
      <c r="G6801" s="1" t="s">
        <v>13595</v>
      </c>
      <c r="H6801" s="2">
        <v>2480.88</v>
      </c>
      <c r="I6801" s="2">
        <v>2480.88</v>
      </c>
    </row>
    <row r="6802">
      <c r="A6802" s="1" t="s">
        <v>13596</v>
      </c>
      <c r="B6802" s="2">
        <v>4207.27</v>
      </c>
      <c r="C6802" s="2">
        <v>4207.27</v>
      </c>
      <c r="D6802" s="2">
        <v>12779.91</v>
      </c>
      <c r="E6802" s="2">
        <v>12779.91</v>
      </c>
      <c r="G6802" s="1" t="s">
        <v>13597</v>
      </c>
      <c r="H6802" s="2">
        <v>2523.78</v>
      </c>
      <c r="I6802" s="2">
        <v>2523.78</v>
      </c>
    </row>
    <row r="6803">
      <c r="A6803" s="1" t="s">
        <v>13598</v>
      </c>
      <c r="B6803" s="2">
        <v>4280.15</v>
      </c>
      <c r="C6803" s="2">
        <v>4280.15</v>
      </c>
      <c r="D6803" s="2">
        <v>13047.19</v>
      </c>
      <c r="E6803" s="2">
        <v>13047.19</v>
      </c>
      <c r="G6803" s="1" t="s">
        <v>13599</v>
      </c>
      <c r="H6803" s="2">
        <v>2527.94</v>
      </c>
      <c r="I6803" s="2">
        <v>2527.94</v>
      </c>
    </row>
    <row r="6804">
      <c r="A6804" s="1" t="s">
        <v>13600</v>
      </c>
      <c r="B6804" s="2" t="s">
        <v>0</v>
      </c>
      <c r="C6804" s="2">
        <v>4280.15</v>
      </c>
      <c r="D6804" s="2" t="s">
        <v>0</v>
      </c>
      <c r="E6804" s="2">
        <v>13047.19</v>
      </c>
      <c r="G6804" s="1" t="s">
        <v>13601</v>
      </c>
      <c r="H6804" s="2" t="s">
        <v>0</v>
      </c>
      <c r="I6804" s="2">
        <v>2527.94</v>
      </c>
    </row>
    <row r="6805">
      <c r="A6805" s="1" t="s">
        <v>13602</v>
      </c>
      <c r="B6805" s="2" t="s">
        <v>0</v>
      </c>
      <c r="C6805" s="2">
        <v>4280.15</v>
      </c>
      <c r="D6805" s="2" t="s">
        <v>0</v>
      </c>
      <c r="E6805" s="2">
        <v>13047.19</v>
      </c>
      <c r="G6805" s="1" t="s">
        <v>13603</v>
      </c>
      <c r="H6805" s="2" t="s">
        <v>0</v>
      </c>
      <c r="I6805" s="2">
        <v>2527.94</v>
      </c>
    </row>
    <row r="6806">
      <c r="A6806" s="1" t="s">
        <v>13604</v>
      </c>
      <c r="B6806" s="2">
        <v>4297.14</v>
      </c>
      <c r="C6806" s="2">
        <v>4297.14</v>
      </c>
      <c r="D6806" s="2">
        <v>13128.05</v>
      </c>
      <c r="E6806" s="2">
        <v>13128.05</v>
      </c>
      <c r="G6806" s="1" t="s">
        <v>13605</v>
      </c>
      <c r="H6806" s="2" t="s">
        <v>0</v>
      </c>
      <c r="I6806" s="2">
        <v>2527.94</v>
      </c>
    </row>
    <row r="6807">
      <c r="A6807" s="1" t="s">
        <v>13606</v>
      </c>
      <c r="B6807" s="2">
        <v>4305.2</v>
      </c>
      <c r="C6807" s="2">
        <v>4305.2</v>
      </c>
      <c r="D6807" s="2">
        <v>13102.55</v>
      </c>
      <c r="E6807" s="2">
        <v>13102.55</v>
      </c>
      <c r="G6807" s="1" t="s">
        <v>13607</v>
      </c>
      <c r="H6807" s="2">
        <v>2533.52</v>
      </c>
      <c r="I6807" s="2">
        <v>2533.52</v>
      </c>
    </row>
    <row r="6808">
      <c r="A6808" s="1" t="s">
        <v>13608</v>
      </c>
      <c r="B6808" s="2">
        <v>4274.04</v>
      </c>
      <c r="C6808" s="2">
        <v>4274.04</v>
      </c>
      <c r="D6808" s="2">
        <v>12938.12</v>
      </c>
      <c r="E6808" s="2">
        <v>12938.12</v>
      </c>
      <c r="G6808" s="1" t="s">
        <v>13609</v>
      </c>
      <c r="H6808" s="2">
        <v>2516.47</v>
      </c>
      <c r="I6808" s="2">
        <v>2516.47</v>
      </c>
    </row>
    <row r="6809">
      <c r="A6809" s="1" t="s">
        <v>13610</v>
      </c>
      <c r="B6809" s="2">
        <v>4283.74</v>
      </c>
      <c r="C6809" s="2">
        <v>4283.74</v>
      </c>
      <c r="D6809" s="2">
        <v>12965.34</v>
      </c>
      <c r="E6809" s="2">
        <v>12965.34</v>
      </c>
      <c r="G6809" s="1" t="s">
        <v>13611</v>
      </c>
      <c r="H6809" s="2">
        <v>2508.05</v>
      </c>
      <c r="I6809" s="2">
        <v>2508.05</v>
      </c>
    </row>
    <row r="6810">
      <c r="A6810" s="1" t="s">
        <v>13612</v>
      </c>
      <c r="B6810" s="2">
        <v>4228.48</v>
      </c>
      <c r="C6810" s="2">
        <v>4228.48</v>
      </c>
      <c r="D6810" s="2">
        <v>12705.22</v>
      </c>
      <c r="E6810" s="2">
        <v>12705.22</v>
      </c>
      <c r="G6810" s="1" t="s">
        <v>13613</v>
      </c>
      <c r="H6810" s="2">
        <v>2492.69</v>
      </c>
      <c r="I6810" s="2">
        <v>2492.69</v>
      </c>
    </row>
    <row r="6811">
      <c r="A6811" s="1" t="s">
        <v>13614</v>
      </c>
      <c r="B6811" s="2" t="s">
        <v>0</v>
      </c>
      <c r="C6811" s="2">
        <v>4228.48</v>
      </c>
      <c r="D6811" s="2" t="s">
        <v>0</v>
      </c>
      <c r="E6811" s="2">
        <v>12705.22</v>
      </c>
      <c r="G6811" s="1" t="s">
        <v>13615</v>
      </c>
      <c r="H6811" s="2" t="s">
        <v>0</v>
      </c>
      <c r="I6811" s="2">
        <v>2492.69</v>
      </c>
    </row>
    <row r="6812">
      <c r="A6812" s="1" t="s">
        <v>13616</v>
      </c>
      <c r="B6812" s="2" t="s">
        <v>0</v>
      </c>
      <c r="C6812" s="2">
        <v>4228.48</v>
      </c>
      <c r="D6812" s="2" t="s">
        <v>0</v>
      </c>
      <c r="E6812" s="2">
        <v>12705.22</v>
      </c>
      <c r="G6812" s="1" t="s">
        <v>13617</v>
      </c>
      <c r="H6812" s="2" t="s">
        <v>0</v>
      </c>
      <c r="I6812" s="2">
        <v>2492.69</v>
      </c>
    </row>
    <row r="6813">
      <c r="A6813" s="1" t="s">
        <v>13618</v>
      </c>
      <c r="B6813" s="2">
        <v>4137.99</v>
      </c>
      <c r="C6813" s="2">
        <v>4137.99</v>
      </c>
      <c r="D6813" s="2">
        <v>12381.57</v>
      </c>
      <c r="E6813" s="2">
        <v>12381.57</v>
      </c>
      <c r="G6813" s="1" t="s">
        <v>13619</v>
      </c>
      <c r="H6813" s="2">
        <v>2462.5</v>
      </c>
      <c r="I6813" s="2">
        <v>2462.5</v>
      </c>
    </row>
    <row r="6814">
      <c r="A6814" s="1" t="s">
        <v>13620</v>
      </c>
      <c r="B6814" s="2">
        <v>4128.73</v>
      </c>
      <c r="C6814" s="2">
        <v>4128.73</v>
      </c>
      <c r="D6814" s="2">
        <v>12381.3</v>
      </c>
      <c r="E6814" s="2">
        <v>12381.3</v>
      </c>
      <c r="G6814" s="1" t="s">
        <v>13621</v>
      </c>
      <c r="H6814" s="2">
        <v>2435.34</v>
      </c>
      <c r="I6814" s="2">
        <v>2435.34</v>
      </c>
    </row>
    <row r="6815">
      <c r="A6815" s="1" t="s">
        <v>13622</v>
      </c>
      <c r="B6815" s="2">
        <v>4140.77</v>
      </c>
      <c r="C6815" s="2">
        <v>4140.77</v>
      </c>
      <c r="D6815" s="2">
        <v>12431.53</v>
      </c>
      <c r="E6815" s="2">
        <v>12431.53</v>
      </c>
      <c r="G6815" s="1" t="s">
        <v>13623</v>
      </c>
      <c r="H6815" s="2">
        <v>2447.45</v>
      </c>
      <c r="I6815" s="2">
        <v>2447.45</v>
      </c>
    </row>
    <row r="6816">
      <c r="A6816" s="1" t="s">
        <v>13624</v>
      </c>
      <c r="B6816" s="2">
        <v>4199.12</v>
      </c>
      <c r="C6816" s="2">
        <v>4199.12</v>
      </c>
      <c r="D6816" s="2">
        <v>12639.27</v>
      </c>
      <c r="E6816" s="2">
        <v>12639.27</v>
      </c>
      <c r="G6816" s="1" t="s">
        <v>13625</v>
      </c>
      <c r="H6816" s="2">
        <v>2477.26</v>
      </c>
      <c r="I6816" s="2">
        <v>2477.26</v>
      </c>
    </row>
    <row r="6817">
      <c r="A6817" s="1" t="s">
        <v>13626</v>
      </c>
      <c r="B6817" s="2">
        <v>4057.66</v>
      </c>
      <c r="C6817" s="2">
        <v>4057.66</v>
      </c>
      <c r="D6817" s="2">
        <v>12141.71</v>
      </c>
      <c r="E6817" s="2">
        <v>12141.71</v>
      </c>
      <c r="G6817" s="1" t="s">
        <v>13627</v>
      </c>
      <c r="H6817" s="2">
        <v>2481.03</v>
      </c>
      <c r="I6817" s="2">
        <v>2481.03</v>
      </c>
    </row>
    <row r="6818">
      <c r="A6818" s="1" t="s">
        <v>13628</v>
      </c>
      <c r="B6818" s="2" t="s">
        <v>0</v>
      </c>
      <c r="C6818" s="2">
        <v>4057.66</v>
      </c>
      <c r="D6818" s="2" t="s">
        <v>0</v>
      </c>
      <c r="E6818" s="2">
        <v>12141.71</v>
      </c>
      <c r="G6818" s="1" t="s">
        <v>13629</v>
      </c>
      <c r="H6818" s="2" t="s">
        <v>0</v>
      </c>
      <c r="I6818" s="2">
        <v>2481.03</v>
      </c>
    </row>
    <row r="6819">
      <c r="A6819" s="1" t="s">
        <v>13630</v>
      </c>
      <c r="B6819" s="2" t="s">
        <v>0</v>
      </c>
      <c r="C6819" s="2">
        <v>4057.66</v>
      </c>
      <c r="D6819" s="2" t="s">
        <v>0</v>
      </c>
      <c r="E6819" s="2">
        <v>12141.71</v>
      </c>
      <c r="G6819" s="1" t="s">
        <v>13631</v>
      </c>
      <c r="H6819" s="2" t="s">
        <v>0</v>
      </c>
      <c r="I6819" s="2">
        <v>2481.03</v>
      </c>
    </row>
    <row r="6820">
      <c r="A6820" s="1" t="s">
        <v>13632</v>
      </c>
      <c r="B6820" s="2">
        <v>4030.61</v>
      </c>
      <c r="C6820" s="2">
        <v>4030.61</v>
      </c>
      <c r="D6820" s="2">
        <v>12017.67</v>
      </c>
      <c r="E6820" s="2">
        <v>12017.67</v>
      </c>
      <c r="G6820" s="1" t="s">
        <v>13633</v>
      </c>
      <c r="H6820" s="2">
        <v>2426.89</v>
      </c>
      <c r="I6820" s="2">
        <v>2426.89</v>
      </c>
    </row>
    <row r="6821">
      <c r="A6821" s="1" t="s">
        <v>13634</v>
      </c>
      <c r="B6821" s="2">
        <v>3986.16</v>
      </c>
      <c r="C6821" s="2">
        <v>3986.16</v>
      </c>
      <c r="D6821" s="2">
        <v>11883.14</v>
      </c>
      <c r="E6821" s="2">
        <v>11883.14</v>
      </c>
      <c r="G6821" s="1" t="s">
        <v>13635</v>
      </c>
      <c r="H6821" s="2">
        <v>2450.93</v>
      </c>
      <c r="I6821" s="2">
        <v>2450.93</v>
      </c>
    </row>
    <row r="6822">
      <c r="A6822" s="1" t="s">
        <v>13636</v>
      </c>
      <c r="B6822" s="2">
        <v>3955.0</v>
      </c>
      <c r="C6822" s="2">
        <v>3955.0</v>
      </c>
      <c r="D6822" s="2">
        <v>11816.2</v>
      </c>
      <c r="E6822" s="2">
        <v>11816.2</v>
      </c>
      <c r="G6822" s="1" t="s">
        <v>13637</v>
      </c>
      <c r="H6822" s="2">
        <v>2472.05</v>
      </c>
      <c r="I6822" s="2">
        <v>2472.05</v>
      </c>
    </row>
    <row r="6823">
      <c r="A6823" s="1" t="s">
        <v>13638</v>
      </c>
      <c r="B6823" s="2">
        <v>3966.85</v>
      </c>
      <c r="C6823" s="2">
        <v>3966.85</v>
      </c>
      <c r="D6823" s="2">
        <v>11785.13</v>
      </c>
      <c r="E6823" s="2">
        <v>11785.13</v>
      </c>
      <c r="G6823" s="1" t="s">
        <v>13639</v>
      </c>
      <c r="H6823" s="2">
        <v>2415.61</v>
      </c>
      <c r="I6823" s="2">
        <v>2415.61</v>
      </c>
    </row>
    <row r="6824">
      <c r="A6824" s="1" t="s">
        <v>13640</v>
      </c>
      <c r="B6824" s="2">
        <v>3924.26</v>
      </c>
      <c r="C6824" s="2">
        <v>3924.26</v>
      </c>
      <c r="D6824" s="2">
        <v>11630.86</v>
      </c>
      <c r="E6824" s="2">
        <v>11630.86</v>
      </c>
      <c r="G6824" s="1" t="s">
        <v>13641</v>
      </c>
      <c r="H6824" s="2">
        <v>2409.41</v>
      </c>
      <c r="I6824" s="2">
        <v>2409.41</v>
      </c>
    </row>
    <row r="6825">
      <c r="A6825" s="1" t="s">
        <v>13642</v>
      </c>
      <c r="B6825" s="2" t="s">
        <v>0</v>
      </c>
      <c r="C6825" s="2">
        <v>3924.26</v>
      </c>
      <c r="D6825" s="2" t="s">
        <v>0</v>
      </c>
      <c r="E6825" s="2">
        <v>11630.86</v>
      </c>
      <c r="G6825" s="1" t="s">
        <v>13643</v>
      </c>
      <c r="H6825" s="2" t="s">
        <v>0</v>
      </c>
      <c r="I6825" s="2">
        <v>2409.41</v>
      </c>
    </row>
    <row r="6826">
      <c r="A6826" s="1" t="s">
        <v>13644</v>
      </c>
      <c r="B6826" s="2" t="s">
        <v>0</v>
      </c>
      <c r="C6826" s="2">
        <v>3924.26</v>
      </c>
      <c r="D6826" s="2" t="s">
        <v>0</v>
      </c>
      <c r="E6826" s="2">
        <v>11630.86</v>
      </c>
      <c r="G6826" s="1" t="s">
        <v>13645</v>
      </c>
      <c r="H6826" s="2" t="s">
        <v>0</v>
      </c>
      <c r="I6826" s="2">
        <v>2409.41</v>
      </c>
    </row>
    <row r="6827">
      <c r="A6827" s="1" t="s">
        <v>13646</v>
      </c>
      <c r="B6827" s="2" t="s">
        <v>0</v>
      </c>
      <c r="C6827" s="2">
        <v>3924.26</v>
      </c>
      <c r="D6827" s="2" t="s">
        <v>0</v>
      </c>
      <c r="E6827" s="2">
        <v>11630.86</v>
      </c>
      <c r="G6827" s="1" t="s">
        <v>13647</v>
      </c>
      <c r="H6827" s="2">
        <v>2403.68</v>
      </c>
      <c r="I6827" s="2">
        <v>2403.68</v>
      </c>
    </row>
    <row r="6828">
      <c r="A6828" s="1" t="s">
        <v>13648</v>
      </c>
      <c r="B6828" s="2">
        <v>3908.19</v>
      </c>
      <c r="C6828" s="2">
        <v>3908.19</v>
      </c>
      <c r="D6828" s="2">
        <v>11544.91</v>
      </c>
      <c r="E6828" s="2">
        <v>11544.91</v>
      </c>
      <c r="G6828" s="1" t="s">
        <v>13649</v>
      </c>
      <c r="H6828" s="2">
        <v>2410.02</v>
      </c>
      <c r="I6828" s="2">
        <v>2410.02</v>
      </c>
    </row>
    <row r="6829">
      <c r="A6829" s="1" t="s">
        <v>13650</v>
      </c>
      <c r="B6829" s="2">
        <v>3979.87</v>
      </c>
      <c r="C6829" s="2">
        <v>3979.87</v>
      </c>
      <c r="D6829" s="2">
        <v>11791.9</v>
      </c>
      <c r="E6829" s="2">
        <v>11791.9</v>
      </c>
      <c r="G6829" s="1" t="s">
        <v>13651</v>
      </c>
      <c r="H6829" s="2">
        <v>2376.46</v>
      </c>
      <c r="I6829" s="2">
        <v>2376.46</v>
      </c>
    </row>
    <row r="6830">
      <c r="A6830" s="1" t="s">
        <v>13652</v>
      </c>
      <c r="B6830" s="2">
        <v>4006.18</v>
      </c>
      <c r="C6830" s="2">
        <v>4006.18</v>
      </c>
      <c r="D6830" s="2">
        <v>11862.13</v>
      </c>
      <c r="E6830" s="2">
        <v>11862.13</v>
      </c>
      <c r="G6830" s="1" t="s">
        <v>13653</v>
      </c>
      <c r="H6830" s="2">
        <v>2384.28</v>
      </c>
      <c r="I6830" s="2">
        <v>2384.28</v>
      </c>
    </row>
    <row r="6831">
      <c r="A6831" s="1" t="s">
        <v>13654</v>
      </c>
      <c r="B6831" s="2">
        <v>4067.36</v>
      </c>
      <c r="C6831" s="2">
        <v>4067.36</v>
      </c>
      <c r="D6831" s="2">
        <v>12112.31</v>
      </c>
      <c r="E6831" s="2">
        <v>12112.31</v>
      </c>
      <c r="G6831" s="1" t="s">
        <v>13655</v>
      </c>
      <c r="H6831" s="2" t="s">
        <v>0</v>
      </c>
      <c r="I6831" s="2">
        <v>2384.28</v>
      </c>
    </row>
    <row r="6832">
      <c r="A6832" s="1" t="s">
        <v>13656</v>
      </c>
      <c r="B6832" s="2" t="s">
        <v>0</v>
      </c>
      <c r="C6832" s="2">
        <v>4067.36</v>
      </c>
      <c r="D6832" s="2" t="s">
        <v>0</v>
      </c>
      <c r="E6832" s="2">
        <v>12112.31</v>
      </c>
      <c r="G6832" s="1" t="s">
        <v>13657</v>
      </c>
      <c r="H6832" s="2" t="s">
        <v>0</v>
      </c>
      <c r="I6832" s="2">
        <v>2384.28</v>
      </c>
    </row>
    <row r="6833">
      <c r="A6833" s="1" t="s">
        <v>13658</v>
      </c>
      <c r="B6833" s="2" t="s">
        <v>0</v>
      </c>
      <c r="C6833" s="2">
        <v>4067.36</v>
      </c>
      <c r="D6833" s="2" t="s">
        <v>0</v>
      </c>
      <c r="E6833" s="2">
        <v>12112.31</v>
      </c>
      <c r="G6833" s="1" t="s">
        <v>13659</v>
      </c>
      <c r="H6833" s="2" t="s">
        <v>0</v>
      </c>
      <c r="I6833" s="2">
        <v>2384.28</v>
      </c>
    </row>
    <row r="6834">
      <c r="A6834" s="1" t="s">
        <v>13660</v>
      </c>
      <c r="B6834" s="2">
        <v>4110.41</v>
      </c>
      <c r="C6834" s="2">
        <v>4110.41</v>
      </c>
      <c r="D6834" s="2">
        <v>12266.41</v>
      </c>
      <c r="E6834" s="2">
        <v>12266.41</v>
      </c>
      <c r="G6834" s="1" t="s">
        <v>13661</v>
      </c>
      <c r="H6834" s="2" t="s">
        <v>0</v>
      </c>
      <c r="I6834" s="2">
        <v>2384.28</v>
      </c>
    </row>
    <row r="6835">
      <c r="A6835" s="1" t="s">
        <v>13662</v>
      </c>
      <c r="B6835" s="2">
        <v>3932.69</v>
      </c>
      <c r="C6835" s="2">
        <v>3932.69</v>
      </c>
      <c r="D6835" s="2">
        <v>11633.57</v>
      </c>
      <c r="E6835" s="2">
        <v>11633.57</v>
      </c>
      <c r="G6835" s="1" t="s">
        <v>13663</v>
      </c>
      <c r="H6835" s="2">
        <v>2449.54</v>
      </c>
      <c r="I6835" s="2">
        <v>2449.54</v>
      </c>
    </row>
    <row r="6836">
      <c r="A6836" s="1" t="s">
        <v>13664</v>
      </c>
      <c r="B6836" s="2">
        <v>3946.01</v>
      </c>
      <c r="C6836" s="2">
        <v>3946.01</v>
      </c>
      <c r="D6836" s="2">
        <v>11719.68</v>
      </c>
      <c r="E6836" s="2">
        <v>11719.68</v>
      </c>
      <c r="G6836" s="1" t="s">
        <v>13665</v>
      </c>
      <c r="H6836" s="2">
        <v>2411.42</v>
      </c>
      <c r="I6836" s="2">
        <v>2411.42</v>
      </c>
    </row>
    <row r="6837">
      <c r="A6837" s="1" t="s">
        <v>13666</v>
      </c>
      <c r="B6837" s="2">
        <v>3901.35</v>
      </c>
      <c r="C6837" s="2">
        <v>3901.35</v>
      </c>
      <c r="D6837" s="2">
        <v>11552.36</v>
      </c>
      <c r="E6837" s="2">
        <v>11552.36</v>
      </c>
      <c r="G6837" s="1" t="s">
        <v>13667</v>
      </c>
      <c r="H6837" s="2">
        <v>2401.83</v>
      </c>
      <c r="I6837" s="2">
        <v>2401.83</v>
      </c>
    </row>
    <row r="6838">
      <c r="A6838" s="1" t="s">
        <v>13668</v>
      </c>
      <c r="B6838" s="2">
        <v>3873.33</v>
      </c>
      <c r="C6838" s="2">
        <v>3873.33</v>
      </c>
      <c r="D6838" s="2">
        <v>11448.4</v>
      </c>
      <c r="E6838" s="2">
        <v>11448.4</v>
      </c>
      <c r="G6838" s="1" t="s">
        <v>13669</v>
      </c>
      <c r="H6838" s="2">
        <v>2382.78</v>
      </c>
      <c r="I6838" s="2">
        <v>2382.78</v>
      </c>
    </row>
    <row r="6839">
      <c r="A6839" s="1" t="s">
        <v>13670</v>
      </c>
      <c r="B6839" s="2" t="s">
        <v>0</v>
      </c>
      <c r="C6839" s="2">
        <v>3873.33</v>
      </c>
      <c r="D6839" s="2" t="s">
        <v>0</v>
      </c>
      <c r="E6839" s="2">
        <v>11448.4</v>
      </c>
      <c r="G6839" s="1" t="s">
        <v>13671</v>
      </c>
      <c r="H6839" s="2" t="s">
        <v>0</v>
      </c>
      <c r="I6839" s="2">
        <v>2382.78</v>
      </c>
    </row>
    <row r="6840">
      <c r="A6840" s="1" t="s">
        <v>13672</v>
      </c>
      <c r="B6840" s="2" t="s">
        <v>0</v>
      </c>
      <c r="C6840" s="2">
        <v>3873.33</v>
      </c>
      <c r="D6840" s="2" t="s">
        <v>0</v>
      </c>
      <c r="E6840" s="2">
        <v>11448.4</v>
      </c>
      <c r="G6840" s="1" t="s">
        <v>13673</v>
      </c>
      <c r="H6840" s="2" t="s">
        <v>0</v>
      </c>
      <c r="I6840" s="2">
        <v>2382.78</v>
      </c>
    </row>
    <row r="6841">
      <c r="A6841" s="1" t="s">
        <v>13674</v>
      </c>
      <c r="B6841" s="2">
        <v>3899.89</v>
      </c>
      <c r="C6841" s="2">
        <v>3899.89</v>
      </c>
      <c r="D6841" s="2">
        <v>11535.02</v>
      </c>
      <c r="E6841" s="2">
        <v>11535.02</v>
      </c>
      <c r="G6841" s="1" t="s">
        <v>13675</v>
      </c>
      <c r="H6841" s="2">
        <v>2355.66</v>
      </c>
      <c r="I6841" s="2">
        <v>2355.66</v>
      </c>
    </row>
    <row r="6842">
      <c r="A6842" s="1" t="s">
        <v>13676</v>
      </c>
      <c r="B6842" s="2">
        <v>3855.93</v>
      </c>
      <c r="C6842" s="2">
        <v>3855.93</v>
      </c>
      <c r="D6842" s="2">
        <v>11425.05</v>
      </c>
      <c r="E6842" s="2">
        <v>11425.05</v>
      </c>
      <c r="G6842" s="1" t="s">
        <v>13677</v>
      </c>
      <c r="H6842" s="2">
        <v>2367.85</v>
      </c>
      <c r="I6842" s="2">
        <v>2367.85</v>
      </c>
    </row>
    <row r="6843">
      <c r="A6843" s="1" t="s">
        <v>13678</v>
      </c>
      <c r="B6843" s="2">
        <v>3789.93</v>
      </c>
      <c r="C6843" s="2">
        <v>3789.93</v>
      </c>
      <c r="D6843" s="2">
        <v>11220.19</v>
      </c>
      <c r="E6843" s="2">
        <v>11220.19</v>
      </c>
      <c r="G6843" s="1" t="s">
        <v>13679</v>
      </c>
      <c r="H6843" s="2">
        <v>2347.21</v>
      </c>
      <c r="I6843" s="2">
        <v>2347.21</v>
      </c>
    </row>
    <row r="6844">
      <c r="A6844" s="1" t="s">
        <v>13680</v>
      </c>
      <c r="B6844" s="2">
        <v>3757.99</v>
      </c>
      <c r="C6844" s="2">
        <v>3757.99</v>
      </c>
      <c r="D6844" s="2">
        <v>11066.81</v>
      </c>
      <c r="E6844" s="2">
        <v>11066.81</v>
      </c>
      <c r="G6844" s="1" t="s">
        <v>13681</v>
      </c>
      <c r="H6844" s="2">
        <v>2332.31</v>
      </c>
      <c r="I6844" s="2">
        <v>2332.31</v>
      </c>
    </row>
    <row r="6845">
      <c r="A6845" s="1" t="s">
        <v>13682</v>
      </c>
      <c r="B6845" s="2">
        <v>3693.23</v>
      </c>
      <c r="C6845" s="2">
        <v>3693.23</v>
      </c>
      <c r="D6845" s="2">
        <v>10867.93</v>
      </c>
      <c r="E6845" s="2">
        <v>10867.93</v>
      </c>
      <c r="G6845" s="1" t="s">
        <v>13683</v>
      </c>
      <c r="H6845" s="2">
        <v>2290.0</v>
      </c>
      <c r="I6845" s="2">
        <v>2290.0</v>
      </c>
    </row>
    <row r="6846">
      <c r="A6846" s="1" t="s">
        <v>13684</v>
      </c>
      <c r="B6846" s="2" t="s">
        <v>0</v>
      </c>
      <c r="C6846" s="2">
        <v>3693.23</v>
      </c>
      <c r="D6846" s="2" t="s">
        <v>0</v>
      </c>
      <c r="E6846" s="2">
        <v>10867.93</v>
      </c>
      <c r="G6846" s="1" t="s">
        <v>13685</v>
      </c>
      <c r="H6846" s="2" t="s">
        <v>0</v>
      </c>
      <c r="I6846" s="2">
        <v>2290.0</v>
      </c>
    </row>
    <row r="6847">
      <c r="A6847" s="1" t="s">
        <v>13686</v>
      </c>
      <c r="B6847" s="2" t="s">
        <v>0</v>
      </c>
      <c r="C6847" s="2">
        <v>3693.23</v>
      </c>
      <c r="D6847" s="2" t="s">
        <v>0</v>
      </c>
      <c r="E6847" s="2">
        <v>10867.93</v>
      </c>
      <c r="G6847" s="1" t="s">
        <v>13687</v>
      </c>
      <c r="H6847" s="2" t="s">
        <v>0</v>
      </c>
      <c r="I6847" s="2">
        <v>2290.0</v>
      </c>
    </row>
    <row r="6848">
      <c r="A6848" s="1" t="s">
        <v>13688</v>
      </c>
      <c r="B6848" s="2">
        <v>3655.04</v>
      </c>
      <c r="C6848" s="2">
        <v>3655.04</v>
      </c>
      <c r="D6848" s="2">
        <v>10802.92</v>
      </c>
      <c r="E6848" s="2">
        <v>10802.92</v>
      </c>
      <c r="G6848" s="1" t="s">
        <v>13689</v>
      </c>
      <c r="H6848" s="2">
        <v>2220.94</v>
      </c>
      <c r="I6848" s="2">
        <v>2220.94</v>
      </c>
    </row>
    <row r="6849">
      <c r="A6849" s="1" t="s">
        <v>13690</v>
      </c>
      <c r="B6849" s="2">
        <v>3647.29</v>
      </c>
      <c r="C6849" s="2">
        <v>3647.29</v>
      </c>
      <c r="D6849" s="2">
        <v>10829.5</v>
      </c>
      <c r="E6849" s="2">
        <v>10829.5</v>
      </c>
      <c r="G6849" s="1" t="s">
        <v>13691</v>
      </c>
      <c r="H6849" s="2">
        <v>2223.86</v>
      </c>
      <c r="I6849" s="2">
        <v>2223.86</v>
      </c>
    </row>
    <row r="6850">
      <c r="A6850" s="1" t="s">
        <v>13692</v>
      </c>
      <c r="B6850" s="2">
        <v>3719.04</v>
      </c>
      <c r="C6850" s="2">
        <v>3719.04</v>
      </c>
      <c r="D6850" s="2">
        <v>11051.64</v>
      </c>
      <c r="E6850" s="2">
        <v>11051.64</v>
      </c>
      <c r="G6850" s="1" t="s">
        <v>13693</v>
      </c>
      <c r="H6850" s="2">
        <v>2169.29</v>
      </c>
      <c r="I6850" s="2">
        <v>2169.29</v>
      </c>
    </row>
    <row r="6851">
      <c r="A6851" s="1" t="s">
        <v>13694</v>
      </c>
      <c r="B6851" s="2">
        <v>3640.47</v>
      </c>
      <c r="C6851" s="2">
        <v>3640.47</v>
      </c>
      <c r="D6851" s="2">
        <v>10737.51</v>
      </c>
      <c r="E6851" s="2">
        <v>10737.51</v>
      </c>
      <c r="G6851" s="1" t="s">
        <v>13695</v>
      </c>
      <c r="H6851" s="2">
        <v>2170.93</v>
      </c>
      <c r="I6851" s="2">
        <v>2170.93</v>
      </c>
    </row>
    <row r="6852">
      <c r="A6852" s="1" t="s">
        <v>13696</v>
      </c>
      <c r="B6852" s="2">
        <v>3585.62</v>
      </c>
      <c r="C6852" s="2">
        <v>3585.62</v>
      </c>
      <c r="D6852" s="2">
        <v>10575.62</v>
      </c>
      <c r="E6852" s="2">
        <v>10575.62</v>
      </c>
      <c r="G6852" s="1" t="s">
        <v>13697</v>
      </c>
      <c r="H6852" s="2">
        <v>2155.49</v>
      </c>
      <c r="I6852" s="2">
        <v>2155.49</v>
      </c>
    </row>
    <row r="6853">
      <c r="A6853" s="1" t="s">
        <v>13698</v>
      </c>
      <c r="B6853" s="2" t="s">
        <v>0</v>
      </c>
      <c r="C6853" s="2">
        <v>3585.62</v>
      </c>
      <c r="D6853" s="2" t="s">
        <v>0</v>
      </c>
      <c r="E6853" s="2">
        <v>10575.62</v>
      </c>
      <c r="G6853" s="1" t="s">
        <v>13699</v>
      </c>
      <c r="H6853" s="2" t="s">
        <v>0</v>
      </c>
      <c r="I6853" s="2">
        <v>2155.49</v>
      </c>
    </row>
    <row r="6854">
      <c r="A6854" s="1" t="s">
        <v>13700</v>
      </c>
      <c r="B6854" s="2" t="s">
        <v>0</v>
      </c>
      <c r="C6854" s="2">
        <v>3585.62</v>
      </c>
      <c r="D6854" s="2" t="s">
        <v>0</v>
      </c>
      <c r="E6854" s="2">
        <v>10575.62</v>
      </c>
      <c r="G6854" s="1" t="s">
        <v>13701</v>
      </c>
      <c r="H6854" s="2" t="s">
        <v>0</v>
      </c>
      <c r="I6854" s="2">
        <v>2155.49</v>
      </c>
    </row>
    <row r="6855">
      <c r="A6855" s="1" t="s">
        <v>13702</v>
      </c>
      <c r="B6855" s="2">
        <v>3678.43</v>
      </c>
      <c r="C6855" s="2">
        <v>3678.43</v>
      </c>
      <c r="D6855" s="2">
        <v>10815.44</v>
      </c>
      <c r="E6855" s="2">
        <v>10815.44</v>
      </c>
      <c r="G6855" s="1" t="s">
        <v>13703</v>
      </c>
      <c r="H6855" s="2" t="s">
        <v>0</v>
      </c>
      <c r="I6855" s="2">
        <v>2155.49</v>
      </c>
    </row>
    <row r="6856">
      <c r="A6856" s="1" t="s">
        <v>13704</v>
      </c>
      <c r="B6856" s="2">
        <v>3790.93</v>
      </c>
      <c r="C6856" s="2">
        <v>3790.93</v>
      </c>
      <c r="D6856" s="2">
        <v>11176.41</v>
      </c>
      <c r="E6856" s="2">
        <v>11176.41</v>
      </c>
      <c r="G6856" s="1" t="s">
        <v>13705</v>
      </c>
      <c r="H6856" s="2">
        <v>2209.38</v>
      </c>
      <c r="I6856" s="2">
        <v>2209.38</v>
      </c>
    </row>
    <row r="6857">
      <c r="A6857" s="1" t="s">
        <v>13706</v>
      </c>
      <c r="B6857" s="2">
        <v>3783.28</v>
      </c>
      <c r="C6857" s="2">
        <v>3783.28</v>
      </c>
      <c r="D6857" s="2">
        <v>11148.64</v>
      </c>
      <c r="E6857" s="2">
        <v>11148.64</v>
      </c>
      <c r="G6857" s="1" t="s">
        <v>13707</v>
      </c>
      <c r="H6857" s="2">
        <v>2215.22</v>
      </c>
      <c r="I6857" s="2">
        <v>2215.22</v>
      </c>
    </row>
    <row r="6858">
      <c r="A6858" s="1" t="s">
        <v>13708</v>
      </c>
      <c r="B6858" s="2">
        <v>3744.52</v>
      </c>
      <c r="C6858" s="2">
        <v>3744.52</v>
      </c>
      <c r="D6858" s="2">
        <v>11073.31</v>
      </c>
      <c r="E6858" s="2">
        <v>11073.31</v>
      </c>
      <c r="G6858" s="1" t="s">
        <v>13709</v>
      </c>
      <c r="H6858" s="2">
        <v>2237.86</v>
      </c>
      <c r="I6858" s="2">
        <v>2237.86</v>
      </c>
    </row>
    <row r="6859">
      <c r="A6859" s="1" t="s">
        <v>13710</v>
      </c>
      <c r="B6859" s="2">
        <v>3639.66</v>
      </c>
      <c r="C6859" s="2">
        <v>3639.66</v>
      </c>
      <c r="D6859" s="2">
        <v>10652.41</v>
      </c>
      <c r="E6859" s="2">
        <v>10652.41</v>
      </c>
      <c r="G6859" s="1" t="s">
        <v>13711</v>
      </c>
      <c r="H6859" s="2">
        <v>2232.84</v>
      </c>
      <c r="I6859" s="2">
        <v>2232.84</v>
      </c>
    </row>
    <row r="6860">
      <c r="A6860" s="1" t="s">
        <v>13712</v>
      </c>
      <c r="B6860" s="2" t="s">
        <v>0</v>
      </c>
      <c r="C6860" s="2">
        <v>3639.66</v>
      </c>
      <c r="D6860" s="2" t="s">
        <v>0</v>
      </c>
      <c r="E6860" s="2">
        <v>10652.41</v>
      </c>
      <c r="G6860" s="1" t="s">
        <v>13713</v>
      </c>
      <c r="H6860" s="2" t="s">
        <v>0</v>
      </c>
      <c r="I6860" s="2">
        <v>2232.84</v>
      </c>
    </row>
    <row r="6861">
      <c r="A6861" s="1" t="s">
        <v>13714</v>
      </c>
      <c r="B6861" s="2" t="s">
        <v>0</v>
      </c>
      <c r="C6861" s="2">
        <v>3639.66</v>
      </c>
      <c r="D6861" s="2" t="s">
        <v>0</v>
      </c>
      <c r="E6861" s="2">
        <v>10652.41</v>
      </c>
      <c r="G6861" s="1" t="s">
        <v>13715</v>
      </c>
      <c r="H6861" s="2" t="s">
        <v>0</v>
      </c>
      <c r="I6861" s="2">
        <v>2232.84</v>
      </c>
    </row>
    <row r="6862">
      <c r="A6862" s="1" t="s">
        <v>13716</v>
      </c>
      <c r="B6862" s="2">
        <v>3612.39</v>
      </c>
      <c r="C6862" s="2">
        <v>3612.39</v>
      </c>
      <c r="D6862" s="2">
        <v>10542.1</v>
      </c>
      <c r="E6862" s="2">
        <v>10542.1</v>
      </c>
      <c r="G6862" s="1" t="s">
        <v>13717</v>
      </c>
      <c r="H6862" s="2" t="s">
        <v>0</v>
      </c>
      <c r="I6862" s="2">
        <v>2232.84</v>
      </c>
    </row>
    <row r="6863">
      <c r="A6863" s="1" t="s">
        <v>13718</v>
      </c>
      <c r="B6863" s="2">
        <v>3588.84</v>
      </c>
      <c r="C6863" s="2">
        <v>3588.84</v>
      </c>
      <c r="D6863" s="2">
        <v>10426.19</v>
      </c>
      <c r="E6863" s="2">
        <v>10426.19</v>
      </c>
      <c r="G6863" s="1" t="s">
        <v>13719</v>
      </c>
      <c r="H6863" s="2">
        <v>2192.07</v>
      </c>
      <c r="I6863" s="2">
        <v>2192.07</v>
      </c>
    </row>
    <row r="6864">
      <c r="A6864" s="1" t="s">
        <v>13720</v>
      </c>
      <c r="B6864" s="2">
        <v>3577.03</v>
      </c>
      <c r="C6864" s="2">
        <v>3577.03</v>
      </c>
      <c r="D6864" s="2">
        <v>10417.1</v>
      </c>
      <c r="E6864" s="2">
        <v>10417.1</v>
      </c>
      <c r="G6864" s="1" t="s">
        <v>13721</v>
      </c>
      <c r="H6864" s="2">
        <v>2202.47</v>
      </c>
      <c r="I6864" s="2">
        <v>2202.47</v>
      </c>
    </row>
    <row r="6865">
      <c r="A6865" s="1" t="s">
        <v>13722</v>
      </c>
      <c r="B6865" s="2">
        <v>3669.91</v>
      </c>
      <c r="C6865" s="2">
        <v>3669.91</v>
      </c>
      <c r="D6865" s="2">
        <v>10649.15</v>
      </c>
      <c r="E6865" s="2">
        <v>10649.15</v>
      </c>
      <c r="G6865" s="1" t="s">
        <v>13723</v>
      </c>
      <c r="H6865" s="2">
        <v>2162.87</v>
      </c>
      <c r="I6865" s="2">
        <v>2162.87</v>
      </c>
    </row>
    <row r="6866">
      <c r="A6866" s="1" t="s">
        <v>13724</v>
      </c>
      <c r="B6866" s="2">
        <v>3583.07</v>
      </c>
      <c r="C6866" s="2">
        <v>3583.07</v>
      </c>
      <c r="D6866" s="2">
        <v>10321.39</v>
      </c>
      <c r="E6866" s="2">
        <v>10321.39</v>
      </c>
      <c r="G6866" s="1" t="s">
        <v>13725</v>
      </c>
      <c r="H6866" s="2">
        <v>2212.55</v>
      </c>
      <c r="I6866" s="2">
        <v>2212.55</v>
      </c>
    </row>
    <row r="6867">
      <c r="A6867" s="1" t="s">
        <v>13726</v>
      </c>
      <c r="B6867" s="2" t="s">
        <v>0</v>
      </c>
      <c r="C6867" s="2">
        <v>3583.07</v>
      </c>
      <c r="D6867" s="2" t="s">
        <v>0</v>
      </c>
      <c r="E6867" s="2">
        <v>10321.39</v>
      </c>
      <c r="G6867" s="1" t="s">
        <v>13727</v>
      </c>
      <c r="H6867" s="2" t="s">
        <v>0</v>
      </c>
      <c r="I6867" s="2">
        <v>2212.55</v>
      </c>
    </row>
    <row r="6868">
      <c r="A6868" s="1" t="s">
        <v>13728</v>
      </c>
      <c r="B6868" s="2" t="s">
        <v>0</v>
      </c>
      <c r="C6868" s="2">
        <v>3583.07</v>
      </c>
      <c r="D6868" s="2" t="s">
        <v>0</v>
      </c>
      <c r="E6868" s="2">
        <v>10321.39</v>
      </c>
      <c r="G6868" s="1" t="s">
        <v>13729</v>
      </c>
      <c r="H6868" s="2" t="s">
        <v>0</v>
      </c>
      <c r="I6868" s="2">
        <v>2212.55</v>
      </c>
    </row>
    <row r="6869">
      <c r="A6869" s="1" t="s">
        <v>13730</v>
      </c>
      <c r="B6869" s="2">
        <v>3677.95</v>
      </c>
      <c r="C6869" s="2">
        <v>3677.95</v>
      </c>
      <c r="D6869" s="2">
        <v>10675.8</v>
      </c>
      <c r="E6869" s="2">
        <v>10675.8</v>
      </c>
      <c r="G6869" s="1" t="s">
        <v>13731</v>
      </c>
      <c r="H6869" s="2">
        <v>2219.71</v>
      </c>
      <c r="I6869" s="2">
        <v>2219.71</v>
      </c>
    </row>
    <row r="6870">
      <c r="A6870" s="1" t="s">
        <v>13732</v>
      </c>
      <c r="B6870" s="2">
        <v>3719.98</v>
      </c>
      <c r="C6870" s="2">
        <v>3719.98</v>
      </c>
      <c r="D6870" s="2">
        <v>10772.4</v>
      </c>
      <c r="E6870" s="2">
        <v>10772.4</v>
      </c>
      <c r="G6870" s="1" t="s">
        <v>13733</v>
      </c>
      <c r="H6870" s="2">
        <v>2249.95</v>
      </c>
      <c r="I6870" s="2">
        <v>2249.95</v>
      </c>
    </row>
    <row r="6871">
      <c r="A6871" s="1" t="s">
        <v>13734</v>
      </c>
      <c r="B6871" s="2">
        <v>3695.16</v>
      </c>
      <c r="C6871" s="2">
        <v>3695.16</v>
      </c>
      <c r="D6871" s="2">
        <v>10680.51</v>
      </c>
      <c r="E6871" s="2">
        <v>10680.51</v>
      </c>
      <c r="G6871" s="1" t="s">
        <v>13735</v>
      </c>
      <c r="H6871" s="2">
        <v>2237.44</v>
      </c>
      <c r="I6871" s="2">
        <v>2237.44</v>
      </c>
    </row>
    <row r="6872">
      <c r="A6872" s="1" t="s">
        <v>13736</v>
      </c>
      <c r="B6872" s="2">
        <v>3665.78</v>
      </c>
      <c r="C6872" s="2">
        <v>3665.78</v>
      </c>
      <c r="D6872" s="2">
        <v>10614.84</v>
      </c>
      <c r="E6872" s="2">
        <v>10614.84</v>
      </c>
      <c r="G6872" s="1" t="s">
        <v>13737</v>
      </c>
      <c r="H6872" s="2">
        <v>2218.09</v>
      </c>
      <c r="I6872" s="2">
        <v>2218.09</v>
      </c>
    </row>
    <row r="6873">
      <c r="A6873" s="1" t="s">
        <v>13738</v>
      </c>
      <c r="B6873" s="2">
        <v>3752.75</v>
      </c>
      <c r="C6873" s="2">
        <v>3752.75</v>
      </c>
      <c r="D6873" s="2">
        <v>10859.72</v>
      </c>
      <c r="E6873" s="2">
        <v>10859.72</v>
      </c>
      <c r="G6873" s="1" t="s">
        <v>13739</v>
      </c>
      <c r="H6873" s="2">
        <v>2213.12</v>
      </c>
      <c r="I6873" s="2">
        <v>2213.12</v>
      </c>
    </row>
    <row r="6874">
      <c r="A6874" s="1" t="s">
        <v>13740</v>
      </c>
      <c r="B6874" s="2" t="s">
        <v>0</v>
      </c>
      <c r="C6874" s="2">
        <v>3752.75</v>
      </c>
      <c r="D6874" s="2" t="s">
        <v>0</v>
      </c>
      <c r="E6874" s="2">
        <v>10859.72</v>
      </c>
      <c r="G6874" s="1" t="s">
        <v>13741</v>
      </c>
      <c r="H6874" s="2" t="s">
        <v>0</v>
      </c>
      <c r="I6874" s="2">
        <v>2213.12</v>
      </c>
    </row>
    <row r="6875">
      <c r="A6875" s="1" t="s">
        <v>13742</v>
      </c>
      <c r="B6875" s="2" t="s">
        <v>0</v>
      </c>
      <c r="C6875" s="2">
        <v>3752.75</v>
      </c>
      <c r="D6875" s="2" t="s">
        <v>0</v>
      </c>
      <c r="E6875" s="2">
        <v>10859.72</v>
      </c>
      <c r="G6875" s="1" t="s">
        <v>13743</v>
      </c>
      <c r="H6875" s="2" t="s">
        <v>0</v>
      </c>
      <c r="I6875" s="2">
        <v>2213.12</v>
      </c>
    </row>
    <row r="6876">
      <c r="A6876" s="1" t="s">
        <v>13744</v>
      </c>
      <c r="B6876" s="2">
        <v>3797.34</v>
      </c>
      <c r="C6876" s="2">
        <v>3797.34</v>
      </c>
      <c r="D6876" s="2">
        <v>10952.61</v>
      </c>
      <c r="E6876" s="2">
        <v>10952.61</v>
      </c>
      <c r="G6876" s="1" t="s">
        <v>13745</v>
      </c>
      <c r="H6876" s="2">
        <v>2236.16</v>
      </c>
      <c r="I6876" s="2">
        <v>2236.16</v>
      </c>
    </row>
    <row r="6877">
      <c r="A6877" s="1" t="s">
        <v>13746</v>
      </c>
      <c r="B6877" s="2">
        <v>3859.11</v>
      </c>
      <c r="C6877" s="2">
        <v>3859.11</v>
      </c>
      <c r="D6877" s="2">
        <v>11199.12</v>
      </c>
      <c r="E6877" s="2">
        <v>11199.12</v>
      </c>
      <c r="G6877" s="1" t="s">
        <v>13747</v>
      </c>
      <c r="H6877" s="2">
        <v>2235.07</v>
      </c>
      <c r="I6877" s="2">
        <v>2235.07</v>
      </c>
    </row>
    <row r="6878">
      <c r="A6878" s="1" t="s">
        <v>13748</v>
      </c>
      <c r="B6878" s="2">
        <v>3830.6</v>
      </c>
      <c r="C6878" s="2">
        <v>3830.6</v>
      </c>
      <c r="D6878" s="2">
        <v>10970.99</v>
      </c>
      <c r="E6878" s="2">
        <v>10970.99</v>
      </c>
      <c r="G6878" s="1" t="s">
        <v>13749</v>
      </c>
      <c r="H6878" s="2">
        <v>2249.56</v>
      </c>
      <c r="I6878" s="2">
        <v>2249.56</v>
      </c>
    </row>
    <row r="6879">
      <c r="A6879" s="1" t="s">
        <v>13750</v>
      </c>
      <c r="B6879" s="2">
        <v>3807.3</v>
      </c>
      <c r="C6879" s="2">
        <v>3807.3</v>
      </c>
      <c r="D6879" s="2">
        <v>10792.68</v>
      </c>
      <c r="E6879" s="2">
        <v>10792.68</v>
      </c>
      <c r="G6879" s="1" t="s">
        <v>13751</v>
      </c>
      <c r="H6879" s="2">
        <v>2288.78</v>
      </c>
      <c r="I6879" s="2">
        <v>2288.78</v>
      </c>
    </row>
    <row r="6880">
      <c r="A6880" s="1" t="s">
        <v>13752</v>
      </c>
      <c r="B6880" s="2">
        <v>3901.06</v>
      </c>
      <c r="C6880" s="2">
        <v>3901.06</v>
      </c>
      <c r="D6880" s="2">
        <v>11102.45</v>
      </c>
      <c r="E6880" s="2">
        <v>11102.45</v>
      </c>
      <c r="G6880" s="1" t="s">
        <v>13753</v>
      </c>
      <c r="H6880" s="2">
        <v>2268.4</v>
      </c>
      <c r="I6880" s="2">
        <v>2268.4</v>
      </c>
    </row>
    <row r="6881">
      <c r="A6881" s="1" t="s">
        <v>13754</v>
      </c>
      <c r="B6881" s="2" t="s">
        <v>0</v>
      </c>
      <c r="C6881" s="2">
        <v>3901.06</v>
      </c>
      <c r="D6881" s="2" t="s">
        <v>0</v>
      </c>
      <c r="E6881" s="2">
        <v>11102.45</v>
      </c>
      <c r="G6881" s="1" t="s">
        <v>13755</v>
      </c>
      <c r="H6881" s="2" t="s">
        <v>0</v>
      </c>
      <c r="I6881" s="2">
        <v>2268.4</v>
      </c>
    </row>
    <row r="6882">
      <c r="A6882" s="1" t="s">
        <v>13756</v>
      </c>
      <c r="B6882" s="2" t="s">
        <v>0</v>
      </c>
      <c r="C6882" s="2">
        <v>3901.06</v>
      </c>
      <c r="D6882" s="2" t="s">
        <v>0</v>
      </c>
      <c r="E6882" s="2">
        <v>11102.45</v>
      </c>
      <c r="G6882" s="1" t="s">
        <v>13757</v>
      </c>
      <c r="H6882" s="2" t="s">
        <v>0</v>
      </c>
      <c r="I6882" s="2">
        <v>2268.4</v>
      </c>
    </row>
    <row r="6883">
      <c r="A6883" s="1" t="s">
        <v>13758</v>
      </c>
      <c r="B6883" s="2">
        <v>3871.98</v>
      </c>
      <c r="C6883" s="2">
        <v>3871.98</v>
      </c>
      <c r="D6883" s="2">
        <v>10988.15</v>
      </c>
      <c r="E6883" s="2">
        <v>10988.15</v>
      </c>
      <c r="G6883" s="1" t="s">
        <v>13759</v>
      </c>
      <c r="H6883" s="2">
        <v>2293.61</v>
      </c>
      <c r="I6883" s="2">
        <v>2293.61</v>
      </c>
    </row>
    <row r="6884">
      <c r="A6884" s="1" t="s">
        <v>13760</v>
      </c>
      <c r="B6884" s="2">
        <v>3856.1</v>
      </c>
      <c r="C6884" s="2">
        <v>3856.1</v>
      </c>
      <c r="D6884" s="2">
        <v>10890.85</v>
      </c>
      <c r="E6884" s="2">
        <v>10890.85</v>
      </c>
      <c r="G6884" s="1" t="s">
        <v>13761</v>
      </c>
      <c r="H6884" s="2">
        <v>2335.22</v>
      </c>
      <c r="I6884" s="2">
        <v>2335.22</v>
      </c>
    </row>
    <row r="6885">
      <c r="A6885" s="1" t="s">
        <v>13762</v>
      </c>
      <c r="B6885" s="2">
        <v>3759.69</v>
      </c>
      <c r="C6885" s="2">
        <v>3759.69</v>
      </c>
      <c r="D6885" s="2">
        <v>10524.8</v>
      </c>
      <c r="E6885" s="2">
        <v>10524.8</v>
      </c>
      <c r="G6885" s="1" t="s">
        <v>13763</v>
      </c>
      <c r="H6885" s="2">
        <v>2336.87</v>
      </c>
      <c r="I6885" s="2">
        <v>2336.87</v>
      </c>
    </row>
    <row r="6886">
      <c r="A6886" s="1" t="s">
        <v>13764</v>
      </c>
      <c r="B6886" s="2">
        <v>3719.89</v>
      </c>
      <c r="C6886" s="2">
        <v>3719.89</v>
      </c>
      <c r="D6886" s="2">
        <v>10342.94</v>
      </c>
      <c r="E6886" s="2">
        <v>10342.94</v>
      </c>
      <c r="G6886" s="1" t="s">
        <v>13765</v>
      </c>
      <c r="H6886" s="2">
        <v>2329.17</v>
      </c>
      <c r="I6886" s="2">
        <v>2329.17</v>
      </c>
    </row>
    <row r="6887">
      <c r="A6887" s="1" t="s">
        <v>13766</v>
      </c>
      <c r="B6887" s="2">
        <v>3770.55</v>
      </c>
      <c r="C6887" s="2">
        <v>3770.55</v>
      </c>
      <c r="D6887" s="2">
        <v>10475.25</v>
      </c>
      <c r="E6887" s="2">
        <v>10475.25</v>
      </c>
      <c r="G6887" s="1" t="s">
        <v>13767</v>
      </c>
      <c r="H6887" s="2">
        <v>2348.43</v>
      </c>
      <c r="I6887" s="2">
        <v>2348.43</v>
      </c>
    </row>
    <row r="6888">
      <c r="A6888" s="1" t="s">
        <v>13768</v>
      </c>
      <c r="B6888" s="2" t="s">
        <v>0</v>
      </c>
      <c r="C6888" s="2">
        <v>3770.55</v>
      </c>
      <c r="D6888" s="2" t="s">
        <v>0</v>
      </c>
      <c r="E6888" s="2">
        <v>10475.25</v>
      </c>
      <c r="G6888" s="1" t="s">
        <v>13769</v>
      </c>
      <c r="H6888" s="2" t="s">
        <v>0</v>
      </c>
      <c r="I6888" s="2">
        <v>2348.43</v>
      </c>
    </row>
    <row r="6889">
      <c r="A6889" s="1" t="s">
        <v>13770</v>
      </c>
      <c r="B6889" s="2" t="s">
        <v>0</v>
      </c>
      <c r="C6889" s="2">
        <v>3770.55</v>
      </c>
      <c r="D6889" s="2" t="s">
        <v>0</v>
      </c>
      <c r="E6889" s="2">
        <v>10475.25</v>
      </c>
      <c r="G6889" s="1" t="s">
        <v>13771</v>
      </c>
      <c r="H6889" s="2" t="s">
        <v>0</v>
      </c>
      <c r="I6889" s="2">
        <v>2348.43</v>
      </c>
    </row>
    <row r="6890">
      <c r="A6890" s="1" t="s">
        <v>13772</v>
      </c>
      <c r="B6890" s="2">
        <v>3806.8</v>
      </c>
      <c r="C6890" s="2">
        <v>3806.8</v>
      </c>
      <c r="D6890" s="2">
        <v>10564.52</v>
      </c>
      <c r="E6890" s="2">
        <v>10564.52</v>
      </c>
      <c r="G6890" s="1" t="s">
        <v>13773</v>
      </c>
      <c r="H6890" s="2">
        <v>2371.79</v>
      </c>
      <c r="I6890" s="2">
        <v>2371.79</v>
      </c>
    </row>
    <row r="6891">
      <c r="A6891" s="1" t="s">
        <v>13774</v>
      </c>
      <c r="B6891" s="2">
        <v>3828.11</v>
      </c>
      <c r="C6891" s="2">
        <v>3828.11</v>
      </c>
      <c r="D6891" s="2">
        <v>10616.2</v>
      </c>
      <c r="E6891" s="2">
        <v>10616.2</v>
      </c>
      <c r="G6891" s="1" t="s">
        <v>13775</v>
      </c>
      <c r="H6891" s="2">
        <v>2399.04</v>
      </c>
      <c r="I6891" s="2">
        <v>2399.04</v>
      </c>
    </row>
    <row r="6892">
      <c r="A6892" s="1" t="s">
        <v>13776</v>
      </c>
      <c r="B6892" s="2">
        <v>3748.57</v>
      </c>
      <c r="C6892" s="2">
        <v>3748.57</v>
      </c>
      <c r="D6892" s="2">
        <v>10353.17</v>
      </c>
      <c r="E6892" s="2">
        <v>10353.17</v>
      </c>
      <c r="G6892" s="1" t="s">
        <v>13777</v>
      </c>
      <c r="H6892" s="2">
        <v>2424.41</v>
      </c>
      <c r="I6892" s="2">
        <v>2424.41</v>
      </c>
    </row>
    <row r="6893">
      <c r="A6893" s="1" t="s">
        <v>13778</v>
      </c>
      <c r="B6893" s="2">
        <v>3956.37</v>
      </c>
      <c r="C6893" s="2">
        <v>3956.37</v>
      </c>
      <c r="D6893" s="2">
        <v>11114.15</v>
      </c>
      <c r="E6893" s="2">
        <v>11114.15</v>
      </c>
      <c r="G6893" s="1" t="s">
        <v>13779</v>
      </c>
      <c r="H6893" s="2">
        <v>2402.23</v>
      </c>
      <c r="I6893" s="2">
        <v>2402.23</v>
      </c>
    </row>
    <row r="6894">
      <c r="A6894" s="1" t="s">
        <v>13780</v>
      </c>
      <c r="B6894" s="2">
        <v>3992.93</v>
      </c>
      <c r="C6894" s="2">
        <v>3992.93</v>
      </c>
      <c r="D6894" s="2">
        <v>11323.33</v>
      </c>
      <c r="E6894" s="2">
        <v>11323.33</v>
      </c>
      <c r="G6894" s="1" t="s">
        <v>13781</v>
      </c>
      <c r="H6894" s="2">
        <v>2483.16</v>
      </c>
      <c r="I6894" s="2">
        <v>2483.16</v>
      </c>
    </row>
    <row r="6895">
      <c r="A6895" s="1" t="s">
        <v>13782</v>
      </c>
      <c r="B6895" s="2" t="s">
        <v>0</v>
      </c>
      <c r="C6895" s="2">
        <v>3992.93</v>
      </c>
      <c r="D6895" s="2" t="s">
        <v>0</v>
      </c>
      <c r="E6895" s="2">
        <v>11323.33</v>
      </c>
      <c r="G6895" s="1" t="s">
        <v>13783</v>
      </c>
      <c r="H6895" s="2" t="s">
        <v>0</v>
      </c>
      <c r="I6895" s="2">
        <v>2483.16</v>
      </c>
    </row>
    <row r="6896">
      <c r="A6896" s="1" t="s">
        <v>13784</v>
      </c>
      <c r="B6896" s="2" t="s">
        <v>0</v>
      </c>
      <c r="C6896" s="2">
        <v>3992.93</v>
      </c>
      <c r="D6896" s="2" t="s">
        <v>0</v>
      </c>
      <c r="E6896" s="2">
        <v>11323.33</v>
      </c>
      <c r="G6896" s="1" t="s">
        <v>13785</v>
      </c>
      <c r="H6896" s="2" t="s">
        <v>0</v>
      </c>
      <c r="I6896" s="2">
        <v>2483.16</v>
      </c>
    </row>
    <row r="6897">
      <c r="A6897" s="1" t="s">
        <v>13786</v>
      </c>
      <c r="B6897" s="2">
        <v>3957.25</v>
      </c>
      <c r="C6897" s="2">
        <v>3957.25</v>
      </c>
      <c r="D6897" s="2">
        <v>11196.22</v>
      </c>
      <c r="E6897" s="2">
        <v>11196.22</v>
      </c>
      <c r="G6897" s="1" t="s">
        <v>13787</v>
      </c>
      <c r="H6897" s="2">
        <v>2474.65</v>
      </c>
      <c r="I6897" s="2">
        <v>2474.65</v>
      </c>
    </row>
    <row r="6898">
      <c r="A6898" s="1" t="s">
        <v>13788</v>
      </c>
      <c r="B6898" s="2">
        <v>3991.73</v>
      </c>
      <c r="C6898" s="2">
        <v>3991.73</v>
      </c>
      <c r="D6898" s="2">
        <v>11358.41</v>
      </c>
      <c r="E6898" s="2">
        <v>11358.41</v>
      </c>
      <c r="G6898" s="1" t="s">
        <v>13789</v>
      </c>
      <c r="H6898" s="2">
        <v>2480.33</v>
      </c>
      <c r="I6898" s="2">
        <v>2480.33</v>
      </c>
    </row>
    <row r="6899">
      <c r="A6899" s="1" t="s">
        <v>13790</v>
      </c>
      <c r="B6899" s="2">
        <v>3958.79</v>
      </c>
      <c r="C6899" s="2">
        <v>3958.79</v>
      </c>
      <c r="D6899" s="2">
        <v>11183.66</v>
      </c>
      <c r="E6899" s="2">
        <v>11183.66</v>
      </c>
      <c r="G6899" s="1" t="s">
        <v>13791</v>
      </c>
      <c r="H6899" s="2">
        <v>2477.45</v>
      </c>
      <c r="I6899" s="2">
        <v>2477.45</v>
      </c>
    </row>
    <row r="6900">
      <c r="A6900" s="1" t="s">
        <v>13792</v>
      </c>
      <c r="B6900" s="2">
        <v>3946.56</v>
      </c>
      <c r="C6900" s="2">
        <v>3946.56</v>
      </c>
      <c r="D6900" s="2">
        <v>11144.96</v>
      </c>
      <c r="E6900" s="2">
        <v>11144.96</v>
      </c>
      <c r="G6900" s="1" t="s">
        <v>13793</v>
      </c>
      <c r="H6900" s="2">
        <v>2442.9</v>
      </c>
      <c r="I6900" s="2">
        <v>2442.9</v>
      </c>
    </row>
    <row r="6901">
      <c r="A6901" s="1" t="s">
        <v>13794</v>
      </c>
      <c r="B6901" s="2">
        <v>3965.34</v>
      </c>
      <c r="C6901" s="2">
        <v>3965.34</v>
      </c>
      <c r="D6901" s="2">
        <v>11146.06</v>
      </c>
      <c r="E6901" s="2">
        <v>11146.06</v>
      </c>
      <c r="G6901" s="1" t="s">
        <v>13795</v>
      </c>
      <c r="H6901" s="2">
        <v>2444.48</v>
      </c>
      <c r="I6901" s="2">
        <v>2444.48</v>
      </c>
    </row>
    <row r="6902">
      <c r="A6902" s="1" t="s">
        <v>13796</v>
      </c>
      <c r="B6902" s="2" t="s">
        <v>0</v>
      </c>
      <c r="C6902" s="2">
        <v>3965.34</v>
      </c>
      <c r="D6902" s="2" t="s">
        <v>0</v>
      </c>
      <c r="E6902" s="2">
        <v>11146.06</v>
      </c>
      <c r="G6902" s="1" t="s">
        <v>13797</v>
      </c>
      <c r="H6902" s="2" t="s">
        <v>0</v>
      </c>
      <c r="I6902" s="2">
        <v>2444.48</v>
      </c>
    </row>
    <row r="6903">
      <c r="A6903" s="1" t="s">
        <v>13798</v>
      </c>
      <c r="B6903" s="2" t="s">
        <v>0</v>
      </c>
      <c r="C6903" s="2">
        <v>3965.34</v>
      </c>
      <c r="D6903" s="2" t="s">
        <v>0</v>
      </c>
      <c r="E6903" s="2">
        <v>11146.06</v>
      </c>
      <c r="G6903" s="1" t="s">
        <v>13799</v>
      </c>
      <c r="H6903" s="2" t="s">
        <v>0</v>
      </c>
      <c r="I6903" s="2">
        <v>2444.48</v>
      </c>
    </row>
    <row r="6904">
      <c r="A6904" s="1" t="s">
        <v>13800</v>
      </c>
      <c r="B6904" s="2">
        <v>3949.94</v>
      </c>
      <c r="C6904" s="2">
        <v>3949.94</v>
      </c>
      <c r="D6904" s="2">
        <v>11024.51</v>
      </c>
      <c r="E6904" s="2">
        <v>11024.51</v>
      </c>
      <c r="G6904" s="1" t="s">
        <v>13801</v>
      </c>
      <c r="H6904" s="2">
        <v>2419.5</v>
      </c>
      <c r="I6904" s="2">
        <v>2419.5</v>
      </c>
    </row>
    <row r="6905">
      <c r="A6905" s="1" t="s">
        <v>13802</v>
      </c>
      <c r="B6905" s="2">
        <v>4003.58</v>
      </c>
      <c r="C6905" s="2">
        <v>4003.58</v>
      </c>
      <c r="D6905" s="2">
        <v>11174.41</v>
      </c>
      <c r="E6905" s="2">
        <v>11174.41</v>
      </c>
      <c r="G6905" s="1" t="s">
        <v>13803</v>
      </c>
      <c r="H6905" s="2">
        <v>2405.27</v>
      </c>
      <c r="I6905" s="2">
        <v>2405.27</v>
      </c>
    </row>
    <row r="6906">
      <c r="A6906" s="1" t="s">
        <v>13804</v>
      </c>
      <c r="B6906" s="2" t="s">
        <v>0</v>
      </c>
      <c r="C6906" s="2">
        <v>4003.58</v>
      </c>
      <c r="D6906" s="2">
        <v>11285.32</v>
      </c>
      <c r="E6906" s="2">
        <v>11285.32</v>
      </c>
      <c r="G6906" s="1" t="s">
        <v>13805</v>
      </c>
      <c r="H6906" s="2">
        <v>2418.01</v>
      </c>
      <c r="I6906" s="2">
        <v>2418.01</v>
      </c>
    </row>
    <row r="6907">
      <c r="A6907" s="1" t="s">
        <v>13806</v>
      </c>
      <c r="B6907" s="2" t="s">
        <v>0</v>
      </c>
      <c r="C6907" s="2">
        <v>4003.58</v>
      </c>
      <c r="D6907" s="2" t="s">
        <v>0</v>
      </c>
      <c r="E6907" s="2">
        <v>11285.32</v>
      </c>
      <c r="G6907" s="1" t="s">
        <v>13807</v>
      </c>
      <c r="H6907" s="2">
        <v>2441.33</v>
      </c>
      <c r="I6907" s="2">
        <v>2441.33</v>
      </c>
    </row>
    <row r="6908">
      <c r="A6908" s="1" t="s">
        <v>13808</v>
      </c>
      <c r="B6908" s="2" t="s">
        <v>0</v>
      </c>
      <c r="C6908" s="2">
        <v>4003.58</v>
      </c>
      <c r="D6908" s="2" t="s">
        <v>0</v>
      </c>
      <c r="E6908" s="2">
        <v>11285.32</v>
      </c>
      <c r="G6908" s="1" t="s">
        <v>13809</v>
      </c>
      <c r="H6908" s="2">
        <v>2437.86</v>
      </c>
      <c r="I6908" s="2">
        <v>2437.86</v>
      </c>
    </row>
    <row r="6909">
      <c r="A6909" s="1" t="s">
        <v>13810</v>
      </c>
      <c r="B6909" s="2" t="s">
        <v>0</v>
      </c>
      <c r="C6909" s="2">
        <v>4003.58</v>
      </c>
      <c r="D6909" s="2" t="s">
        <v>0</v>
      </c>
      <c r="E6909" s="2">
        <v>11285.32</v>
      </c>
      <c r="G6909" s="1" t="s">
        <v>13811</v>
      </c>
      <c r="H6909" s="2" t="s">
        <v>0</v>
      </c>
      <c r="I6909" s="2">
        <v>2437.86</v>
      </c>
    </row>
    <row r="6910">
      <c r="A6910" s="1" t="s">
        <v>13812</v>
      </c>
      <c r="B6910" s="2" t="s">
        <v>0</v>
      </c>
      <c r="C6910" s="2">
        <v>4003.58</v>
      </c>
      <c r="D6910" s="2" t="s">
        <v>0</v>
      </c>
      <c r="E6910" s="2">
        <v>11285.32</v>
      </c>
      <c r="G6910" s="1" t="s">
        <v>13813</v>
      </c>
      <c r="H6910" s="2" t="s">
        <v>0</v>
      </c>
      <c r="I6910" s="2">
        <v>2437.86</v>
      </c>
    </row>
    <row r="6911">
      <c r="A6911" s="1" t="s">
        <v>13814</v>
      </c>
      <c r="B6911" s="2">
        <v>3963.94</v>
      </c>
      <c r="C6911" s="2">
        <v>3963.94</v>
      </c>
      <c r="D6911" s="2">
        <v>11049.5</v>
      </c>
      <c r="E6911" s="2">
        <v>11049.5</v>
      </c>
      <c r="G6911" s="1" t="s">
        <v>13815</v>
      </c>
      <c r="H6911" s="2">
        <v>2408.27</v>
      </c>
      <c r="I6911" s="2">
        <v>2408.27</v>
      </c>
    </row>
    <row r="6912">
      <c r="A6912" s="1" t="s">
        <v>13816</v>
      </c>
      <c r="B6912" s="2">
        <v>3957.63</v>
      </c>
      <c r="C6912" s="2">
        <v>3957.63</v>
      </c>
      <c r="D6912" s="2">
        <v>10983.78</v>
      </c>
      <c r="E6912" s="2">
        <v>10983.78</v>
      </c>
      <c r="G6912" s="1" t="s">
        <v>13817</v>
      </c>
      <c r="H6912" s="2">
        <v>2433.39</v>
      </c>
      <c r="I6912" s="2">
        <v>2433.39</v>
      </c>
    </row>
    <row r="6913">
      <c r="A6913" s="1" t="s">
        <v>13818</v>
      </c>
      <c r="B6913" s="2">
        <v>4080.11</v>
      </c>
      <c r="C6913" s="2">
        <v>4080.11</v>
      </c>
      <c r="D6913" s="2">
        <v>11468.0</v>
      </c>
      <c r="E6913" s="2">
        <v>11468.0</v>
      </c>
      <c r="G6913" s="1" t="s">
        <v>13819</v>
      </c>
      <c r="H6913" s="2">
        <v>2472.53</v>
      </c>
      <c r="I6913" s="2">
        <v>2472.53</v>
      </c>
    </row>
    <row r="6914">
      <c r="A6914" s="1" t="s">
        <v>13820</v>
      </c>
      <c r="B6914" s="2">
        <v>4076.57</v>
      </c>
      <c r="C6914" s="2">
        <v>4076.57</v>
      </c>
      <c r="D6914" s="2">
        <v>11482.45</v>
      </c>
      <c r="E6914" s="2">
        <v>11482.45</v>
      </c>
      <c r="G6914" s="1" t="s">
        <v>13821</v>
      </c>
      <c r="H6914" s="2">
        <v>2479.84</v>
      </c>
      <c r="I6914" s="2">
        <v>2479.84</v>
      </c>
    </row>
    <row r="6915">
      <c r="A6915" s="1" t="s">
        <v>13822</v>
      </c>
      <c r="B6915" s="2">
        <v>4071.7</v>
      </c>
      <c r="C6915" s="2">
        <v>4071.7</v>
      </c>
      <c r="D6915" s="2">
        <v>11461.5</v>
      </c>
      <c r="E6915" s="2">
        <v>11461.5</v>
      </c>
      <c r="G6915" s="1" t="s">
        <v>13823</v>
      </c>
      <c r="H6915" s="2">
        <v>2434.33</v>
      </c>
      <c r="I6915" s="2">
        <v>2434.33</v>
      </c>
    </row>
    <row r="6916">
      <c r="A6916" s="1" t="s">
        <v>13824</v>
      </c>
      <c r="B6916" s="2" t="s">
        <v>0</v>
      </c>
      <c r="C6916" s="2">
        <v>4071.7</v>
      </c>
      <c r="D6916" s="2" t="s">
        <v>0</v>
      </c>
      <c r="E6916" s="2">
        <v>11461.5</v>
      </c>
      <c r="G6916" s="1" t="s">
        <v>13825</v>
      </c>
      <c r="H6916" s="2" t="s">
        <v>0</v>
      </c>
      <c r="I6916" s="2">
        <v>2434.33</v>
      </c>
    </row>
    <row r="6917">
      <c r="A6917" s="1" t="s">
        <v>13826</v>
      </c>
      <c r="B6917" s="2" t="s">
        <v>0</v>
      </c>
      <c r="C6917" s="2">
        <v>4071.7</v>
      </c>
      <c r="D6917" s="2" t="s">
        <v>0</v>
      </c>
      <c r="E6917" s="2">
        <v>11461.5</v>
      </c>
      <c r="G6917" s="1" t="s">
        <v>13827</v>
      </c>
      <c r="H6917" s="2" t="s">
        <v>0</v>
      </c>
      <c r="I6917" s="2">
        <v>2434.33</v>
      </c>
    </row>
    <row r="6918">
      <c r="A6918" s="1" t="s">
        <v>13828</v>
      </c>
      <c r="B6918" s="2">
        <v>3998.84</v>
      </c>
      <c r="C6918" s="2">
        <v>3998.84</v>
      </c>
      <c r="D6918" s="2">
        <v>11239.94</v>
      </c>
      <c r="E6918" s="2">
        <v>11239.94</v>
      </c>
      <c r="G6918" s="1" t="s">
        <v>13829</v>
      </c>
      <c r="H6918" s="2">
        <v>2419.32</v>
      </c>
      <c r="I6918" s="2">
        <v>2419.32</v>
      </c>
    </row>
    <row r="6919">
      <c r="A6919" s="1" t="s">
        <v>13830</v>
      </c>
      <c r="B6919" s="2">
        <v>3941.26</v>
      </c>
      <c r="C6919" s="2">
        <v>3941.26</v>
      </c>
      <c r="D6919" s="2">
        <v>11014.89</v>
      </c>
      <c r="E6919" s="2">
        <v>11014.89</v>
      </c>
      <c r="G6919" s="1" t="s">
        <v>13831</v>
      </c>
      <c r="H6919" s="2">
        <v>2393.16</v>
      </c>
      <c r="I6919" s="2">
        <v>2393.16</v>
      </c>
    </row>
    <row r="6920">
      <c r="A6920" s="1" t="s">
        <v>13832</v>
      </c>
      <c r="B6920" s="2">
        <v>3933.92</v>
      </c>
      <c r="C6920" s="2">
        <v>3933.92</v>
      </c>
      <c r="D6920" s="2">
        <v>10958.55</v>
      </c>
      <c r="E6920" s="2">
        <v>10958.55</v>
      </c>
      <c r="G6920" s="1" t="s">
        <v>13833</v>
      </c>
      <c r="H6920" s="2">
        <v>2382.81</v>
      </c>
      <c r="I6920" s="2">
        <v>2382.81</v>
      </c>
    </row>
    <row r="6921">
      <c r="A6921" s="1" t="s">
        <v>13834</v>
      </c>
      <c r="B6921" s="2">
        <v>3963.51</v>
      </c>
      <c r="C6921" s="2">
        <v>3963.51</v>
      </c>
      <c r="D6921" s="2">
        <v>11082.0</v>
      </c>
      <c r="E6921" s="2">
        <v>11082.0</v>
      </c>
      <c r="G6921" s="1" t="s">
        <v>13835</v>
      </c>
      <c r="H6921" s="2">
        <v>2371.08</v>
      </c>
      <c r="I6921" s="2">
        <v>2371.08</v>
      </c>
    </row>
    <row r="6922">
      <c r="A6922" s="1" t="s">
        <v>13836</v>
      </c>
      <c r="B6922" s="2">
        <v>3934.38</v>
      </c>
      <c r="C6922" s="2">
        <v>3934.38</v>
      </c>
      <c r="D6922" s="2">
        <v>11004.62</v>
      </c>
      <c r="E6922" s="2">
        <v>11004.62</v>
      </c>
      <c r="G6922" s="1" t="s">
        <v>13837</v>
      </c>
      <c r="H6922" s="2">
        <v>2389.04</v>
      </c>
      <c r="I6922" s="2">
        <v>2389.04</v>
      </c>
    </row>
    <row r="6923">
      <c r="A6923" s="1" t="s">
        <v>13838</v>
      </c>
      <c r="B6923" s="2" t="s">
        <v>0</v>
      </c>
      <c r="C6923" s="2">
        <v>3934.38</v>
      </c>
      <c r="D6923" s="2" t="s">
        <v>0</v>
      </c>
      <c r="E6923" s="2">
        <v>11004.62</v>
      </c>
      <c r="G6923" s="1" t="s">
        <v>13839</v>
      </c>
      <c r="H6923" s="2" t="s">
        <v>0</v>
      </c>
      <c r="I6923" s="2">
        <v>2389.04</v>
      </c>
    </row>
    <row r="6924">
      <c r="A6924" s="1" t="s">
        <v>13840</v>
      </c>
      <c r="B6924" s="2" t="s">
        <v>0</v>
      </c>
      <c r="C6924" s="2">
        <v>3934.38</v>
      </c>
      <c r="D6924" s="2" t="s">
        <v>0</v>
      </c>
      <c r="E6924" s="2">
        <v>11004.62</v>
      </c>
      <c r="G6924" s="1" t="s">
        <v>13841</v>
      </c>
      <c r="H6924" s="2" t="s">
        <v>0</v>
      </c>
      <c r="I6924" s="2">
        <v>2389.04</v>
      </c>
    </row>
    <row r="6925">
      <c r="A6925" s="1" t="s">
        <v>13842</v>
      </c>
      <c r="B6925" s="2">
        <v>3990.56</v>
      </c>
      <c r="C6925" s="2">
        <v>3990.56</v>
      </c>
      <c r="D6925" s="2">
        <v>11143.74</v>
      </c>
      <c r="E6925" s="2">
        <v>11143.74</v>
      </c>
      <c r="G6925" s="1" t="s">
        <v>13843</v>
      </c>
      <c r="H6925" s="2">
        <v>2373.02</v>
      </c>
      <c r="I6925" s="2">
        <v>2373.02</v>
      </c>
    </row>
    <row r="6926">
      <c r="A6926" s="1" t="s">
        <v>13844</v>
      </c>
      <c r="B6926" s="2">
        <v>4019.65</v>
      </c>
      <c r="C6926" s="2">
        <v>4019.65</v>
      </c>
      <c r="D6926" s="2">
        <v>11256.81</v>
      </c>
      <c r="E6926" s="2">
        <v>11256.81</v>
      </c>
      <c r="G6926" s="1" t="s">
        <v>13845</v>
      </c>
      <c r="H6926" s="2">
        <v>2372.4</v>
      </c>
      <c r="I6926" s="2">
        <v>2372.4</v>
      </c>
    </row>
    <row r="6927">
      <c r="A6927" s="1" t="s">
        <v>13846</v>
      </c>
      <c r="B6927" s="2">
        <v>3995.32</v>
      </c>
      <c r="C6927" s="2">
        <v>3995.32</v>
      </c>
      <c r="D6927" s="2">
        <v>11170.89</v>
      </c>
      <c r="E6927" s="2">
        <v>11170.89</v>
      </c>
      <c r="G6927" s="1" t="s">
        <v>13847</v>
      </c>
      <c r="H6927" s="2">
        <v>2399.25</v>
      </c>
      <c r="I6927" s="2">
        <v>2399.25</v>
      </c>
    </row>
    <row r="6928">
      <c r="A6928" s="1" t="s">
        <v>13848</v>
      </c>
      <c r="B6928" s="2">
        <v>3895.75</v>
      </c>
      <c r="C6928" s="2">
        <v>3895.75</v>
      </c>
      <c r="D6928" s="2">
        <v>10810.53</v>
      </c>
      <c r="E6928" s="2">
        <v>10810.53</v>
      </c>
      <c r="G6928" s="1" t="s">
        <v>13849</v>
      </c>
      <c r="H6928" s="2">
        <v>2360.97</v>
      </c>
      <c r="I6928" s="2">
        <v>2360.97</v>
      </c>
    </row>
    <row r="6929">
      <c r="A6929" s="1" t="s">
        <v>13850</v>
      </c>
      <c r="B6929" s="2">
        <v>3852.36</v>
      </c>
      <c r="C6929" s="2">
        <v>3852.36</v>
      </c>
      <c r="D6929" s="2">
        <v>10705.41</v>
      </c>
      <c r="E6929" s="2">
        <v>10705.41</v>
      </c>
      <c r="G6929" s="1" t="s">
        <v>13851</v>
      </c>
      <c r="H6929" s="2">
        <v>2360.02</v>
      </c>
      <c r="I6929" s="2">
        <v>2360.02</v>
      </c>
    </row>
    <row r="6930">
      <c r="A6930" s="1" t="s">
        <v>13852</v>
      </c>
      <c r="B6930" s="2" t="s">
        <v>0</v>
      </c>
      <c r="C6930" s="2">
        <v>3852.36</v>
      </c>
      <c r="D6930" s="2" t="s">
        <v>0</v>
      </c>
      <c r="E6930" s="2">
        <v>10705.41</v>
      </c>
      <c r="G6930" s="1" t="s">
        <v>13853</v>
      </c>
      <c r="H6930" s="2" t="s">
        <v>0</v>
      </c>
      <c r="I6930" s="2">
        <v>2360.02</v>
      </c>
    </row>
    <row r="6931">
      <c r="A6931" s="1" t="s">
        <v>13854</v>
      </c>
      <c r="B6931" s="2" t="s">
        <v>0</v>
      </c>
      <c r="C6931" s="2">
        <v>3852.36</v>
      </c>
      <c r="D6931" s="2" t="s">
        <v>0</v>
      </c>
      <c r="E6931" s="2">
        <v>10705.41</v>
      </c>
      <c r="G6931" s="1" t="s">
        <v>13855</v>
      </c>
      <c r="H6931" s="2" t="s">
        <v>0</v>
      </c>
      <c r="I6931" s="2">
        <v>2360.02</v>
      </c>
    </row>
    <row r="6932">
      <c r="A6932" s="1" t="s">
        <v>13856</v>
      </c>
      <c r="B6932" s="2">
        <v>3817.66</v>
      </c>
      <c r="C6932" s="2">
        <v>3817.66</v>
      </c>
      <c r="D6932" s="2">
        <v>10546.03</v>
      </c>
      <c r="E6932" s="2">
        <v>10546.03</v>
      </c>
      <c r="G6932" s="1" t="s">
        <v>13857</v>
      </c>
      <c r="H6932" s="2">
        <v>2352.17</v>
      </c>
      <c r="I6932" s="2">
        <v>2352.17</v>
      </c>
    </row>
    <row r="6933">
      <c r="A6933" s="1" t="s">
        <v>13858</v>
      </c>
      <c r="B6933" s="2">
        <v>3821.62</v>
      </c>
      <c r="C6933" s="2">
        <v>3821.62</v>
      </c>
      <c r="D6933" s="2">
        <v>10547.11</v>
      </c>
      <c r="E6933" s="2">
        <v>10547.11</v>
      </c>
      <c r="G6933" s="1" t="s">
        <v>13859</v>
      </c>
      <c r="H6933" s="2">
        <v>2333.29</v>
      </c>
      <c r="I6933" s="2">
        <v>2333.29</v>
      </c>
    </row>
    <row r="6934">
      <c r="A6934" s="1" t="s">
        <v>13860</v>
      </c>
      <c r="B6934" s="2">
        <v>3878.44</v>
      </c>
      <c r="C6934" s="2">
        <v>3878.44</v>
      </c>
      <c r="D6934" s="2">
        <v>10709.37</v>
      </c>
      <c r="E6934" s="2">
        <v>10709.37</v>
      </c>
      <c r="G6934" s="1" t="s">
        <v>13861</v>
      </c>
      <c r="H6934" s="2">
        <v>2328.95</v>
      </c>
      <c r="I6934" s="2">
        <v>2328.95</v>
      </c>
    </row>
    <row r="6935">
      <c r="A6935" s="1" t="s">
        <v>13862</v>
      </c>
      <c r="B6935" s="2">
        <v>3822.39</v>
      </c>
      <c r="C6935" s="2">
        <v>3822.39</v>
      </c>
      <c r="D6935" s="2">
        <v>10476.12</v>
      </c>
      <c r="E6935" s="2">
        <v>10476.12</v>
      </c>
      <c r="G6935" s="1" t="s">
        <v>13863</v>
      </c>
      <c r="H6935" s="2">
        <v>2356.73</v>
      </c>
      <c r="I6935" s="2">
        <v>2356.73</v>
      </c>
    </row>
    <row r="6936">
      <c r="A6936" s="1" t="s">
        <v>13864</v>
      </c>
      <c r="B6936" s="2">
        <v>3844.82</v>
      </c>
      <c r="C6936" s="2">
        <v>3844.82</v>
      </c>
      <c r="D6936" s="2">
        <v>10497.86</v>
      </c>
      <c r="E6936" s="2">
        <v>10497.86</v>
      </c>
      <c r="G6936" s="1" t="s">
        <v>13865</v>
      </c>
      <c r="H6936" s="2">
        <v>2313.69</v>
      </c>
      <c r="I6936" s="2">
        <v>2313.69</v>
      </c>
    </row>
    <row r="6937">
      <c r="A6937" s="1" t="s">
        <v>13866</v>
      </c>
      <c r="B6937" s="2" t="s">
        <v>0</v>
      </c>
      <c r="C6937" s="2">
        <v>3844.82</v>
      </c>
      <c r="D6937" s="2" t="s">
        <v>0</v>
      </c>
      <c r="E6937" s="2">
        <v>10497.86</v>
      </c>
      <c r="G6937" s="1" t="s">
        <v>13867</v>
      </c>
      <c r="H6937" s="2" t="s">
        <v>0</v>
      </c>
      <c r="I6937" s="2">
        <v>2313.69</v>
      </c>
    </row>
    <row r="6938">
      <c r="A6938" s="1" t="s">
        <v>13868</v>
      </c>
      <c r="B6938" s="2" t="s">
        <v>0</v>
      </c>
      <c r="C6938" s="2">
        <v>3844.82</v>
      </c>
      <c r="D6938" s="2" t="s">
        <v>0</v>
      </c>
      <c r="E6938" s="2">
        <v>10497.86</v>
      </c>
      <c r="G6938" s="1" t="s">
        <v>13869</v>
      </c>
      <c r="H6938" s="2" t="s">
        <v>0</v>
      </c>
      <c r="I6938" s="2">
        <v>2313.69</v>
      </c>
    </row>
    <row r="6939">
      <c r="A6939" s="1" t="s">
        <v>13870</v>
      </c>
      <c r="B6939" s="2" t="s">
        <v>0</v>
      </c>
      <c r="C6939" s="2">
        <v>3844.82</v>
      </c>
      <c r="D6939" s="2" t="s">
        <v>0</v>
      </c>
      <c r="E6939" s="2">
        <v>10497.86</v>
      </c>
      <c r="G6939" s="1" t="s">
        <v>13871</v>
      </c>
      <c r="H6939" s="2">
        <v>2317.14</v>
      </c>
      <c r="I6939" s="2">
        <v>2317.14</v>
      </c>
    </row>
    <row r="6940">
      <c r="A6940" s="1" t="s">
        <v>13872</v>
      </c>
      <c r="B6940" s="2">
        <v>3829.25</v>
      </c>
      <c r="C6940" s="2">
        <v>3829.25</v>
      </c>
      <c r="D6940" s="2">
        <v>10353.23</v>
      </c>
      <c r="E6940" s="2">
        <v>10353.23</v>
      </c>
      <c r="G6940" s="1" t="s">
        <v>13873</v>
      </c>
      <c r="H6940" s="2">
        <v>2332.79</v>
      </c>
      <c r="I6940" s="2">
        <v>2332.79</v>
      </c>
    </row>
    <row r="6941">
      <c r="A6941" s="1" t="s">
        <v>13874</v>
      </c>
      <c r="B6941" s="2">
        <v>3783.22</v>
      </c>
      <c r="C6941" s="2">
        <v>3783.22</v>
      </c>
      <c r="D6941" s="2">
        <v>10213.29</v>
      </c>
      <c r="E6941" s="2">
        <v>10213.29</v>
      </c>
      <c r="G6941" s="1" t="s">
        <v>13875</v>
      </c>
      <c r="H6941" s="2">
        <v>2280.45</v>
      </c>
      <c r="I6941" s="2">
        <v>2280.45</v>
      </c>
    </row>
    <row r="6942">
      <c r="A6942" s="1" t="s">
        <v>13876</v>
      </c>
      <c r="B6942" s="2">
        <v>3849.28</v>
      </c>
      <c r="C6942" s="2">
        <v>3849.28</v>
      </c>
      <c r="D6942" s="2">
        <v>10478.09</v>
      </c>
      <c r="E6942" s="2">
        <v>10478.09</v>
      </c>
      <c r="G6942" s="1" t="s">
        <v>13877</v>
      </c>
      <c r="H6942" s="2">
        <v>2236.4</v>
      </c>
      <c r="I6942" s="2">
        <v>2236.4</v>
      </c>
    </row>
    <row r="6943">
      <c r="A6943" s="1" t="s">
        <v>13878</v>
      </c>
      <c r="B6943" s="2">
        <v>3839.5</v>
      </c>
      <c r="C6943" s="2">
        <v>3839.5</v>
      </c>
      <c r="D6943" s="2">
        <v>10466.48</v>
      </c>
      <c r="E6943" s="2">
        <v>10466.48</v>
      </c>
      <c r="G6943" s="1" t="s">
        <v>13879</v>
      </c>
      <c r="H6943" s="2" t="s">
        <v>0</v>
      </c>
      <c r="I6943" s="2">
        <v>2236.4</v>
      </c>
    </row>
    <row r="6944">
      <c r="A6944" s="1" t="s">
        <v>13880</v>
      </c>
      <c r="B6944" s="2" t="s">
        <v>0</v>
      </c>
      <c r="C6944" s="2">
        <v>3839.5</v>
      </c>
      <c r="D6944" s="2" t="s">
        <v>0</v>
      </c>
      <c r="E6944" s="2">
        <v>10466.48</v>
      </c>
      <c r="G6944" s="1" t="s">
        <v>13881</v>
      </c>
      <c r="H6944" s="2" t="s">
        <v>0</v>
      </c>
      <c r="I6944" s="2">
        <v>2236.4</v>
      </c>
    </row>
    <row r="6945">
      <c r="A6945" s="1" t="s">
        <v>13882</v>
      </c>
      <c r="B6945" s="2" t="s">
        <v>0</v>
      </c>
      <c r="C6945" s="2">
        <v>3839.5</v>
      </c>
      <c r="D6945" s="2" t="s">
        <v>0</v>
      </c>
      <c r="E6945" s="2">
        <v>10466.48</v>
      </c>
      <c r="G6945" s="1" t="s">
        <v>13883</v>
      </c>
      <c r="H6945" s="2" t="s">
        <v>0</v>
      </c>
      <c r="I6945" s="2">
        <v>2236.4</v>
      </c>
    </row>
    <row r="6946">
      <c r="A6946" s="1" t="s">
        <v>13884</v>
      </c>
      <c r="B6946" s="2" t="s">
        <v>0</v>
      </c>
      <c r="C6946" s="2">
        <v>3839.5</v>
      </c>
      <c r="D6946" s="2" t="s">
        <v>0</v>
      </c>
      <c r="E6946" s="2">
        <v>10466.48</v>
      </c>
      <c r="G6946" s="1" t="s">
        <v>13885</v>
      </c>
      <c r="H6946" s="2">
        <v>2225.67</v>
      </c>
      <c r="I6946" s="2">
        <v>2225.67</v>
      </c>
    </row>
    <row r="6947">
      <c r="A6947" s="1" t="s">
        <v>13886</v>
      </c>
      <c r="B6947" s="2">
        <v>3824.14</v>
      </c>
      <c r="C6947" s="2">
        <v>3824.14</v>
      </c>
      <c r="D6947" s="2">
        <v>10386.99</v>
      </c>
      <c r="E6947" s="2">
        <v>10386.99</v>
      </c>
      <c r="G6947" s="1" t="s">
        <v>13887</v>
      </c>
      <c r="H6947" s="2">
        <v>2218.68</v>
      </c>
      <c r="I6947" s="2">
        <v>2218.68</v>
      </c>
    </row>
    <row r="6948">
      <c r="A6948" s="1" t="s">
        <v>13888</v>
      </c>
      <c r="B6948" s="2">
        <v>3852.97</v>
      </c>
      <c r="C6948" s="2">
        <v>3852.97</v>
      </c>
      <c r="D6948" s="2">
        <v>10458.76</v>
      </c>
      <c r="E6948" s="2">
        <v>10458.76</v>
      </c>
      <c r="G6948" s="1" t="s">
        <v>13889</v>
      </c>
      <c r="H6948" s="2">
        <v>2255.98</v>
      </c>
      <c r="I6948" s="2">
        <v>2255.98</v>
      </c>
    </row>
    <row r="6949">
      <c r="A6949" s="1" t="s">
        <v>13890</v>
      </c>
      <c r="B6949" s="2">
        <v>3808.1</v>
      </c>
      <c r="C6949" s="2">
        <v>3808.1</v>
      </c>
      <c r="D6949" s="2">
        <v>10305.24</v>
      </c>
      <c r="E6949" s="2">
        <v>10305.24</v>
      </c>
      <c r="G6949" s="1" t="s">
        <v>13891</v>
      </c>
      <c r="H6949" s="2">
        <v>2264.65</v>
      </c>
      <c r="I6949" s="2">
        <v>2264.65</v>
      </c>
    </row>
    <row r="6950">
      <c r="A6950" s="1" t="s">
        <v>13892</v>
      </c>
      <c r="B6950" s="2">
        <v>3895.08</v>
      </c>
      <c r="C6950" s="2">
        <v>3895.08</v>
      </c>
      <c r="D6950" s="2">
        <v>10569.29</v>
      </c>
      <c r="E6950" s="2">
        <v>10569.29</v>
      </c>
      <c r="G6950" s="1" t="s">
        <v>13893</v>
      </c>
      <c r="H6950" s="2">
        <v>2289.97</v>
      </c>
      <c r="I6950" s="2">
        <v>2289.97</v>
      </c>
    </row>
    <row r="6951">
      <c r="A6951" s="1" t="s">
        <v>13894</v>
      </c>
      <c r="B6951" s="2" t="s">
        <v>0</v>
      </c>
      <c r="C6951" s="2">
        <v>3895.08</v>
      </c>
      <c r="D6951" s="2" t="s">
        <v>0</v>
      </c>
      <c r="E6951" s="2">
        <v>10569.29</v>
      </c>
      <c r="G6951" s="1" t="s">
        <v>13895</v>
      </c>
      <c r="H6951" s="2" t="s">
        <v>0</v>
      </c>
      <c r="I6951" s="2">
        <v>2289.97</v>
      </c>
    </row>
    <row r="6952">
      <c r="A6952" s="1" t="s">
        <v>13896</v>
      </c>
      <c r="B6952" s="2" t="s">
        <v>0</v>
      </c>
      <c r="C6952" s="2">
        <v>3895.08</v>
      </c>
      <c r="D6952" s="2" t="s">
        <v>0</v>
      </c>
      <c r="E6952" s="2">
        <v>10569.29</v>
      </c>
      <c r="G6952" s="1" t="s">
        <v>13897</v>
      </c>
      <c r="H6952" s="2" t="s">
        <v>0</v>
      </c>
      <c r="I6952" s="2">
        <v>2289.97</v>
      </c>
    </row>
    <row r="6953">
      <c r="A6953" s="1" t="s">
        <v>13898</v>
      </c>
      <c r="B6953" s="2">
        <v>3892.09</v>
      </c>
      <c r="C6953" s="2">
        <v>3892.09</v>
      </c>
      <c r="D6953" s="2">
        <v>10635.65</v>
      </c>
      <c r="E6953" s="2">
        <v>10635.65</v>
      </c>
      <c r="G6953" s="1" t="s">
        <v>13899</v>
      </c>
      <c r="H6953" s="2">
        <v>2350.19</v>
      </c>
      <c r="I6953" s="2">
        <v>2350.19</v>
      </c>
    </row>
    <row r="6954">
      <c r="A6954" s="1" t="s">
        <v>13900</v>
      </c>
      <c r="B6954" s="2">
        <v>3919.25</v>
      </c>
      <c r="C6954" s="2">
        <v>3919.25</v>
      </c>
      <c r="D6954" s="2">
        <v>10742.63</v>
      </c>
      <c r="E6954" s="2">
        <v>10742.63</v>
      </c>
      <c r="G6954" s="1" t="s">
        <v>13901</v>
      </c>
      <c r="H6954" s="2">
        <v>2351.31</v>
      </c>
      <c r="I6954" s="2">
        <v>2351.31</v>
      </c>
    </row>
    <row r="6955">
      <c r="A6955" s="1" t="s">
        <v>13902</v>
      </c>
      <c r="B6955" s="2">
        <v>3969.61</v>
      </c>
      <c r="C6955" s="2">
        <v>3969.61</v>
      </c>
      <c r="D6955" s="2">
        <v>10931.67</v>
      </c>
      <c r="E6955" s="2">
        <v>10931.67</v>
      </c>
      <c r="G6955" s="1" t="s">
        <v>13903</v>
      </c>
      <c r="H6955" s="2">
        <v>2359.53</v>
      </c>
      <c r="I6955" s="2">
        <v>2359.53</v>
      </c>
    </row>
    <row r="6956">
      <c r="A6956" s="1" t="s">
        <v>13904</v>
      </c>
      <c r="B6956" s="2">
        <v>3983.17</v>
      </c>
      <c r="C6956" s="2">
        <v>3983.17</v>
      </c>
      <c r="D6956" s="2">
        <v>11001.11</v>
      </c>
      <c r="E6956" s="2">
        <v>11001.11</v>
      </c>
      <c r="G6956" s="1" t="s">
        <v>13905</v>
      </c>
      <c r="H6956" s="2">
        <v>2365.1</v>
      </c>
      <c r="I6956" s="2">
        <v>2365.1</v>
      </c>
    </row>
    <row r="6957">
      <c r="A6957" s="1" t="s">
        <v>13906</v>
      </c>
      <c r="B6957" s="2">
        <v>3999.09</v>
      </c>
      <c r="C6957" s="2">
        <v>3999.09</v>
      </c>
      <c r="D6957" s="2">
        <v>11079.16</v>
      </c>
      <c r="E6957" s="2">
        <v>11079.16</v>
      </c>
      <c r="G6957" s="1" t="s">
        <v>13907</v>
      </c>
      <c r="H6957" s="2">
        <v>2386.09</v>
      </c>
      <c r="I6957" s="2">
        <v>2386.09</v>
      </c>
    </row>
    <row r="6958">
      <c r="A6958" s="1" t="s">
        <v>13908</v>
      </c>
      <c r="B6958" s="2" t="s">
        <v>0</v>
      </c>
      <c r="C6958" s="2">
        <v>3999.09</v>
      </c>
      <c r="D6958" s="2" t="s">
        <v>0</v>
      </c>
      <c r="E6958" s="2">
        <v>11079.16</v>
      </c>
      <c r="G6958" s="1" t="s">
        <v>13909</v>
      </c>
      <c r="H6958" s="2" t="s">
        <v>0</v>
      </c>
      <c r="I6958" s="2">
        <v>2386.09</v>
      </c>
    </row>
    <row r="6959">
      <c r="A6959" s="1" t="s">
        <v>13910</v>
      </c>
      <c r="B6959" s="2" t="s">
        <v>0</v>
      </c>
      <c r="C6959" s="2">
        <v>3999.09</v>
      </c>
      <c r="D6959" s="2" t="s">
        <v>0</v>
      </c>
      <c r="E6959" s="2">
        <v>11079.16</v>
      </c>
      <c r="G6959" s="1" t="s">
        <v>13911</v>
      </c>
      <c r="H6959" s="2" t="s">
        <v>0</v>
      </c>
      <c r="I6959" s="2">
        <v>2386.09</v>
      </c>
    </row>
    <row r="6960">
      <c r="A6960" s="1" t="s">
        <v>13912</v>
      </c>
      <c r="B6960" s="2" t="s">
        <v>0</v>
      </c>
      <c r="C6960" s="2">
        <v>3999.09</v>
      </c>
      <c r="D6960" s="2" t="s">
        <v>0</v>
      </c>
      <c r="E6960" s="2">
        <v>11079.16</v>
      </c>
      <c r="G6960" s="1" t="s">
        <v>13913</v>
      </c>
      <c r="H6960" s="2">
        <v>2399.86</v>
      </c>
      <c r="I6960" s="2">
        <v>2399.86</v>
      </c>
    </row>
    <row r="6961">
      <c r="A6961" s="1" t="s">
        <v>13914</v>
      </c>
      <c r="B6961" s="2">
        <v>3990.97</v>
      </c>
      <c r="C6961" s="2">
        <v>3990.97</v>
      </c>
      <c r="D6961" s="2">
        <v>11095.11</v>
      </c>
      <c r="E6961" s="2">
        <v>11095.11</v>
      </c>
      <c r="G6961" s="1" t="s">
        <v>13915</v>
      </c>
      <c r="H6961" s="2">
        <v>2379.39</v>
      </c>
      <c r="I6961" s="2">
        <v>2379.39</v>
      </c>
    </row>
    <row r="6962">
      <c r="A6962" s="1" t="s">
        <v>13916</v>
      </c>
      <c r="B6962" s="2">
        <v>3928.86</v>
      </c>
      <c r="C6962" s="2">
        <v>3928.86</v>
      </c>
      <c r="D6962" s="2">
        <v>10957.01</v>
      </c>
      <c r="E6962" s="2">
        <v>10957.01</v>
      </c>
      <c r="G6962" s="1" t="s">
        <v>13917</v>
      </c>
      <c r="H6962" s="2">
        <v>2368.32</v>
      </c>
      <c r="I6962" s="2">
        <v>2368.32</v>
      </c>
    </row>
    <row r="6963">
      <c r="A6963" s="1" t="s">
        <v>13918</v>
      </c>
      <c r="B6963" s="2">
        <v>3898.85</v>
      </c>
      <c r="C6963" s="2">
        <v>3898.85</v>
      </c>
      <c r="D6963" s="2">
        <v>10852.27</v>
      </c>
      <c r="E6963" s="2">
        <v>10852.27</v>
      </c>
      <c r="G6963" s="1" t="s">
        <v>13919</v>
      </c>
      <c r="H6963" s="2">
        <v>2380.34</v>
      </c>
      <c r="I6963" s="2">
        <v>2380.34</v>
      </c>
    </row>
    <row r="6964">
      <c r="A6964" s="1" t="s">
        <v>13920</v>
      </c>
      <c r="B6964" s="2">
        <v>3972.61</v>
      </c>
      <c r="C6964" s="2">
        <v>3972.61</v>
      </c>
      <c r="D6964" s="2">
        <v>11140.43</v>
      </c>
      <c r="E6964" s="2">
        <v>11140.43</v>
      </c>
      <c r="G6964" s="1" t="s">
        <v>13921</v>
      </c>
      <c r="H6964" s="2">
        <v>2395.26</v>
      </c>
      <c r="I6964" s="2">
        <v>2395.26</v>
      </c>
    </row>
    <row r="6965">
      <c r="A6965" s="1" t="s">
        <v>13922</v>
      </c>
      <c r="B6965" s="2" t="s">
        <v>0</v>
      </c>
      <c r="C6965" s="2">
        <v>3972.61</v>
      </c>
      <c r="D6965" s="2" t="s">
        <v>0</v>
      </c>
      <c r="E6965" s="2">
        <v>11140.43</v>
      </c>
      <c r="G6965" s="1" t="s">
        <v>13923</v>
      </c>
      <c r="H6965" s="2" t="s">
        <v>0</v>
      </c>
      <c r="I6965" s="2">
        <v>2395.26</v>
      </c>
    </row>
    <row r="6966">
      <c r="A6966" s="1" t="s">
        <v>13924</v>
      </c>
      <c r="B6966" s="2" t="s">
        <v>0</v>
      </c>
      <c r="C6966" s="2">
        <v>3972.61</v>
      </c>
      <c r="D6966" s="2" t="s">
        <v>0</v>
      </c>
      <c r="E6966" s="2">
        <v>11140.43</v>
      </c>
      <c r="G6966" s="1" t="s">
        <v>13925</v>
      </c>
      <c r="H6966" s="2" t="s">
        <v>0</v>
      </c>
      <c r="I6966" s="2">
        <v>2395.26</v>
      </c>
    </row>
    <row r="6967">
      <c r="A6967" s="1" t="s">
        <v>13926</v>
      </c>
      <c r="B6967" s="2">
        <v>4019.81</v>
      </c>
      <c r="C6967" s="2">
        <v>4019.81</v>
      </c>
      <c r="D6967" s="2">
        <v>11364.41</v>
      </c>
      <c r="E6967" s="2">
        <v>11364.41</v>
      </c>
      <c r="G6967" s="1" t="s">
        <v>13927</v>
      </c>
      <c r="H6967" s="2" t="s">
        <v>0</v>
      </c>
      <c r="I6967" s="2">
        <v>2395.26</v>
      </c>
    </row>
    <row r="6968">
      <c r="A6968" s="1" t="s">
        <v>13928</v>
      </c>
      <c r="B6968" s="2">
        <v>4016.95</v>
      </c>
      <c r="C6968" s="2">
        <v>4016.95</v>
      </c>
      <c r="D6968" s="2">
        <v>11334.27</v>
      </c>
      <c r="E6968" s="2">
        <v>11334.27</v>
      </c>
      <c r="G6968" s="1" t="s">
        <v>13929</v>
      </c>
      <c r="H6968" s="2" t="s">
        <v>0</v>
      </c>
      <c r="I6968" s="2">
        <v>2395.26</v>
      </c>
    </row>
    <row r="6969">
      <c r="A6969" s="1" t="s">
        <v>13930</v>
      </c>
      <c r="B6969" s="2">
        <v>4016.22</v>
      </c>
      <c r="C6969" s="2">
        <v>4016.22</v>
      </c>
      <c r="D6969" s="2">
        <v>11313.36</v>
      </c>
      <c r="E6969" s="2">
        <v>11313.36</v>
      </c>
      <c r="G6969" s="1" t="s">
        <v>13931</v>
      </c>
      <c r="H6969" s="2">
        <v>2428.57</v>
      </c>
      <c r="I6969" s="2">
        <v>2428.57</v>
      </c>
    </row>
    <row r="6970">
      <c r="A6970" s="1" t="s">
        <v>13932</v>
      </c>
      <c r="B6970" s="2">
        <v>4060.43</v>
      </c>
      <c r="C6970" s="2">
        <v>4060.43</v>
      </c>
      <c r="D6970" s="2">
        <v>11512.41</v>
      </c>
      <c r="E6970" s="2">
        <v>11512.41</v>
      </c>
      <c r="G6970" s="1" t="s">
        <v>13933</v>
      </c>
      <c r="H6970" s="2">
        <v>2468.65</v>
      </c>
      <c r="I6970" s="2">
        <v>2468.65</v>
      </c>
    </row>
    <row r="6971">
      <c r="A6971" s="1" t="s">
        <v>13934</v>
      </c>
      <c r="B6971" s="2">
        <v>4070.56</v>
      </c>
      <c r="C6971" s="2">
        <v>4070.56</v>
      </c>
      <c r="D6971" s="2">
        <v>11621.71</v>
      </c>
      <c r="E6971" s="2">
        <v>11621.71</v>
      </c>
      <c r="G6971" s="1" t="s">
        <v>13935</v>
      </c>
      <c r="H6971" s="2">
        <v>2484.02</v>
      </c>
      <c r="I6971" s="2">
        <v>2484.02</v>
      </c>
    </row>
    <row r="6972">
      <c r="A6972" s="1" t="s">
        <v>13936</v>
      </c>
      <c r="B6972" s="2" t="s">
        <v>0</v>
      </c>
      <c r="C6972" s="2">
        <v>4070.56</v>
      </c>
      <c r="D6972" s="2" t="s">
        <v>0</v>
      </c>
      <c r="E6972" s="2">
        <v>11621.71</v>
      </c>
      <c r="G6972" s="1" t="s">
        <v>13937</v>
      </c>
      <c r="H6972" s="2" t="s">
        <v>0</v>
      </c>
      <c r="I6972" s="2">
        <v>2484.02</v>
      </c>
    </row>
    <row r="6973">
      <c r="A6973" s="1" t="s">
        <v>13938</v>
      </c>
      <c r="B6973" s="2" t="s">
        <v>0</v>
      </c>
      <c r="C6973" s="2">
        <v>4070.56</v>
      </c>
      <c r="D6973" s="2" t="s">
        <v>0</v>
      </c>
      <c r="E6973" s="2">
        <v>11621.71</v>
      </c>
      <c r="G6973" s="1" t="s">
        <v>13939</v>
      </c>
      <c r="H6973" s="2" t="s">
        <v>0</v>
      </c>
      <c r="I6973" s="2">
        <v>2484.02</v>
      </c>
    </row>
    <row r="6974">
      <c r="A6974" s="1" t="s">
        <v>13940</v>
      </c>
      <c r="B6974" s="2">
        <v>4017.77</v>
      </c>
      <c r="C6974" s="2">
        <v>4017.77</v>
      </c>
      <c r="D6974" s="2">
        <v>11393.81</v>
      </c>
      <c r="E6974" s="2">
        <v>11393.81</v>
      </c>
      <c r="G6974" s="1" t="s">
        <v>13941</v>
      </c>
      <c r="H6974" s="2">
        <v>2450.47</v>
      </c>
      <c r="I6974" s="2">
        <v>2450.47</v>
      </c>
    </row>
    <row r="6975">
      <c r="A6975" s="1" t="s">
        <v>13942</v>
      </c>
      <c r="B6975" s="2">
        <v>4076.6</v>
      </c>
      <c r="C6975" s="2">
        <v>4076.6</v>
      </c>
      <c r="D6975" s="2">
        <v>11584.55</v>
      </c>
      <c r="E6975" s="2">
        <v>11584.55</v>
      </c>
      <c r="G6975" s="1" t="s">
        <v>13943</v>
      </c>
      <c r="H6975" s="2">
        <v>2425.08</v>
      </c>
      <c r="I6975" s="2">
        <v>2425.08</v>
      </c>
    </row>
    <row r="6976">
      <c r="A6976" s="1" t="s">
        <v>13944</v>
      </c>
      <c r="B6976" s="2">
        <v>4119.21</v>
      </c>
      <c r="C6976" s="2">
        <v>4119.21</v>
      </c>
      <c r="D6976" s="2">
        <v>11816.32</v>
      </c>
      <c r="E6976" s="2">
        <v>11816.32</v>
      </c>
      <c r="G6976" s="1" t="s">
        <v>13945</v>
      </c>
      <c r="H6976" s="2">
        <v>2449.8</v>
      </c>
      <c r="I6976" s="2">
        <v>2449.8</v>
      </c>
    </row>
    <row r="6977">
      <c r="A6977" s="1" t="s">
        <v>13946</v>
      </c>
      <c r="B6977" s="2">
        <v>4179.76</v>
      </c>
      <c r="C6977" s="2">
        <v>4179.76</v>
      </c>
      <c r="D6977" s="2">
        <v>12200.82</v>
      </c>
      <c r="E6977" s="2">
        <v>12200.82</v>
      </c>
      <c r="G6977" s="1" t="s">
        <v>13947</v>
      </c>
      <c r="H6977" s="2">
        <v>2468.88</v>
      </c>
      <c r="I6977" s="2">
        <v>2468.88</v>
      </c>
    </row>
    <row r="6978">
      <c r="A6978" s="1" t="s">
        <v>13948</v>
      </c>
      <c r="B6978" s="2">
        <v>4136.48</v>
      </c>
      <c r="C6978" s="2">
        <v>4136.48</v>
      </c>
      <c r="D6978" s="2">
        <v>12006.96</v>
      </c>
      <c r="E6978" s="2">
        <v>12006.96</v>
      </c>
      <c r="G6978" s="1" t="s">
        <v>13949</v>
      </c>
      <c r="H6978" s="2">
        <v>2480.4</v>
      </c>
      <c r="I6978" s="2">
        <v>2480.4</v>
      </c>
    </row>
    <row r="6979">
      <c r="A6979" s="1" t="s">
        <v>13950</v>
      </c>
      <c r="B6979" s="2" t="s">
        <v>0</v>
      </c>
      <c r="C6979" s="2">
        <v>4136.48</v>
      </c>
      <c r="D6979" s="2" t="s">
        <v>0</v>
      </c>
      <c r="E6979" s="2">
        <v>12006.96</v>
      </c>
      <c r="G6979" s="1" t="s">
        <v>13951</v>
      </c>
      <c r="H6979" s="2" t="s">
        <v>0</v>
      </c>
      <c r="I6979" s="2">
        <v>2480.4</v>
      </c>
    </row>
    <row r="6980">
      <c r="A6980" s="1" t="s">
        <v>13952</v>
      </c>
      <c r="B6980" s="2" t="s">
        <v>0</v>
      </c>
      <c r="C6980" s="2">
        <v>4136.48</v>
      </c>
      <c r="D6980" s="2" t="s">
        <v>0</v>
      </c>
      <c r="E6980" s="2">
        <v>12006.96</v>
      </c>
      <c r="G6980" s="1" t="s">
        <v>13953</v>
      </c>
      <c r="H6980" s="2" t="s">
        <v>0</v>
      </c>
      <c r="I6980" s="2">
        <v>2480.4</v>
      </c>
    </row>
    <row r="6981">
      <c r="A6981" s="1" t="s">
        <v>13954</v>
      </c>
      <c r="B6981" s="2">
        <v>4111.08</v>
      </c>
      <c r="C6981" s="2">
        <v>4111.08</v>
      </c>
      <c r="D6981" s="2">
        <v>11887.45</v>
      </c>
      <c r="E6981" s="2">
        <v>11887.45</v>
      </c>
      <c r="G6981" s="1" t="s">
        <v>13955</v>
      </c>
      <c r="H6981" s="2">
        <v>2438.19</v>
      </c>
      <c r="I6981" s="2">
        <v>2438.19</v>
      </c>
    </row>
    <row r="6982">
      <c r="A6982" s="1" t="s">
        <v>13956</v>
      </c>
      <c r="B6982" s="2">
        <v>4164.0</v>
      </c>
      <c r="C6982" s="2">
        <v>4164.0</v>
      </c>
      <c r="D6982" s="2">
        <v>12113.79</v>
      </c>
      <c r="E6982" s="2">
        <v>12113.79</v>
      </c>
      <c r="G6982" s="1" t="s">
        <v>13957</v>
      </c>
      <c r="H6982" s="2">
        <v>2451.71</v>
      </c>
      <c r="I6982" s="2">
        <v>2451.71</v>
      </c>
    </row>
    <row r="6983">
      <c r="A6983" s="1" t="s">
        <v>13958</v>
      </c>
      <c r="B6983" s="2">
        <v>4117.86</v>
      </c>
      <c r="C6983" s="2">
        <v>4117.86</v>
      </c>
      <c r="D6983" s="2">
        <v>11910.52</v>
      </c>
      <c r="E6983" s="2">
        <v>11910.52</v>
      </c>
      <c r="G6983" s="1" t="s">
        <v>13959</v>
      </c>
      <c r="H6983" s="2">
        <v>2483.64</v>
      </c>
      <c r="I6983" s="2">
        <v>2483.64</v>
      </c>
    </row>
    <row r="6984">
      <c r="A6984" s="1" t="s">
        <v>13960</v>
      </c>
      <c r="B6984" s="2">
        <v>4081.5</v>
      </c>
      <c r="C6984" s="2">
        <v>4081.5</v>
      </c>
      <c r="D6984" s="2">
        <v>11789.58</v>
      </c>
      <c r="E6984" s="2">
        <v>11789.58</v>
      </c>
      <c r="G6984" s="1" t="s">
        <v>13961</v>
      </c>
      <c r="H6984" s="2">
        <v>2481.52</v>
      </c>
      <c r="I6984" s="2">
        <v>2481.52</v>
      </c>
    </row>
    <row r="6985">
      <c r="A6985" s="1" t="s">
        <v>13962</v>
      </c>
      <c r="B6985" s="2">
        <v>4090.46</v>
      </c>
      <c r="C6985" s="2">
        <v>4090.46</v>
      </c>
      <c r="D6985" s="2">
        <v>11718.12</v>
      </c>
      <c r="E6985" s="2">
        <v>11718.12</v>
      </c>
      <c r="G6985" s="1" t="s">
        <v>13963</v>
      </c>
      <c r="H6985" s="2">
        <v>2469.73</v>
      </c>
      <c r="I6985" s="2">
        <v>2469.73</v>
      </c>
    </row>
    <row r="6986">
      <c r="A6986" s="1" t="s">
        <v>13964</v>
      </c>
      <c r="B6986" s="2" t="s">
        <v>0</v>
      </c>
      <c r="C6986" s="2">
        <v>4090.46</v>
      </c>
      <c r="D6986" s="2" t="s">
        <v>0</v>
      </c>
      <c r="E6986" s="2">
        <v>11718.12</v>
      </c>
      <c r="G6986" s="1" t="s">
        <v>13965</v>
      </c>
      <c r="H6986" s="2" t="s">
        <v>0</v>
      </c>
      <c r="I6986" s="2">
        <v>2469.73</v>
      </c>
    </row>
    <row r="6987">
      <c r="A6987" s="1" t="s">
        <v>13966</v>
      </c>
      <c r="B6987" s="2" t="s">
        <v>0</v>
      </c>
      <c r="C6987" s="2">
        <v>4090.46</v>
      </c>
      <c r="D6987" s="2" t="s">
        <v>0</v>
      </c>
      <c r="E6987" s="2">
        <v>11718.12</v>
      </c>
      <c r="G6987" s="1" t="s">
        <v>13967</v>
      </c>
      <c r="H6987" s="2" t="s">
        <v>0</v>
      </c>
      <c r="I6987" s="2">
        <v>2469.73</v>
      </c>
    </row>
    <row r="6988">
      <c r="A6988" s="1" t="s">
        <v>13968</v>
      </c>
      <c r="B6988" s="2">
        <v>4137.29</v>
      </c>
      <c r="C6988" s="2">
        <v>4137.29</v>
      </c>
      <c r="D6988" s="2">
        <v>11891.79</v>
      </c>
      <c r="E6988" s="2">
        <v>11891.79</v>
      </c>
      <c r="G6988" s="1" t="s">
        <v>13969</v>
      </c>
      <c r="H6988" s="2">
        <v>2452.7</v>
      </c>
      <c r="I6988" s="2">
        <v>2452.7</v>
      </c>
    </row>
    <row r="6989">
      <c r="A6989" s="1" t="s">
        <v>13970</v>
      </c>
      <c r="B6989" s="2">
        <v>4136.13</v>
      </c>
      <c r="C6989" s="2">
        <v>4136.13</v>
      </c>
      <c r="D6989" s="2">
        <v>11960.15</v>
      </c>
      <c r="E6989" s="2">
        <v>11960.15</v>
      </c>
      <c r="G6989" s="1" t="s">
        <v>13971</v>
      </c>
      <c r="H6989" s="2">
        <v>2465.64</v>
      </c>
      <c r="I6989" s="2">
        <v>2465.64</v>
      </c>
    </row>
    <row r="6990">
      <c r="A6990" s="1" t="s">
        <v>13972</v>
      </c>
      <c r="B6990" s="2">
        <v>4147.6</v>
      </c>
      <c r="C6990" s="2">
        <v>4147.6</v>
      </c>
      <c r="D6990" s="2">
        <v>12070.59</v>
      </c>
      <c r="E6990" s="2">
        <v>12070.59</v>
      </c>
      <c r="G6990" s="1" t="s">
        <v>13973</v>
      </c>
      <c r="H6990" s="2">
        <v>2427.9</v>
      </c>
      <c r="I6990" s="2">
        <v>2427.9</v>
      </c>
    </row>
    <row r="6991">
      <c r="A6991" s="1" t="s">
        <v>13974</v>
      </c>
      <c r="B6991" s="2">
        <v>4090.41</v>
      </c>
      <c r="C6991" s="2">
        <v>4090.41</v>
      </c>
      <c r="D6991" s="2">
        <v>11855.83</v>
      </c>
      <c r="E6991" s="2">
        <v>11855.83</v>
      </c>
      <c r="G6991" s="1" t="s">
        <v>13975</v>
      </c>
      <c r="H6991" s="2">
        <v>2475.48</v>
      </c>
      <c r="I6991" s="2">
        <v>2475.48</v>
      </c>
    </row>
    <row r="6992">
      <c r="A6992" s="1" t="s">
        <v>13976</v>
      </c>
      <c r="B6992" s="2">
        <v>4079.09</v>
      </c>
      <c r="C6992" s="2">
        <v>4079.09</v>
      </c>
      <c r="D6992" s="2">
        <v>11787.27</v>
      </c>
      <c r="E6992" s="2">
        <v>11787.27</v>
      </c>
      <c r="G6992" s="1" t="s">
        <v>13977</v>
      </c>
      <c r="H6992" s="2">
        <v>2451.21</v>
      </c>
      <c r="I6992" s="2">
        <v>2451.21</v>
      </c>
    </row>
    <row r="6993">
      <c r="A6993" s="1" t="s">
        <v>13978</v>
      </c>
      <c r="B6993" s="2" t="s">
        <v>0</v>
      </c>
      <c r="C6993" s="2">
        <v>4079.09</v>
      </c>
      <c r="D6993" s="2" t="s">
        <v>0</v>
      </c>
      <c r="E6993" s="2">
        <v>11787.27</v>
      </c>
      <c r="G6993" s="1" t="s">
        <v>13979</v>
      </c>
      <c r="H6993" s="2" t="s">
        <v>0</v>
      </c>
      <c r="I6993" s="2">
        <v>2451.21</v>
      </c>
    </row>
    <row r="6994">
      <c r="A6994" s="1" t="s">
        <v>13980</v>
      </c>
      <c r="B6994" s="2" t="s">
        <v>0</v>
      </c>
      <c r="C6994" s="2">
        <v>4079.09</v>
      </c>
      <c r="D6994" s="2" t="s">
        <v>0</v>
      </c>
      <c r="E6994" s="2">
        <v>11787.27</v>
      </c>
      <c r="G6994" s="1" t="s">
        <v>13981</v>
      </c>
      <c r="H6994" s="2" t="s">
        <v>0</v>
      </c>
      <c r="I6994" s="2">
        <v>2451.21</v>
      </c>
    </row>
    <row r="6995">
      <c r="A6995" s="1" t="s">
        <v>13982</v>
      </c>
      <c r="B6995" s="2" t="s">
        <v>0</v>
      </c>
      <c r="C6995" s="2">
        <v>4079.09</v>
      </c>
      <c r="D6995" s="2" t="s">
        <v>0</v>
      </c>
      <c r="E6995" s="2">
        <v>11787.27</v>
      </c>
      <c r="G6995" s="1" t="s">
        <v>13983</v>
      </c>
      <c r="H6995" s="2">
        <v>2455.12</v>
      </c>
      <c r="I6995" s="2">
        <v>2455.12</v>
      </c>
    </row>
    <row r="6996">
      <c r="A6996" s="1" t="s">
        <v>13984</v>
      </c>
      <c r="B6996" s="2">
        <v>3997.34</v>
      </c>
      <c r="C6996" s="2">
        <v>3997.34</v>
      </c>
      <c r="D6996" s="2">
        <v>11492.3</v>
      </c>
      <c r="E6996" s="2">
        <v>11492.3</v>
      </c>
      <c r="G6996" s="1" t="s">
        <v>13985</v>
      </c>
      <c r="H6996" s="2">
        <v>2458.96</v>
      </c>
      <c r="I6996" s="2">
        <v>2458.96</v>
      </c>
    </row>
    <row r="6997">
      <c r="A6997" s="1" t="s">
        <v>13986</v>
      </c>
      <c r="B6997" s="2">
        <v>3991.05</v>
      </c>
      <c r="C6997" s="2">
        <v>3991.05</v>
      </c>
      <c r="D6997" s="2">
        <v>11507.07</v>
      </c>
      <c r="E6997" s="2">
        <v>11507.07</v>
      </c>
      <c r="G6997" s="1" t="s">
        <v>13987</v>
      </c>
      <c r="H6997" s="2">
        <v>2417.68</v>
      </c>
      <c r="I6997" s="2">
        <v>2417.68</v>
      </c>
    </row>
    <row r="6998">
      <c r="A6998" s="1" t="s">
        <v>13988</v>
      </c>
      <c r="B6998" s="2">
        <v>4012.32</v>
      </c>
      <c r="C6998" s="2">
        <v>4012.32</v>
      </c>
      <c r="D6998" s="2">
        <v>11590.4</v>
      </c>
      <c r="E6998" s="2">
        <v>11590.4</v>
      </c>
      <c r="G6998" s="1" t="s">
        <v>13989</v>
      </c>
      <c r="H6998" s="2">
        <v>2439.09</v>
      </c>
      <c r="I6998" s="2">
        <v>2439.09</v>
      </c>
    </row>
    <row r="6999">
      <c r="A6999" s="1" t="s">
        <v>13990</v>
      </c>
      <c r="B6999" s="2">
        <v>3970.04</v>
      </c>
      <c r="C6999" s="2">
        <v>3970.04</v>
      </c>
      <c r="D6999" s="2">
        <v>11394.94</v>
      </c>
      <c r="E6999" s="2">
        <v>11394.94</v>
      </c>
      <c r="G6999" s="1" t="s">
        <v>13991</v>
      </c>
      <c r="H6999" s="2">
        <v>2423.61</v>
      </c>
      <c r="I6999" s="2">
        <v>2423.61</v>
      </c>
    </row>
    <row r="7000">
      <c r="A7000" s="1" t="s">
        <v>13992</v>
      </c>
      <c r="B7000" s="2" t="s">
        <v>0</v>
      </c>
      <c r="C7000" s="2">
        <v>3970.04</v>
      </c>
      <c r="D7000" s="2" t="s">
        <v>0</v>
      </c>
      <c r="E7000" s="2">
        <v>11394.94</v>
      </c>
      <c r="G7000" s="1" t="s">
        <v>13993</v>
      </c>
      <c r="H7000" s="2" t="s">
        <v>0</v>
      </c>
      <c r="I7000" s="2">
        <v>2423.61</v>
      </c>
    </row>
    <row r="7001">
      <c r="A7001" s="1" t="s">
        <v>13994</v>
      </c>
      <c r="B7001" s="2" t="s">
        <v>0</v>
      </c>
      <c r="C7001" s="2">
        <v>3970.04</v>
      </c>
      <c r="D7001" s="2" t="s">
        <v>0</v>
      </c>
      <c r="E7001" s="2">
        <v>11394.94</v>
      </c>
      <c r="G7001" s="1" t="s">
        <v>13995</v>
      </c>
      <c r="H7001" s="2" t="s">
        <v>0</v>
      </c>
      <c r="I7001" s="2">
        <v>2423.61</v>
      </c>
    </row>
    <row r="7002">
      <c r="A7002" s="1" t="s">
        <v>13996</v>
      </c>
      <c r="B7002" s="2">
        <v>3982.24</v>
      </c>
      <c r="C7002" s="2">
        <v>3982.24</v>
      </c>
      <c r="D7002" s="2">
        <v>11466.98</v>
      </c>
      <c r="E7002" s="2">
        <v>11466.98</v>
      </c>
      <c r="G7002" s="1" t="s">
        <v>13997</v>
      </c>
      <c r="H7002" s="2">
        <v>2402.64</v>
      </c>
      <c r="I7002" s="2">
        <v>2402.64</v>
      </c>
    </row>
    <row r="7003">
      <c r="A7003" s="1" t="s">
        <v>13998</v>
      </c>
      <c r="B7003" s="2">
        <v>3970.15</v>
      </c>
      <c r="C7003" s="2">
        <v>3970.15</v>
      </c>
      <c r="D7003" s="2">
        <v>11455.54</v>
      </c>
      <c r="E7003" s="2">
        <v>11455.54</v>
      </c>
      <c r="G7003" s="1" t="s">
        <v>13999</v>
      </c>
      <c r="H7003" s="2">
        <v>2412.85</v>
      </c>
      <c r="I7003" s="2">
        <v>2412.85</v>
      </c>
    </row>
    <row r="7004">
      <c r="A7004" s="1" t="s">
        <v>14000</v>
      </c>
      <c r="B7004" s="2">
        <v>3951.39</v>
      </c>
      <c r="C7004" s="2">
        <v>3951.39</v>
      </c>
      <c r="D7004" s="2">
        <v>11379.48</v>
      </c>
      <c r="E7004" s="2">
        <v>11379.48</v>
      </c>
      <c r="G7004" s="1" t="s">
        <v>14001</v>
      </c>
      <c r="H7004" s="2" t="s">
        <v>0</v>
      </c>
      <c r="I7004" s="2">
        <v>2412.85</v>
      </c>
    </row>
    <row r="7005">
      <c r="A7005" s="1" t="s">
        <v>14002</v>
      </c>
      <c r="B7005" s="2">
        <v>3981.35</v>
      </c>
      <c r="C7005" s="2">
        <v>3981.35</v>
      </c>
      <c r="D7005" s="2">
        <v>11462.98</v>
      </c>
      <c r="E7005" s="2">
        <v>11462.98</v>
      </c>
      <c r="G7005" s="1" t="s">
        <v>14003</v>
      </c>
      <c r="H7005" s="2">
        <v>2427.85</v>
      </c>
      <c r="I7005" s="2">
        <v>2427.85</v>
      </c>
    </row>
    <row r="7006">
      <c r="A7006" s="1" t="s">
        <v>14004</v>
      </c>
      <c r="B7006" s="2">
        <v>4045.64</v>
      </c>
      <c r="C7006" s="2">
        <v>4045.64</v>
      </c>
      <c r="D7006" s="2">
        <v>11689.01</v>
      </c>
      <c r="E7006" s="2">
        <v>11689.01</v>
      </c>
      <c r="G7006" s="1" t="s">
        <v>14005</v>
      </c>
      <c r="H7006" s="2">
        <v>2432.07</v>
      </c>
      <c r="I7006" s="2">
        <v>2432.07</v>
      </c>
    </row>
    <row r="7007">
      <c r="A7007" s="1" t="s">
        <v>14006</v>
      </c>
      <c r="B7007" s="2" t="s">
        <v>0</v>
      </c>
      <c r="C7007" s="2">
        <v>4045.64</v>
      </c>
      <c r="D7007" s="2" t="s">
        <v>0</v>
      </c>
      <c r="E7007" s="2">
        <v>11689.01</v>
      </c>
      <c r="G7007" s="1" t="s">
        <v>14007</v>
      </c>
      <c r="H7007" s="2" t="s">
        <v>0</v>
      </c>
      <c r="I7007" s="2">
        <v>2432.07</v>
      </c>
    </row>
    <row r="7008">
      <c r="A7008" s="1" t="s">
        <v>14008</v>
      </c>
      <c r="B7008" s="2" t="s">
        <v>0</v>
      </c>
      <c r="C7008" s="2">
        <v>4045.64</v>
      </c>
      <c r="D7008" s="2" t="s">
        <v>0</v>
      </c>
      <c r="E7008" s="2">
        <v>11689.01</v>
      </c>
      <c r="G7008" s="1" t="s">
        <v>14009</v>
      </c>
      <c r="H7008" s="2" t="s">
        <v>0</v>
      </c>
      <c r="I7008" s="2">
        <v>2432.07</v>
      </c>
    </row>
    <row r="7009">
      <c r="A7009" s="1" t="s">
        <v>14010</v>
      </c>
      <c r="B7009" s="2">
        <v>4048.42</v>
      </c>
      <c r="C7009" s="2">
        <v>4048.42</v>
      </c>
      <c r="D7009" s="2">
        <v>11675.74</v>
      </c>
      <c r="E7009" s="2">
        <v>11675.74</v>
      </c>
      <c r="G7009" s="1" t="s">
        <v>14011</v>
      </c>
      <c r="H7009" s="2">
        <v>2462.62</v>
      </c>
      <c r="I7009" s="2">
        <v>2462.62</v>
      </c>
    </row>
    <row r="7010">
      <c r="A7010" s="1" t="s">
        <v>14012</v>
      </c>
      <c r="B7010" s="2">
        <v>3986.37</v>
      </c>
      <c r="C7010" s="2">
        <v>3986.37</v>
      </c>
      <c r="D7010" s="2">
        <v>11530.33</v>
      </c>
      <c r="E7010" s="2">
        <v>11530.33</v>
      </c>
      <c r="G7010" s="1" t="s">
        <v>14013</v>
      </c>
      <c r="H7010" s="2">
        <v>2463.35</v>
      </c>
      <c r="I7010" s="2">
        <v>2463.35</v>
      </c>
    </row>
    <row r="7011">
      <c r="A7011" s="1" t="s">
        <v>14014</v>
      </c>
      <c r="B7011" s="2">
        <v>3992.01</v>
      </c>
      <c r="C7011" s="2">
        <v>3992.01</v>
      </c>
      <c r="D7011" s="2">
        <v>11576.0</v>
      </c>
      <c r="E7011" s="2">
        <v>11576.0</v>
      </c>
      <c r="G7011" s="1" t="s">
        <v>14015</v>
      </c>
      <c r="H7011" s="2">
        <v>2431.91</v>
      </c>
      <c r="I7011" s="2">
        <v>2431.91</v>
      </c>
    </row>
    <row r="7012">
      <c r="A7012" s="1" t="s">
        <v>14016</v>
      </c>
      <c r="B7012" s="2">
        <v>3918.32</v>
      </c>
      <c r="C7012" s="2">
        <v>3918.32</v>
      </c>
      <c r="D7012" s="2">
        <v>11338.36</v>
      </c>
      <c r="E7012" s="2">
        <v>11338.36</v>
      </c>
      <c r="G7012" s="1" t="s">
        <v>14017</v>
      </c>
      <c r="H7012" s="2">
        <v>2419.09</v>
      </c>
      <c r="I7012" s="2">
        <v>2419.09</v>
      </c>
    </row>
    <row r="7013">
      <c r="A7013" s="1" t="s">
        <v>14018</v>
      </c>
      <c r="B7013" s="2">
        <v>3861.59</v>
      </c>
      <c r="C7013" s="2">
        <v>3861.59</v>
      </c>
      <c r="D7013" s="2">
        <v>11138.89</v>
      </c>
      <c r="E7013" s="2">
        <v>11138.89</v>
      </c>
      <c r="G7013" s="1" t="s">
        <v>14019</v>
      </c>
      <c r="H7013" s="2">
        <v>2394.59</v>
      </c>
      <c r="I7013" s="2">
        <v>2394.59</v>
      </c>
    </row>
    <row r="7014">
      <c r="A7014" s="1" t="s">
        <v>14020</v>
      </c>
      <c r="B7014" s="2" t="s">
        <v>0</v>
      </c>
      <c r="C7014" s="2">
        <v>3861.59</v>
      </c>
      <c r="D7014" s="2" t="s">
        <v>0</v>
      </c>
      <c r="E7014" s="2">
        <v>11138.89</v>
      </c>
      <c r="G7014" s="1" t="s">
        <v>14021</v>
      </c>
      <c r="H7014" s="2" t="s">
        <v>0</v>
      </c>
      <c r="I7014" s="2">
        <v>2394.59</v>
      </c>
    </row>
    <row r="7015">
      <c r="A7015" s="1" t="s">
        <v>14022</v>
      </c>
      <c r="B7015" s="2" t="s">
        <v>0</v>
      </c>
      <c r="C7015" s="2">
        <v>3861.59</v>
      </c>
      <c r="D7015" s="2" t="s">
        <v>0</v>
      </c>
      <c r="E7015" s="2">
        <v>11138.89</v>
      </c>
      <c r="G7015" s="1" t="s">
        <v>14023</v>
      </c>
      <c r="H7015" s="2" t="s">
        <v>0</v>
      </c>
      <c r="I7015" s="2">
        <v>2394.59</v>
      </c>
    </row>
    <row r="7016">
      <c r="A7016" s="1" t="s">
        <v>14024</v>
      </c>
      <c r="B7016" s="2">
        <v>3855.76</v>
      </c>
      <c r="C7016" s="2">
        <v>3855.76</v>
      </c>
      <c r="D7016" s="2">
        <v>11188.84</v>
      </c>
      <c r="E7016" s="2">
        <v>11188.84</v>
      </c>
      <c r="G7016" s="1" t="s">
        <v>14025</v>
      </c>
      <c r="H7016" s="2">
        <v>2410.6</v>
      </c>
      <c r="I7016" s="2">
        <v>2410.6</v>
      </c>
    </row>
    <row r="7017">
      <c r="A7017" s="1" t="s">
        <v>14026</v>
      </c>
      <c r="B7017" s="2">
        <v>3919.29</v>
      </c>
      <c r="C7017" s="2">
        <v>3919.29</v>
      </c>
      <c r="D7017" s="2">
        <v>11428.15</v>
      </c>
      <c r="E7017" s="2">
        <v>11428.15</v>
      </c>
      <c r="G7017" s="1" t="s">
        <v>14027</v>
      </c>
      <c r="H7017" s="2">
        <v>2348.97</v>
      </c>
      <c r="I7017" s="2">
        <v>2348.97</v>
      </c>
    </row>
    <row r="7018">
      <c r="A7018" s="1" t="s">
        <v>14028</v>
      </c>
      <c r="B7018" s="2">
        <v>3891.93</v>
      </c>
      <c r="C7018" s="2">
        <v>3891.93</v>
      </c>
      <c r="D7018" s="2">
        <v>11434.05</v>
      </c>
      <c r="E7018" s="2">
        <v>11434.05</v>
      </c>
      <c r="G7018" s="1" t="s">
        <v>14029</v>
      </c>
      <c r="H7018" s="2">
        <v>2379.72</v>
      </c>
      <c r="I7018" s="2">
        <v>2379.72</v>
      </c>
    </row>
    <row r="7019">
      <c r="A7019" s="1" t="s">
        <v>14030</v>
      </c>
      <c r="B7019" s="2">
        <v>3960.28</v>
      </c>
      <c r="C7019" s="2">
        <v>3960.28</v>
      </c>
      <c r="D7019" s="2">
        <v>11717.28</v>
      </c>
      <c r="E7019" s="2">
        <v>11717.28</v>
      </c>
      <c r="G7019" s="1" t="s">
        <v>14031</v>
      </c>
      <c r="H7019" s="2">
        <v>2377.91</v>
      </c>
      <c r="I7019" s="2">
        <v>2377.91</v>
      </c>
    </row>
    <row r="7020">
      <c r="A7020" s="1" t="s">
        <v>14032</v>
      </c>
      <c r="B7020" s="2">
        <v>3916.64</v>
      </c>
      <c r="C7020" s="2">
        <v>3916.64</v>
      </c>
      <c r="D7020" s="2">
        <v>11630.51</v>
      </c>
      <c r="E7020" s="2">
        <v>11630.51</v>
      </c>
      <c r="G7020" s="1" t="s">
        <v>14033</v>
      </c>
      <c r="H7020" s="2">
        <v>2395.69</v>
      </c>
      <c r="I7020" s="2">
        <v>2395.69</v>
      </c>
    </row>
    <row r="7021">
      <c r="A7021" s="1" t="s">
        <v>14034</v>
      </c>
      <c r="B7021" s="2" t="s">
        <v>0</v>
      </c>
      <c r="C7021" s="2">
        <v>3916.64</v>
      </c>
      <c r="D7021" s="2" t="s">
        <v>0</v>
      </c>
      <c r="E7021" s="2">
        <v>11630.51</v>
      </c>
      <c r="G7021" s="1" t="s">
        <v>14035</v>
      </c>
      <c r="H7021" s="2" t="s">
        <v>0</v>
      </c>
      <c r="I7021" s="2">
        <v>2395.69</v>
      </c>
    </row>
    <row r="7022">
      <c r="A7022" s="1" t="s">
        <v>14036</v>
      </c>
      <c r="B7022" s="2" t="s">
        <v>0</v>
      </c>
      <c r="C7022" s="2">
        <v>3916.64</v>
      </c>
      <c r="D7022" s="2" t="s">
        <v>0</v>
      </c>
      <c r="E7022" s="2">
        <v>11630.51</v>
      </c>
      <c r="G7022" s="1" t="s">
        <v>14037</v>
      </c>
      <c r="H7022" s="2" t="s">
        <v>0</v>
      </c>
      <c r="I7022" s="2">
        <v>2395.69</v>
      </c>
    </row>
    <row r="7023">
      <c r="A7023" s="1" t="s">
        <v>14038</v>
      </c>
      <c r="B7023" s="2">
        <v>3951.57</v>
      </c>
      <c r="C7023" s="2">
        <v>3951.57</v>
      </c>
      <c r="D7023" s="2">
        <v>11675.54</v>
      </c>
      <c r="E7023" s="2">
        <v>11675.54</v>
      </c>
      <c r="G7023" s="1" t="s">
        <v>14039</v>
      </c>
      <c r="H7023" s="2">
        <v>2379.2</v>
      </c>
      <c r="I7023" s="2">
        <v>2379.2</v>
      </c>
    </row>
    <row r="7024">
      <c r="A7024" s="1" t="s">
        <v>14040</v>
      </c>
      <c r="B7024" s="2">
        <v>4002.87</v>
      </c>
      <c r="C7024" s="2">
        <v>4002.87</v>
      </c>
      <c r="D7024" s="2">
        <v>11860.11</v>
      </c>
      <c r="E7024" s="2">
        <v>11860.11</v>
      </c>
      <c r="G7024" s="1" t="s">
        <v>14041</v>
      </c>
      <c r="H7024" s="2">
        <v>2388.35</v>
      </c>
      <c r="I7024" s="2">
        <v>2388.35</v>
      </c>
    </row>
    <row r="7025">
      <c r="A7025" s="1" t="s">
        <v>14042</v>
      </c>
      <c r="B7025" s="2">
        <v>3936.97</v>
      </c>
      <c r="C7025" s="2">
        <v>3936.97</v>
      </c>
      <c r="D7025" s="2">
        <v>11669.96</v>
      </c>
      <c r="E7025" s="2">
        <v>11669.96</v>
      </c>
      <c r="G7025" s="1" t="s">
        <v>14043</v>
      </c>
      <c r="H7025" s="2">
        <v>2416.96</v>
      </c>
      <c r="I7025" s="2">
        <v>2416.96</v>
      </c>
    </row>
    <row r="7026">
      <c r="A7026" s="1" t="s">
        <v>14044</v>
      </c>
      <c r="B7026" s="2">
        <v>3948.72</v>
      </c>
      <c r="C7026" s="2">
        <v>3948.72</v>
      </c>
      <c r="D7026" s="2">
        <v>11787.4</v>
      </c>
      <c r="E7026" s="2">
        <v>11787.4</v>
      </c>
      <c r="G7026" s="1" t="s">
        <v>14045</v>
      </c>
      <c r="H7026" s="2">
        <v>2424.48</v>
      </c>
      <c r="I7026" s="2">
        <v>2424.48</v>
      </c>
    </row>
    <row r="7027">
      <c r="A7027" s="1" t="s">
        <v>14046</v>
      </c>
      <c r="B7027" s="2">
        <v>3970.99</v>
      </c>
      <c r="C7027" s="2">
        <v>3970.99</v>
      </c>
      <c r="D7027" s="2">
        <v>11823.96</v>
      </c>
      <c r="E7027" s="2">
        <v>11823.96</v>
      </c>
      <c r="G7027" s="1" t="s">
        <v>14047</v>
      </c>
      <c r="H7027" s="2">
        <v>2414.96</v>
      </c>
      <c r="I7027" s="2">
        <v>2414.96</v>
      </c>
    </row>
    <row r="7028">
      <c r="A7028" s="1" t="s">
        <v>14048</v>
      </c>
      <c r="B7028" s="2" t="s">
        <v>0</v>
      </c>
      <c r="C7028" s="2">
        <v>3970.99</v>
      </c>
      <c r="D7028" s="2" t="s">
        <v>0</v>
      </c>
      <c r="E7028" s="2">
        <v>11823.96</v>
      </c>
      <c r="G7028" s="1" t="s">
        <v>14049</v>
      </c>
      <c r="H7028" s="2" t="s">
        <v>0</v>
      </c>
      <c r="I7028" s="2">
        <v>2414.96</v>
      </c>
    </row>
    <row r="7029">
      <c r="A7029" s="1" t="s">
        <v>14050</v>
      </c>
      <c r="B7029" s="2" t="s">
        <v>0</v>
      </c>
      <c r="C7029" s="2">
        <v>3970.99</v>
      </c>
      <c r="D7029" s="2" t="s">
        <v>0</v>
      </c>
      <c r="E7029" s="2">
        <v>11823.96</v>
      </c>
      <c r="G7029" s="1" t="s">
        <v>14051</v>
      </c>
      <c r="H7029" s="2" t="s">
        <v>0</v>
      </c>
      <c r="I7029" s="2">
        <v>2414.96</v>
      </c>
    </row>
    <row r="7030">
      <c r="A7030" s="1" t="s">
        <v>14052</v>
      </c>
      <c r="B7030" s="2">
        <v>3977.53</v>
      </c>
      <c r="C7030" s="2">
        <v>3977.53</v>
      </c>
      <c r="D7030" s="2">
        <v>11768.84</v>
      </c>
      <c r="E7030" s="2">
        <v>11768.84</v>
      </c>
      <c r="G7030" s="1" t="s">
        <v>14053</v>
      </c>
      <c r="H7030" s="2">
        <v>2409.22</v>
      </c>
      <c r="I7030" s="2">
        <v>2409.22</v>
      </c>
    </row>
    <row r="7031">
      <c r="A7031" s="1" t="s">
        <v>14054</v>
      </c>
      <c r="B7031" s="2">
        <v>3971.27</v>
      </c>
      <c r="C7031" s="2">
        <v>3971.27</v>
      </c>
      <c r="D7031" s="2">
        <v>11716.08</v>
      </c>
      <c r="E7031" s="2">
        <v>11716.08</v>
      </c>
      <c r="G7031" s="1" t="s">
        <v>14055</v>
      </c>
      <c r="H7031" s="2">
        <v>2434.94</v>
      </c>
      <c r="I7031" s="2">
        <v>2434.94</v>
      </c>
    </row>
    <row r="7032">
      <c r="A7032" s="1" t="s">
        <v>14056</v>
      </c>
      <c r="B7032" s="2">
        <v>4027.81</v>
      </c>
      <c r="C7032" s="2">
        <v>4027.81</v>
      </c>
      <c r="D7032" s="2">
        <v>11926.24</v>
      </c>
      <c r="E7032" s="2">
        <v>11926.24</v>
      </c>
      <c r="G7032" s="1" t="s">
        <v>14057</v>
      </c>
      <c r="H7032" s="2">
        <v>2443.92</v>
      </c>
      <c r="I7032" s="2">
        <v>2443.92</v>
      </c>
    </row>
    <row r="7033">
      <c r="A7033" s="1" t="s">
        <v>14058</v>
      </c>
      <c r="B7033" s="2">
        <v>4050.83</v>
      </c>
      <c r="C7033" s="2">
        <v>4050.83</v>
      </c>
      <c r="D7033" s="2">
        <v>12013.47</v>
      </c>
      <c r="E7033" s="2">
        <v>12013.47</v>
      </c>
      <c r="G7033" s="1" t="s">
        <v>14059</v>
      </c>
      <c r="H7033" s="2">
        <v>2453.16</v>
      </c>
      <c r="I7033" s="2">
        <v>2453.16</v>
      </c>
    </row>
    <row r="7034">
      <c r="A7034" s="1" t="s">
        <v>14060</v>
      </c>
      <c r="B7034" s="2">
        <v>4109.31</v>
      </c>
      <c r="C7034" s="2">
        <v>4109.31</v>
      </c>
      <c r="D7034" s="2">
        <v>12221.91</v>
      </c>
      <c r="E7034" s="2">
        <v>12221.91</v>
      </c>
      <c r="G7034" s="1" t="s">
        <v>14061</v>
      </c>
      <c r="H7034" s="2">
        <v>2476.86</v>
      </c>
      <c r="I7034" s="2">
        <v>2476.86</v>
      </c>
    </row>
    <row r="7035">
      <c r="A7035" s="1" t="s">
        <v>14062</v>
      </c>
      <c r="B7035" s="2" t="s">
        <v>0</v>
      </c>
      <c r="C7035" s="2">
        <v>4109.31</v>
      </c>
      <c r="D7035" s="2" t="s">
        <v>0</v>
      </c>
      <c r="E7035" s="2">
        <v>12221.91</v>
      </c>
      <c r="G7035" s="1" t="s">
        <v>14063</v>
      </c>
      <c r="H7035" s="2" t="s">
        <v>0</v>
      </c>
      <c r="I7035" s="2">
        <v>2476.86</v>
      </c>
    </row>
    <row r="7036">
      <c r="A7036" s="1" t="s">
        <v>14064</v>
      </c>
      <c r="B7036" s="2" t="s">
        <v>0</v>
      </c>
      <c r="C7036" s="2">
        <v>4109.31</v>
      </c>
      <c r="D7036" s="2" t="s">
        <v>0</v>
      </c>
      <c r="E7036" s="2">
        <v>12221.91</v>
      </c>
      <c r="G7036" s="1" t="s">
        <v>14065</v>
      </c>
      <c r="H7036" s="2" t="s">
        <v>0</v>
      </c>
      <c r="I7036" s="2">
        <v>2476.86</v>
      </c>
    </row>
    <row r="7037">
      <c r="A7037" s="1" t="s">
        <v>14066</v>
      </c>
      <c r="B7037" s="2">
        <v>4124.51</v>
      </c>
      <c r="C7037" s="2">
        <v>4124.51</v>
      </c>
      <c r="D7037" s="2">
        <v>12189.45</v>
      </c>
      <c r="E7037" s="2">
        <v>12189.45</v>
      </c>
      <c r="G7037" s="1" t="s">
        <v>14067</v>
      </c>
      <c r="H7037" s="2">
        <v>2472.34</v>
      </c>
      <c r="I7037" s="2">
        <v>2472.34</v>
      </c>
    </row>
    <row r="7038">
      <c r="A7038" s="1" t="s">
        <v>14068</v>
      </c>
      <c r="B7038" s="2">
        <v>4100.6</v>
      </c>
      <c r="C7038" s="2">
        <v>4100.6</v>
      </c>
      <c r="D7038" s="2">
        <v>12126.33</v>
      </c>
      <c r="E7038" s="2">
        <v>12126.33</v>
      </c>
      <c r="G7038" s="1" t="s">
        <v>14069</v>
      </c>
      <c r="H7038" s="2">
        <v>2480.51</v>
      </c>
      <c r="I7038" s="2">
        <v>2480.51</v>
      </c>
    </row>
    <row r="7039">
      <c r="A7039" s="1" t="s">
        <v>14070</v>
      </c>
      <c r="B7039" s="2">
        <v>4090.38</v>
      </c>
      <c r="C7039" s="2">
        <v>4090.38</v>
      </c>
      <c r="D7039" s="2">
        <v>11996.86</v>
      </c>
      <c r="E7039" s="2">
        <v>11996.86</v>
      </c>
      <c r="G7039" s="1" t="s">
        <v>14071</v>
      </c>
      <c r="H7039" s="2">
        <v>2495.21</v>
      </c>
      <c r="I7039" s="2">
        <v>2495.21</v>
      </c>
    </row>
    <row r="7040">
      <c r="A7040" s="1" t="s">
        <v>14072</v>
      </c>
      <c r="B7040" s="2">
        <v>4105.02</v>
      </c>
      <c r="C7040" s="2">
        <v>4105.02</v>
      </c>
      <c r="D7040" s="2">
        <v>12087.96</v>
      </c>
      <c r="E7040" s="2">
        <v>12087.96</v>
      </c>
      <c r="G7040" s="1" t="s">
        <v>14073</v>
      </c>
      <c r="H7040" s="2">
        <v>2459.23</v>
      </c>
      <c r="I7040" s="2">
        <v>2459.23</v>
      </c>
    </row>
    <row r="7041">
      <c r="A7041" s="1" t="s">
        <v>14074</v>
      </c>
      <c r="B7041" s="2" t="s">
        <v>0</v>
      </c>
      <c r="C7041" s="2">
        <v>4105.02</v>
      </c>
      <c r="D7041" s="2" t="s">
        <v>0</v>
      </c>
      <c r="E7041" s="2">
        <v>12087.96</v>
      </c>
      <c r="G7041" s="1" t="s">
        <v>14075</v>
      </c>
      <c r="H7041" s="2">
        <v>2490.41</v>
      </c>
      <c r="I7041" s="2">
        <v>2490.41</v>
      </c>
    </row>
    <row r="7042">
      <c r="A7042" s="1" t="s">
        <v>14076</v>
      </c>
      <c r="B7042" s="2" t="s">
        <v>0</v>
      </c>
      <c r="C7042" s="2">
        <v>4105.02</v>
      </c>
      <c r="D7042" s="2" t="s">
        <v>0</v>
      </c>
      <c r="E7042" s="2">
        <v>12087.96</v>
      </c>
      <c r="G7042" s="1" t="s">
        <v>14077</v>
      </c>
      <c r="H7042" s="2" t="s">
        <v>0</v>
      </c>
      <c r="I7042" s="2">
        <v>2490.41</v>
      </c>
    </row>
    <row r="7043">
      <c r="A7043" s="1" t="s">
        <v>14078</v>
      </c>
      <c r="B7043" s="2" t="s">
        <v>0</v>
      </c>
      <c r="C7043" s="2">
        <v>4105.02</v>
      </c>
      <c r="D7043" s="2" t="s">
        <v>0</v>
      </c>
      <c r="E7043" s="2">
        <v>12087.96</v>
      </c>
      <c r="G7043" s="1" t="s">
        <v>14079</v>
      </c>
      <c r="H7043" s="2" t="s">
        <v>0</v>
      </c>
      <c r="I7043" s="2">
        <v>2490.41</v>
      </c>
    </row>
    <row r="7044">
      <c r="A7044" s="1" t="s">
        <v>14080</v>
      </c>
      <c r="B7044" s="2">
        <v>4109.11</v>
      </c>
      <c r="C7044" s="2">
        <v>4109.11</v>
      </c>
      <c r="D7044" s="2">
        <v>12084.36</v>
      </c>
      <c r="E7044" s="2">
        <v>12084.36</v>
      </c>
      <c r="G7044" s="1" t="s">
        <v>14081</v>
      </c>
      <c r="H7044" s="2">
        <v>2512.08</v>
      </c>
      <c r="I7044" s="2">
        <v>2512.08</v>
      </c>
    </row>
    <row r="7045">
      <c r="A7045" s="1" t="s">
        <v>14082</v>
      </c>
      <c r="B7045" s="2">
        <v>4108.94</v>
      </c>
      <c r="C7045" s="2">
        <v>4108.94</v>
      </c>
      <c r="D7045" s="2">
        <v>12031.88</v>
      </c>
      <c r="E7045" s="2">
        <v>12031.88</v>
      </c>
      <c r="G7045" s="1" t="s">
        <v>14083</v>
      </c>
      <c r="H7045" s="2">
        <v>2547.86</v>
      </c>
      <c r="I7045" s="2">
        <v>2547.86</v>
      </c>
    </row>
    <row r="7046">
      <c r="A7046" s="1" t="s">
        <v>14084</v>
      </c>
      <c r="B7046" s="2">
        <v>4091.95</v>
      </c>
      <c r="C7046" s="2">
        <v>4091.95</v>
      </c>
      <c r="D7046" s="2">
        <v>11929.34</v>
      </c>
      <c r="E7046" s="2">
        <v>11929.34</v>
      </c>
      <c r="G7046" s="1" t="s">
        <v>14085</v>
      </c>
      <c r="H7046" s="2">
        <v>2550.64</v>
      </c>
      <c r="I7046" s="2">
        <v>2550.64</v>
      </c>
    </row>
    <row r="7047">
      <c r="A7047" s="1" t="s">
        <v>14086</v>
      </c>
      <c r="B7047" s="2">
        <v>4146.22</v>
      </c>
      <c r="C7047" s="2">
        <v>4146.22</v>
      </c>
      <c r="D7047" s="2">
        <v>12166.27</v>
      </c>
      <c r="E7047" s="2">
        <v>12166.27</v>
      </c>
      <c r="G7047" s="1" t="s">
        <v>14087</v>
      </c>
      <c r="H7047" s="2">
        <v>2561.66</v>
      </c>
      <c r="I7047" s="2">
        <v>2561.66</v>
      </c>
    </row>
    <row r="7048">
      <c r="A7048" s="1" t="s">
        <v>14088</v>
      </c>
      <c r="B7048" s="2">
        <v>4137.64</v>
      </c>
      <c r="C7048" s="2">
        <v>4137.64</v>
      </c>
      <c r="D7048" s="2">
        <v>12123.47</v>
      </c>
      <c r="E7048" s="2">
        <v>12123.47</v>
      </c>
      <c r="G7048" s="1" t="s">
        <v>14089</v>
      </c>
      <c r="H7048" s="2">
        <v>2571.49</v>
      </c>
      <c r="I7048" s="2">
        <v>2571.49</v>
      </c>
    </row>
    <row r="7049">
      <c r="A7049" s="1" t="s">
        <v>14090</v>
      </c>
      <c r="B7049" s="2" t="s">
        <v>0</v>
      </c>
      <c r="C7049" s="2">
        <v>4137.64</v>
      </c>
      <c r="D7049" s="2" t="s">
        <v>0</v>
      </c>
      <c r="E7049" s="2">
        <v>12123.47</v>
      </c>
      <c r="G7049" s="1" t="s">
        <v>14091</v>
      </c>
      <c r="H7049" s="2" t="s">
        <v>0</v>
      </c>
      <c r="I7049" s="2">
        <v>2571.49</v>
      </c>
    </row>
    <row r="7050">
      <c r="A7050" s="1" t="s">
        <v>14092</v>
      </c>
      <c r="B7050" s="2" t="s">
        <v>0</v>
      </c>
      <c r="C7050" s="2">
        <v>4137.64</v>
      </c>
      <c r="D7050" s="2" t="s">
        <v>0</v>
      </c>
      <c r="E7050" s="2">
        <v>12123.47</v>
      </c>
      <c r="G7050" s="1" t="s">
        <v>14093</v>
      </c>
      <c r="H7050" s="2" t="s">
        <v>0</v>
      </c>
      <c r="I7050" s="2">
        <v>2571.49</v>
      </c>
    </row>
    <row r="7051">
      <c r="A7051" s="1" t="s">
        <v>14094</v>
      </c>
      <c r="B7051" s="2">
        <v>4151.32</v>
      </c>
      <c r="C7051" s="2">
        <v>4151.32</v>
      </c>
      <c r="D7051" s="2">
        <v>12157.72</v>
      </c>
      <c r="E7051" s="2">
        <v>12157.72</v>
      </c>
      <c r="G7051" s="1" t="s">
        <v>14095</v>
      </c>
      <c r="H7051" s="2">
        <v>2575.91</v>
      </c>
      <c r="I7051" s="2">
        <v>2575.91</v>
      </c>
    </row>
    <row r="7052">
      <c r="A7052" s="1" t="s">
        <v>14096</v>
      </c>
      <c r="B7052" s="2">
        <v>4154.87</v>
      </c>
      <c r="C7052" s="2">
        <v>4154.87</v>
      </c>
      <c r="D7052" s="2">
        <v>12153.41</v>
      </c>
      <c r="E7052" s="2">
        <v>12153.41</v>
      </c>
      <c r="G7052" s="1" t="s">
        <v>14097</v>
      </c>
      <c r="H7052" s="2">
        <v>2571.09</v>
      </c>
      <c r="I7052" s="2">
        <v>2571.09</v>
      </c>
    </row>
    <row r="7053">
      <c r="A7053" s="1" t="s">
        <v>14098</v>
      </c>
      <c r="B7053" s="2">
        <v>4154.52</v>
      </c>
      <c r="C7053" s="2">
        <v>4154.52</v>
      </c>
      <c r="D7053" s="2">
        <v>12157.23</v>
      </c>
      <c r="E7053" s="2">
        <v>12157.23</v>
      </c>
      <c r="G7053" s="1" t="s">
        <v>14099</v>
      </c>
      <c r="H7053" s="2">
        <v>2575.08</v>
      </c>
      <c r="I7053" s="2">
        <v>2575.08</v>
      </c>
    </row>
    <row r="7054">
      <c r="A7054" s="1" t="s">
        <v>14100</v>
      </c>
      <c r="B7054" s="2">
        <v>4129.79</v>
      </c>
      <c r="C7054" s="2">
        <v>4129.79</v>
      </c>
      <c r="D7054" s="2">
        <v>12059.56</v>
      </c>
      <c r="E7054" s="2">
        <v>12059.56</v>
      </c>
      <c r="G7054" s="1" t="s">
        <v>14101</v>
      </c>
      <c r="H7054" s="2">
        <v>2563.11</v>
      </c>
      <c r="I7054" s="2">
        <v>2563.11</v>
      </c>
    </row>
    <row r="7055">
      <c r="A7055" s="1" t="s">
        <v>14102</v>
      </c>
      <c r="B7055" s="2">
        <v>4133.52</v>
      </c>
      <c r="C7055" s="2">
        <v>4133.52</v>
      </c>
      <c r="D7055" s="2">
        <v>12072.46</v>
      </c>
      <c r="E7055" s="2">
        <v>12072.46</v>
      </c>
      <c r="G7055" s="1" t="s">
        <v>14103</v>
      </c>
      <c r="H7055" s="2">
        <v>2544.4</v>
      </c>
      <c r="I7055" s="2">
        <v>2544.4</v>
      </c>
    </row>
    <row r="7056">
      <c r="A7056" s="1" t="s">
        <v>14104</v>
      </c>
      <c r="B7056" s="2" t="s">
        <v>0</v>
      </c>
      <c r="C7056" s="2">
        <v>4133.52</v>
      </c>
      <c r="D7056" s="2" t="s">
        <v>0</v>
      </c>
      <c r="E7056" s="2">
        <v>12072.46</v>
      </c>
      <c r="G7056" s="1" t="s">
        <v>14105</v>
      </c>
      <c r="H7056" s="2" t="s">
        <v>0</v>
      </c>
      <c r="I7056" s="2">
        <v>2544.4</v>
      </c>
    </row>
    <row r="7057">
      <c r="A7057" s="1" t="s">
        <v>14106</v>
      </c>
      <c r="B7057" s="2" t="s">
        <v>0</v>
      </c>
      <c r="C7057" s="2">
        <v>4133.52</v>
      </c>
      <c r="D7057" s="2" t="s">
        <v>0</v>
      </c>
      <c r="E7057" s="2">
        <v>12072.46</v>
      </c>
      <c r="G7057" s="1" t="s">
        <v>14107</v>
      </c>
      <c r="H7057" s="2" t="s">
        <v>0</v>
      </c>
      <c r="I7057" s="2">
        <v>2544.4</v>
      </c>
    </row>
    <row r="7058">
      <c r="A7058" s="1" t="s">
        <v>14108</v>
      </c>
      <c r="B7058" s="2">
        <v>4137.04</v>
      </c>
      <c r="C7058" s="2">
        <v>4137.04</v>
      </c>
      <c r="D7058" s="2">
        <v>12037.2</v>
      </c>
      <c r="E7058" s="2">
        <v>12037.2</v>
      </c>
      <c r="G7058" s="1" t="s">
        <v>14109</v>
      </c>
      <c r="H7058" s="2">
        <v>2523.5</v>
      </c>
      <c r="I7058" s="2">
        <v>2523.5</v>
      </c>
    </row>
    <row r="7059">
      <c r="A7059" s="1" t="s">
        <v>14110</v>
      </c>
      <c r="B7059" s="2">
        <v>4071.63</v>
      </c>
      <c r="C7059" s="2">
        <v>4071.63</v>
      </c>
      <c r="D7059" s="2">
        <v>11799.16</v>
      </c>
      <c r="E7059" s="2">
        <v>11799.16</v>
      </c>
      <c r="G7059" s="1" t="s">
        <v>14111</v>
      </c>
      <c r="H7059" s="2">
        <v>2489.02</v>
      </c>
      <c r="I7059" s="2">
        <v>2489.02</v>
      </c>
    </row>
    <row r="7060">
      <c r="A7060" s="1" t="s">
        <v>14112</v>
      </c>
      <c r="B7060" s="2">
        <v>4055.99</v>
      </c>
      <c r="C7060" s="2">
        <v>4055.99</v>
      </c>
      <c r="D7060" s="2">
        <v>11854.35</v>
      </c>
      <c r="E7060" s="2">
        <v>11854.35</v>
      </c>
      <c r="G7060" s="1" t="s">
        <v>14113</v>
      </c>
      <c r="H7060" s="2">
        <v>2484.83</v>
      </c>
      <c r="I7060" s="2">
        <v>2484.83</v>
      </c>
    </row>
    <row r="7061">
      <c r="A7061" s="1" t="s">
        <v>14114</v>
      </c>
      <c r="B7061" s="2">
        <v>4135.35</v>
      </c>
      <c r="C7061" s="2">
        <v>4135.35</v>
      </c>
      <c r="D7061" s="2">
        <v>12142.24</v>
      </c>
      <c r="E7061" s="2">
        <v>12142.24</v>
      </c>
      <c r="G7061" s="1" t="s">
        <v>14115</v>
      </c>
      <c r="H7061" s="2">
        <v>2495.81</v>
      </c>
      <c r="I7061" s="2">
        <v>2495.81</v>
      </c>
    </row>
    <row r="7062">
      <c r="A7062" s="1" t="s">
        <v>14116</v>
      </c>
      <c r="B7062" s="2">
        <v>4169.48</v>
      </c>
      <c r="C7062" s="2">
        <v>4169.48</v>
      </c>
      <c r="D7062" s="2">
        <v>12226.58</v>
      </c>
      <c r="E7062" s="2">
        <v>12226.58</v>
      </c>
      <c r="G7062" s="1" t="s">
        <v>14117</v>
      </c>
      <c r="H7062" s="2">
        <v>2501.53</v>
      </c>
      <c r="I7062" s="2">
        <v>2501.53</v>
      </c>
    </row>
    <row r="7063">
      <c r="A7063" s="1" t="s">
        <v>14118</v>
      </c>
      <c r="B7063" s="2" t="s">
        <v>0</v>
      </c>
      <c r="C7063" s="2">
        <v>4169.48</v>
      </c>
      <c r="D7063" s="2" t="s">
        <v>0</v>
      </c>
      <c r="E7063" s="2">
        <v>12226.58</v>
      </c>
      <c r="G7063" s="1" t="s">
        <v>14119</v>
      </c>
      <c r="H7063" s="2" t="s">
        <v>0</v>
      </c>
      <c r="I7063" s="2">
        <v>2501.53</v>
      </c>
    </row>
    <row r="7064">
      <c r="A7064" s="1" t="s">
        <v>14120</v>
      </c>
      <c r="B7064" s="2" t="s">
        <v>0</v>
      </c>
      <c r="C7064" s="2">
        <v>4169.48</v>
      </c>
      <c r="D7064" s="2" t="s">
        <v>0</v>
      </c>
      <c r="E7064" s="2">
        <v>12226.58</v>
      </c>
      <c r="G7064" s="1" t="s">
        <v>14121</v>
      </c>
      <c r="H7064" s="2" t="s">
        <v>0</v>
      </c>
      <c r="I7064" s="2">
        <v>2501.53</v>
      </c>
    </row>
    <row r="7065">
      <c r="A7065" s="1" t="s">
        <v>14122</v>
      </c>
      <c r="B7065" s="2">
        <v>4167.87</v>
      </c>
      <c r="C7065" s="2">
        <v>4167.87</v>
      </c>
      <c r="D7065" s="2">
        <v>12212.6</v>
      </c>
      <c r="E7065" s="2">
        <v>12212.6</v>
      </c>
      <c r="G7065" s="1" t="s">
        <v>14123</v>
      </c>
      <c r="H7065" s="2" t="s">
        <v>0</v>
      </c>
      <c r="I7065" s="2">
        <v>2501.53</v>
      </c>
    </row>
    <row r="7066">
      <c r="A7066" s="1" t="s">
        <v>14124</v>
      </c>
      <c r="B7066" s="2">
        <v>4119.58</v>
      </c>
      <c r="C7066" s="2">
        <v>4119.58</v>
      </c>
      <c r="D7066" s="2">
        <v>12080.51</v>
      </c>
      <c r="E7066" s="2">
        <v>12080.51</v>
      </c>
      <c r="G7066" s="1" t="s">
        <v>14125</v>
      </c>
      <c r="H7066" s="2">
        <v>2524.39</v>
      </c>
      <c r="I7066" s="2">
        <v>2524.39</v>
      </c>
    </row>
    <row r="7067">
      <c r="A7067" s="1" t="s">
        <v>14126</v>
      </c>
      <c r="B7067" s="2">
        <v>4090.75</v>
      </c>
      <c r="C7067" s="2">
        <v>4090.75</v>
      </c>
      <c r="D7067" s="2">
        <v>12025.33</v>
      </c>
      <c r="E7067" s="2">
        <v>12025.33</v>
      </c>
      <c r="G7067" s="1" t="s">
        <v>14127</v>
      </c>
      <c r="H7067" s="2">
        <v>2501.4</v>
      </c>
      <c r="I7067" s="2">
        <v>2501.4</v>
      </c>
    </row>
    <row r="7068">
      <c r="A7068" s="1" t="s">
        <v>14128</v>
      </c>
      <c r="B7068" s="2">
        <v>4061.22</v>
      </c>
      <c r="C7068" s="2">
        <v>4061.22</v>
      </c>
      <c r="D7068" s="2">
        <v>11966.4</v>
      </c>
      <c r="E7068" s="2">
        <v>11966.4</v>
      </c>
      <c r="G7068" s="1" t="s">
        <v>14129</v>
      </c>
      <c r="H7068" s="2">
        <v>2500.94</v>
      </c>
      <c r="I7068" s="2">
        <v>2500.94</v>
      </c>
    </row>
    <row r="7069">
      <c r="A7069" s="1" t="s">
        <v>14130</v>
      </c>
      <c r="B7069" s="2">
        <v>4136.25</v>
      </c>
      <c r="C7069" s="2">
        <v>4136.25</v>
      </c>
      <c r="D7069" s="2">
        <v>12235.41</v>
      </c>
      <c r="E7069" s="2">
        <v>12235.41</v>
      </c>
      <c r="G7069" s="1" t="s">
        <v>14131</v>
      </c>
      <c r="H7069" s="2" t="s">
        <v>0</v>
      </c>
      <c r="I7069" s="2">
        <v>2500.94</v>
      </c>
    </row>
    <row r="7070">
      <c r="A7070" s="1" t="s">
        <v>14132</v>
      </c>
      <c r="B7070" s="2" t="s">
        <v>0</v>
      </c>
      <c r="C7070" s="2">
        <v>4136.25</v>
      </c>
      <c r="D7070" s="2" t="s">
        <v>0</v>
      </c>
      <c r="E7070" s="2">
        <v>12235.41</v>
      </c>
      <c r="G7070" s="1" t="s">
        <v>14133</v>
      </c>
      <c r="H7070" s="2" t="s">
        <v>0</v>
      </c>
      <c r="I7070" s="2">
        <v>2500.94</v>
      </c>
    </row>
    <row r="7071">
      <c r="A7071" s="1" t="s">
        <v>14134</v>
      </c>
      <c r="B7071" s="2" t="s">
        <v>0</v>
      </c>
      <c r="C7071" s="2">
        <v>4136.25</v>
      </c>
      <c r="D7071" s="2" t="s">
        <v>0</v>
      </c>
      <c r="E7071" s="2">
        <v>12235.41</v>
      </c>
      <c r="G7071" s="1" t="s">
        <v>14135</v>
      </c>
      <c r="H7071" s="2" t="s">
        <v>0</v>
      </c>
      <c r="I7071" s="2">
        <v>2500.94</v>
      </c>
    </row>
    <row r="7072">
      <c r="A7072" s="1" t="s">
        <v>14136</v>
      </c>
      <c r="B7072" s="2">
        <v>4138.12</v>
      </c>
      <c r="C7072" s="2">
        <v>4138.12</v>
      </c>
      <c r="D7072" s="2">
        <v>12256.92</v>
      </c>
      <c r="E7072" s="2">
        <v>12256.92</v>
      </c>
      <c r="G7072" s="1" t="s">
        <v>14137</v>
      </c>
      <c r="H7072" s="2">
        <v>2513.21</v>
      </c>
      <c r="I7072" s="2">
        <v>2513.21</v>
      </c>
    </row>
    <row r="7073">
      <c r="A7073" s="1" t="s">
        <v>14138</v>
      </c>
      <c r="B7073" s="2">
        <v>4119.17</v>
      </c>
      <c r="C7073" s="2">
        <v>4119.17</v>
      </c>
      <c r="D7073" s="2">
        <v>12179.55</v>
      </c>
      <c r="E7073" s="2">
        <v>12179.55</v>
      </c>
      <c r="G7073" s="1" t="s">
        <v>14139</v>
      </c>
      <c r="H7073" s="2">
        <v>2510.06</v>
      </c>
      <c r="I7073" s="2">
        <v>2510.06</v>
      </c>
    </row>
    <row r="7074">
      <c r="A7074" s="1" t="s">
        <v>14140</v>
      </c>
      <c r="B7074" s="2">
        <v>4137.64</v>
      </c>
      <c r="C7074" s="2">
        <v>4137.64</v>
      </c>
      <c r="D7074" s="2">
        <v>12306.44</v>
      </c>
      <c r="E7074" s="2">
        <v>12306.44</v>
      </c>
      <c r="G7074" s="1" t="s">
        <v>14141</v>
      </c>
      <c r="H7074" s="2">
        <v>2496.51</v>
      </c>
      <c r="I7074" s="2">
        <v>2496.51</v>
      </c>
    </row>
    <row r="7075">
      <c r="A7075" s="1" t="s">
        <v>14142</v>
      </c>
      <c r="B7075" s="2">
        <v>4130.62</v>
      </c>
      <c r="C7075" s="2">
        <v>4130.62</v>
      </c>
      <c r="D7075" s="2">
        <v>12328.51</v>
      </c>
      <c r="E7075" s="2">
        <v>12328.51</v>
      </c>
      <c r="G7075" s="1" t="s">
        <v>14143</v>
      </c>
      <c r="H7075" s="2">
        <v>2491.0</v>
      </c>
      <c r="I7075" s="2">
        <v>2491.0</v>
      </c>
    </row>
    <row r="7076">
      <c r="A7076" s="1" t="s">
        <v>14144</v>
      </c>
      <c r="B7076" s="2">
        <v>4124.08</v>
      </c>
      <c r="C7076" s="2">
        <v>4124.08</v>
      </c>
      <c r="D7076" s="2">
        <v>12284.74</v>
      </c>
      <c r="E7076" s="2">
        <v>12284.74</v>
      </c>
      <c r="G7076" s="1" t="s">
        <v>14145</v>
      </c>
      <c r="H7076" s="2">
        <v>2475.42</v>
      </c>
      <c r="I7076" s="2">
        <v>2475.42</v>
      </c>
    </row>
    <row r="7077">
      <c r="A7077" s="1" t="s">
        <v>14146</v>
      </c>
      <c r="B7077" s="2" t="s">
        <v>0</v>
      </c>
      <c r="C7077" s="2">
        <v>4124.08</v>
      </c>
      <c r="D7077" s="2" t="s">
        <v>0</v>
      </c>
      <c r="E7077" s="2">
        <v>12284.74</v>
      </c>
      <c r="G7077" s="1" t="s">
        <v>14147</v>
      </c>
      <c r="H7077" s="2" t="s">
        <v>0</v>
      </c>
      <c r="I7077" s="2">
        <v>2475.42</v>
      </c>
    </row>
    <row r="7078">
      <c r="A7078" s="1" t="s">
        <v>14148</v>
      </c>
      <c r="B7078" s="2" t="s">
        <v>0</v>
      </c>
      <c r="C7078" s="2">
        <v>4124.08</v>
      </c>
      <c r="D7078" s="2" t="s">
        <v>0</v>
      </c>
      <c r="E7078" s="2">
        <v>12284.74</v>
      </c>
      <c r="G7078" s="1" t="s">
        <v>14149</v>
      </c>
      <c r="H7078" s="2" t="s">
        <v>0</v>
      </c>
      <c r="I7078" s="2">
        <v>2475.42</v>
      </c>
    </row>
    <row r="7079">
      <c r="A7079" s="1" t="s">
        <v>14150</v>
      </c>
      <c r="B7079" s="2">
        <v>4136.28</v>
      </c>
      <c r="C7079" s="2">
        <v>4136.28</v>
      </c>
      <c r="D7079" s="2">
        <v>12365.21</v>
      </c>
      <c r="E7079" s="2">
        <v>12365.21</v>
      </c>
      <c r="G7079" s="1" t="s">
        <v>14151</v>
      </c>
      <c r="H7079" s="2">
        <v>2479.35</v>
      </c>
      <c r="I7079" s="2">
        <v>2479.35</v>
      </c>
    </row>
    <row r="7080">
      <c r="A7080" s="1" t="s">
        <v>14152</v>
      </c>
      <c r="B7080" s="2">
        <v>4109.9</v>
      </c>
      <c r="C7080" s="2">
        <v>4109.9</v>
      </c>
      <c r="D7080" s="2">
        <v>12343.05</v>
      </c>
      <c r="E7080" s="2">
        <v>12343.05</v>
      </c>
      <c r="G7080" s="1" t="s">
        <v>14153</v>
      </c>
      <c r="H7080" s="2">
        <v>2480.24</v>
      </c>
      <c r="I7080" s="2">
        <v>2480.24</v>
      </c>
    </row>
    <row r="7081">
      <c r="A7081" s="1" t="s">
        <v>14154</v>
      </c>
      <c r="B7081" s="2">
        <v>4158.77</v>
      </c>
      <c r="C7081" s="2">
        <v>4158.77</v>
      </c>
      <c r="D7081" s="2">
        <v>12500.57</v>
      </c>
      <c r="E7081" s="2">
        <v>12500.57</v>
      </c>
      <c r="G7081" s="1" t="s">
        <v>14155</v>
      </c>
      <c r="H7081" s="2">
        <v>2494.66</v>
      </c>
      <c r="I7081" s="2">
        <v>2494.66</v>
      </c>
    </row>
    <row r="7082">
      <c r="A7082" s="1" t="s">
        <v>14156</v>
      </c>
      <c r="B7082" s="2">
        <v>4198.05</v>
      </c>
      <c r="C7082" s="2">
        <v>4198.05</v>
      </c>
      <c r="D7082" s="2">
        <v>12688.84</v>
      </c>
      <c r="E7082" s="2">
        <v>12688.84</v>
      </c>
      <c r="G7082" s="1" t="s">
        <v>14157</v>
      </c>
      <c r="H7082" s="2">
        <v>2515.4</v>
      </c>
      <c r="I7082" s="2">
        <v>2515.4</v>
      </c>
    </row>
    <row r="7083">
      <c r="A7083" s="1" t="s">
        <v>14158</v>
      </c>
      <c r="B7083" s="2">
        <v>4191.98</v>
      </c>
      <c r="C7083" s="2">
        <v>4191.98</v>
      </c>
      <c r="D7083" s="2">
        <v>12657.9</v>
      </c>
      <c r="E7083" s="2">
        <v>12657.9</v>
      </c>
      <c r="G7083" s="1" t="s">
        <v>14159</v>
      </c>
      <c r="H7083" s="2">
        <v>2537.79</v>
      </c>
      <c r="I7083" s="2">
        <v>2537.79</v>
      </c>
    </row>
    <row r="7084">
      <c r="A7084" s="1" t="s">
        <v>14160</v>
      </c>
      <c r="B7084" s="2" t="s">
        <v>0</v>
      </c>
      <c r="C7084" s="2">
        <v>4191.98</v>
      </c>
      <c r="D7084" s="2" t="s">
        <v>0</v>
      </c>
      <c r="E7084" s="2">
        <v>12657.9</v>
      </c>
      <c r="G7084" s="1" t="s">
        <v>14161</v>
      </c>
      <c r="H7084" s="2" t="s">
        <v>0</v>
      </c>
      <c r="I7084" s="2">
        <v>2537.79</v>
      </c>
    </row>
    <row r="7085">
      <c r="A7085" s="1" t="s">
        <v>14162</v>
      </c>
      <c r="B7085" s="2" t="s">
        <v>0</v>
      </c>
      <c r="C7085" s="2">
        <v>4191.98</v>
      </c>
      <c r="D7085" s="2" t="s">
        <v>0</v>
      </c>
      <c r="E7085" s="2">
        <v>12657.9</v>
      </c>
      <c r="G7085" s="1" t="s">
        <v>14163</v>
      </c>
      <c r="H7085" s="2" t="s">
        <v>0</v>
      </c>
      <c r="I7085" s="2">
        <v>2537.79</v>
      </c>
    </row>
    <row r="7086">
      <c r="A7086" s="1" t="s">
        <v>14164</v>
      </c>
      <c r="B7086" s="2">
        <v>4192.63</v>
      </c>
      <c r="C7086" s="2">
        <v>4192.63</v>
      </c>
      <c r="D7086" s="2">
        <v>12720.78</v>
      </c>
      <c r="E7086" s="2">
        <v>12720.78</v>
      </c>
      <c r="G7086" s="1" t="s">
        <v>14165</v>
      </c>
      <c r="H7086" s="2">
        <v>2557.08</v>
      </c>
      <c r="I7086" s="2">
        <v>2557.08</v>
      </c>
    </row>
    <row r="7087">
      <c r="A7087" s="1" t="s">
        <v>14166</v>
      </c>
      <c r="B7087" s="2">
        <v>4145.58</v>
      </c>
      <c r="C7087" s="2">
        <v>4145.58</v>
      </c>
      <c r="D7087" s="2">
        <v>12560.25</v>
      </c>
      <c r="E7087" s="2">
        <v>12560.25</v>
      </c>
      <c r="G7087" s="1" t="s">
        <v>14167</v>
      </c>
      <c r="H7087" s="2">
        <v>2567.55</v>
      </c>
      <c r="I7087" s="2">
        <v>2567.55</v>
      </c>
    </row>
    <row r="7088">
      <c r="A7088" s="1" t="s">
        <v>14168</v>
      </c>
      <c r="B7088" s="2">
        <v>4115.24</v>
      </c>
      <c r="C7088" s="2">
        <v>4115.24</v>
      </c>
      <c r="D7088" s="2">
        <v>12484.16</v>
      </c>
      <c r="E7088" s="2">
        <v>12484.16</v>
      </c>
      <c r="G7088" s="1" t="s">
        <v>14169</v>
      </c>
      <c r="H7088" s="2">
        <v>2567.45</v>
      </c>
      <c r="I7088" s="2">
        <v>2567.45</v>
      </c>
    </row>
    <row r="7089">
      <c r="A7089" s="1" t="s">
        <v>14170</v>
      </c>
      <c r="B7089" s="2">
        <v>4151.28</v>
      </c>
      <c r="C7089" s="2">
        <v>4151.28</v>
      </c>
      <c r="D7089" s="2">
        <v>12698.09</v>
      </c>
      <c r="E7089" s="2">
        <v>12698.09</v>
      </c>
      <c r="G7089" s="1" t="s">
        <v>14171</v>
      </c>
      <c r="H7089" s="2">
        <v>2554.69</v>
      </c>
      <c r="I7089" s="2">
        <v>2554.69</v>
      </c>
    </row>
    <row r="7090">
      <c r="A7090" s="1" t="s">
        <v>14172</v>
      </c>
      <c r="B7090" s="2">
        <v>4205.45</v>
      </c>
      <c r="C7090" s="2">
        <v>4205.45</v>
      </c>
      <c r="D7090" s="2">
        <v>12975.69</v>
      </c>
      <c r="E7090" s="2">
        <v>12975.69</v>
      </c>
      <c r="G7090" s="1" t="s">
        <v>14173</v>
      </c>
      <c r="H7090" s="2">
        <v>2558.81</v>
      </c>
      <c r="I7090" s="2">
        <v>2558.81</v>
      </c>
    </row>
    <row r="7091">
      <c r="A7091" s="1" t="s">
        <v>14174</v>
      </c>
      <c r="B7091" s="2" t="s">
        <v>0</v>
      </c>
      <c r="C7091" s="2">
        <v>4205.45</v>
      </c>
      <c r="D7091" s="2" t="s">
        <v>0</v>
      </c>
      <c r="E7091" s="2">
        <v>12975.69</v>
      </c>
      <c r="G7091" s="1" t="s">
        <v>14175</v>
      </c>
      <c r="H7091" s="2" t="s">
        <v>0</v>
      </c>
      <c r="I7091" s="2">
        <v>2558.81</v>
      </c>
    </row>
    <row r="7092">
      <c r="A7092" s="1" t="s">
        <v>14176</v>
      </c>
      <c r="B7092" s="2" t="s">
        <v>0</v>
      </c>
      <c r="C7092" s="2">
        <v>4205.45</v>
      </c>
      <c r="D7092" s="2" t="s">
        <v>0</v>
      </c>
      <c r="E7092" s="2">
        <v>12975.69</v>
      </c>
      <c r="G7092" s="1" t="s">
        <v>14177</v>
      </c>
      <c r="H7092" s="2" t="s">
        <v>0</v>
      </c>
      <c r="I7092" s="2">
        <v>2558.81</v>
      </c>
    </row>
    <row r="7093">
      <c r="A7093" s="1" t="s">
        <v>14178</v>
      </c>
      <c r="B7093" s="2" t="s">
        <v>0</v>
      </c>
      <c r="C7093" s="2">
        <v>4205.45</v>
      </c>
      <c r="D7093" s="2" t="s">
        <v>0</v>
      </c>
      <c r="E7093" s="2">
        <v>12975.69</v>
      </c>
      <c r="G7093" s="1" t="s">
        <v>14179</v>
      </c>
      <c r="H7093" s="2" t="s">
        <v>0</v>
      </c>
      <c r="I7093" s="2">
        <v>2558.81</v>
      </c>
    </row>
    <row r="7094">
      <c r="A7094" s="1" t="s">
        <v>14180</v>
      </c>
      <c r="B7094" s="2">
        <v>4205.52</v>
      </c>
      <c r="C7094" s="2">
        <v>4205.52</v>
      </c>
      <c r="D7094" s="2">
        <v>13017.43</v>
      </c>
      <c r="E7094" s="2">
        <v>13017.43</v>
      </c>
      <c r="G7094" s="1" t="s">
        <v>14181</v>
      </c>
      <c r="H7094" s="2">
        <v>2585.52</v>
      </c>
      <c r="I7094" s="2">
        <v>2585.52</v>
      </c>
    </row>
    <row r="7095">
      <c r="A7095" s="1" t="s">
        <v>14182</v>
      </c>
      <c r="B7095" s="2">
        <v>4179.83</v>
      </c>
      <c r="C7095" s="2">
        <v>4179.83</v>
      </c>
      <c r="D7095" s="2">
        <v>12935.29</v>
      </c>
      <c r="E7095" s="2">
        <v>12935.29</v>
      </c>
      <c r="G7095" s="1" t="s">
        <v>14183</v>
      </c>
      <c r="H7095" s="2">
        <v>2577.12</v>
      </c>
      <c r="I7095" s="2">
        <v>2577.12</v>
      </c>
    </row>
    <row r="7096">
      <c r="A7096" s="1" t="s">
        <v>14184</v>
      </c>
      <c r="B7096" s="2">
        <v>4221.02</v>
      </c>
      <c r="C7096" s="2">
        <v>4221.02</v>
      </c>
      <c r="D7096" s="2">
        <v>13100.98</v>
      </c>
      <c r="E7096" s="2">
        <v>13100.98</v>
      </c>
      <c r="G7096" s="1" t="s">
        <v>14185</v>
      </c>
      <c r="H7096" s="2">
        <v>2569.17</v>
      </c>
      <c r="I7096" s="2">
        <v>2569.17</v>
      </c>
    </row>
    <row r="7097">
      <c r="A7097" s="1" t="s">
        <v>14186</v>
      </c>
      <c r="B7097" s="2">
        <v>4282.37</v>
      </c>
      <c r="C7097" s="2">
        <v>4282.37</v>
      </c>
      <c r="D7097" s="2">
        <v>13240.77</v>
      </c>
      <c r="E7097" s="2">
        <v>13240.77</v>
      </c>
      <c r="G7097" s="1" t="s">
        <v>14187</v>
      </c>
      <c r="H7097" s="2">
        <v>2601.36</v>
      </c>
      <c r="I7097" s="2">
        <v>2601.36</v>
      </c>
    </row>
    <row r="7098">
      <c r="A7098" s="1" t="s">
        <v>14188</v>
      </c>
      <c r="B7098" s="2" t="s">
        <v>0</v>
      </c>
      <c r="C7098" s="2">
        <v>4282.37</v>
      </c>
      <c r="D7098" s="2" t="s">
        <v>0</v>
      </c>
      <c r="E7098" s="2">
        <v>13240.77</v>
      </c>
      <c r="G7098" s="1" t="s">
        <v>14189</v>
      </c>
      <c r="H7098" s="2" t="s">
        <v>0</v>
      </c>
      <c r="I7098" s="2">
        <v>2601.36</v>
      </c>
    </row>
    <row r="7099">
      <c r="A7099" s="1" t="s">
        <v>14190</v>
      </c>
      <c r="B7099" s="2" t="s">
        <v>0</v>
      </c>
      <c r="C7099" s="2">
        <v>4282.37</v>
      </c>
      <c r="D7099" s="2" t="s">
        <v>0</v>
      </c>
      <c r="E7099" s="2">
        <v>13240.77</v>
      </c>
      <c r="G7099" s="1" t="s">
        <v>14191</v>
      </c>
      <c r="H7099" s="2" t="s">
        <v>0</v>
      </c>
      <c r="I7099" s="2">
        <v>2601.36</v>
      </c>
    </row>
    <row r="7100">
      <c r="A7100" s="1" t="s">
        <v>14192</v>
      </c>
      <c r="B7100" s="2">
        <v>4273.79</v>
      </c>
      <c r="C7100" s="2">
        <v>4273.79</v>
      </c>
      <c r="D7100" s="2">
        <v>13229.43</v>
      </c>
      <c r="E7100" s="2">
        <v>13229.43</v>
      </c>
      <c r="G7100" s="1" t="s">
        <v>14193</v>
      </c>
      <c r="H7100" s="2">
        <v>2615.41</v>
      </c>
      <c r="I7100" s="2">
        <v>2615.41</v>
      </c>
    </row>
    <row r="7101">
      <c r="A7101" s="1" t="s">
        <v>14194</v>
      </c>
      <c r="B7101" s="2">
        <v>4283.85</v>
      </c>
      <c r="C7101" s="2">
        <v>4283.85</v>
      </c>
      <c r="D7101" s="2">
        <v>13276.42</v>
      </c>
      <c r="E7101" s="2">
        <v>13276.42</v>
      </c>
      <c r="G7101" s="1" t="s">
        <v>14195</v>
      </c>
      <c r="H7101" s="2" t="s">
        <v>0</v>
      </c>
      <c r="I7101" s="2">
        <v>2615.41</v>
      </c>
    </row>
    <row r="7102">
      <c r="A7102" s="1" t="s">
        <v>14196</v>
      </c>
      <c r="B7102" s="2">
        <v>4267.52</v>
      </c>
      <c r="C7102" s="2">
        <v>4267.52</v>
      </c>
      <c r="D7102" s="2">
        <v>13104.9</v>
      </c>
      <c r="E7102" s="2">
        <v>13104.9</v>
      </c>
      <c r="G7102" s="1" t="s">
        <v>14197</v>
      </c>
      <c r="H7102" s="2">
        <v>2615.6</v>
      </c>
      <c r="I7102" s="2">
        <v>2615.6</v>
      </c>
    </row>
    <row r="7103">
      <c r="A7103" s="1" t="s">
        <v>14198</v>
      </c>
      <c r="B7103" s="2">
        <v>4293.93</v>
      </c>
      <c r="C7103" s="2">
        <v>4293.93</v>
      </c>
      <c r="D7103" s="2">
        <v>13238.52</v>
      </c>
      <c r="E7103" s="2">
        <v>13238.52</v>
      </c>
      <c r="G7103" s="1" t="s">
        <v>14199</v>
      </c>
      <c r="H7103" s="2">
        <v>2610.85</v>
      </c>
      <c r="I7103" s="2">
        <v>2610.85</v>
      </c>
    </row>
    <row r="7104">
      <c r="A7104" s="1" t="s">
        <v>14200</v>
      </c>
      <c r="B7104" s="2">
        <v>4298.86</v>
      </c>
      <c r="C7104" s="2">
        <v>4298.86</v>
      </c>
      <c r="D7104" s="2">
        <v>13259.14</v>
      </c>
      <c r="E7104" s="2">
        <v>13259.14</v>
      </c>
      <c r="G7104" s="1" t="s">
        <v>14201</v>
      </c>
      <c r="H7104" s="2">
        <v>2641.16</v>
      </c>
      <c r="I7104" s="2">
        <v>2641.16</v>
      </c>
    </row>
    <row r="7105">
      <c r="A7105" s="1" t="s">
        <v>14202</v>
      </c>
      <c r="B7105" s="2" t="s">
        <v>0</v>
      </c>
      <c r="C7105" s="2">
        <v>4298.86</v>
      </c>
      <c r="D7105" s="2" t="s">
        <v>0</v>
      </c>
      <c r="E7105" s="2">
        <v>13259.14</v>
      </c>
      <c r="G7105" s="1" t="s">
        <v>14203</v>
      </c>
      <c r="H7105" s="2" t="s">
        <v>0</v>
      </c>
      <c r="I7105" s="2">
        <v>2641.16</v>
      </c>
    </row>
    <row r="7106">
      <c r="A7106" s="1" t="s">
        <v>14204</v>
      </c>
      <c r="B7106" s="2" t="s">
        <v>0</v>
      </c>
      <c r="C7106" s="2">
        <v>4298.86</v>
      </c>
      <c r="D7106" s="2" t="s">
        <v>0</v>
      </c>
      <c r="E7106" s="2">
        <v>13259.14</v>
      </c>
      <c r="G7106" s="1" t="s">
        <v>14205</v>
      </c>
      <c r="H7106" s="2" t="s">
        <v>0</v>
      </c>
      <c r="I7106" s="2">
        <v>2641.16</v>
      </c>
    </row>
    <row r="7107">
      <c r="A7107" s="1" t="s">
        <v>14206</v>
      </c>
      <c r="B7107" s="2">
        <v>4338.93</v>
      </c>
      <c r="C7107" s="2">
        <v>4338.93</v>
      </c>
      <c r="D7107" s="2">
        <v>13461.92</v>
      </c>
      <c r="E7107" s="2">
        <v>13461.92</v>
      </c>
      <c r="G7107" s="1" t="s">
        <v>14207</v>
      </c>
      <c r="H7107" s="2">
        <v>2629.35</v>
      </c>
      <c r="I7107" s="2">
        <v>2629.35</v>
      </c>
    </row>
    <row r="7108">
      <c r="A7108" s="1" t="s">
        <v>14208</v>
      </c>
      <c r="B7108" s="2">
        <v>4369.01</v>
      </c>
      <c r="C7108" s="2">
        <v>4369.01</v>
      </c>
      <c r="D7108" s="2">
        <v>13573.32</v>
      </c>
      <c r="E7108" s="2">
        <v>13573.32</v>
      </c>
      <c r="G7108" s="1" t="s">
        <v>14209</v>
      </c>
      <c r="H7108" s="2">
        <v>2637.95</v>
      </c>
      <c r="I7108" s="2">
        <v>2637.95</v>
      </c>
    </row>
    <row r="7109">
      <c r="A7109" s="1" t="s">
        <v>14210</v>
      </c>
      <c r="B7109" s="2">
        <v>4372.59</v>
      </c>
      <c r="C7109" s="2">
        <v>4372.59</v>
      </c>
      <c r="D7109" s="2">
        <v>13626.48</v>
      </c>
      <c r="E7109" s="2">
        <v>13626.48</v>
      </c>
      <c r="G7109" s="1" t="s">
        <v>14211</v>
      </c>
      <c r="H7109" s="2">
        <v>2619.08</v>
      </c>
      <c r="I7109" s="2">
        <v>2619.08</v>
      </c>
    </row>
    <row r="7110">
      <c r="A7110" s="1" t="s">
        <v>14212</v>
      </c>
      <c r="B7110" s="2">
        <v>4425.84</v>
      </c>
      <c r="C7110" s="2">
        <v>4425.84</v>
      </c>
      <c r="D7110" s="2">
        <v>13782.82</v>
      </c>
      <c r="E7110" s="2">
        <v>13782.82</v>
      </c>
      <c r="G7110" s="1" t="s">
        <v>14213</v>
      </c>
      <c r="H7110" s="2">
        <v>2608.54</v>
      </c>
      <c r="I7110" s="2">
        <v>2608.54</v>
      </c>
    </row>
    <row r="7111">
      <c r="A7111" s="1" t="s">
        <v>14214</v>
      </c>
      <c r="B7111" s="2">
        <v>4409.59</v>
      </c>
      <c r="C7111" s="2">
        <v>4409.59</v>
      </c>
      <c r="D7111" s="2">
        <v>13689.57</v>
      </c>
      <c r="E7111" s="2">
        <v>13689.57</v>
      </c>
      <c r="G7111" s="1" t="s">
        <v>14215</v>
      </c>
      <c r="H7111" s="2">
        <v>2625.79</v>
      </c>
      <c r="I7111" s="2">
        <v>2625.79</v>
      </c>
    </row>
    <row r="7112">
      <c r="A7112" s="1" t="s">
        <v>14216</v>
      </c>
      <c r="B7112" s="2" t="s">
        <v>0</v>
      </c>
      <c r="C7112" s="2">
        <v>4409.59</v>
      </c>
      <c r="D7112" s="2" t="s">
        <v>0</v>
      </c>
      <c r="E7112" s="2">
        <v>13689.57</v>
      </c>
      <c r="G7112" s="1" t="s">
        <v>14217</v>
      </c>
      <c r="H7112" s="2" t="s">
        <v>0</v>
      </c>
      <c r="I7112" s="2">
        <v>2625.79</v>
      </c>
    </row>
    <row r="7113">
      <c r="A7113" s="1" t="s">
        <v>14218</v>
      </c>
      <c r="B7113" s="2" t="s">
        <v>0</v>
      </c>
      <c r="C7113" s="2">
        <v>4409.59</v>
      </c>
      <c r="D7113" s="2" t="s">
        <v>0</v>
      </c>
      <c r="E7113" s="2">
        <v>13689.57</v>
      </c>
      <c r="G7113" s="1" t="s">
        <v>14219</v>
      </c>
      <c r="H7113" s="2" t="s">
        <v>0</v>
      </c>
      <c r="I7113" s="2">
        <v>2625.79</v>
      </c>
    </row>
    <row r="7114">
      <c r="A7114" s="1" t="s">
        <v>14220</v>
      </c>
      <c r="B7114" s="2" t="s">
        <v>0</v>
      </c>
      <c r="C7114" s="2">
        <v>4409.59</v>
      </c>
      <c r="D7114" s="2" t="s">
        <v>0</v>
      </c>
      <c r="E7114" s="2">
        <v>13689.57</v>
      </c>
      <c r="G7114" s="1" t="s">
        <v>14221</v>
      </c>
      <c r="H7114" s="2">
        <v>2609.5</v>
      </c>
      <c r="I7114" s="2">
        <v>2609.5</v>
      </c>
    </row>
    <row r="7115">
      <c r="A7115" s="1" t="s">
        <v>14222</v>
      </c>
      <c r="B7115" s="2">
        <v>4388.71</v>
      </c>
      <c r="C7115" s="2">
        <v>4388.71</v>
      </c>
      <c r="D7115" s="2">
        <v>13667.29</v>
      </c>
      <c r="E7115" s="2">
        <v>13667.29</v>
      </c>
      <c r="G7115" s="1" t="s">
        <v>14223</v>
      </c>
      <c r="H7115" s="2">
        <v>2604.91</v>
      </c>
      <c r="I7115" s="2">
        <v>2604.91</v>
      </c>
    </row>
    <row r="7116">
      <c r="A7116" s="1" t="s">
        <v>14224</v>
      </c>
      <c r="B7116" s="2">
        <v>4365.69</v>
      </c>
      <c r="C7116" s="2">
        <v>4365.69</v>
      </c>
      <c r="D7116" s="2">
        <v>13502.2</v>
      </c>
      <c r="E7116" s="2">
        <v>13502.2</v>
      </c>
      <c r="G7116" s="1" t="s">
        <v>14225</v>
      </c>
      <c r="H7116" s="2">
        <v>2582.63</v>
      </c>
      <c r="I7116" s="2">
        <v>2582.63</v>
      </c>
    </row>
    <row r="7117">
      <c r="A7117" s="1" t="s">
        <v>14226</v>
      </c>
      <c r="B7117" s="2">
        <v>4381.89</v>
      </c>
      <c r="C7117" s="2">
        <v>4381.89</v>
      </c>
      <c r="D7117" s="2">
        <v>13630.61</v>
      </c>
      <c r="E7117" s="2">
        <v>13630.61</v>
      </c>
      <c r="G7117" s="1" t="s">
        <v>14227</v>
      </c>
      <c r="H7117" s="2">
        <v>2593.7</v>
      </c>
      <c r="I7117" s="2">
        <v>2593.7</v>
      </c>
    </row>
    <row r="7118">
      <c r="A7118" s="1" t="s">
        <v>14228</v>
      </c>
      <c r="B7118" s="2">
        <v>4348.33</v>
      </c>
      <c r="C7118" s="2">
        <v>4348.33</v>
      </c>
      <c r="D7118" s="2">
        <v>13492.52</v>
      </c>
      <c r="E7118" s="2">
        <v>13492.52</v>
      </c>
      <c r="G7118" s="1" t="s">
        <v>14229</v>
      </c>
      <c r="H7118" s="2">
        <v>2570.1</v>
      </c>
      <c r="I7118" s="2">
        <v>2570.1</v>
      </c>
    </row>
    <row r="7119">
      <c r="A7119" s="1" t="s">
        <v>14230</v>
      </c>
      <c r="B7119" s="2" t="s">
        <v>0</v>
      </c>
      <c r="C7119" s="2">
        <v>4348.33</v>
      </c>
      <c r="D7119" s="2" t="s">
        <v>0</v>
      </c>
      <c r="E7119" s="2">
        <v>13492.52</v>
      </c>
      <c r="G7119" s="1" t="s">
        <v>14231</v>
      </c>
      <c r="H7119" s="2" t="s">
        <v>0</v>
      </c>
      <c r="I7119" s="2">
        <v>2570.1</v>
      </c>
    </row>
    <row r="7120">
      <c r="A7120" s="1" t="s">
        <v>14232</v>
      </c>
      <c r="B7120" s="2" t="s">
        <v>0</v>
      </c>
      <c r="C7120" s="2">
        <v>4348.33</v>
      </c>
      <c r="D7120" s="2" t="s">
        <v>0</v>
      </c>
      <c r="E7120" s="2">
        <v>13492.52</v>
      </c>
      <c r="G7120" s="1" t="s">
        <v>14233</v>
      </c>
      <c r="H7120" s="2" t="s">
        <v>0</v>
      </c>
      <c r="I7120" s="2">
        <v>2570.1</v>
      </c>
    </row>
    <row r="7121">
      <c r="A7121" s="1" t="s">
        <v>14234</v>
      </c>
      <c r="B7121" s="2">
        <v>4328.82</v>
      </c>
      <c r="C7121" s="2">
        <v>4328.82</v>
      </c>
      <c r="D7121" s="2">
        <v>13335.78</v>
      </c>
      <c r="E7121" s="2">
        <v>13335.78</v>
      </c>
      <c r="G7121" s="1" t="s">
        <v>14235</v>
      </c>
      <c r="H7121" s="2">
        <v>2582.2</v>
      </c>
      <c r="I7121" s="2">
        <v>2582.2</v>
      </c>
    </row>
    <row r="7122">
      <c r="A7122" s="1" t="s">
        <v>14236</v>
      </c>
      <c r="B7122" s="2">
        <v>4378.41</v>
      </c>
      <c r="C7122" s="2">
        <v>4378.41</v>
      </c>
      <c r="D7122" s="2">
        <v>13555.67</v>
      </c>
      <c r="E7122" s="2">
        <v>13555.67</v>
      </c>
      <c r="G7122" s="1" t="s">
        <v>14237</v>
      </c>
      <c r="H7122" s="2">
        <v>2581.39</v>
      </c>
      <c r="I7122" s="2">
        <v>2581.39</v>
      </c>
    </row>
    <row r="7123">
      <c r="A7123" s="1" t="s">
        <v>14238</v>
      </c>
      <c r="B7123" s="2">
        <v>4376.86</v>
      </c>
      <c r="C7123" s="2">
        <v>4376.86</v>
      </c>
      <c r="D7123" s="2">
        <v>13591.75</v>
      </c>
      <c r="E7123" s="2">
        <v>13591.75</v>
      </c>
      <c r="G7123" s="1" t="s">
        <v>14239</v>
      </c>
      <c r="H7123" s="2">
        <v>2564.19</v>
      </c>
      <c r="I7123" s="2">
        <v>2564.19</v>
      </c>
    </row>
    <row r="7124">
      <c r="A7124" s="1" t="s">
        <v>14240</v>
      </c>
      <c r="B7124" s="2">
        <v>4396.44</v>
      </c>
      <c r="C7124" s="2">
        <v>4396.44</v>
      </c>
      <c r="D7124" s="2">
        <v>13591.33</v>
      </c>
      <c r="E7124" s="2">
        <v>13591.33</v>
      </c>
      <c r="G7124" s="1" t="s">
        <v>14241</v>
      </c>
      <c r="H7124" s="2">
        <v>2550.02</v>
      </c>
      <c r="I7124" s="2">
        <v>2550.02</v>
      </c>
    </row>
    <row r="7125">
      <c r="A7125" s="1" t="s">
        <v>14242</v>
      </c>
      <c r="B7125" s="2">
        <v>4450.38</v>
      </c>
      <c r="C7125" s="2">
        <v>4450.38</v>
      </c>
      <c r="D7125" s="2">
        <v>13787.92</v>
      </c>
      <c r="E7125" s="2">
        <v>13787.92</v>
      </c>
      <c r="G7125" s="1" t="s">
        <v>14243</v>
      </c>
      <c r="H7125" s="2">
        <v>2564.28</v>
      </c>
      <c r="I7125" s="2">
        <v>2564.28</v>
      </c>
    </row>
    <row r="7126">
      <c r="A7126" s="1" t="s">
        <v>14244</v>
      </c>
      <c r="B7126" s="2" t="s">
        <v>0</v>
      </c>
      <c r="C7126" s="2">
        <v>4450.38</v>
      </c>
      <c r="D7126" s="2" t="s">
        <v>0</v>
      </c>
      <c r="E7126" s="2">
        <v>13787.92</v>
      </c>
      <c r="G7126" s="1" t="s">
        <v>14245</v>
      </c>
      <c r="H7126" s="2" t="s">
        <v>0</v>
      </c>
      <c r="I7126" s="2">
        <v>2564.28</v>
      </c>
    </row>
    <row r="7127">
      <c r="A7127" s="1" t="s">
        <v>14246</v>
      </c>
      <c r="B7127" s="2" t="s">
        <v>0</v>
      </c>
      <c r="C7127" s="2">
        <v>4450.38</v>
      </c>
      <c r="D7127" s="2" t="s">
        <v>0</v>
      </c>
      <c r="E7127" s="2">
        <v>13787.92</v>
      </c>
      <c r="G7127" s="1" t="s">
        <v>14247</v>
      </c>
      <c r="H7127" s="2" t="s">
        <v>0</v>
      </c>
      <c r="I7127" s="2">
        <v>2564.28</v>
      </c>
    </row>
    <row r="7128">
      <c r="A7128" s="1" t="s">
        <v>14248</v>
      </c>
      <c r="B7128" s="2" t="s">
        <v>0</v>
      </c>
      <c r="C7128" s="2">
        <v>4450.38</v>
      </c>
      <c r="D7128" s="2" t="s">
        <v>0</v>
      </c>
      <c r="E7128" s="2">
        <v>13787.92</v>
      </c>
      <c r="G7128" s="1" t="s">
        <v>14249</v>
      </c>
      <c r="H7128" s="2">
        <v>2602.47</v>
      </c>
      <c r="I7128" s="2">
        <v>2602.47</v>
      </c>
    </row>
    <row r="7129">
      <c r="A7129" s="1" t="s">
        <v>14250</v>
      </c>
      <c r="B7129" s="2" t="s">
        <v>0</v>
      </c>
      <c r="C7129" s="2">
        <v>4450.38</v>
      </c>
      <c r="D7129" s="2" t="s">
        <v>0</v>
      </c>
      <c r="E7129" s="2">
        <v>13787.92</v>
      </c>
      <c r="G7129" s="1" t="s">
        <v>14251</v>
      </c>
      <c r="H7129" s="2">
        <v>2593.31</v>
      </c>
      <c r="I7129" s="2">
        <v>2593.31</v>
      </c>
    </row>
    <row r="7130">
      <c r="A7130" s="1" t="s">
        <v>14252</v>
      </c>
      <c r="B7130" s="2">
        <v>4446.82</v>
      </c>
      <c r="C7130" s="2">
        <v>4446.82</v>
      </c>
      <c r="D7130" s="2">
        <v>13791.65</v>
      </c>
      <c r="E7130" s="2">
        <v>13791.65</v>
      </c>
      <c r="G7130" s="1" t="s">
        <v>14253</v>
      </c>
      <c r="H7130" s="2">
        <v>2579.0</v>
      </c>
      <c r="I7130" s="2">
        <v>2579.0</v>
      </c>
    </row>
    <row r="7131">
      <c r="A7131" s="1" t="s">
        <v>14254</v>
      </c>
      <c r="B7131" s="2">
        <v>4411.59</v>
      </c>
      <c r="C7131" s="2">
        <v>4411.59</v>
      </c>
      <c r="D7131" s="2">
        <v>13679.04</v>
      </c>
      <c r="E7131" s="2">
        <v>13679.04</v>
      </c>
      <c r="G7131" s="1" t="s">
        <v>14255</v>
      </c>
      <c r="H7131" s="2">
        <v>2556.29</v>
      </c>
      <c r="I7131" s="2">
        <v>2556.29</v>
      </c>
    </row>
    <row r="7132">
      <c r="A7132" s="1" t="s">
        <v>14256</v>
      </c>
      <c r="B7132" s="2">
        <v>4398.95</v>
      </c>
      <c r="C7132" s="2">
        <v>4398.95</v>
      </c>
      <c r="D7132" s="2">
        <v>13660.72</v>
      </c>
      <c r="E7132" s="2">
        <v>13660.72</v>
      </c>
      <c r="G7132" s="1" t="s">
        <v>14257</v>
      </c>
      <c r="H7132" s="2">
        <v>2526.71</v>
      </c>
      <c r="I7132" s="2">
        <v>2526.71</v>
      </c>
    </row>
    <row r="7133">
      <c r="A7133" s="1" t="s">
        <v>14258</v>
      </c>
      <c r="B7133" s="2" t="s">
        <v>0</v>
      </c>
      <c r="C7133" s="2">
        <v>4398.95</v>
      </c>
      <c r="D7133" s="2" t="s">
        <v>0</v>
      </c>
      <c r="E7133" s="2">
        <v>13660.72</v>
      </c>
      <c r="G7133" s="1" t="s">
        <v>14259</v>
      </c>
      <c r="H7133" s="2" t="s">
        <v>0</v>
      </c>
      <c r="I7133" s="2">
        <v>2526.71</v>
      </c>
    </row>
    <row r="7134">
      <c r="A7134" s="1" t="s">
        <v>14260</v>
      </c>
      <c r="B7134" s="2" t="s">
        <v>0</v>
      </c>
      <c r="C7134" s="2">
        <v>4398.95</v>
      </c>
      <c r="D7134" s="2" t="s">
        <v>0</v>
      </c>
      <c r="E7134" s="2">
        <v>13660.72</v>
      </c>
      <c r="G7134" s="1" t="s">
        <v>14261</v>
      </c>
      <c r="H7134" s="2" t="s">
        <v>0</v>
      </c>
      <c r="I7134" s="2">
        <v>2526.71</v>
      </c>
    </row>
    <row r="7135">
      <c r="A7135" s="1" t="s">
        <v>14262</v>
      </c>
      <c r="B7135" s="2">
        <v>4409.53</v>
      </c>
      <c r="C7135" s="2">
        <v>4409.53</v>
      </c>
      <c r="D7135" s="2">
        <v>13685.48</v>
      </c>
      <c r="E7135" s="2">
        <v>13685.48</v>
      </c>
      <c r="G7135" s="1" t="s">
        <v>14263</v>
      </c>
      <c r="H7135" s="2">
        <v>2520.7</v>
      </c>
      <c r="I7135" s="2">
        <v>2520.7</v>
      </c>
    </row>
    <row r="7136">
      <c r="A7136" s="1" t="s">
        <v>14264</v>
      </c>
      <c r="B7136" s="2">
        <v>4439.26</v>
      </c>
      <c r="C7136" s="2">
        <v>4439.26</v>
      </c>
      <c r="D7136" s="2">
        <v>13760.7</v>
      </c>
      <c r="E7136" s="2">
        <v>13760.7</v>
      </c>
      <c r="G7136" s="1" t="s">
        <v>14265</v>
      </c>
      <c r="H7136" s="2">
        <v>2562.49</v>
      </c>
      <c r="I7136" s="2">
        <v>2562.49</v>
      </c>
    </row>
    <row r="7137">
      <c r="A7137" s="1" t="s">
        <v>14266</v>
      </c>
      <c r="B7137" s="2">
        <v>4472.16</v>
      </c>
      <c r="C7137" s="2">
        <v>4472.16</v>
      </c>
      <c r="D7137" s="2">
        <v>13918.96</v>
      </c>
      <c r="E7137" s="2">
        <v>13918.96</v>
      </c>
      <c r="G7137" s="1" t="s">
        <v>14267</v>
      </c>
      <c r="H7137" s="2">
        <v>2574.72</v>
      </c>
      <c r="I7137" s="2">
        <v>2574.72</v>
      </c>
    </row>
    <row r="7138">
      <c r="A7138" s="1" t="s">
        <v>14268</v>
      </c>
      <c r="B7138" s="2">
        <v>4510.04</v>
      </c>
      <c r="C7138" s="2">
        <v>4510.04</v>
      </c>
      <c r="D7138" s="2">
        <v>14138.57</v>
      </c>
      <c r="E7138" s="2">
        <v>14138.57</v>
      </c>
      <c r="G7138" s="1" t="s">
        <v>14269</v>
      </c>
      <c r="H7138" s="2">
        <v>2591.23</v>
      </c>
      <c r="I7138" s="2">
        <v>2591.23</v>
      </c>
    </row>
    <row r="7139">
      <c r="A7139" s="1" t="s">
        <v>14270</v>
      </c>
      <c r="B7139" s="2">
        <v>4505.42</v>
      </c>
      <c r="C7139" s="2">
        <v>4505.42</v>
      </c>
      <c r="D7139" s="2">
        <v>14113.7</v>
      </c>
      <c r="E7139" s="2">
        <v>14113.7</v>
      </c>
      <c r="G7139" s="1" t="s">
        <v>14271</v>
      </c>
      <c r="H7139" s="2">
        <v>2628.3</v>
      </c>
      <c r="I7139" s="2">
        <v>2628.3</v>
      </c>
    </row>
    <row r="7140">
      <c r="A7140" s="1" t="s">
        <v>14272</v>
      </c>
      <c r="B7140" s="2" t="s">
        <v>0</v>
      </c>
      <c r="C7140" s="2">
        <v>4505.42</v>
      </c>
      <c r="D7140" s="2" t="s">
        <v>0</v>
      </c>
      <c r="E7140" s="2">
        <v>14113.7</v>
      </c>
      <c r="G7140" s="1" t="s">
        <v>14273</v>
      </c>
      <c r="H7140" s="2" t="s">
        <v>0</v>
      </c>
      <c r="I7140" s="2">
        <v>2628.3</v>
      </c>
    </row>
    <row r="7141">
      <c r="A7141" s="1" t="s">
        <v>14274</v>
      </c>
      <c r="B7141" s="2" t="s">
        <v>0</v>
      </c>
      <c r="C7141" s="2">
        <v>4505.42</v>
      </c>
      <c r="D7141" s="2" t="s">
        <v>0</v>
      </c>
      <c r="E7141" s="2">
        <v>14113.7</v>
      </c>
      <c r="G7141" s="1" t="s">
        <v>14275</v>
      </c>
      <c r="H7141" s="2" t="s">
        <v>0</v>
      </c>
      <c r="I7141" s="2">
        <v>2628.3</v>
      </c>
    </row>
    <row r="7142">
      <c r="A7142" s="1" t="s">
        <v>14276</v>
      </c>
      <c r="B7142" s="2">
        <v>4522.79</v>
      </c>
      <c r="C7142" s="2">
        <v>4522.79</v>
      </c>
      <c r="D7142" s="2">
        <v>14244.95</v>
      </c>
      <c r="E7142" s="2">
        <v>14244.95</v>
      </c>
      <c r="G7142" s="1" t="s">
        <v>14277</v>
      </c>
      <c r="H7142" s="2">
        <v>2619.0</v>
      </c>
      <c r="I7142" s="2">
        <v>2619.0</v>
      </c>
    </row>
    <row r="7143">
      <c r="A7143" s="1" t="s">
        <v>14278</v>
      </c>
      <c r="B7143" s="2">
        <v>4554.98</v>
      </c>
      <c r="C7143" s="2">
        <v>4554.98</v>
      </c>
      <c r="D7143" s="2">
        <v>14353.64</v>
      </c>
      <c r="E7143" s="2">
        <v>14353.64</v>
      </c>
      <c r="G7143" s="1" t="s">
        <v>14279</v>
      </c>
      <c r="H7143" s="2">
        <v>2607.62</v>
      </c>
      <c r="I7143" s="2">
        <v>2607.62</v>
      </c>
    </row>
    <row r="7144">
      <c r="A7144" s="1" t="s">
        <v>14280</v>
      </c>
      <c r="B7144" s="2">
        <v>4565.72</v>
      </c>
      <c r="C7144" s="2">
        <v>4565.72</v>
      </c>
      <c r="D7144" s="2">
        <v>14358.02</v>
      </c>
      <c r="E7144" s="2">
        <v>14358.02</v>
      </c>
      <c r="G7144" s="1" t="s">
        <v>14281</v>
      </c>
      <c r="H7144" s="2">
        <v>2608.24</v>
      </c>
      <c r="I7144" s="2">
        <v>2608.24</v>
      </c>
    </row>
    <row r="7145">
      <c r="A7145" s="1" t="s">
        <v>14282</v>
      </c>
      <c r="B7145" s="2">
        <v>4534.87</v>
      </c>
      <c r="C7145" s="2">
        <v>4534.87</v>
      </c>
      <c r="D7145" s="2">
        <v>14063.31</v>
      </c>
      <c r="E7145" s="2">
        <v>14063.31</v>
      </c>
      <c r="G7145" s="1" t="s">
        <v>14283</v>
      </c>
      <c r="H7145" s="2">
        <v>2600.23</v>
      </c>
      <c r="I7145" s="2">
        <v>2600.23</v>
      </c>
    </row>
    <row r="7146">
      <c r="A7146" s="1" t="s">
        <v>14284</v>
      </c>
      <c r="B7146" s="2">
        <v>4536.34</v>
      </c>
      <c r="C7146" s="2">
        <v>4536.34</v>
      </c>
      <c r="D7146" s="2">
        <v>14032.81</v>
      </c>
      <c r="E7146" s="2">
        <v>14032.81</v>
      </c>
      <c r="G7146" s="1" t="s">
        <v>14285</v>
      </c>
      <c r="H7146" s="2">
        <v>2609.76</v>
      </c>
      <c r="I7146" s="2">
        <v>2609.76</v>
      </c>
    </row>
    <row r="7147">
      <c r="A7147" s="1" t="s">
        <v>14286</v>
      </c>
      <c r="B7147" s="2" t="s">
        <v>0</v>
      </c>
      <c r="C7147" s="2">
        <v>4536.34</v>
      </c>
      <c r="D7147" s="2" t="s">
        <v>0</v>
      </c>
      <c r="E7147" s="2">
        <v>14032.81</v>
      </c>
      <c r="G7147" s="1" t="s">
        <v>14287</v>
      </c>
      <c r="H7147" s="2" t="s">
        <v>0</v>
      </c>
      <c r="I7147" s="2">
        <v>2609.76</v>
      </c>
    </row>
    <row r="7148">
      <c r="A7148" s="1" t="s">
        <v>14288</v>
      </c>
      <c r="B7148" s="2" t="s">
        <v>0</v>
      </c>
      <c r="C7148" s="2">
        <v>4536.34</v>
      </c>
      <c r="D7148" s="2" t="s">
        <v>0</v>
      </c>
      <c r="E7148" s="2">
        <v>14032.81</v>
      </c>
      <c r="G7148" s="1" t="s">
        <v>14289</v>
      </c>
      <c r="H7148" s="2" t="s">
        <v>0</v>
      </c>
      <c r="I7148" s="2">
        <v>2609.76</v>
      </c>
    </row>
    <row r="7149">
      <c r="A7149" s="1" t="s">
        <v>14290</v>
      </c>
      <c r="B7149" s="2">
        <v>4554.64</v>
      </c>
      <c r="C7149" s="2">
        <v>4554.64</v>
      </c>
      <c r="D7149" s="2">
        <v>14058.87</v>
      </c>
      <c r="E7149" s="2">
        <v>14058.87</v>
      </c>
      <c r="G7149" s="1" t="s">
        <v>14291</v>
      </c>
      <c r="H7149" s="2">
        <v>2628.53</v>
      </c>
      <c r="I7149" s="2">
        <v>2628.53</v>
      </c>
    </row>
    <row r="7150">
      <c r="A7150" s="1" t="s">
        <v>14292</v>
      </c>
      <c r="B7150" s="2">
        <v>4567.46</v>
      </c>
      <c r="C7150" s="2">
        <v>4567.46</v>
      </c>
      <c r="D7150" s="2">
        <v>14144.56</v>
      </c>
      <c r="E7150" s="2">
        <v>14144.56</v>
      </c>
      <c r="G7150" s="1" t="s">
        <v>14293</v>
      </c>
      <c r="H7150" s="2">
        <v>2636.46</v>
      </c>
      <c r="I7150" s="2">
        <v>2636.46</v>
      </c>
    </row>
    <row r="7151">
      <c r="A7151" s="1" t="s">
        <v>14294</v>
      </c>
      <c r="B7151" s="2">
        <v>4566.75</v>
      </c>
      <c r="C7151" s="2">
        <v>4566.75</v>
      </c>
      <c r="D7151" s="2">
        <v>14127.28</v>
      </c>
      <c r="E7151" s="2">
        <v>14127.28</v>
      </c>
      <c r="G7151" s="1" t="s">
        <v>14295</v>
      </c>
      <c r="H7151" s="2">
        <v>2592.36</v>
      </c>
      <c r="I7151" s="2">
        <v>2592.36</v>
      </c>
    </row>
    <row r="7152">
      <c r="A7152" s="1" t="s">
        <v>14296</v>
      </c>
      <c r="B7152" s="2">
        <v>4537.41</v>
      </c>
      <c r="C7152" s="2">
        <v>4537.41</v>
      </c>
      <c r="D7152" s="2">
        <v>14050.11</v>
      </c>
      <c r="E7152" s="2">
        <v>14050.11</v>
      </c>
      <c r="G7152" s="1" t="s">
        <v>14297</v>
      </c>
      <c r="H7152" s="2">
        <v>2603.81</v>
      </c>
      <c r="I7152" s="2">
        <v>2603.81</v>
      </c>
    </row>
    <row r="7153">
      <c r="A7153" s="1" t="s">
        <v>14298</v>
      </c>
      <c r="B7153" s="2">
        <v>4582.23</v>
      </c>
      <c r="C7153" s="2">
        <v>4582.23</v>
      </c>
      <c r="D7153" s="2">
        <v>14316.66</v>
      </c>
      <c r="E7153" s="2">
        <v>14316.66</v>
      </c>
      <c r="G7153" s="1" t="s">
        <v>14299</v>
      </c>
      <c r="H7153" s="2">
        <v>2608.32</v>
      </c>
      <c r="I7153" s="2">
        <v>2608.32</v>
      </c>
    </row>
    <row r="7154">
      <c r="A7154" s="1" t="s">
        <v>14300</v>
      </c>
      <c r="B7154" s="2" t="s">
        <v>0</v>
      </c>
      <c r="C7154" s="2">
        <v>4582.23</v>
      </c>
      <c r="D7154" s="2" t="s">
        <v>0</v>
      </c>
      <c r="E7154" s="2">
        <v>14316.66</v>
      </c>
      <c r="G7154" s="1" t="s">
        <v>14301</v>
      </c>
      <c r="H7154" s="2" t="s">
        <v>0</v>
      </c>
      <c r="I7154" s="2">
        <v>2608.32</v>
      </c>
    </row>
    <row r="7155">
      <c r="A7155" s="1" t="s">
        <v>14302</v>
      </c>
      <c r="B7155" s="2" t="s">
        <v>0</v>
      </c>
      <c r="C7155" s="2">
        <v>4582.23</v>
      </c>
      <c r="D7155" s="2" t="s">
        <v>0</v>
      </c>
      <c r="E7155" s="2">
        <v>14316.66</v>
      </c>
      <c r="G7155" s="1" t="s">
        <v>14303</v>
      </c>
      <c r="H7155" s="2" t="s">
        <v>0</v>
      </c>
      <c r="I7155" s="2">
        <v>2608.32</v>
      </c>
    </row>
    <row r="7156">
      <c r="A7156" s="1" t="s">
        <v>14304</v>
      </c>
      <c r="B7156" s="2">
        <v>4588.96</v>
      </c>
      <c r="C7156" s="2">
        <v>4588.96</v>
      </c>
      <c r="D7156" s="2">
        <v>14346.02</v>
      </c>
      <c r="E7156" s="2">
        <v>14346.02</v>
      </c>
      <c r="G7156" s="1" t="s">
        <v>14305</v>
      </c>
      <c r="H7156" s="2">
        <v>2632.58</v>
      </c>
      <c r="I7156" s="2">
        <v>2632.58</v>
      </c>
    </row>
    <row r="7157">
      <c r="A7157" s="1" t="s">
        <v>14306</v>
      </c>
      <c r="B7157" s="2">
        <v>4576.73</v>
      </c>
      <c r="C7157" s="2">
        <v>4576.73</v>
      </c>
      <c r="D7157" s="2">
        <v>14283.91</v>
      </c>
      <c r="E7157" s="2">
        <v>14283.91</v>
      </c>
      <c r="G7157" s="1" t="s">
        <v>14307</v>
      </c>
      <c r="H7157" s="2">
        <v>2667.07</v>
      </c>
      <c r="I7157" s="2">
        <v>2667.07</v>
      </c>
    </row>
    <row r="7158">
      <c r="A7158" s="1" t="s">
        <v>14308</v>
      </c>
      <c r="B7158" s="2">
        <v>4513.39</v>
      </c>
      <c r="C7158" s="2">
        <v>4513.39</v>
      </c>
      <c r="D7158" s="2">
        <v>13973.45</v>
      </c>
      <c r="E7158" s="2">
        <v>13973.45</v>
      </c>
      <c r="G7158" s="1" t="s">
        <v>14309</v>
      </c>
      <c r="H7158" s="2">
        <v>2616.47</v>
      </c>
      <c r="I7158" s="2">
        <v>2616.47</v>
      </c>
    </row>
    <row r="7159">
      <c r="A7159" s="1" t="s">
        <v>14310</v>
      </c>
      <c r="B7159" s="2">
        <v>4501.89</v>
      </c>
      <c r="C7159" s="2">
        <v>4501.89</v>
      </c>
      <c r="D7159" s="2">
        <v>13959.72</v>
      </c>
      <c r="E7159" s="2">
        <v>13959.72</v>
      </c>
      <c r="G7159" s="1" t="s">
        <v>14311</v>
      </c>
      <c r="H7159" s="2">
        <v>2605.39</v>
      </c>
      <c r="I7159" s="2">
        <v>2605.39</v>
      </c>
    </row>
    <row r="7160">
      <c r="A7160" s="1" t="s">
        <v>14312</v>
      </c>
      <c r="B7160" s="2">
        <v>4478.03</v>
      </c>
      <c r="C7160" s="2">
        <v>4478.03</v>
      </c>
      <c r="D7160" s="2">
        <v>13892.07</v>
      </c>
      <c r="E7160" s="2">
        <v>13892.07</v>
      </c>
      <c r="G7160" s="1" t="s">
        <v>14313</v>
      </c>
      <c r="H7160" s="2">
        <v>2602.8</v>
      </c>
      <c r="I7160" s="2">
        <v>2602.8</v>
      </c>
    </row>
    <row r="7161">
      <c r="A7161" s="1" t="s">
        <v>14314</v>
      </c>
      <c r="B7161" s="2" t="s">
        <v>0</v>
      </c>
      <c r="C7161" s="2">
        <v>4478.03</v>
      </c>
      <c r="D7161" s="2" t="s">
        <v>0</v>
      </c>
      <c r="E7161" s="2">
        <v>13892.07</v>
      </c>
      <c r="G7161" s="1" t="s">
        <v>14315</v>
      </c>
      <c r="H7161" s="2" t="s">
        <v>0</v>
      </c>
      <c r="I7161" s="2">
        <v>2602.8</v>
      </c>
    </row>
    <row r="7162">
      <c r="A7162" s="1" t="s">
        <v>14316</v>
      </c>
      <c r="B7162" s="2" t="s">
        <v>0</v>
      </c>
      <c r="C7162" s="2">
        <v>4478.03</v>
      </c>
      <c r="D7162" s="2" t="s">
        <v>0</v>
      </c>
      <c r="E7162" s="2">
        <v>13892.07</v>
      </c>
      <c r="G7162" s="1" t="s">
        <v>14317</v>
      </c>
      <c r="H7162" s="2" t="s">
        <v>0</v>
      </c>
      <c r="I7162" s="2">
        <v>2602.8</v>
      </c>
    </row>
    <row r="7163">
      <c r="A7163" s="1" t="s">
        <v>14318</v>
      </c>
      <c r="B7163" s="2">
        <v>4518.44</v>
      </c>
      <c r="C7163" s="2">
        <v>4518.44</v>
      </c>
      <c r="D7163" s="2">
        <v>13977.12</v>
      </c>
      <c r="E7163" s="2">
        <v>13977.12</v>
      </c>
      <c r="G7163" s="1" t="s">
        <v>14319</v>
      </c>
      <c r="H7163" s="2">
        <v>2580.71</v>
      </c>
      <c r="I7163" s="2">
        <v>2580.71</v>
      </c>
    </row>
    <row r="7164">
      <c r="A7164" s="1" t="s">
        <v>14320</v>
      </c>
      <c r="B7164" s="2">
        <v>4499.38</v>
      </c>
      <c r="C7164" s="2">
        <v>4499.38</v>
      </c>
      <c r="D7164" s="2">
        <v>13867.19</v>
      </c>
      <c r="E7164" s="2">
        <v>13867.19</v>
      </c>
      <c r="G7164" s="1" t="s">
        <v>14321</v>
      </c>
      <c r="H7164" s="2">
        <v>2573.98</v>
      </c>
      <c r="I7164" s="2">
        <v>2573.98</v>
      </c>
    </row>
    <row r="7165">
      <c r="A7165" s="1" t="s">
        <v>14322</v>
      </c>
      <c r="B7165" s="2">
        <v>4467.71</v>
      </c>
      <c r="C7165" s="2">
        <v>4467.71</v>
      </c>
      <c r="D7165" s="2">
        <v>13705.08</v>
      </c>
      <c r="E7165" s="2">
        <v>13705.08</v>
      </c>
      <c r="G7165" s="1" t="s">
        <v>14323</v>
      </c>
      <c r="H7165" s="2">
        <v>2605.12</v>
      </c>
      <c r="I7165" s="2">
        <v>2605.12</v>
      </c>
    </row>
    <row r="7166">
      <c r="A7166" s="1" t="s">
        <v>14324</v>
      </c>
      <c r="B7166" s="2">
        <v>4468.83</v>
      </c>
      <c r="C7166" s="2">
        <v>4468.83</v>
      </c>
      <c r="D7166" s="2">
        <v>13721.03</v>
      </c>
      <c r="E7166" s="2">
        <v>13721.03</v>
      </c>
      <c r="G7166" s="1" t="s">
        <v>14325</v>
      </c>
      <c r="H7166" s="2">
        <v>2601.56</v>
      </c>
      <c r="I7166" s="2">
        <v>2601.56</v>
      </c>
    </row>
    <row r="7167">
      <c r="A7167" s="1" t="s">
        <v>14326</v>
      </c>
      <c r="B7167" s="2">
        <v>4464.05</v>
      </c>
      <c r="C7167" s="2">
        <v>4464.05</v>
      </c>
      <c r="D7167" s="2">
        <v>13644.85</v>
      </c>
      <c r="E7167" s="2">
        <v>13644.85</v>
      </c>
      <c r="G7167" s="1" t="s">
        <v>14327</v>
      </c>
      <c r="H7167" s="2">
        <v>2591.26</v>
      </c>
      <c r="I7167" s="2">
        <v>2591.26</v>
      </c>
    </row>
    <row r="7168">
      <c r="A7168" s="1" t="s">
        <v>14328</v>
      </c>
      <c r="B7168" s="2" t="s">
        <v>0</v>
      </c>
      <c r="C7168" s="2">
        <v>4464.05</v>
      </c>
      <c r="D7168" s="2" t="s">
        <v>0</v>
      </c>
      <c r="E7168" s="2">
        <v>13644.85</v>
      </c>
      <c r="G7168" s="1" t="s">
        <v>14329</v>
      </c>
      <c r="H7168" s="2" t="s">
        <v>0</v>
      </c>
      <c r="I7168" s="2">
        <v>2591.26</v>
      </c>
    </row>
    <row r="7169">
      <c r="A7169" s="1" t="s">
        <v>14330</v>
      </c>
      <c r="B7169" s="2" t="s">
        <v>0</v>
      </c>
      <c r="C7169" s="2">
        <v>4464.05</v>
      </c>
      <c r="D7169" s="2" t="s">
        <v>0</v>
      </c>
      <c r="E7169" s="2">
        <v>13644.85</v>
      </c>
      <c r="G7169" s="1" t="s">
        <v>14331</v>
      </c>
      <c r="H7169" s="2" t="s">
        <v>0</v>
      </c>
      <c r="I7169" s="2">
        <v>2591.26</v>
      </c>
    </row>
    <row r="7170">
      <c r="A7170" s="1" t="s">
        <v>14332</v>
      </c>
      <c r="B7170" s="2">
        <v>4489.72</v>
      </c>
      <c r="C7170" s="2">
        <v>4489.72</v>
      </c>
      <c r="D7170" s="2">
        <v>13788.33</v>
      </c>
      <c r="E7170" s="2">
        <v>13788.33</v>
      </c>
      <c r="G7170" s="1" t="s">
        <v>14333</v>
      </c>
      <c r="H7170" s="2">
        <v>2570.87</v>
      </c>
      <c r="I7170" s="2">
        <v>2570.87</v>
      </c>
    </row>
    <row r="7171">
      <c r="A7171" s="1" t="s">
        <v>14334</v>
      </c>
      <c r="B7171" s="2">
        <v>4437.86</v>
      </c>
      <c r="C7171" s="2">
        <v>4437.86</v>
      </c>
      <c r="D7171" s="2">
        <v>13631.05</v>
      </c>
      <c r="E7171" s="2">
        <v>13631.05</v>
      </c>
      <c r="G7171" s="1" t="s">
        <v>14335</v>
      </c>
      <c r="H7171" s="2" t="s">
        <v>0</v>
      </c>
      <c r="I7171" s="2">
        <v>2570.87</v>
      </c>
    </row>
    <row r="7172">
      <c r="A7172" s="1" t="s">
        <v>14336</v>
      </c>
      <c r="B7172" s="2">
        <v>4404.33</v>
      </c>
      <c r="C7172" s="2">
        <v>4404.33</v>
      </c>
      <c r="D7172" s="2">
        <v>13474.63</v>
      </c>
      <c r="E7172" s="2">
        <v>13474.63</v>
      </c>
      <c r="G7172" s="1" t="s">
        <v>14337</v>
      </c>
      <c r="H7172" s="2">
        <v>2525.64</v>
      </c>
      <c r="I7172" s="2">
        <v>2525.64</v>
      </c>
    </row>
    <row r="7173">
      <c r="A7173" s="1" t="s">
        <v>14338</v>
      </c>
      <c r="B7173" s="2">
        <v>4370.36</v>
      </c>
      <c r="C7173" s="2">
        <v>4370.36</v>
      </c>
      <c r="D7173" s="2">
        <v>13316.93</v>
      </c>
      <c r="E7173" s="2">
        <v>13316.93</v>
      </c>
      <c r="G7173" s="1" t="s">
        <v>14339</v>
      </c>
      <c r="H7173" s="2">
        <v>2519.85</v>
      </c>
      <c r="I7173" s="2">
        <v>2519.85</v>
      </c>
    </row>
    <row r="7174">
      <c r="A7174" s="1" t="s">
        <v>14340</v>
      </c>
      <c r="B7174" s="2">
        <v>4369.71</v>
      </c>
      <c r="C7174" s="2">
        <v>4369.71</v>
      </c>
      <c r="D7174" s="2">
        <v>13290.78</v>
      </c>
      <c r="E7174" s="2">
        <v>13290.78</v>
      </c>
      <c r="G7174" s="1" t="s">
        <v>14341</v>
      </c>
      <c r="H7174" s="2">
        <v>2504.5</v>
      </c>
      <c r="I7174" s="2">
        <v>2504.5</v>
      </c>
    </row>
    <row r="7175">
      <c r="A7175" s="1" t="s">
        <v>14342</v>
      </c>
      <c r="B7175" s="2" t="s">
        <v>0</v>
      </c>
      <c r="C7175" s="2">
        <v>4369.71</v>
      </c>
      <c r="D7175" s="2" t="s">
        <v>0</v>
      </c>
      <c r="E7175" s="2">
        <v>13290.78</v>
      </c>
      <c r="G7175" s="1" t="s">
        <v>14343</v>
      </c>
      <c r="H7175" s="2" t="s">
        <v>0</v>
      </c>
      <c r="I7175" s="2">
        <v>2504.5</v>
      </c>
    </row>
    <row r="7176">
      <c r="A7176" s="1" t="s">
        <v>14344</v>
      </c>
      <c r="B7176" s="2" t="s">
        <v>0</v>
      </c>
      <c r="C7176" s="2">
        <v>4369.71</v>
      </c>
      <c r="D7176" s="2" t="s">
        <v>0</v>
      </c>
      <c r="E7176" s="2">
        <v>13290.78</v>
      </c>
      <c r="G7176" s="1" t="s">
        <v>14345</v>
      </c>
      <c r="H7176" s="2" t="s">
        <v>0</v>
      </c>
      <c r="I7176" s="2">
        <v>2504.5</v>
      </c>
    </row>
    <row r="7177">
      <c r="A7177" s="1" t="s">
        <v>14346</v>
      </c>
      <c r="B7177" s="2">
        <v>4399.77</v>
      </c>
      <c r="C7177" s="2">
        <v>4399.77</v>
      </c>
      <c r="D7177" s="2">
        <v>13497.59</v>
      </c>
      <c r="E7177" s="2">
        <v>13497.59</v>
      </c>
      <c r="G7177" s="1" t="s">
        <v>14347</v>
      </c>
      <c r="H7177" s="2">
        <v>2508.8</v>
      </c>
      <c r="I7177" s="2">
        <v>2508.8</v>
      </c>
    </row>
    <row r="7178">
      <c r="A7178" s="1" t="s">
        <v>14348</v>
      </c>
      <c r="B7178" s="2">
        <v>4387.55</v>
      </c>
      <c r="C7178" s="2">
        <v>4387.55</v>
      </c>
      <c r="D7178" s="2">
        <v>13505.87</v>
      </c>
      <c r="E7178" s="2">
        <v>13505.87</v>
      </c>
      <c r="G7178" s="1" t="s">
        <v>14349</v>
      </c>
      <c r="H7178" s="2">
        <v>2515.74</v>
      </c>
      <c r="I7178" s="2">
        <v>2515.74</v>
      </c>
    </row>
    <row r="7179">
      <c r="A7179" s="1" t="s">
        <v>14350</v>
      </c>
      <c r="B7179" s="2">
        <v>4436.01</v>
      </c>
      <c r="C7179" s="2">
        <v>4436.01</v>
      </c>
      <c r="D7179" s="2">
        <v>13721.03</v>
      </c>
      <c r="E7179" s="2">
        <v>13721.03</v>
      </c>
      <c r="G7179" s="1" t="s">
        <v>14351</v>
      </c>
      <c r="H7179" s="2">
        <v>2505.5</v>
      </c>
      <c r="I7179" s="2">
        <v>2505.5</v>
      </c>
    </row>
    <row r="7180">
      <c r="A7180" s="1" t="s">
        <v>14352</v>
      </c>
      <c r="B7180" s="2">
        <v>4376.31</v>
      </c>
      <c r="C7180" s="2">
        <v>4376.31</v>
      </c>
      <c r="D7180" s="2">
        <v>13463.97</v>
      </c>
      <c r="E7180" s="2">
        <v>13463.97</v>
      </c>
      <c r="G7180" s="1" t="s">
        <v>14353</v>
      </c>
      <c r="H7180" s="2">
        <v>2537.68</v>
      </c>
      <c r="I7180" s="2">
        <v>2537.68</v>
      </c>
    </row>
    <row r="7181">
      <c r="A7181" s="1" t="s">
        <v>14354</v>
      </c>
      <c r="B7181" s="2">
        <v>4405.71</v>
      </c>
      <c r="C7181" s="2">
        <v>4405.71</v>
      </c>
      <c r="D7181" s="2">
        <v>13590.65</v>
      </c>
      <c r="E7181" s="2">
        <v>13590.65</v>
      </c>
      <c r="G7181" s="1" t="s">
        <v>14355</v>
      </c>
      <c r="H7181" s="2">
        <v>2519.14</v>
      </c>
      <c r="I7181" s="2">
        <v>2519.14</v>
      </c>
    </row>
    <row r="7182">
      <c r="A7182" s="1" t="s">
        <v>14356</v>
      </c>
      <c r="B7182" s="2" t="s">
        <v>0</v>
      </c>
      <c r="C7182" s="2">
        <v>4405.71</v>
      </c>
      <c r="D7182" s="2" t="s">
        <v>0</v>
      </c>
      <c r="E7182" s="2">
        <v>13590.65</v>
      </c>
      <c r="G7182" s="1" t="s">
        <v>14357</v>
      </c>
      <c r="H7182" s="2" t="s">
        <v>0</v>
      </c>
      <c r="I7182" s="2">
        <v>2519.14</v>
      </c>
    </row>
    <row r="7183">
      <c r="A7183" s="1" t="s">
        <v>14358</v>
      </c>
      <c r="B7183" s="2" t="s">
        <v>0</v>
      </c>
      <c r="C7183" s="2">
        <v>4405.71</v>
      </c>
      <c r="D7183" s="2" t="s">
        <v>0</v>
      </c>
      <c r="E7183" s="2">
        <v>13590.65</v>
      </c>
      <c r="G7183" s="1" t="s">
        <v>14359</v>
      </c>
      <c r="H7183" s="2" t="s">
        <v>0</v>
      </c>
      <c r="I7183" s="2">
        <v>2519.14</v>
      </c>
    </row>
    <row r="7184">
      <c r="A7184" s="1" t="s">
        <v>14360</v>
      </c>
      <c r="B7184" s="2">
        <v>4433.31</v>
      </c>
      <c r="C7184" s="2">
        <v>4433.31</v>
      </c>
      <c r="D7184" s="2">
        <v>13705.13</v>
      </c>
      <c r="E7184" s="2">
        <v>13705.13</v>
      </c>
      <c r="G7184" s="1" t="s">
        <v>14361</v>
      </c>
      <c r="H7184" s="2">
        <v>2543.41</v>
      </c>
      <c r="I7184" s="2">
        <v>2543.41</v>
      </c>
    </row>
    <row r="7185">
      <c r="A7185" s="1" t="s">
        <v>14362</v>
      </c>
      <c r="B7185" s="2">
        <v>4497.63</v>
      </c>
      <c r="C7185" s="2">
        <v>4497.63</v>
      </c>
      <c r="D7185" s="2">
        <v>13943.76</v>
      </c>
      <c r="E7185" s="2">
        <v>13943.76</v>
      </c>
      <c r="G7185" s="1" t="s">
        <v>14363</v>
      </c>
      <c r="H7185" s="2">
        <v>2552.16</v>
      </c>
      <c r="I7185" s="2">
        <v>2552.16</v>
      </c>
    </row>
    <row r="7186">
      <c r="A7186" s="1" t="s">
        <v>14364</v>
      </c>
      <c r="B7186" s="2">
        <v>4514.87</v>
      </c>
      <c r="C7186" s="2">
        <v>4514.87</v>
      </c>
      <c r="D7186" s="2">
        <v>14019.31</v>
      </c>
      <c r="E7186" s="2">
        <v>14019.31</v>
      </c>
      <c r="G7186" s="1" t="s">
        <v>14365</v>
      </c>
      <c r="H7186" s="2">
        <v>2561.22</v>
      </c>
      <c r="I7186" s="2">
        <v>2561.22</v>
      </c>
    </row>
    <row r="7187">
      <c r="A7187" s="1" t="s">
        <v>14366</v>
      </c>
      <c r="B7187" s="2">
        <v>4507.66</v>
      </c>
      <c r="C7187" s="2">
        <v>4507.66</v>
      </c>
      <c r="D7187" s="2">
        <v>14034.97</v>
      </c>
      <c r="E7187" s="2">
        <v>14034.97</v>
      </c>
      <c r="G7187" s="1" t="s">
        <v>14367</v>
      </c>
      <c r="H7187" s="2">
        <v>2556.27</v>
      </c>
      <c r="I7187" s="2">
        <v>2556.27</v>
      </c>
    </row>
    <row r="7188">
      <c r="A7188" s="1" t="s">
        <v>14368</v>
      </c>
      <c r="B7188" s="2">
        <v>4515.77</v>
      </c>
      <c r="C7188" s="2">
        <v>4515.77</v>
      </c>
      <c r="D7188" s="2">
        <v>14031.82</v>
      </c>
      <c r="E7188" s="2">
        <v>14031.82</v>
      </c>
      <c r="G7188" s="1" t="s">
        <v>14369</v>
      </c>
      <c r="H7188" s="2">
        <v>2563.71</v>
      </c>
      <c r="I7188" s="2">
        <v>2563.71</v>
      </c>
    </row>
    <row r="7189">
      <c r="A7189" s="1" t="s">
        <v>14370</v>
      </c>
      <c r="B7189" s="2" t="s">
        <v>0</v>
      </c>
      <c r="C7189" s="2">
        <v>4515.77</v>
      </c>
      <c r="D7189" s="2" t="s">
        <v>0</v>
      </c>
      <c r="E7189" s="2">
        <v>14031.82</v>
      </c>
      <c r="G7189" s="1" t="s">
        <v>14371</v>
      </c>
      <c r="H7189" s="2" t="s">
        <v>0</v>
      </c>
      <c r="I7189" s="2">
        <v>2563.71</v>
      </c>
    </row>
    <row r="7190">
      <c r="A7190" s="1" t="s">
        <v>14372</v>
      </c>
      <c r="B7190" s="2" t="s">
        <v>0</v>
      </c>
      <c r="C7190" s="2">
        <v>4515.77</v>
      </c>
      <c r="D7190" s="2" t="s">
        <v>0</v>
      </c>
      <c r="E7190" s="2">
        <v>14031.82</v>
      </c>
      <c r="G7190" s="1" t="s">
        <v>14373</v>
      </c>
      <c r="H7190" s="2" t="s">
        <v>0</v>
      </c>
      <c r="I7190" s="2">
        <v>2563.71</v>
      </c>
    </row>
    <row r="7191">
      <c r="A7191" s="1" t="s">
        <v>14374</v>
      </c>
      <c r="B7191" s="2" t="s">
        <v>0</v>
      </c>
      <c r="C7191" s="2">
        <v>4515.77</v>
      </c>
      <c r="D7191" s="2" t="s">
        <v>0</v>
      </c>
      <c r="E7191" s="2">
        <v>14031.82</v>
      </c>
      <c r="G7191" s="1" t="s">
        <v>14375</v>
      </c>
      <c r="H7191" s="2">
        <v>2584.55</v>
      </c>
      <c r="I7191" s="2">
        <v>2584.55</v>
      </c>
    </row>
    <row r="7192">
      <c r="A7192" s="1" t="s">
        <v>14376</v>
      </c>
      <c r="B7192" s="2">
        <v>4496.83</v>
      </c>
      <c r="C7192" s="2">
        <v>4496.83</v>
      </c>
      <c r="D7192" s="2">
        <v>14020.95</v>
      </c>
      <c r="E7192" s="2">
        <v>14020.95</v>
      </c>
      <c r="G7192" s="1" t="s">
        <v>14377</v>
      </c>
      <c r="H7192" s="2">
        <v>2582.18</v>
      </c>
      <c r="I7192" s="2">
        <v>2582.18</v>
      </c>
    </row>
    <row r="7193">
      <c r="A7193" s="1" t="s">
        <v>14378</v>
      </c>
      <c r="B7193" s="2">
        <v>4465.48</v>
      </c>
      <c r="C7193" s="2">
        <v>4465.48</v>
      </c>
      <c r="D7193" s="2">
        <v>13872.47</v>
      </c>
      <c r="E7193" s="2">
        <v>13872.47</v>
      </c>
      <c r="G7193" s="1" t="s">
        <v>14379</v>
      </c>
      <c r="H7193" s="2">
        <v>2563.34</v>
      </c>
      <c r="I7193" s="2">
        <v>2563.34</v>
      </c>
    </row>
    <row r="7194">
      <c r="A7194" s="1" t="s">
        <v>14380</v>
      </c>
      <c r="B7194" s="2">
        <v>4451.14</v>
      </c>
      <c r="C7194" s="2">
        <v>4451.14</v>
      </c>
      <c r="D7194" s="2">
        <v>13748.83</v>
      </c>
      <c r="E7194" s="2">
        <v>13748.83</v>
      </c>
      <c r="G7194" s="1" t="s">
        <v>14381</v>
      </c>
      <c r="H7194" s="2">
        <v>2548.26</v>
      </c>
      <c r="I7194" s="2">
        <v>2548.26</v>
      </c>
    </row>
    <row r="7195">
      <c r="A7195" s="1" t="s">
        <v>14382</v>
      </c>
      <c r="B7195" s="2">
        <v>4457.49</v>
      </c>
      <c r="C7195" s="2">
        <v>4457.49</v>
      </c>
      <c r="D7195" s="2">
        <v>13761.53</v>
      </c>
      <c r="E7195" s="2">
        <v>13761.53</v>
      </c>
      <c r="G7195" s="1" t="s">
        <v>14383</v>
      </c>
      <c r="H7195" s="2">
        <v>2547.68</v>
      </c>
      <c r="I7195" s="2">
        <v>2547.68</v>
      </c>
    </row>
    <row r="7196">
      <c r="A7196" s="1" t="s">
        <v>14384</v>
      </c>
      <c r="B7196" s="2" t="s">
        <v>0</v>
      </c>
      <c r="C7196" s="2">
        <v>4457.49</v>
      </c>
      <c r="D7196" s="2" t="s">
        <v>0</v>
      </c>
      <c r="E7196" s="2">
        <v>13761.53</v>
      </c>
      <c r="G7196" s="1" t="s">
        <v>14385</v>
      </c>
      <c r="H7196" s="2" t="s">
        <v>0</v>
      </c>
      <c r="I7196" s="2">
        <v>2547.68</v>
      </c>
    </row>
    <row r="7197">
      <c r="A7197" s="1" t="s">
        <v>14386</v>
      </c>
      <c r="B7197" s="2" t="s">
        <v>0</v>
      </c>
      <c r="C7197" s="2">
        <v>4457.49</v>
      </c>
      <c r="D7197" s="2" t="s">
        <v>0</v>
      </c>
      <c r="E7197" s="2">
        <v>13761.53</v>
      </c>
      <c r="G7197" s="1" t="s">
        <v>14387</v>
      </c>
      <c r="H7197" s="2" t="s">
        <v>0</v>
      </c>
      <c r="I7197" s="2">
        <v>2547.68</v>
      </c>
    </row>
    <row r="7198">
      <c r="A7198" s="1" t="s">
        <v>14388</v>
      </c>
      <c r="B7198" s="2">
        <v>4487.46</v>
      </c>
      <c r="C7198" s="2">
        <v>4487.46</v>
      </c>
      <c r="D7198" s="2">
        <v>13917.91</v>
      </c>
      <c r="E7198" s="2">
        <v>13917.91</v>
      </c>
      <c r="G7198" s="1" t="s">
        <v>14389</v>
      </c>
      <c r="H7198" s="2">
        <v>2556.88</v>
      </c>
      <c r="I7198" s="2">
        <v>2556.88</v>
      </c>
    </row>
    <row r="7199">
      <c r="A7199" s="1" t="s">
        <v>14390</v>
      </c>
      <c r="B7199" s="2">
        <v>4461.9</v>
      </c>
      <c r="C7199" s="2">
        <v>4461.9</v>
      </c>
      <c r="D7199" s="2">
        <v>13773.63</v>
      </c>
      <c r="E7199" s="2">
        <v>13773.63</v>
      </c>
      <c r="G7199" s="1" t="s">
        <v>14391</v>
      </c>
      <c r="H7199" s="2">
        <v>2536.58</v>
      </c>
      <c r="I7199" s="2">
        <v>2536.58</v>
      </c>
    </row>
    <row r="7200">
      <c r="A7200" s="1" t="s">
        <v>14392</v>
      </c>
      <c r="B7200" s="2">
        <v>4467.44</v>
      </c>
      <c r="C7200" s="2">
        <v>4467.44</v>
      </c>
      <c r="D7200" s="2">
        <v>13813.59</v>
      </c>
      <c r="E7200" s="2">
        <v>13813.59</v>
      </c>
      <c r="G7200" s="1" t="s">
        <v>14393</v>
      </c>
      <c r="H7200" s="2">
        <v>2534.7</v>
      </c>
      <c r="I7200" s="2">
        <v>2534.7</v>
      </c>
    </row>
    <row r="7201">
      <c r="A7201" s="1" t="s">
        <v>14394</v>
      </c>
      <c r="B7201" s="2">
        <v>4505.1</v>
      </c>
      <c r="C7201" s="2">
        <v>4505.1</v>
      </c>
      <c r="D7201" s="2">
        <v>13926.05</v>
      </c>
      <c r="E7201" s="2">
        <v>13926.05</v>
      </c>
      <c r="G7201" s="1" t="s">
        <v>14395</v>
      </c>
      <c r="H7201" s="2">
        <v>2572.89</v>
      </c>
      <c r="I7201" s="2">
        <v>2572.89</v>
      </c>
    </row>
    <row r="7202">
      <c r="A7202" s="1" t="s">
        <v>14396</v>
      </c>
      <c r="B7202" s="2">
        <v>4450.32</v>
      </c>
      <c r="C7202" s="2">
        <v>4450.32</v>
      </c>
      <c r="D7202" s="2">
        <v>13708.34</v>
      </c>
      <c r="E7202" s="2">
        <v>13708.34</v>
      </c>
      <c r="G7202" s="1" t="s">
        <v>14397</v>
      </c>
      <c r="H7202" s="2">
        <v>2601.28</v>
      </c>
      <c r="I7202" s="2">
        <v>2601.28</v>
      </c>
    </row>
    <row r="7203">
      <c r="A7203" s="1" t="s">
        <v>14398</v>
      </c>
      <c r="B7203" s="2" t="s">
        <v>0</v>
      </c>
      <c r="C7203" s="2">
        <v>4450.32</v>
      </c>
      <c r="D7203" s="2" t="s">
        <v>0</v>
      </c>
      <c r="E7203" s="2">
        <v>13708.34</v>
      </c>
      <c r="G7203" s="1" t="s">
        <v>14399</v>
      </c>
      <c r="H7203" s="2" t="s">
        <v>0</v>
      </c>
      <c r="I7203" s="2">
        <v>2601.28</v>
      </c>
    </row>
    <row r="7204">
      <c r="A7204" s="1" t="s">
        <v>14400</v>
      </c>
      <c r="B7204" s="2" t="s">
        <v>0</v>
      </c>
      <c r="C7204" s="2">
        <v>4450.32</v>
      </c>
      <c r="D7204" s="2" t="s">
        <v>0</v>
      </c>
      <c r="E7204" s="2">
        <v>13708.34</v>
      </c>
      <c r="G7204" s="1" t="s">
        <v>14401</v>
      </c>
      <c r="H7204" s="2" t="s">
        <v>0</v>
      </c>
      <c r="I7204" s="2">
        <v>2601.28</v>
      </c>
    </row>
    <row r="7205">
      <c r="A7205" s="1" t="s">
        <v>14402</v>
      </c>
      <c r="B7205" s="2">
        <v>4453.53</v>
      </c>
      <c r="C7205" s="2">
        <v>4453.53</v>
      </c>
      <c r="D7205" s="2">
        <v>13710.24</v>
      </c>
      <c r="E7205" s="2">
        <v>13710.24</v>
      </c>
      <c r="G7205" s="1" t="s">
        <v>14403</v>
      </c>
      <c r="H7205" s="2">
        <v>2574.72</v>
      </c>
      <c r="I7205" s="2">
        <v>2574.72</v>
      </c>
    </row>
    <row r="7206">
      <c r="A7206" s="1" t="s">
        <v>14404</v>
      </c>
      <c r="B7206" s="2">
        <v>4443.95</v>
      </c>
      <c r="C7206" s="2">
        <v>4443.95</v>
      </c>
      <c r="D7206" s="2">
        <v>13678.19</v>
      </c>
      <c r="E7206" s="2">
        <v>13678.19</v>
      </c>
      <c r="G7206" s="1" t="s">
        <v>14405</v>
      </c>
      <c r="H7206" s="2">
        <v>2559.21</v>
      </c>
      <c r="I7206" s="2">
        <v>2559.21</v>
      </c>
    </row>
    <row r="7207">
      <c r="A7207" s="1" t="s">
        <v>14406</v>
      </c>
      <c r="B7207" s="2">
        <v>4402.2</v>
      </c>
      <c r="C7207" s="2">
        <v>4402.2</v>
      </c>
      <c r="D7207" s="2">
        <v>13469.13</v>
      </c>
      <c r="E7207" s="2">
        <v>13469.13</v>
      </c>
      <c r="G7207" s="1" t="s">
        <v>14407</v>
      </c>
      <c r="H7207" s="2">
        <v>2559.74</v>
      </c>
      <c r="I7207" s="2">
        <v>2559.74</v>
      </c>
    </row>
    <row r="7208">
      <c r="A7208" s="1" t="s">
        <v>14408</v>
      </c>
      <c r="B7208" s="2">
        <v>4330.0</v>
      </c>
      <c r="C7208" s="2">
        <v>4330.0</v>
      </c>
      <c r="D7208" s="2">
        <v>13223.99</v>
      </c>
      <c r="E7208" s="2">
        <v>13223.99</v>
      </c>
      <c r="G7208" s="1" t="s">
        <v>14409</v>
      </c>
      <c r="H7208" s="2">
        <v>2514.97</v>
      </c>
      <c r="I7208" s="2">
        <v>2514.97</v>
      </c>
    </row>
    <row r="7209">
      <c r="A7209" s="1" t="s">
        <v>14410</v>
      </c>
      <c r="B7209" s="2">
        <v>4320.06</v>
      </c>
      <c r="C7209" s="2">
        <v>4320.06</v>
      </c>
      <c r="D7209" s="2">
        <v>13211.81</v>
      </c>
      <c r="E7209" s="2">
        <v>13211.81</v>
      </c>
      <c r="G7209" s="1" t="s">
        <v>14411</v>
      </c>
      <c r="H7209" s="2">
        <v>2508.13</v>
      </c>
      <c r="I7209" s="2">
        <v>2508.13</v>
      </c>
    </row>
    <row r="7210">
      <c r="A7210" s="1" t="s">
        <v>14412</v>
      </c>
      <c r="B7210" s="2" t="s">
        <v>0</v>
      </c>
      <c r="C7210" s="2">
        <v>4320.06</v>
      </c>
      <c r="D7210" s="2" t="s">
        <v>0</v>
      </c>
      <c r="E7210" s="2">
        <v>13211.81</v>
      </c>
      <c r="G7210" s="1" t="s">
        <v>14413</v>
      </c>
      <c r="H7210" s="2" t="s">
        <v>0</v>
      </c>
      <c r="I7210" s="2">
        <v>2508.13</v>
      </c>
    </row>
    <row r="7211">
      <c r="A7211" s="1" t="s">
        <v>14414</v>
      </c>
      <c r="B7211" s="2" t="s">
        <v>0</v>
      </c>
      <c r="C7211" s="2">
        <v>4320.06</v>
      </c>
      <c r="D7211" s="2" t="s">
        <v>0</v>
      </c>
      <c r="E7211" s="2">
        <v>13211.81</v>
      </c>
      <c r="G7211" s="1" t="s">
        <v>14415</v>
      </c>
      <c r="H7211" s="2" t="s">
        <v>0</v>
      </c>
      <c r="I7211" s="2">
        <v>2508.13</v>
      </c>
    </row>
    <row r="7212">
      <c r="A7212" s="1" t="s">
        <v>14416</v>
      </c>
      <c r="B7212" s="2">
        <v>4337.44</v>
      </c>
      <c r="C7212" s="2">
        <v>4337.44</v>
      </c>
      <c r="D7212" s="2">
        <v>13271.32</v>
      </c>
      <c r="E7212" s="2">
        <v>13271.32</v>
      </c>
      <c r="G7212" s="1" t="s">
        <v>14417</v>
      </c>
      <c r="H7212" s="2">
        <v>2495.76</v>
      </c>
      <c r="I7212" s="2">
        <v>2495.76</v>
      </c>
    </row>
    <row r="7213">
      <c r="A7213" s="1" t="s">
        <v>14418</v>
      </c>
      <c r="B7213" s="2">
        <v>4273.53</v>
      </c>
      <c r="C7213" s="2">
        <v>4273.53</v>
      </c>
      <c r="D7213" s="2">
        <v>13063.61</v>
      </c>
      <c r="E7213" s="2">
        <v>13063.61</v>
      </c>
      <c r="G7213" s="1" t="s">
        <v>14419</v>
      </c>
      <c r="H7213" s="2">
        <v>2462.97</v>
      </c>
      <c r="I7213" s="2">
        <v>2462.97</v>
      </c>
    </row>
    <row r="7214">
      <c r="A7214" s="1" t="s">
        <v>14420</v>
      </c>
      <c r="B7214" s="2">
        <v>4274.51</v>
      </c>
      <c r="C7214" s="2">
        <v>4274.51</v>
      </c>
      <c r="D7214" s="2">
        <v>13092.85</v>
      </c>
      <c r="E7214" s="2">
        <v>13092.85</v>
      </c>
      <c r="G7214" s="1" t="s">
        <v>14421</v>
      </c>
      <c r="H7214" s="2">
        <v>2465.07</v>
      </c>
      <c r="I7214" s="2">
        <v>2465.07</v>
      </c>
    </row>
    <row r="7215">
      <c r="A7215" s="1" t="s">
        <v>14422</v>
      </c>
      <c r="B7215" s="2">
        <v>4299.7</v>
      </c>
      <c r="C7215" s="2">
        <v>4299.7</v>
      </c>
      <c r="D7215" s="2">
        <v>13201.28</v>
      </c>
      <c r="E7215" s="2">
        <v>13201.28</v>
      </c>
      <c r="G7215" s="1" t="s">
        <v>14423</v>
      </c>
      <c r="H7215" s="2" t="s">
        <v>0</v>
      </c>
      <c r="I7215" s="2">
        <v>2465.07</v>
      </c>
    </row>
    <row r="7216">
      <c r="A7216" s="1" t="s">
        <v>14424</v>
      </c>
      <c r="B7216" s="2">
        <v>4288.05</v>
      </c>
      <c r="C7216" s="2">
        <v>4288.05</v>
      </c>
      <c r="D7216" s="2">
        <v>13219.32</v>
      </c>
      <c r="E7216" s="2">
        <v>13219.32</v>
      </c>
      <c r="G7216" s="1" t="s">
        <v>14425</v>
      </c>
      <c r="H7216" s="2" t="s">
        <v>0</v>
      </c>
      <c r="I7216" s="2">
        <v>2465.07</v>
      </c>
    </row>
    <row r="7217">
      <c r="A7217" s="1" t="s">
        <v>14426</v>
      </c>
      <c r="B7217" s="2" t="s">
        <v>0</v>
      </c>
      <c r="C7217" s="2">
        <v>4288.05</v>
      </c>
      <c r="D7217" s="2" t="s">
        <v>0</v>
      </c>
      <c r="E7217" s="2">
        <v>13219.32</v>
      </c>
      <c r="G7217" s="1" t="s">
        <v>14427</v>
      </c>
      <c r="H7217" s="2" t="s">
        <v>0</v>
      </c>
      <c r="I7217" s="2">
        <v>2465.07</v>
      </c>
    </row>
    <row r="7218">
      <c r="A7218" s="1" t="s">
        <v>14428</v>
      </c>
      <c r="B7218" s="2" t="s">
        <v>0</v>
      </c>
      <c r="C7218" s="2">
        <v>4288.05</v>
      </c>
      <c r="D7218" s="2" t="s">
        <v>0</v>
      </c>
      <c r="E7218" s="2">
        <v>13219.32</v>
      </c>
      <c r="G7218" s="1" t="s">
        <v>14429</v>
      </c>
      <c r="H7218" s="2" t="s">
        <v>0</v>
      </c>
      <c r="I7218" s="2">
        <v>2465.07</v>
      </c>
    </row>
    <row r="7219">
      <c r="A7219" s="1" t="s">
        <v>14430</v>
      </c>
      <c r="B7219" s="2">
        <v>4288.39</v>
      </c>
      <c r="C7219" s="2">
        <v>4288.39</v>
      </c>
      <c r="D7219" s="2">
        <v>13307.77</v>
      </c>
      <c r="E7219" s="2">
        <v>13307.77</v>
      </c>
      <c r="G7219" s="1" t="s">
        <v>14431</v>
      </c>
      <c r="H7219" s="2" t="s">
        <v>0</v>
      </c>
      <c r="I7219" s="2">
        <v>2465.07</v>
      </c>
    </row>
    <row r="7220">
      <c r="A7220" s="1" t="s">
        <v>14432</v>
      </c>
      <c r="B7220" s="2">
        <v>4229.45</v>
      </c>
      <c r="C7220" s="2">
        <v>4229.45</v>
      </c>
      <c r="D7220" s="2">
        <v>13059.47</v>
      </c>
      <c r="E7220" s="2">
        <v>13059.47</v>
      </c>
      <c r="G7220" s="1" t="s">
        <v>14433</v>
      </c>
      <c r="H7220" s="2" t="s">
        <v>0</v>
      </c>
      <c r="I7220" s="2">
        <v>2465.07</v>
      </c>
    </row>
    <row r="7221">
      <c r="A7221" s="1" t="s">
        <v>14434</v>
      </c>
      <c r="B7221" s="2">
        <v>4263.75</v>
      </c>
      <c r="C7221" s="2">
        <v>4263.75</v>
      </c>
      <c r="D7221" s="2">
        <v>13236.01</v>
      </c>
      <c r="E7221" s="2">
        <v>13236.01</v>
      </c>
      <c r="G7221" s="1" t="s">
        <v>14435</v>
      </c>
      <c r="H7221" s="2">
        <v>2405.69</v>
      </c>
      <c r="I7221" s="2">
        <v>2405.69</v>
      </c>
    </row>
    <row r="7222">
      <c r="A7222" s="1" t="s">
        <v>14436</v>
      </c>
      <c r="B7222" s="2">
        <v>4258.19</v>
      </c>
      <c r="C7222" s="2">
        <v>4258.19</v>
      </c>
      <c r="D7222" s="2">
        <v>13219.83</v>
      </c>
      <c r="E7222" s="2">
        <v>13219.83</v>
      </c>
      <c r="G7222" s="1" t="s">
        <v>14437</v>
      </c>
      <c r="H7222" s="2">
        <v>2403.6</v>
      </c>
      <c r="I7222" s="2">
        <v>2403.6</v>
      </c>
    </row>
    <row r="7223">
      <c r="A7223" s="1" t="s">
        <v>14438</v>
      </c>
      <c r="B7223" s="2">
        <v>4308.5</v>
      </c>
      <c r="C7223" s="2">
        <v>4308.5</v>
      </c>
      <c r="D7223" s="2">
        <v>13431.34</v>
      </c>
      <c r="E7223" s="2">
        <v>13431.34</v>
      </c>
      <c r="G7223" s="1" t="s">
        <v>14439</v>
      </c>
      <c r="H7223" s="2">
        <v>2408.73</v>
      </c>
      <c r="I7223" s="2">
        <v>2408.73</v>
      </c>
    </row>
    <row r="7224">
      <c r="A7224" s="1" t="s">
        <v>14440</v>
      </c>
      <c r="B7224" s="2" t="s">
        <v>0</v>
      </c>
      <c r="C7224" s="2">
        <v>4308.5</v>
      </c>
      <c r="D7224" s="2" t="s">
        <v>0</v>
      </c>
      <c r="E7224" s="2">
        <v>13431.34</v>
      </c>
      <c r="G7224" s="1" t="s">
        <v>14441</v>
      </c>
      <c r="H7224" s="2" t="s">
        <v>0</v>
      </c>
      <c r="I7224" s="2">
        <v>2408.73</v>
      </c>
    </row>
    <row r="7225">
      <c r="A7225" s="1" t="s">
        <v>14442</v>
      </c>
      <c r="B7225" s="2" t="s">
        <v>0</v>
      </c>
      <c r="C7225" s="2">
        <v>4308.5</v>
      </c>
      <c r="D7225" s="2" t="s">
        <v>0</v>
      </c>
      <c r="E7225" s="2">
        <v>13431.34</v>
      </c>
      <c r="G7225" s="1" t="s">
        <v>14443</v>
      </c>
      <c r="H7225" s="2" t="s">
        <v>0</v>
      </c>
      <c r="I7225" s="2">
        <v>2408.73</v>
      </c>
    </row>
    <row r="7226">
      <c r="A7226" s="1" t="s">
        <v>14444</v>
      </c>
      <c r="B7226" s="2">
        <v>4335.66</v>
      </c>
      <c r="C7226" s="2">
        <v>4335.66</v>
      </c>
      <c r="D7226" s="2">
        <v>13484.24</v>
      </c>
      <c r="E7226" s="2">
        <v>13484.24</v>
      </c>
      <c r="G7226" s="1" t="s">
        <v>14445</v>
      </c>
      <c r="H7226" s="2" t="s">
        <v>0</v>
      </c>
      <c r="I7226" s="2">
        <v>2408.73</v>
      </c>
    </row>
    <row r="7227">
      <c r="A7227" s="1" t="s">
        <v>14446</v>
      </c>
      <c r="B7227" s="2">
        <v>4358.24</v>
      </c>
      <c r="C7227" s="2">
        <v>4358.24</v>
      </c>
      <c r="D7227" s="2">
        <v>13562.84</v>
      </c>
      <c r="E7227" s="2">
        <v>13562.84</v>
      </c>
      <c r="G7227" s="1" t="s">
        <v>14447</v>
      </c>
      <c r="H7227" s="2">
        <v>2402.58</v>
      </c>
      <c r="I7227" s="2">
        <v>2402.58</v>
      </c>
    </row>
    <row r="7228">
      <c r="A7228" s="1" t="s">
        <v>14448</v>
      </c>
      <c r="B7228" s="2">
        <v>4376.95</v>
      </c>
      <c r="C7228" s="2">
        <v>4376.95</v>
      </c>
      <c r="D7228" s="2">
        <v>13659.68</v>
      </c>
      <c r="E7228" s="2">
        <v>13659.68</v>
      </c>
      <c r="G7228" s="1" t="s">
        <v>14449</v>
      </c>
      <c r="H7228" s="2">
        <v>2450.08</v>
      </c>
      <c r="I7228" s="2">
        <v>2450.08</v>
      </c>
    </row>
    <row r="7229">
      <c r="A7229" s="1" t="s">
        <v>14450</v>
      </c>
      <c r="B7229" s="2">
        <v>4349.61</v>
      </c>
      <c r="C7229" s="2">
        <v>4349.61</v>
      </c>
      <c r="D7229" s="2">
        <v>13574.22</v>
      </c>
      <c r="E7229" s="2">
        <v>13574.22</v>
      </c>
      <c r="G7229" s="1" t="s">
        <v>14451</v>
      </c>
      <c r="H7229" s="2">
        <v>2479.82</v>
      </c>
      <c r="I7229" s="2">
        <v>2479.82</v>
      </c>
    </row>
    <row r="7230">
      <c r="A7230" s="1" t="s">
        <v>14452</v>
      </c>
      <c r="B7230" s="2">
        <v>4327.78</v>
      </c>
      <c r="C7230" s="2">
        <v>4327.78</v>
      </c>
      <c r="D7230" s="2">
        <v>13407.23</v>
      </c>
      <c r="E7230" s="2">
        <v>13407.23</v>
      </c>
      <c r="G7230" s="1" t="s">
        <v>14453</v>
      </c>
      <c r="H7230" s="2">
        <v>2456.15</v>
      </c>
      <c r="I7230" s="2">
        <v>2456.15</v>
      </c>
    </row>
    <row r="7231">
      <c r="A7231" s="1" t="s">
        <v>14454</v>
      </c>
      <c r="B7231" s="2" t="s">
        <v>0</v>
      </c>
      <c r="C7231" s="2">
        <v>4327.78</v>
      </c>
      <c r="D7231" s="2" t="s">
        <v>0</v>
      </c>
      <c r="E7231" s="2">
        <v>13407.23</v>
      </c>
      <c r="G7231" s="1" t="s">
        <v>14455</v>
      </c>
      <c r="H7231" s="2" t="s">
        <v>0</v>
      </c>
      <c r="I7231" s="2">
        <v>2456.15</v>
      </c>
    </row>
    <row r="7232">
      <c r="A7232" s="1" t="s">
        <v>14456</v>
      </c>
      <c r="B7232" s="2" t="s">
        <v>0</v>
      </c>
      <c r="C7232" s="2">
        <v>4327.78</v>
      </c>
      <c r="D7232" s="2" t="s">
        <v>0</v>
      </c>
      <c r="E7232" s="2">
        <v>13407.23</v>
      </c>
      <c r="G7232" s="1" t="s">
        <v>14457</v>
      </c>
      <c r="H7232" s="2" t="s">
        <v>0</v>
      </c>
      <c r="I7232" s="2">
        <v>2456.15</v>
      </c>
    </row>
    <row r="7233">
      <c r="A7233" s="1" t="s">
        <v>14458</v>
      </c>
      <c r="B7233" s="2">
        <v>4373.63</v>
      </c>
      <c r="C7233" s="2">
        <v>4373.63</v>
      </c>
      <c r="D7233" s="2">
        <v>13567.98</v>
      </c>
      <c r="E7233" s="2">
        <v>13567.98</v>
      </c>
      <c r="G7233" s="1" t="s">
        <v>14459</v>
      </c>
      <c r="H7233" s="2">
        <v>2436.24</v>
      </c>
      <c r="I7233" s="2">
        <v>2436.24</v>
      </c>
    </row>
    <row r="7234">
      <c r="A7234" s="1" t="s">
        <v>14460</v>
      </c>
      <c r="B7234" s="2">
        <v>4373.2</v>
      </c>
      <c r="C7234" s="2">
        <v>4373.2</v>
      </c>
      <c r="D7234" s="2">
        <v>13533.75</v>
      </c>
      <c r="E7234" s="2">
        <v>13533.75</v>
      </c>
      <c r="G7234" s="1" t="s">
        <v>14461</v>
      </c>
      <c r="H7234" s="2">
        <v>2460.17</v>
      </c>
      <c r="I7234" s="2">
        <v>2460.17</v>
      </c>
    </row>
    <row r="7235">
      <c r="A7235" s="1" t="s">
        <v>14462</v>
      </c>
      <c r="B7235" s="2">
        <v>4314.6</v>
      </c>
      <c r="C7235" s="2">
        <v>4314.6</v>
      </c>
      <c r="D7235" s="2">
        <v>13314.3</v>
      </c>
      <c r="E7235" s="2">
        <v>13314.3</v>
      </c>
      <c r="G7235" s="1" t="s">
        <v>14463</v>
      </c>
      <c r="H7235" s="2">
        <v>2462.6</v>
      </c>
      <c r="I7235" s="2">
        <v>2462.6</v>
      </c>
    </row>
    <row r="7236">
      <c r="A7236" s="1" t="s">
        <v>14464</v>
      </c>
      <c r="B7236" s="2">
        <v>4278.0</v>
      </c>
      <c r="C7236" s="2">
        <v>4278.0</v>
      </c>
      <c r="D7236" s="2">
        <v>13186.18</v>
      </c>
      <c r="E7236" s="2">
        <v>13186.18</v>
      </c>
      <c r="G7236" s="1" t="s">
        <v>14465</v>
      </c>
      <c r="H7236" s="2">
        <v>2415.8</v>
      </c>
      <c r="I7236" s="2">
        <v>2415.8</v>
      </c>
    </row>
    <row r="7237">
      <c r="A7237" s="1" t="s">
        <v>14466</v>
      </c>
      <c r="B7237" s="2">
        <v>4224.16</v>
      </c>
      <c r="C7237" s="2">
        <v>4224.16</v>
      </c>
      <c r="D7237" s="2">
        <v>12983.81</v>
      </c>
      <c r="E7237" s="2">
        <v>12983.81</v>
      </c>
      <c r="G7237" s="1" t="s">
        <v>14467</v>
      </c>
      <c r="H7237" s="2">
        <v>2375.0</v>
      </c>
      <c r="I7237" s="2">
        <v>2375.0</v>
      </c>
    </row>
    <row r="7238">
      <c r="A7238" s="1" t="s">
        <v>14468</v>
      </c>
      <c r="B7238" s="2" t="s">
        <v>0</v>
      </c>
      <c r="C7238" s="2">
        <v>4224.16</v>
      </c>
      <c r="D7238" s="2" t="s">
        <v>0</v>
      </c>
      <c r="E7238" s="2">
        <v>12983.81</v>
      </c>
      <c r="G7238" s="1" t="s">
        <v>14469</v>
      </c>
      <c r="H7238" s="2" t="s">
        <v>0</v>
      </c>
      <c r="I7238" s="2">
        <v>2375.0</v>
      </c>
    </row>
    <row r="7239">
      <c r="A7239" s="1" t="s">
        <v>14470</v>
      </c>
      <c r="B7239" s="2" t="s">
        <v>0</v>
      </c>
      <c r="C7239" s="2">
        <v>4224.16</v>
      </c>
      <c r="D7239" s="2" t="s">
        <v>0</v>
      </c>
      <c r="E7239" s="2">
        <v>12983.81</v>
      </c>
      <c r="G7239" s="1" t="s">
        <v>14471</v>
      </c>
      <c r="H7239" s="2" t="s">
        <v>0</v>
      </c>
      <c r="I7239" s="2">
        <v>2375.0</v>
      </c>
    </row>
    <row r="7240">
      <c r="A7240" s="1" t="s">
        <v>14472</v>
      </c>
      <c r="B7240" s="2">
        <v>4217.04</v>
      </c>
      <c r="C7240" s="2">
        <v>4217.04</v>
      </c>
      <c r="D7240" s="2">
        <v>13018.33</v>
      </c>
      <c r="E7240" s="2">
        <v>13018.33</v>
      </c>
      <c r="G7240" s="1" t="s">
        <v>14473</v>
      </c>
      <c r="H7240" s="2">
        <v>2357.02</v>
      </c>
      <c r="I7240" s="2">
        <v>2357.02</v>
      </c>
    </row>
    <row r="7241">
      <c r="A7241" s="1" t="s">
        <v>14474</v>
      </c>
      <c r="B7241" s="2">
        <v>4247.68</v>
      </c>
      <c r="C7241" s="2">
        <v>4247.68</v>
      </c>
      <c r="D7241" s="2">
        <v>13139.88</v>
      </c>
      <c r="E7241" s="2">
        <v>13139.88</v>
      </c>
      <c r="G7241" s="1" t="s">
        <v>14475</v>
      </c>
      <c r="H7241" s="2">
        <v>2383.51</v>
      </c>
      <c r="I7241" s="2">
        <v>2383.51</v>
      </c>
    </row>
    <row r="7242">
      <c r="A7242" s="1" t="s">
        <v>14476</v>
      </c>
      <c r="B7242" s="2">
        <v>4186.77</v>
      </c>
      <c r="C7242" s="2">
        <v>4186.77</v>
      </c>
      <c r="D7242" s="2">
        <v>12821.22</v>
      </c>
      <c r="E7242" s="2">
        <v>12821.22</v>
      </c>
      <c r="G7242" s="1" t="s">
        <v>14477</v>
      </c>
      <c r="H7242" s="2">
        <v>2363.17</v>
      </c>
      <c r="I7242" s="2">
        <v>2363.17</v>
      </c>
    </row>
    <row r="7243">
      <c r="A7243" s="1" t="s">
        <v>14478</v>
      </c>
      <c r="B7243" s="2">
        <v>4137.23</v>
      </c>
      <c r="C7243" s="2">
        <v>4137.23</v>
      </c>
      <c r="D7243" s="2">
        <v>12595.61</v>
      </c>
      <c r="E7243" s="2">
        <v>12595.61</v>
      </c>
      <c r="G7243" s="1" t="s">
        <v>14479</v>
      </c>
      <c r="H7243" s="2">
        <v>2299.08</v>
      </c>
      <c r="I7243" s="2">
        <v>2299.08</v>
      </c>
    </row>
    <row r="7244">
      <c r="A7244" s="1" t="s">
        <v>14480</v>
      </c>
      <c r="B7244" s="2">
        <v>4117.37</v>
      </c>
      <c r="C7244" s="2">
        <v>4117.37</v>
      </c>
      <c r="D7244" s="2">
        <v>12643.01</v>
      </c>
      <c r="E7244" s="2">
        <v>12643.01</v>
      </c>
      <c r="G7244" s="1" t="s">
        <v>14481</v>
      </c>
      <c r="H7244" s="2">
        <v>2302.81</v>
      </c>
      <c r="I7244" s="2">
        <v>2302.81</v>
      </c>
    </row>
    <row r="7245">
      <c r="A7245" s="1" t="s">
        <v>14482</v>
      </c>
      <c r="B7245" s="2" t="s">
        <v>0</v>
      </c>
      <c r="C7245" s="2">
        <v>4117.37</v>
      </c>
      <c r="D7245" s="2" t="s">
        <v>0</v>
      </c>
      <c r="E7245" s="2">
        <v>12643.01</v>
      </c>
      <c r="G7245" s="1" t="s">
        <v>14483</v>
      </c>
      <c r="H7245" s="2" t="s">
        <v>0</v>
      </c>
      <c r="I7245" s="2">
        <v>2302.81</v>
      </c>
    </row>
    <row r="7246">
      <c r="A7246" s="1" t="s">
        <v>14484</v>
      </c>
      <c r="B7246" s="2" t="s">
        <v>0</v>
      </c>
      <c r="C7246" s="2">
        <v>4117.37</v>
      </c>
      <c r="D7246" s="2" t="s">
        <v>0</v>
      </c>
      <c r="E7246" s="2">
        <v>12643.01</v>
      </c>
      <c r="G7246" s="1" t="s">
        <v>14485</v>
      </c>
      <c r="H7246" s="2" t="s">
        <v>0</v>
      </c>
      <c r="I7246" s="2">
        <v>2302.81</v>
      </c>
    </row>
    <row r="7247">
      <c r="A7247" s="1" t="s">
        <v>14486</v>
      </c>
      <c r="B7247" s="2">
        <v>4166.82</v>
      </c>
      <c r="C7247" s="2">
        <v>4166.82</v>
      </c>
      <c r="D7247" s="2">
        <v>12789.48</v>
      </c>
      <c r="E7247" s="2">
        <v>12789.48</v>
      </c>
      <c r="G7247" s="1" t="s">
        <v>14487</v>
      </c>
      <c r="H7247" s="2">
        <v>2310.55</v>
      </c>
      <c r="I7247" s="2">
        <v>2310.55</v>
      </c>
    </row>
    <row r="7248">
      <c r="A7248" s="1" t="s">
        <v>14488</v>
      </c>
      <c r="B7248" s="2">
        <v>4193.8</v>
      </c>
      <c r="C7248" s="2">
        <v>4193.8</v>
      </c>
      <c r="D7248" s="2">
        <v>12851.24</v>
      </c>
      <c r="E7248" s="2">
        <v>12851.24</v>
      </c>
      <c r="G7248" s="1" t="s">
        <v>14489</v>
      </c>
      <c r="H7248" s="2">
        <v>2277.99</v>
      </c>
      <c r="I7248" s="2">
        <v>2277.99</v>
      </c>
    </row>
    <row r="7249">
      <c r="A7249" s="1" t="s">
        <v>14490</v>
      </c>
      <c r="B7249" s="2">
        <v>4237.86</v>
      </c>
      <c r="C7249" s="2">
        <v>4237.86</v>
      </c>
      <c r="D7249" s="2">
        <v>13061.47</v>
      </c>
      <c r="E7249" s="2">
        <v>13061.47</v>
      </c>
      <c r="G7249" s="1" t="s">
        <v>14491</v>
      </c>
      <c r="H7249" s="2">
        <v>2301.56</v>
      </c>
      <c r="I7249" s="2">
        <v>2301.56</v>
      </c>
    </row>
    <row r="7250">
      <c r="A7250" s="1" t="s">
        <v>14492</v>
      </c>
      <c r="B7250" s="2">
        <v>4317.78</v>
      </c>
      <c r="C7250" s="2">
        <v>4317.78</v>
      </c>
      <c r="D7250" s="2">
        <v>13294.19</v>
      </c>
      <c r="E7250" s="2">
        <v>13294.19</v>
      </c>
      <c r="G7250" s="1" t="s">
        <v>14493</v>
      </c>
      <c r="H7250" s="2">
        <v>2343.12</v>
      </c>
      <c r="I7250" s="2">
        <v>2343.12</v>
      </c>
    </row>
    <row r="7251">
      <c r="A7251" s="1" t="s">
        <v>14494</v>
      </c>
      <c r="B7251" s="2">
        <v>4358.34</v>
      </c>
      <c r="C7251" s="2">
        <v>4358.34</v>
      </c>
      <c r="D7251" s="2">
        <v>13478.28</v>
      </c>
      <c r="E7251" s="2">
        <v>13478.28</v>
      </c>
      <c r="G7251" s="1" t="s">
        <v>14495</v>
      </c>
      <c r="H7251" s="2">
        <v>2368.34</v>
      </c>
      <c r="I7251" s="2">
        <v>2368.34</v>
      </c>
    </row>
    <row r="7252">
      <c r="A7252" s="1" t="s">
        <v>14496</v>
      </c>
      <c r="B7252" s="2" t="s">
        <v>0</v>
      </c>
      <c r="C7252" s="2">
        <v>4358.34</v>
      </c>
      <c r="D7252" s="2" t="s">
        <v>0</v>
      </c>
      <c r="E7252" s="2">
        <v>13478.28</v>
      </c>
      <c r="G7252" s="1" t="s">
        <v>14497</v>
      </c>
      <c r="H7252" s="2" t="s">
        <v>0</v>
      </c>
      <c r="I7252" s="2">
        <v>2368.34</v>
      </c>
    </row>
    <row r="7253">
      <c r="A7253" s="1" t="s">
        <v>14498</v>
      </c>
      <c r="B7253" s="2" t="s">
        <v>0</v>
      </c>
      <c r="C7253" s="2">
        <v>4358.34</v>
      </c>
      <c r="D7253" s="2" t="s">
        <v>0</v>
      </c>
      <c r="E7253" s="2">
        <v>13478.28</v>
      </c>
      <c r="G7253" s="1" t="s">
        <v>14499</v>
      </c>
      <c r="H7253" s="2" t="s">
        <v>0</v>
      </c>
      <c r="I7253" s="2">
        <v>2368.34</v>
      </c>
    </row>
    <row r="7254">
      <c r="A7254" s="1" t="s">
        <v>14500</v>
      </c>
      <c r="B7254" s="2">
        <v>4365.98</v>
      </c>
      <c r="C7254" s="2">
        <v>4365.98</v>
      </c>
      <c r="D7254" s="2">
        <v>13518.78</v>
      </c>
      <c r="E7254" s="2">
        <v>13518.78</v>
      </c>
      <c r="G7254" s="1" t="s">
        <v>14501</v>
      </c>
      <c r="H7254" s="2">
        <v>2502.37</v>
      </c>
      <c r="I7254" s="2">
        <v>2502.37</v>
      </c>
    </row>
    <row r="7255">
      <c r="A7255" s="1" t="s">
        <v>14502</v>
      </c>
      <c r="B7255" s="2">
        <v>4378.38</v>
      </c>
      <c r="C7255" s="2">
        <v>4378.38</v>
      </c>
      <c r="D7255" s="2">
        <v>13639.86</v>
      </c>
      <c r="E7255" s="2">
        <v>13639.86</v>
      </c>
      <c r="G7255" s="1" t="s">
        <v>14503</v>
      </c>
      <c r="H7255" s="2">
        <v>2443.96</v>
      </c>
      <c r="I7255" s="2">
        <v>2443.96</v>
      </c>
    </row>
    <row r="7256">
      <c r="A7256" s="1" t="s">
        <v>14504</v>
      </c>
      <c r="B7256" s="2">
        <v>4382.78</v>
      </c>
      <c r="C7256" s="2">
        <v>4382.78</v>
      </c>
      <c r="D7256" s="2">
        <v>13650.41</v>
      </c>
      <c r="E7256" s="2">
        <v>13650.41</v>
      </c>
      <c r="G7256" s="1" t="s">
        <v>14505</v>
      </c>
      <c r="H7256" s="2">
        <v>2421.62</v>
      </c>
      <c r="I7256" s="2">
        <v>2421.62</v>
      </c>
    </row>
    <row r="7257">
      <c r="A7257" s="1" t="s">
        <v>14506</v>
      </c>
      <c r="B7257" s="2">
        <v>4347.35</v>
      </c>
      <c r="C7257" s="2">
        <v>4347.35</v>
      </c>
      <c r="D7257" s="2">
        <v>13521.45</v>
      </c>
      <c r="E7257" s="2">
        <v>13521.45</v>
      </c>
      <c r="G7257" s="1" t="s">
        <v>14507</v>
      </c>
      <c r="H7257" s="2">
        <v>2427.08</v>
      </c>
      <c r="I7257" s="2">
        <v>2427.08</v>
      </c>
    </row>
    <row r="7258">
      <c r="A7258" s="1" t="s">
        <v>14508</v>
      </c>
      <c r="B7258" s="2">
        <v>4415.24</v>
      </c>
      <c r="C7258" s="2">
        <v>4415.24</v>
      </c>
      <c r="D7258" s="2">
        <v>13798.11</v>
      </c>
      <c r="E7258" s="2">
        <v>13798.11</v>
      </c>
      <c r="G7258" s="1" t="s">
        <v>14509</v>
      </c>
      <c r="H7258" s="2">
        <v>2409.66</v>
      </c>
      <c r="I7258" s="2">
        <v>2409.66</v>
      </c>
    </row>
    <row r="7259">
      <c r="A7259" s="1" t="s">
        <v>14510</v>
      </c>
      <c r="B7259" s="2" t="s">
        <v>0</v>
      </c>
      <c r="C7259" s="2">
        <v>4415.24</v>
      </c>
      <c r="D7259" s="2" t="s">
        <v>0</v>
      </c>
      <c r="E7259" s="2">
        <v>13798.11</v>
      </c>
      <c r="G7259" s="1" t="s">
        <v>14511</v>
      </c>
      <c r="H7259" s="2" t="s">
        <v>0</v>
      </c>
      <c r="I7259" s="2">
        <v>2409.66</v>
      </c>
    </row>
    <row r="7260">
      <c r="A7260" s="1" t="s">
        <v>14512</v>
      </c>
      <c r="B7260" s="2" t="s">
        <v>0</v>
      </c>
      <c r="C7260" s="2">
        <v>4415.24</v>
      </c>
      <c r="D7260" s="2" t="s">
        <v>0</v>
      </c>
      <c r="E7260" s="2">
        <v>13798.11</v>
      </c>
      <c r="G7260" s="1" t="s">
        <v>14513</v>
      </c>
      <c r="H7260" s="2" t="s">
        <v>0</v>
      </c>
      <c r="I7260" s="2">
        <v>2409.66</v>
      </c>
    </row>
    <row r="7261">
      <c r="A7261" s="1" t="s">
        <v>14514</v>
      </c>
      <c r="B7261" s="2">
        <v>4411.55</v>
      </c>
      <c r="C7261" s="2">
        <v>4411.55</v>
      </c>
      <c r="D7261" s="2">
        <v>13767.74</v>
      </c>
      <c r="E7261" s="2">
        <v>13767.74</v>
      </c>
      <c r="G7261" s="1" t="s">
        <v>14515</v>
      </c>
      <c r="H7261" s="2">
        <v>2403.76</v>
      </c>
      <c r="I7261" s="2">
        <v>2403.76</v>
      </c>
    </row>
    <row r="7262">
      <c r="A7262" s="1" t="s">
        <v>14516</v>
      </c>
      <c r="B7262" s="2">
        <v>4495.7</v>
      </c>
      <c r="C7262" s="2">
        <v>4495.7</v>
      </c>
      <c r="D7262" s="2">
        <v>14094.38</v>
      </c>
      <c r="E7262" s="2">
        <v>14094.38</v>
      </c>
      <c r="G7262" s="1" t="s">
        <v>14517</v>
      </c>
      <c r="H7262" s="2">
        <v>2433.25</v>
      </c>
      <c r="I7262" s="2">
        <v>2433.25</v>
      </c>
    </row>
    <row r="7263">
      <c r="A7263" s="1" t="s">
        <v>14518</v>
      </c>
      <c r="B7263" s="2">
        <v>4502.88</v>
      </c>
      <c r="C7263" s="2">
        <v>4502.88</v>
      </c>
      <c r="D7263" s="2">
        <v>14103.84</v>
      </c>
      <c r="E7263" s="2">
        <v>14103.84</v>
      </c>
      <c r="G7263" s="1" t="s">
        <v>14519</v>
      </c>
      <c r="H7263" s="2">
        <v>2486.67</v>
      </c>
      <c r="I7263" s="2">
        <v>2486.67</v>
      </c>
    </row>
    <row r="7264">
      <c r="A7264" s="1" t="s">
        <v>14520</v>
      </c>
      <c r="B7264" s="2">
        <v>4508.24</v>
      </c>
      <c r="C7264" s="2">
        <v>4508.24</v>
      </c>
      <c r="D7264" s="2">
        <v>14113.67</v>
      </c>
      <c r="E7264" s="2">
        <v>14113.67</v>
      </c>
      <c r="G7264" s="1" t="s">
        <v>14521</v>
      </c>
      <c r="H7264" s="2">
        <v>2488.18</v>
      </c>
      <c r="I7264" s="2">
        <v>2488.18</v>
      </c>
    </row>
    <row r="7265">
      <c r="A7265" s="1" t="s">
        <v>14522</v>
      </c>
      <c r="B7265" s="2">
        <v>4514.02</v>
      </c>
      <c r="C7265" s="2">
        <v>4514.02</v>
      </c>
      <c r="D7265" s="2">
        <v>14125.48</v>
      </c>
      <c r="E7265" s="2">
        <v>14125.48</v>
      </c>
      <c r="G7265" s="1" t="s">
        <v>14523</v>
      </c>
      <c r="H7265" s="2">
        <v>2469.85</v>
      </c>
      <c r="I7265" s="2">
        <v>2469.85</v>
      </c>
    </row>
    <row r="7266">
      <c r="A7266" s="1" t="s">
        <v>14524</v>
      </c>
      <c r="B7266" s="2" t="s">
        <v>0</v>
      </c>
      <c r="C7266" s="2">
        <v>4514.02</v>
      </c>
      <c r="D7266" s="2" t="s">
        <v>0</v>
      </c>
      <c r="E7266" s="2">
        <v>14125.48</v>
      </c>
      <c r="G7266" s="1" t="s">
        <v>14525</v>
      </c>
      <c r="H7266" s="2" t="s">
        <v>0</v>
      </c>
      <c r="I7266" s="2">
        <v>2469.85</v>
      </c>
    </row>
    <row r="7267">
      <c r="A7267" s="1" t="s">
        <v>14526</v>
      </c>
      <c r="B7267" s="2" t="s">
        <v>0</v>
      </c>
      <c r="C7267" s="2">
        <v>4514.02</v>
      </c>
      <c r="D7267" s="2" t="s">
        <v>0</v>
      </c>
      <c r="E7267" s="2">
        <v>14125.48</v>
      </c>
      <c r="G7267" s="1" t="s">
        <v>14527</v>
      </c>
      <c r="H7267" s="2" t="s">
        <v>0</v>
      </c>
      <c r="I7267" s="2">
        <v>2469.85</v>
      </c>
    </row>
    <row r="7268">
      <c r="A7268" s="1" t="s">
        <v>14528</v>
      </c>
      <c r="B7268" s="2">
        <v>4547.38</v>
      </c>
      <c r="C7268" s="2">
        <v>4547.38</v>
      </c>
      <c r="D7268" s="2">
        <v>14284.53</v>
      </c>
      <c r="E7268" s="2">
        <v>14284.53</v>
      </c>
      <c r="G7268" s="1" t="s">
        <v>14529</v>
      </c>
      <c r="H7268" s="2">
        <v>2491.2</v>
      </c>
      <c r="I7268" s="2">
        <v>2491.2</v>
      </c>
    </row>
    <row r="7269">
      <c r="A7269" s="1" t="s">
        <v>14530</v>
      </c>
      <c r="B7269" s="2">
        <v>4538.19</v>
      </c>
      <c r="C7269" s="2">
        <v>4538.19</v>
      </c>
      <c r="D7269" s="2">
        <v>14199.98</v>
      </c>
      <c r="E7269" s="2">
        <v>14199.98</v>
      </c>
      <c r="G7269" s="1" t="s">
        <v>14531</v>
      </c>
      <c r="H7269" s="2">
        <v>2510.42</v>
      </c>
      <c r="I7269" s="2">
        <v>2510.42</v>
      </c>
    </row>
    <row r="7270">
      <c r="A7270" s="1" t="s">
        <v>14532</v>
      </c>
      <c r="B7270" s="2">
        <v>4556.62</v>
      </c>
      <c r="C7270" s="2">
        <v>4556.62</v>
      </c>
      <c r="D7270" s="2">
        <v>14265.86</v>
      </c>
      <c r="E7270" s="2">
        <v>14265.86</v>
      </c>
      <c r="G7270" s="1" t="s">
        <v>14533</v>
      </c>
      <c r="H7270" s="2">
        <v>2511.7</v>
      </c>
      <c r="I7270" s="2">
        <v>2511.7</v>
      </c>
    </row>
    <row r="7271">
      <c r="A7271" s="1" t="s">
        <v>14534</v>
      </c>
      <c r="B7271" s="2" t="s">
        <v>0</v>
      </c>
      <c r="C7271" s="2">
        <v>4556.62</v>
      </c>
      <c r="D7271" s="2" t="s">
        <v>0</v>
      </c>
      <c r="E7271" s="2">
        <v>14265.86</v>
      </c>
      <c r="G7271" s="1" t="s">
        <v>14535</v>
      </c>
      <c r="H7271" s="2">
        <v>2514.96</v>
      </c>
      <c r="I7271" s="2">
        <v>2514.96</v>
      </c>
    </row>
    <row r="7272">
      <c r="A7272" s="1" t="s">
        <v>14536</v>
      </c>
      <c r="B7272" s="2" t="s">
        <v>0</v>
      </c>
      <c r="C7272" s="2">
        <v>4556.62</v>
      </c>
      <c r="D7272" s="2" t="s">
        <v>0</v>
      </c>
      <c r="E7272" s="2">
        <v>14265.86</v>
      </c>
      <c r="G7272" s="1" t="s">
        <v>14537</v>
      </c>
      <c r="H7272" s="2">
        <v>2496.63</v>
      </c>
      <c r="I7272" s="2">
        <v>2496.63</v>
      </c>
    </row>
    <row r="7273">
      <c r="A7273" s="1" t="s">
        <v>14538</v>
      </c>
      <c r="B7273" s="2" t="s">
        <v>0</v>
      </c>
      <c r="C7273" s="2">
        <v>4556.62</v>
      </c>
      <c r="D7273" s="2" t="s">
        <v>0</v>
      </c>
      <c r="E7273" s="2">
        <v>14265.86</v>
      </c>
      <c r="G7273" s="1" t="s">
        <v>14539</v>
      </c>
      <c r="H7273" s="2" t="s">
        <v>0</v>
      </c>
      <c r="I7273" s="2">
        <v>2496.63</v>
      </c>
    </row>
    <row r="7274">
      <c r="A7274" s="1" t="s">
        <v>14540</v>
      </c>
      <c r="B7274" s="2" t="s">
        <v>0</v>
      </c>
      <c r="C7274" s="2">
        <v>4556.62</v>
      </c>
      <c r="D7274" s="2" t="s">
        <v>0</v>
      </c>
      <c r="E7274" s="2">
        <v>14265.86</v>
      </c>
      <c r="G7274" s="1" t="s">
        <v>14541</v>
      </c>
      <c r="H7274" s="2" t="s">
        <v>0</v>
      </c>
      <c r="I7274" s="2">
        <v>2496.63</v>
      </c>
    </row>
    <row r="7275">
      <c r="A7275" s="1" t="s">
        <v>14542</v>
      </c>
      <c r="B7275" s="2">
        <v>4550.43</v>
      </c>
      <c r="C7275" s="2">
        <v>4550.43</v>
      </c>
      <c r="D7275" s="2">
        <v>14241.02</v>
      </c>
      <c r="E7275" s="2">
        <v>14241.02</v>
      </c>
      <c r="G7275" s="1" t="s">
        <v>14543</v>
      </c>
      <c r="H7275" s="2">
        <v>2495.66</v>
      </c>
      <c r="I7275" s="2">
        <v>2495.66</v>
      </c>
    </row>
    <row r="7276">
      <c r="A7276" s="1" t="s">
        <v>14544</v>
      </c>
      <c r="B7276" s="2">
        <v>4554.89</v>
      </c>
      <c r="C7276" s="2">
        <v>4554.89</v>
      </c>
      <c r="D7276" s="2">
        <v>14281.76</v>
      </c>
      <c r="E7276" s="2">
        <v>14281.76</v>
      </c>
      <c r="G7276" s="1" t="s">
        <v>14545</v>
      </c>
      <c r="H7276" s="2">
        <v>2521.76</v>
      </c>
      <c r="I7276" s="2">
        <v>2521.76</v>
      </c>
    </row>
    <row r="7277">
      <c r="A7277" s="1" t="s">
        <v>14546</v>
      </c>
      <c r="B7277" s="2">
        <v>4550.58</v>
      </c>
      <c r="C7277" s="2">
        <v>4550.58</v>
      </c>
      <c r="D7277" s="2">
        <v>14258.49</v>
      </c>
      <c r="E7277" s="2">
        <v>14258.49</v>
      </c>
      <c r="G7277" s="1" t="s">
        <v>14547</v>
      </c>
      <c r="H7277" s="2">
        <v>2519.81</v>
      </c>
      <c r="I7277" s="2">
        <v>2519.81</v>
      </c>
    </row>
    <row r="7278">
      <c r="A7278" s="1" t="s">
        <v>14548</v>
      </c>
      <c r="B7278" s="2">
        <v>4567.8</v>
      </c>
      <c r="C7278" s="2">
        <v>4567.8</v>
      </c>
      <c r="D7278" s="2">
        <v>14226.22</v>
      </c>
      <c r="E7278" s="2">
        <v>14226.22</v>
      </c>
      <c r="G7278" s="1" t="s">
        <v>14549</v>
      </c>
      <c r="H7278" s="2">
        <v>2535.29</v>
      </c>
      <c r="I7278" s="2">
        <v>2535.29</v>
      </c>
    </row>
    <row r="7279">
      <c r="A7279" s="1" t="s">
        <v>14550</v>
      </c>
      <c r="B7279" s="2">
        <v>4594.63</v>
      </c>
      <c r="C7279" s="2">
        <v>4594.63</v>
      </c>
      <c r="D7279" s="2">
        <v>14305.03</v>
      </c>
      <c r="E7279" s="2">
        <v>14305.03</v>
      </c>
      <c r="G7279" s="1" t="s">
        <v>14551</v>
      </c>
      <c r="H7279" s="2">
        <v>2505.01</v>
      </c>
      <c r="I7279" s="2">
        <v>2505.01</v>
      </c>
    </row>
    <row r="7280">
      <c r="A7280" s="1" t="s">
        <v>14552</v>
      </c>
      <c r="B7280" s="2" t="s">
        <v>0</v>
      </c>
      <c r="C7280" s="2">
        <v>4594.63</v>
      </c>
      <c r="D7280" s="2" t="s">
        <v>0</v>
      </c>
      <c r="E7280" s="2">
        <v>14305.03</v>
      </c>
      <c r="G7280" s="1" t="s">
        <v>14553</v>
      </c>
      <c r="H7280" s="2" t="s">
        <v>0</v>
      </c>
      <c r="I7280" s="2">
        <v>2505.01</v>
      </c>
    </row>
    <row r="7281">
      <c r="A7281" s="1" t="s">
        <v>14554</v>
      </c>
      <c r="B7281" s="2" t="s">
        <v>0</v>
      </c>
      <c r="C7281" s="2">
        <v>4594.63</v>
      </c>
      <c r="D7281" s="2" t="s">
        <v>0</v>
      </c>
      <c r="E7281" s="2">
        <v>14305.03</v>
      </c>
      <c r="G7281" s="1" t="s">
        <v>14555</v>
      </c>
      <c r="H7281" s="2" t="s">
        <v>0</v>
      </c>
      <c r="I7281" s="2">
        <v>2505.01</v>
      </c>
    </row>
    <row r="7282">
      <c r="A7282" s="1" t="s">
        <v>14556</v>
      </c>
      <c r="B7282" s="2">
        <v>4569.78</v>
      </c>
      <c r="C7282" s="2">
        <v>4569.78</v>
      </c>
      <c r="D7282" s="2">
        <v>14185.49</v>
      </c>
      <c r="E7282" s="2">
        <v>14185.49</v>
      </c>
      <c r="G7282" s="1" t="s">
        <v>14557</v>
      </c>
      <c r="H7282" s="2">
        <v>2514.95</v>
      </c>
      <c r="I7282" s="2">
        <v>2514.95</v>
      </c>
    </row>
    <row r="7283">
      <c r="A7283" s="1" t="s">
        <v>14558</v>
      </c>
      <c r="B7283" s="2">
        <v>4567.18</v>
      </c>
      <c r="C7283" s="2">
        <v>4567.18</v>
      </c>
      <c r="D7283" s="2">
        <v>14229.91</v>
      </c>
      <c r="E7283" s="2">
        <v>14229.91</v>
      </c>
      <c r="G7283" s="1" t="s">
        <v>14559</v>
      </c>
      <c r="H7283" s="2">
        <v>2494.28</v>
      </c>
      <c r="I7283" s="2">
        <v>2494.28</v>
      </c>
    </row>
    <row r="7284">
      <c r="A7284" s="1" t="s">
        <v>14560</v>
      </c>
      <c r="B7284" s="2">
        <v>4549.34</v>
      </c>
      <c r="C7284" s="2">
        <v>4549.34</v>
      </c>
      <c r="D7284" s="2">
        <v>14146.71</v>
      </c>
      <c r="E7284" s="2">
        <v>14146.71</v>
      </c>
      <c r="G7284" s="1" t="s">
        <v>14561</v>
      </c>
      <c r="H7284" s="2">
        <v>2495.38</v>
      </c>
      <c r="I7284" s="2">
        <v>2495.38</v>
      </c>
    </row>
    <row r="7285">
      <c r="A7285" s="1" t="s">
        <v>14562</v>
      </c>
      <c r="B7285" s="2">
        <v>4585.59</v>
      </c>
      <c r="C7285" s="2">
        <v>4585.59</v>
      </c>
      <c r="D7285" s="2">
        <v>14339.99</v>
      </c>
      <c r="E7285" s="2">
        <v>14339.99</v>
      </c>
      <c r="G7285" s="1" t="s">
        <v>14563</v>
      </c>
      <c r="H7285" s="2">
        <v>2492.07</v>
      </c>
      <c r="I7285" s="2">
        <v>2492.07</v>
      </c>
    </row>
    <row r="7286">
      <c r="A7286" s="1" t="s">
        <v>14564</v>
      </c>
      <c r="B7286" s="2">
        <v>4604.37</v>
      </c>
      <c r="C7286" s="2">
        <v>4604.37</v>
      </c>
      <c r="D7286" s="2">
        <v>14403.97</v>
      </c>
      <c r="E7286" s="2">
        <v>14403.97</v>
      </c>
      <c r="G7286" s="1" t="s">
        <v>14565</v>
      </c>
      <c r="H7286" s="2">
        <v>2517.85</v>
      </c>
      <c r="I7286" s="2">
        <v>2517.85</v>
      </c>
    </row>
    <row r="7287">
      <c r="A7287" s="1" t="s">
        <v>14566</v>
      </c>
      <c r="B7287" s="2" t="s">
        <v>0</v>
      </c>
      <c r="C7287" s="2">
        <v>4604.37</v>
      </c>
      <c r="D7287" s="2" t="s">
        <v>0</v>
      </c>
      <c r="E7287" s="2">
        <v>14403.97</v>
      </c>
      <c r="G7287" s="1" t="s">
        <v>14567</v>
      </c>
      <c r="H7287" s="2" t="s">
        <v>0</v>
      </c>
      <c r="I7287" s="2">
        <v>2517.85</v>
      </c>
    </row>
    <row r="7288">
      <c r="A7288" s="1" t="s">
        <v>14568</v>
      </c>
      <c r="B7288" s="2" t="s">
        <v>0</v>
      </c>
      <c r="C7288" s="2">
        <v>4604.37</v>
      </c>
      <c r="D7288" s="2" t="s">
        <v>0</v>
      </c>
      <c r="E7288" s="2">
        <v>14403.97</v>
      </c>
      <c r="G7288" s="1" t="s">
        <v>14569</v>
      </c>
      <c r="H7288" s="2" t="s">
        <v>0</v>
      </c>
      <c r="I7288" s="2">
        <v>2517.85</v>
      </c>
    </row>
    <row r="7289">
      <c r="A7289" s="1" t="s">
        <v>14570</v>
      </c>
      <c r="B7289" s="2">
        <v>4622.44</v>
      </c>
      <c r="C7289" s="2">
        <v>4622.44</v>
      </c>
      <c r="D7289" s="2">
        <v>14432.49</v>
      </c>
      <c r="E7289" s="2">
        <v>14432.49</v>
      </c>
      <c r="G7289" s="1" t="s">
        <v>14571</v>
      </c>
      <c r="H7289" s="2">
        <v>2525.36</v>
      </c>
      <c r="I7289" s="2">
        <v>2525.36</v>
      </c>
    </row>
    <row r="7290">
      <c r="A7290" s="1" t="s">
        <v>14572</v>
      </c>
      <c r="B7290" s="2">
        <v>4643.7</v>
      </c>
      <c r="C7290" s="2">
        <v>4643.7</v>
      </c>
      <c r="D7290" s="2">
        <v>14533.4</v>
      </c>
      <c r="E7290" s="2">
        <v>14533.4</v>
      </c>
      <c r="G7290" s="1" t="s">
        <v>14573</v>
      </c>
      <c r="H7290" s="2">
        <v>2535.27</v>
      </c>
      <c r="I7290" s="2">
        <v>2535.27</v>
      </c>
    </row>
    <row r="7291">
      <c r="A7291" s="1" t="s">
        <v>14574</v>
      </c>
      <c r="B7291" s="2">
        <v>4707.09</v>
      </c>
      <c r="C7291" s="2">
        <v>4707.09</v>
      </c>
      <c r="D7291" s="2">
        <v>14733.96</v>
      </c>
      <c r="E7291" s="2">
        <v>14733.96</v>
      </c>
      <c r="G7291" s="1" t="s">
        <v>14575</v>
      </c>
      <c r="H7291" s="2">
        <v>2510.66</v>
      </c>
      <c r="I7291" s="2">
        <v>2510.66</v>
      </c>
    </row>
    <row r="7292">
      <c r="A7292" s="1" t="s">
        <v>14576</v>
      </c>
      <c r="B7292" s="2">
        <v>4719.55</v>
      </c>
      <c r="C7292" s="2">
        <v>4719.55</v>
      </c>
      <c r="D7292" s="2">
        <v>14761.56</v>
      </c>
      <c r="E7292" s="2">
        <v>14761.56</v>
      </c>
      <c r="G7292" s="1" t="s">
        <v>14577</v>
      </c>
      <c r="H7292" s="2">
        <v>2544.18</v>
      </c>
      <c r="I7292" s="2">
        <v>2544.18</v>
      </c>
    </row>
    <row r="7293">
      <c r="A7293" s="1" t="s">
        <v>14578</v>
      </c>
      <c r="B7293" s="2">
        <v>4719.19</v>
      </c>
      <c r="C7293" s="2">
        <v>4719.19</v>
      </c>
      <c r="D7293" s="2">
        <v>14813.92</v>
      </c>
      <c r="E7293" s="2">
        <v>14813.92</v>
      </c>
      <c r="G7293" s="1" t="s">
        <v>14579</v>
      </c>
      <c r="H7293" s="2">
        <v>2563.56</v>
      </c>
      <c r="I7293" s="2">
        <v>2563.56</v>
      </c>
    </row>
    <row r="7294">
      <c r="A7294" s="1" t="s">
        <v>14580</v>
      </c>
      <c r="B7294" s="2" t="s">
        <v>0</v>
      </c>
      <c r="C7294" s="2">
        <v>4719.19</v>
      </c>
      <c r="D7294" s="2" t="s">
        <v>0</v>
      </c>
      <c r="E7294" s="2">
        <v>14813.92</v>
      </c>
      <c r="G7294" s="1" t="s">
        <v>14581</v>
      </c>
      <c r="H7294" s="2" t="s">
        <v>0</v>
      </c>
      <c r="I7294" s="2">
        <v>2563.56</v>
      </c>
    </row>
    <row r="7295">
      <c r="A7295" s="1" t="s">
        <v>14582</v>
      </c>
      <c r="B7295" s="2" t="s">
        <v>0</v>
      </c>
      <c r="C7295" s="2">
        <v>4719.19</v>
      </c>
      <c r="D7295" s="2" t="s">
        <v>0</v>
      </c>
      <c r="E7295" s="2">
        <v>14813.92</v>
      </c>
      <c r="G7295" s="1" t="s">
        <v>14583</v>
      </c>
      <c r="H7295" s="2" t="s">
        <v>0</v>
      </c>
      <c r="I7295" s="2">
        <v>2563.56</v>
      </c>
    </row>
    <row r="7296">
      <c r="A7296" s="1" t="s">
        <v>14584</v>
      </c>
      <c r="B7296" s="2">
        <v>4740.56</v>
      </c>
      <c r="C7296" s="2">
        <v>4740.56</v>
      </c>
      <c r="D7296" s="2">
        <v>14905.19</v>
      </c>
      <c r="E7296" s="2">
        <v>14905.19</v>
      </c>
      <c r="G7296" s="1" t="s">
        <v>14585</v>
      </c>
      <c r="H7296" s="2">
        <v>2566.86</v>
      </c>
      <c r="I7296" s="2">
        <v>2566.86</v>
      </c>
    </row>
    <row r="7297">
      <c r="A7297" s="1" t="s">
        <v>14586</v>
      </c>
      <c r="B7297" s="2">
        <v>4768.37</v>
      </c>
      <c r="C7297" s="2">
        <v>4768.37</v>
      </c>
      <c r="D7297" s="2">
        <v>15003.22</v>
      </c>
      <c r="E7297" s="2">
        <v>15003.22</v>
      </c>
      <c r="G7297" s="1" t="s">
        <v>14587</v>
      </c>
      <c r="H7297" s="2">
        <v>2568.55</v>
      </c>
      <c r="I7297" s="2">
        <v>2568.55</v>
      </c>
    </row>
    <row r="7298">
      <c r="A7298" s="1" t="s">
        <v>14588</v>
      </c>
      <c r="B7298" s="2">
        <v>4698.35</v>
      </c>
      <c r="C7298" s="2">
        <v>4698.35</v>
      </c>
      <c r="D7298" s="2">
        <v>14777.94</v>
      </c>
      <c r="E7298" s="2">
        <v>14777.94</v>
      </c>
      <c r="G7298" s="1" t="s">
        <v>14589</v>
      </c>
      <c r="H7298" s="2">
        <v>2614.3</v>
      </c>
      <c r="I7298" s="2">
        <v>2614.3</v>
      </c>
    </row>
    <row r="7299">
      <c r="A7299" s="1" t="s">
        <v>14590</v>
      </c>
      <c r="B7299" s="2">
        <v>4746.75</v>
      </c>
      <c r="C7299" s="2">
        <v>4746.75</v>
      </c>
      <c r="D7299" s="2">
        <v>14963.87</v>
      </c>
      <c r="E7299" s="2">
        <v>14963.87</v>
      </c>
      <c r="G7299" s="1" t="s">
        <v>14591</v>
      </c>
      <c r="H7299" s="2">
        <v>2600.02</v>
      </c>
      <c r="I7299" s="2">
        <v>2600.02</v>
      </c>
    </row>
    <row r="7300">
      <c r="A7300" s="1" t="s">
        <v>14592</v>
      </c>
      <c r="B7300" s="2">
        <v>4754.63</v>
      </c>
      <c r="C7300" s="2">
        <v>4754.63</v>
      </c>
      <c r="D7300" s="2">
        <v>14992.97</v>
      </c>
      <c r="E7300" s="2">
        <v>14992.97</v>
      </c>
      <c r="G7300" s="1" t="s">
        <v>14593</v>
      </c>
      <c r="H7300" s="2">
        <v>2599.51</v>
      </c>
      <c r="I7300" s="2">
        <v>2599.51</v>
      </c>
    </row>
    <row r="7301">
      <c r="A7301" s="1" t="s">
        <v>14594</v>
      </c>
      <c r="B7301" s="2" t="s">
        <v>0</v>
      </c>
      <c r="C7301" s="2">
        <v>4754.63</v>
      </c>
      <c r="D7301" s="2" t="s">
        <v>0</v>
      </c>
      <c r="E7301" s="2">
        <v>14992.97</v>
      </c>
      <c r="G7301" s="1" t="s">
        <v>14595</v>
      </c>
      <c r="H7301" s="2" t="s">
        <v>0</v>
      </c>
      <c r="I7301" s="2">
        <v>2599.51</v>
      </c>
    </row>
    <row r="7302">
      <c r="A7302" s="1" t="s">
        <v>14596</v>
      </c>
      <c r="B7302" s="2" t="s">
        <v>0</v>
      </c>
      <c r="C7302" s="2">
        <v>4754.63</v>
      </c>
      <c r="D7302" s="2" t="s">
        <v>0</v>
      </c>
      <c r="E7302" s="2">
        <v>14992.97</v>
      </c>
      <c r="G7302" s="1" t="s">
        <v>14597</v>
      </c>
      <c r="H7302" s="2" t="s">
        <v>0</v>
      </c>
      <c r="I7302" s="2">
        <v>2599.51</v>
      </c>
    </row>
    <row r="7303">
      <c r="A7303" s="1" t="s">
        <v>14598</v>
      </c>
      <c r="B7303" s="2" t="s">
        <v>0</v>
      </c>
      <c r="C7303" s="2">
        <v>4754.63</v>
      </c>
      <c r="D7303" s="2" t="s">
        <v>0</v>
      </c>
      <c r="E7303" s="2">
        <v>14992.97</v>
      </c>
      <c r="G7303" s="1" t="s">
        <v>14599</v>
      </c>
      <c r="H7303" s="2" t="s">
        <v>0</v>
      </c>
      <c r="I7303" s="2">
        <v>2599.51</v>
      </c>
    </row>
    <row r="7304">
      <c r="A7304" s="1" t="s">
        <v>14600</v>
      </c>
      <c r="B7304" s="2">
        <v>4774.75</v>
      </c>
      <c r="C7304" s="2">
        <v>4774.75</v>
      </c>
      <c r="D7304" s="2">
        <v>15074.57</v>
      </c>
      <c r="E7304" s="2">
        <v>15074.57</v>
      </c>
      <c r="G7304" s="1" t="s">
        <v>14601</v>
      </c>
      <c r="H7304" s="2">
        <v>2602.59</v>
      </c>
      <c r="I7304" s="2">
        <v>2602.59</v>
      </c>
    </row>
    <row r="7305">
      <c r="A7305" s="1" t="s">
        <v>14602</v>
      </c>
      <c r="B7305" s="2">
        <v>4781.58</v>
      </c>
      <c r="C7305" s="2">
        <v>4781.58</v>
      </c>
      <c r="D7305" s="2">
        <v>15099.18</v>
      </c>
      <c r="E7305" s="2">
        <v>15099.18</v>
      </c>
      <c r="G7305" s="1" t="s">
        <v>14603</v>
      </c>
      <c r="H7305" s="2">
        <v>2613.5</v>
      </c>
      <c r="I7305" s="2">
        <v>2613.5</v>
      </c>
    </row>
    <row r="7306">
      <c r="A7306" s="1" t="s">
        <v>14604</v>
      </c>
      <c r="B7306" s="2">
        <v>4783.35</v>
      </c>
      <c r="C7306" s="2">
        <v>4783.35</v>
      </c>
      <c r="D7306" s="2">
        <v>15095.14</v>
      </c>
      <c r="E7306" s="2">
        <v>15095.14</v>
      </c>
      <c r="G7306" s="1" t="s">
        <v>14605</v>
      </c>
      <c r="H7306" s="2">
        <v>2655.28</v>
      </c>
      <c r="I7306" s="2">
        <v>2655.28</v>
      </c>
    </row>
    <row r="7307">
      <c r="A7307" s="1" t="s">
        <v>14606</v>
      </c>
      <c r="B7307" s="2">
        <v>4769.83</v>
      </c>
      <c r="C7307" s="2">
        <v>4769.83</v>
      </c>
      <c r="D7307" s="2">
        <v>15011.35</v>
      </c>
      <c r="E7307" s="2">
        <v>15011.35</v>
      </c>
      <c r="G7307" s="1" t="s">
        <v>14607</v>
      </c>
      <c r="H7307" s="2" t="s">
        <v>0</v>
      </c>
      <c r="I7307" s="2">
        <v>2655.28</v>
      </c>
    </row>
    <row r="7308">
      <c r="A7308" s="1" t="s">
        <v>14608</v>
      </c>
      <c r="B7308" s="2" t="s">
        <v>0</v>
      </c>
      <c r="C7308" s="2">
        <v>4769.83</v>
      </c>
      <c r="D7308" s="2" t="s">
        <v>0</v>
      </c>
      <c r="E7308" s="2">
        <v>15011.35</v>
      </c>
      <c r="G7308" s="1" t="s">
        <v>14609</v>
      </c>
      <c r="H7308" s="2" t="s">
        <v>0</v>
      </c>
      <c r="I7308" s="2">
        <v>2655.28</v>
      </c>
    </row>
    <row r="7309">
      <c r="A7309" s="1" t="s">
        <v>14610</v>
      </c>
      <c r="B7309" s="2" t="s">
        <v>0</v>
      </c>
      <c r="C7309" s="2">
        <v>4769.83</v>
      </c>
      <c r="D7309" s="2" t="s">
        <v>0</v>
      </c>
      <c r="E7309" s="2">
        <v>15011.35</v>
      </c>
      <c r="G7309" s="1" t="s">
        <v>14611</v>
      </c>
      <c r="H7309" s="2" t="s">
        <v>0</v>
      </c>
      <c r="I7309" s="2">
        <v>2655.28</v>
      </c>
    </row>
    <row r="7310">
      <c r="A7310" s="1" t="s">
        <v>14612</v>
      </c>
      <c r="B7310" s="2" t="s">
        <v>0</v>
      </c>
      <c r="C7310" s="2">
        <v>4769.83</v>
      </c>
      <c r="D7310" s="2" t="s">
        <v>0</v>
      </c>
      <c r="E7310" s="2">
        <v>15011.35</v>
      </c>
      <c r="G7310" s="1" t="s">
        <v>14613</v>
      </c>
      <c r="H7310" s="2" t="s">
        <v>0</v>
      </c>
      <c r="I7310" s="2">
        <v>2655.28</v>
      </c>
    </row>
    <row r="7311">
      <c r="A7311" s="1" t="s">
        <v>14614</v>
      </c>
      <c r="B7311" s="2">
        <v>4742.83</v>
      </c>
      <c r="C7311" s="2">
        <v>4742.83</v>
      </c>
      <c r="D7311" s="2">
        <v>14765.94</v>
      </c>
      <c r="E7311" s="2">
        <v>14765.94</v>
      </c>
      <c r="G7311" s="1" t="s">
        <v>14615</v>
      </c>
      <c r="H7311" s="2">
        <v>2669.81</v>
      </c>
      <c r="I7311" s="2">
        <v>2669.81</v>
      </c>
    </row>
    <row r="7312">
      <c r="A7312" s="1" t="s">
        <v>14616</v>
      </c>
      <c r="B7312" s="2">
        <v>4704.81</v>
      </c>
      <c r="C7312" s="2">
        <v>4704.81</v>
      </c>
      <c r="D7312" s="2">
        <v>14592.21</v>
      </c>
      <c r="E7312" s="2">
        <v>14592.21</v>
      </c>
      <c r="G7312" s="1" t="s">
        <v>14617</v>
      </c>
      <c r="H7312" s="2">
        <v>2607.31</v>
      </c>
      <c r="I7312" s="2">
        <v>2607.31</v>
      </c>
    </row>
    <row r="7313">
      <c r="A7313" s="1" t="s">
        <v>14618</v>
      </c>
      <c r="B7313" s="2">
        <v>4688.68</v>
      </c>
      <c r="C7313" s="2">
        <v>4688.68</v>
      </c>
      <c r="D7313" s="2">
        <v>14510.3</v>
      </c>
      <c r="E7313" s="2">
        <v>14510.3</v>
      </c>
      <c r="G7313" s="1" t="s">
        <v>14619</v>
      </c>
      <c r="H7313" s="2">
        <v>2587.02</v>
      </c>
      <c r="I7313" s="2">
        <v>2587.02</v>
      </c>
    </row>
    <row r="7314">
      <c r="A7314" s="1" t="s">
        <v>14620</v>
      </c>
      <c r="B7314" s="2">
        <v>4697.24</v>
      </c>
      <c r="C7314" s="2">
        <v>4697.24</v>
      </c>
      <c r="D7314" s="2">
        <v>14524.07</v>
      </c>
      <c r="E7314" s="2">
        <v>14524.07</v>
      </c>
      <c r="G7314" s="1" t="s">
        <v>14621</v>
      </c>
      <c r="H7314" s="2">
        <v>2578.08</v>
      </c>
      <c r="I7314" s="2">
        <v>2578.08</v>
      </c>
    </row>
    <row r="7315">
      <c r="A7315" s="1" t="s">
        <v>14622</v>
      </c>
      <c r="B7315" s="2" t="s">
        <v>0</v>
      </c>
      <c r="C7315" s="2">
        <v>4697.24</v>
      </c>
      <c r="D7315" s="2" t="s">
        <v>0</v>
      </c>
      <c r="E7315" s="2">
        <v>14524.07</v>
      </c>
      <c r="G7315" s="1" t="s">
        <v>14623</v>
      </c>
      <c r="H7315" s="2" t="s">
        <v>0</v>
      </c>
      <c r="I7315" s="2">
        <v>2578.08</v>
      </c>
    </row>
    <row r="7316">
      <c r="A7316" s="1" t="s">
        <v>14624</v>
      </c>
      <c r="B7316" s="2" t="s">
        <v>0</v>
      </c>
      <c r="C7316" s="2">
        <v>4697.24</v>
      </c>
      <c r="D7316" s="2" t="s">
        <v>0</v>
      </c>
      <c r="E7316" s="2">
        <v>14524.07</v>
      </c>
      <c r="G7316" s="1" t="s">
        <v>14625</v>
      </c>
      <c r="H7316" s="2" t="s">
        <v>0</v>
      </c>
      <c r="I7316" s="2">
        <v>2578.08</v>
      </c>
    </row>
    <row r="7317">
      <c r="A7317" s="1" t="s">
        <v>14626</v>
      </c>
      <c r="B7317" s="2">
        <v>4763.54</v>
      </c>
      <c r="C7317" s="2">
        <v>4763.54</v>
      </c>
      <c r="D7317" s="2">
        <v>14843.77</v>
      </c>
      <c r="E7317" s="2">
        <v>14843.77</v>
      </c>
      <c r="G7317" s="1" t="s">
        <v>14627</v>
      </c>
      <c r="H7317" s="2">
        <v>2567.82</v>
      </c>
      <c r="I7317" s="2">
        <v>2567.82</v>
      </c>
    </row>
    <row r="7318">
      <c r="A7318" s="1" t="s">
        <v>14628</v>
      </c>
      <c r="B7318" s="2">
        <v>4756.5</v>
      </c>
      <c r="C7318" s="2">
        <v>4756.5</v>
      </c>
      <c r="D7318" s="2">
        <v>14857.71</v>
      </c>
      <c r="E7318" s="2">
        <v>14857.71</v>
      </c>
      <c r="G7318" s="1" t="s">
        <v>14629</v>
      </c>
      <c r="H7318" s="2">
        <v>2561.24</v>
      </c>
      <c r="I7318" s="2">
        <v>2561.24</v>
      </c>
    </row>
    <row r="7319">
      <c r="A7319" s="1" t="s">
        <v>14630</v>
      </c>
      <c r="B7319" s="2">
        <v>4783.45</v>
      </c>
      <c r="C7319" s="2">
        <v>4783.45</v>
      </c>
      <c r="D7319" s="2">
        <v>14969.65</v>
      </c>
      <c r="E7319" s="2">
        <v>14969.65</v>
      </c>
      <c r="G7319" s="1" t="s">
        <v>14631</v>
      </c>
      <c r="H7319" s="2">
        <v>2541.98</v>
      </c>
      <c r="I7319" s="2">
        <v>2541.98</v>
      </c>
    </row>
    <row r="7320">
      <c r="A7320" s="1" t="s">
        <v>14632</v>
      </c>
      <c r="B7320" s="2">
        <v>4780.24</v>
      </c>
      <c r="C7320" s="2">
        <v>4780.24</v>
      </c>
      <c r="D7320" s="2">
        <v>14970.19</v>
      </c>
      <c r="E7320" s="2">
        <v>14970.19</v>
      </c>
      <c r="G7320" s="1" t="s">
        <v>14633</v>
      </c>
      <c r="H7320" s="2">
        <v>2540.27</v>
      </c>
      <c r="I7320" s="2">
        <v>2540.27</v>
      </c>
    </row>
    <row r="7321">
      <c r="A7321" s="1" t="s">
        <v>14634</v>
      </c>
      <c r="B7321" s="2">
        <v>4783.83</v>
      </c>
      <c r="C7321" s="2">
        <v>4783.83</v>
      </c>
      <c r="D7321" s="2">
        <v>14972.76</v>
      </c>
      <c r="E7321" s="2">
        <v>14972.76</v>
      </c>
      <c r="G7321" s="1" t="s">
        <v>14635</v>
      </c>
      <c r="H7321" s="2">
        <v>2525.05</v>
      </c>
      <c r="I7321" s="2">
        <v>2525.05</v>
      </c>
    </row>
    <row r="7322">
      <c r="A7322" s="1" t="s">
        <v>14636</v>
      </c>
      <c r="B7322" s="2" t="s">
        <v>0</v>
      </c>
      <c r="C7322" s="2">
        <v>4783.83</v>
      </c>
      <c r="D7322" s="2" t="s">
        <v>0</v>
      </c>
      <c r="E7322" s="2">
        <v>14972.76</v>
      </c>
      <c r="G7322" s="1" t="s">
        <v>14637</v>
      </c>
      <c r="H7322" s="2" t="s">
        <v>0</v>
      </c>
      <c r="I7322" s="2">
        <v>2525.05</v>
      </c>
    </row>
    <row r="7323">
      <c r="A7323" s="1" t="s">
        <v>14638</v>
      </c>
      <c r="B7323" s="2" t="s">
        <v>0</v>
      </c>
      <c r="C7323" s="2">
        <v>4783.83</v>
      </c>
      <c r="D7323" s="2" t="s">
        <v>0</v>
      </c>
      <c r="E7323" s="2">
        <v>14972.76</v>
      </c>
      <c r="G7323" s="1" t="s">
        <v>14639</v>
      </c>
      <c r="H7323" s="2" t="s">
        <v>0</v>
      </c>
      <c r="I7323" s="2">
        <v>2525.05</v>
      </c>
    </row>
    <row r="7324">
      <c r="A7324" s="1" t="s">
        <v>14640</v>
      </c>
      <c r="B7324" s="2" t="s">
        <v>0</v>
      </c>
      <c r="C7324" s="2">
        <v>4783.83</v>
      </c>
      <c r="D7324" s="2" t="s">
        <v>0</v>
      </c>
      <c r="E7324" s="2">
        <v>14972.76</v>
      </c>
      <c r="G7324" s="1" t="s">
        <v>14641</v>
      </c>
      <c r="H7324" s="2">
        <v>2525.99</v>
      </c>
      <c r="I7324" s="2">
        <v>2525.99</v>
      </c>
    </row>
    <row r="7325">
      <c r="A7325" s="1" t="s">
        <v>14642</v>
      </c>
      <c r="B7325" s="2">
        <v>4765.98</v>
      </c>
      <c r="C7325" s="2">
        <v>4765.98</v>
      </c>
      <c r="D7325" s="2">
        <v>14944.35</v>
      </c>
      <c r="E7325" s="2">
        <v>14944.35</v>
      </c>
      <c r="G7325" s="1" t="s">
        <v>14643</v>
      </c>
      <c r="H7325" s="2">
        <v>2497.59</v>
      </c>
      <c r="I7325" s="2">
        <v>2497.59</v>
      </c>
    </row>
    <row r="7326">
      <c r="A7326" s="1" t="s">
        <v>14644</v>
      </c>
      <c r="B7326" s="2">
        <v>4739.21</v>
      </c>
      <c r="C7326" s="2">
        <v>4739.21</v>
      </c>
      <c r="D7326" s="2">
        <v>14855.62</v>
      </c>
      <c r="E7326" s="2">
        <v>14855.62</v>
      </c>
      <c r="G7326" s="1" t="s">
        <v>14645</v>
      </c>
      <c r="H7326" s="2">
        <v>2435.9</v>
      </c>
      <c r="I7326" s="2">
        <v>2435.9</v>
      </c>
    </row>
    <row r="7327">
      <c r="A7327" s="1" t="s">
        <v>14646</v>
      </c>
      <c r="B7327" s="2">
        <v>4780.94</v>
      </c>
      <c r="C7327" s="2">
        <v>4780.94</v>
      </c>
      <c r="D7327" s="2">
        <v>15055.65</v>
      </c>
      <c r="E7327" s="2">
        <v>15055.65</v>
      </c>
      <c r="G7327" s="1" t="s">
        <v>14647</v>
      </c>
      <c r="H7327" s="2">
        <v>2440.04</v>
      </c>
      <c r="I7327" s="2">
        <v>2440.04</v>
      </c>
    </row>
    <row r="7328">
      <c r="A7328" s="1" t="s">
        <v>14648</v>
      </c>
      <c r="B7328" s="2">
        <v>4839.81</v>
      </c>
      <c r="C7328" s="2">
        <v>4839.81</v>
      </c>
      <c r="D7328" s="2">
        <v>15310.97</v>
      </c>
      <c r="E7328" s="2">
        <v>15310.97</v>
      </c>
      <c r="G7328" s="1" t="s">
        <v>14649</v>
      </c>
      <c r="H7328" s="2">
        <v>2472.74</v>
      </c>
      <c r="I7328" s="2">
        <v>2472.74</v>
      </c>
    </row>
    <row r="7329">
      <c r="A7329" s="1" t="s">
        <v>14650</v>
      </c>
      <c r="B7329" s="2" t="s">
        <v>0</v>
      </c>
      <c r="C7329" s="2">
        <v>4839.81</v>
      </c>
      <c r="D7329" s="2" t="s">
        <v>0</v>
      </c>
      <c r="E7329" s="2">
        <v>15310.97</v>
      </c>
      <c r="G7329" s="1" t="s">
        <v>14651</v>
      </c>
      <c r="H7329" s="2" t="s">
        <v>0</v>
      </c>
      <c r="I7329" s="2">
        <v>2472.74</v>
      </c>
    </row>
    <row r="7330">
      <c r="A7330" s="1" t="s">
        <v>14652</v>
      </c>
      <c r="B7330" s="2" t="s">
        <v>0</v>
      </c>
      <c r="C7330" s="2">
        <v>4839.81</v>
      </c>
      <c r="D7330" s="2" t="s">
        <v>0</v>
      </c>
      <c r="E7330" s="2">
        <v>15310.97</v>
      </c>
      <c r="G7330" s="1" t="s">
        <v>14653</v>
      </c>
      <c r="H7330" s="2" t="s">
        <v>0</v>
      </c>
      <c r="I7330" s="2">
        <v>2472.74</v>
      </c>
    </row>
    <row r="7331">
      <c r="A7331" s="1" t="s">
        <v>14654</v>
      </c>
      <c r="B7331" s="2">
        <v>4850.43</v>
      </c>
      <c r="C7331" s="2">
        <v>4850.43</v>
      </c>
      <c r="D7331" s="2">
        <v>15360.29</v>
      </c>
      <c r="E7331" s="2">
        <v>15360.29</v>
      </c>
      <c r="G7331" s="1" t="s">
        <v>14655</v>
      </c>
      <c r="H7331" s="2">
        <v>2464.35</v>
      </c>
      <c r="I7331" s="2">
        <v>2464.35</v>
      </c>
    </row>
    <row r="7332">
      <c r="A7332" s="1" t="s">
        <v>14656</v>
      </c>
      <c r="B7332" s="2">
        <v>4864.6</v>
      </c>
      <c r="C7332" s="2">
        <v>4864.6</v>
      </c>
      <c r="D7332" s="2">
        <v>15425.94</v>
      </c>
      <c r="E7332" s="2">
        <v>15425.94</v>
      </c>
      <c r="G7332" s="1" t="s">
        <v>14657</v>
      </c>
      <c r="H7332" s="2">
        <v>2478.61</v>
      </c>
      <c r="I7332" s="2">
        <v>2478.61</v>
      </c>
    </row>
    <row r="7333">
      <c r="A7333" s="1" t="s">
        <v>14658</v>
      </c>
      <c r="B7333" s="2">
        <v>4868.55</v>
      </c>
      <c r="C7333" s="2">
        <v>4868.55</v>
      </c>
      <c r="D7333" s="2">
        <v>15481.92</v>
      </c>
      <c r="E7333" s="2">
        <v>15481.92</v>
      </c>
      <c r="G7333" s="1" t="s">
        <v>14659</v>
      </c>
      <c r="H7333" s="2">
        <v>2469.69</v>
      </c>
      <c r="I7333" s="2">
        <v>2469.69</v>
      </c>
    </row>
    <row r="7334">
      <c r="A7334" s="1" t="s">
        <v>14660</v>
      </c>
      <c r="B7334" s="2">
        <v>4894.16</v>
      </c>
      <c r="C7334" s="2">
        <v>4894.16</v>
      </c>
      <c r="D7334" s="2">
        <v>15510.5</v>
      </c>
      <c r="E7334" s="2">
        <v>15510.5</v>
      </c>
      <c r="G7334" s="1" t="s">
        <v>14661</v>
      </c>
      <c r="H7334" s="2">
        <v>2470.34</v>
      </c>
      <c r="I7334" s="2">
        <v>2470.34</v>
      </c>
    </row>
    <row r="7335">
      <c r="A7335" s="1" t="s">
        <v>14662</v>
      </c>
      <c r="B7335" s="2">
        <v>4890.97</v>
      </c>
      <c r="C7335" s="2">
        <v>4890.97</v>
      </c>
      <c r="D7335" s="2">
        <v>15455.36</v>
      </c>
      <c r="E7335" s="2">
        <v>15455.36</v>
      </c>
      <c r="G7335" s="1" t="s">
        <v>14663</v>
      </c>
      <c r="H7335" s="2">
        <v>2478.56</v>
      </c>
      <c r="I7335" s="2">
        <v>2478.56</v>
      </c>
    </row>
    <row r="7336">
      <c r="A7336" s="1" t="s">
        <v>14664</v>
      </c>
      <c r="B7336" s="2" t="s">
        <v>0</v>
      </c>
      <c r="C7336" s="2">
        <v>4890.97</v>
      </c>
      <c r="D7336" s="2" t="s">
        <v>0</v>
      </c>
      <c r="E7336" s="2">
        <v>15455.36</v>
      </c>
      <c r="G7336" s="1" t="s">
        <v>14665</v>
      </c>
      <c r="H7336" s="2" t="s">
        <v>0</v>
      </c>
      <c r="I7336" s="2">
        <v>2478.56</v>
      </c>
    </row>
    <row r="7337">
      <c r="A7337" s="1" t="s">
        <v>14666</v>
      </c>
      <c r="B7337" s="2" t="s">
        <v>0</v>
      </c>
      <c r="C7337" s="2">
        <v>4890.97</v>
      </c>
      <c r="D7337" s="2" t="s">
        <v>0</v>
      </c>
      <c r="E7337" s="2">
        <v>15455.36</v>
      </c>
      <c r="G7337" s="1" t="s">
        <v>14667</v>
      </c>
      <c r="H7337" s="2" t="s">
        <v>0</v>
      </c>
      <c r="I7337" s="2">
        <v>2478.56</v>
      </c>
    </row>
    <row r="7338">
      <c r="A7338" s="1" t="s">
        <v>14668</v>
      </c>
      <c r="B7338" s="2">
        <v>4927.93</v>
      </c>
      <c r="C7338" s="2">
        <v>4927.93</v>
      </c>
      <c r="D7338" s="2">
        <v>15628.04</v>
      </c>
      <c r="E7338" s="2">
        <v>15628.04</v>
      </c>
      <c r="G7338" s="1" t="s">
        <v>14669</v>
      </c>
      <c r="H7338" s="2">
        <v>2500.65</v>
      </c>
      <c r="I7338" s="2">
        <v>2500.65</v>
      </c>
    </row>
    <row r="7339">
      <c r="A7339" s="1" t="s">
        <v>14670</v>
      </c>
      <c r="B7339" s="2">
        <v>4924.97</v>
      </c>
      <c r="C7339" s="2">
        <v>4924.97</v>
      </c>
      <c r="D7339" s="2">
        <v>15509.9</v>
      </c>
      <c r="E7339" s="2">
        <v>15509.9</v>
      </c>
      <c r="G7339" s="1" t="s">
        <v>14671</v>
      </c>
      <c r="H7339" s="2">
        <v>2498.81</v>
      </c>
      <c r="I7339" s="2">
        <v>2498.81</v>
      </c>
    </row>
    <row r="7340">
      <c r="A7340" s="1" t="s">
        <v>14672</v>
      </c>
      <c r="B7340" s="2">
        <v>4845.65</v>
      </c>
      <c r="C7340" s="2">
        <v>4845.65</v>
      </c>
      <c r="D7340" s="2">
        <v>15164.01</v>
      </c>
      <c r="E7340" s="2">
        <v>15164.01</v>
      </c>
      <c r="G7340" s="1" t="s">
        <v>14673</v>
      </c>
      <c r="H7340" s="2">
        <v>2497.09</v>
      </c>
      <c r="I7340" s="2">
        <v>2497.09</v>
      </c>
    </row>
    <row r="7341">
      <c r="A7341" s="1" t="s">
        <v>14674</v>
      </c>
      <c r="B7341" s="2">
        <v>4906.19</v>
      </c>
      <c r="C7341" s="2">
        <v>4906.19</v>
      </c>
      <c r="D7341" s="2">
        <v>15361.64</v>
      </c>
      <c r="E7341" s="2">
        <v>15361.64</v>
      </c>
      <c r="G7341" s="1" t="s">
        <v>14675</v>
      </c>
      <c r="H7341" s="2">
        <v>2542.46</v>
      </c>
      <c r="I7341" s="2">
        <v>2542.46</v>
      </c>
    </row>
    <row r="7342">
      <c r="A7342" s="1" t="s">
        <v>14676</v>
      </c>
      <c r="B7342" s="2">
        <v>4958.61</v>
      </c>
      <c r="C7342" s="2">
        <v>4958.61</v>
      </c>
      <c r="D7342" s="2">
        <v>15628.95</v>
      </c>
      <c r="E7342" s="2">
        <v>15628.95</v>
      </c>
      <c r="G7342" s="1" t="s">
        <v>14677</v>
      </c>
      <c r="H7342" s="2">
        <v>2615.31</v>
      </c>
      <c r="I7342" s="2">
        <v>2615.31</v>
      </c>
    </row>
    <row r="7343">
      <c r="A7343" s="1" t="s">
        <v>14678</v>
      </c>
      <c r="B7343" s="2" t="s">
        <v>0</v>
      </c>
      <c r="C7343" s="2">
        <v>4958.61</v>
      </c>
      <c r="D7343" s="2" t="s">
        <v>0</v>
      </c>
      <c r="E7343" s="2">
        <v>15628.95</v>
      </c>
      <c r="G7343" s="1" t="s">
        <v>14679</v>
      </c>
      <c r="H7343" s="2" t="s">
        <v>0</v>
      </c>
      <c r="I7343" s="2">
        <v>2615.31</v>
      </c>
    </row>
    <row r="7344">
      <c r="A7344" s="1" t="s">
        <v>14680</v>
      </c>
      <c r="B7344" s="2" t="s">
        <v>0</v>
      </c>
      <c r="C7344" s="2">
        <v>4958.61</v>
      </c>
      <c r="D7344" s="2" t="s">
        <v>0</v>
      </c>
      <c r="E7344" s="2">
        <v>15628.95</v>
      </c>
      <c r="G7344" s="1" t="s">
        <v>14681</v>
      </c>
      <c r="H7344" s="2" t="s">
        <v>0</v>
      </c>
      <c r="I7344" s="2">
        <v>2615.31</v>
      </c>
    </row>
    <row r="7345">
      <c r="A7345" s="1" t="s">
        <v>14682</v>
      </c>
      <c r="B7345" s="2">
        <v>4942.81</v>
      </c>
      <c r="C7345" s="2">
        <v>4942.81</v>
      </c>
      <c r="D7345" s="2">
        <v>15597.68</v>
      </c>
      <c r="E7345" s="2">
        <v>15597.68</v>
      </c>
      <c r="G7345" s="1" t="s">
        <v>14683</v>
      </c>
      <c r="H7345" s="2">
        <v>2591.31</v>
      </c>
      <c r="I7345" s="2">
        <v>2591.31</v>
      </c>
    </row>
    <row r="7346">
      <c r="A7346" s="1" t="s">
        <v>14684</v>
      </c>
      <c r="B7346" s="2">
        <v>4954.23</v>
      </c>
      <c r="C7346" s="2">
        <v>4954.23</v>
      </c>
      <c r="D7346" s="2">
        <v>15609.0</v>
      </c>
      <c r="E7346" s="2">
        <v>15609.0</v>
      </c>
      <c r="G7346" s="1" t="s">
        <v>14685</v>
      </c>
      <c r="H7346" s="2">
        <v>2576.2</v>
      </c>
      <c r="I7346" s="2">
        <v>2576.2</v>
      </c>
    </row>
    <row r="7347">
      <c r="A7347" s="1" t="s">
        <v>14686</v>
      </c>
      <c r="B7347" s="2">
        <v>4995.06</v>
      </c>
      <c r="C7347" s="2">
        <v>4995.06</v>
      </c>
      <c r="D7347" s="2">
        <v>15756.64</v>
      </c>
      <c r="E7347" s="2">
        <v>15756.64</v>
      </c>
      <c r="G7347" s="1" t="s">
        <v>14687</v>
      </c>
      <c r="H7347" s="2">
        <v>2609.58</v>
      </c>
      <c r="I7347" s="2">
        <v>2609.58</v>
      </c>
    </row>
    <row r="7348">
      <c r="A7348" s="1" t="s">
        <v>14688</v>
      </c>
      <c r="B7348" s="2">
        <v>4997.91</v>
      </c>
      <c r="C7348" s="2">
        <v>4997.91</v>
      </c>
      <c r="D7348" s="2">
        <v>15793.72</v>
      </c>
      <c r="E7348" s="2">
        <v>15793.72</v>
      </c>
      <c r="G7348" s="1" t="s">
        <v>14689</v>
      </c>
      <c r="H7348" s="2">
        <v>2620.32</v>
      </c>
      <c r="I7348" s="2">
        <v>2620.32</v>
      </c>
    </row>
    <row r="7349">
      <c r="A7349" s="1" t="s">
        <v>14690</v>
      </c>
      <c r="B7349" s="2">
        <v>5026.61</v>
      </c>
      <c r="C7349" s="2">
        <v>5026.61</v>
      </c>
      <c r="D7349" s="2">
        <v>15990.66</v>
      </c>
      <c r="E7349" s="2">
        <v>15990.66</v>
      </c>
      <c r="G7349" s="1" t="s">
        <v>14691</v>
      </c>
      <c r="H7349" s="2" t="s">
        <v>0</v>
      </c>
      <c r="I7349" s="2">
        <v>2620.32</v>
      </c>
    </row>
    <row r="7350">
      <c r="A7350" s="1" t="s">
        <v>14692</v>
      </c>
      <c r="B7350" s="2" t="s">
        <v>0</v>
      </c>
      <c r="C7350" s="2">
        <v>5026.61</v>
      </c>
      <c r="D7350" s="2" t="s">
        <v>0</v>
      </c>
      <c r="E7350" s="2">
        <v>15990.66</v>
      </c>
      <c r="G7350" s="1" t="s">
        <v>14693</v>
      </c>
      <c r="H7350" s="2" t="s">
        <v>0</v>
      </c>
      <c r="I7350" s="2">
        <v>2620.32</v>
      </c>
    </row>
    <row r="7351">
      <c r="A7351" s="1" t="s">
        <v>14694</v>
      </c>
      <c r="B7351" s="2" t="s">
        <v>0</v>
      </c>
      <c r="C7351" s="2">
        <v>5026.61</v>
      </c>
      <c r="D7351" s="2" t="s">
        <v>0</v>
      </c>
      <c r="E7351" s="2">
        <v>15990.66</v>
      </c>
      <c r="G7351" s="1" t="s">
        <v>14695</v>
      </c>
      <c r="H7351" s="2" t="s">
        <v>0</v>
      </c>
      <c r="I7351" s="2">
        <v>2620.32</v>
      </c>
    </row>
    <row r="7352">
      <c r="A7352" s="1" t="s">
        <v>14696</v>
      </c>
      <c r="B7352" s="2">
        <v>5021.84</v>
      </c>
      <c r="C7352" s="2">
        <v>5021.84</v>
      </c>
      <c r="D7352" s="2">
        <v>15942.55</v>
      </c>
      <c r="E7352" s="2">
        <v>15942.55</v>
      </c>
      <c r="G7352" s="1" t="s">
        <v>14697</v>
      </c>
      <c r="H7352" s="2" t="s">
        <v>0</v>
      </c>
      <c r="I7352" s="2">
        <v>2620.32</v>
      </c>
    </row>
    <row r="7353">
      <c r="A7353" s="1" t="s">
        <v>14698</v>
      </c>
      <c r="B7353" s="2">
        <v>4953.17</v>
      </c>
      <c r="C7353" s="2">
        <v>4953.17</v>
      </c>
      <c r="D7353" s="2">
        <v>15655.6</v>
      </c>
      <c r="E7353" s="2">
        <v>15655.6</v>
      </c>
      <c r="G7353" s="1" t="s">
        <v>14699</v>
      </c>
      <c r="H7353" s="2">
        <v>2649.64</v>
      </c>
      <c r="I7353" s="2">
        <v>2649.64</v>
      </c>
    </row>
    <row r="7354">
      <c r="A7354" s="1" t="s">
        <v>14700</v>
      </c>
      <c r="B7354" s="2">
        <v>5000.62</v>
      </c>
      <c r="C7354" s="2">
        <v>5000.62</v>
      </c>
      <c r="D7354" s="2">
        <v>15859.15</v>
      </c>
      <c r="E7354" s="2">
        <v>15859.15</v>
      </c>
      <c r="G7354" s="1" t="s">
        <v>14701</v>
      </c>
      <c r="H7354" s="2">
        <v>2620.42</v>
      </c>
      <c r="I7354" s="2">
        <v>2620.42</v>
      </c>
    </row>
    <row r="7355">
      <c r="A7355" s="1" t="s">
        <v>14702</v>
      </c>
      <c r="B7355" s="2">
        <v>5029.73</v>
      </c>
      <c r="C7355" s="2">
        <v>5029.73</v>
      </c>
      <c r="D7355" s="2">
        <v>15906.17</v>
      </c>
      <c r="E7355" s="2">
        <v>15906.17</v>
      </c>
      <c r="G7355" s="1" t="s">
        <v>14703</v>
      </c>
      <c r="H7355" s="2">
        <v>2613.8</v>
      </c>
      <c r="I7355" s="2">
        <v>2613.8</v>
      </c>
    </row>
    <row r="7356">
      <c r="A7356" s="1" t="s">
        <v>14704</v>
      </c>
      <c r="B7356" s="2">
        <v>5005.57</v>
      </c>
      <c r="C7356" s="2">
        <v>5005.57</v>
      </c>
      <c r="D7356" s="2">
        <v>15775.65</v>
      </c>
      <c r="E7356" s="2">
        <v>15775.65</v>
      </c>
      <c r="G7356" s="1" t="s">
        <v>14705</v>
      </c>
      <c r="H7356" s="2">
        <v>2648.76</v>
      </c>
      <c r="I7356" s="2">
        <v>2648.76</v>
      </c>
    </row>
    <row r="7357">
      <c r="A7357" s="1" t="s">
        <v>14706</v>
      </c>
      <c r="B7357" s="2" t="s">
        <v>0</v>
      </c>
      <c r="C7357" s="2">
        <v>5005.57</v>
      </c>
      <c r="D7357" s="2" t="s">
        <v>0</v>
      </c>
      <c r="E7357" s="2">
        <v>15775.65</v>
      </c>
      <c r="G7357" s="1" t="s">
        <v>14707</v>
      </c>
      <c r="H7357" s="2" t="s">
        <v>0</v>
      </c>
      <c r="I7357" s="2">
        <v>2648.76</v>
      </c>
    </row>
    <row r="7358">
      <c r="A7358" s="1" t="s">
        <v>14708</v>
      </c>
      <c r="B7358" s="2" t="s">
        <v>0</v>
      </c>
      <c r="C7358" s="2">
        <v>5005.57</v>
      </c>
      <c r="D7358" s="2" t="s">
        <v>0</v>
      </c>
      <c r="E7358" s="2">
        <v>15775.65</v>
      </c>
      <c r="G7358" s="1" t="s">
        <v>14709</v>
      </c>
      <c r="H7358" s="2" t="s">
        <v>0</v>
      </c>
      <c r="I7358" s="2">
        <v>2648.76</v>
      </c>
    </row>
    <row r="7359">
      <c r="A7359" s="1" t="s">
        <v>14710</v>
      </c>
      <c r="B7359" s="2" t="s">
        <v>0</v>
      </c>
      <c r="C7359" s="2">
        <v>5005.57</v>
      </c>
      <c r="D7359" s="2" t="s">
        <v>0</v>
      </c>
      <c r="E7359" s="2">
        <v>15775.65</v>
      </c>
      <c r="G7359" s="1" t="s">
        <v>14711</v>
      </c>
      <c r="H7359" s="2">
        <v>2680.26</v>
      </c>
      <c r="I7359" s="2">
        <v>2680.26</v>
      </c>
    </row>
    <row r="7360">
      <c r="A7360" s="1" t="s">
        <v>14712</v>
      </c>
      <c r="B7360" s="2">
        <v>4975.51</v>
      </c>
      <c r="C7360" s="2">
        <v>4975.51</v>
      </c>
      <c r="D7360" s="2">
        <v>15630.78</v>
      </c>
      <c r="E7360" s="2">
        <v>15630.78</v>
      </c>
      <c r="G7360" s="1" t="s">
        <v>14713</v>
      </c>
      <c r="H7360" s="2">
        <v>2657.79</v>
      </c>
      <c r="I7360" s="2">
        <v>2657.79</v>
      </c>
    </row>
    <row r="7361">
      <c r="A7361" s="1" t="s">
        <v>14714</v>
      </c>
      <c r="B7361" s="2">
        <v>4981.8</v>
      </c>
      <c r="C7361" s="2">
        <v>4981.8</v>
      </c>
      <c r="D7361" s="2">
        <v>15580.87</v>
      </c>
      <c r="E7361" s="2">
        <v>15580.87</v>
      </c>
      <c r="G7361" s="1" t="s">
        <v>14715</v>
      </c>
      <c r="H7361" s="2">
        <v>2653.31</v>
      </c>
      <c r="I7361" s="2">
        <v>2653.31</v>
      </c>
    </row>
    <row r="7362">
      <c r="A7362" s="1" t="s">
        <v>14716</v>
      </c>
      <c r="B7362" s="2">
        <v>5087.03</v>
      </c>
      <c r="C7362" s="2">
        <v>5087.03</v>
      </c>
      <c r="D7362" s="2">
        <v>16041.62</v>
      </c>
      <c r="E7362" s="2">
        <v>16041.62</v>
      </c>
      <c r="G7362" s="1" t="s">
        <v>14717</v>
      </c>
      <c r="H7362" s="2">
        <v>2664.27</v>
      </c>
      <c r="I7362" s="2">
        <v>2664.27</v>
      </c>
    </row>
    <row r="7363">
      <c r="A7363" s="1" t="s">
        <v>14718</v>
      </c>
      <c r="B7363" s="2">
        <v>5088.8</v>
      </c>
      <c r="C7363" s="2">
        <v>5088.8</v>
      </c>
      <c r="D7363" s="2">
        <v>15996.82</v>
      </c>
      <c r="E7363" s="2">
        <v>15996.82</v>
      </c>
      <c r="G7363" s="1" t="s">
        <v>14719</v>
      </c>
      <c r="H7363" s="2">
        <v>2667.7</v>
      </c>
      <c r="I7363" s="2">
        <v>2667.7</v>
      </c>
    </row>
    <row r="7364">
      <c r="A7364" s="1" t="s">
        <v>14720</v>
      </c>
      <c r="B7364" s="2" t="s">
        <v>0</v>
      </c>
      <c r="C7364" s="2">
        <v>5088.8</v>
      </c>
      <c r="D7364" s="2" t="s">
        <v>0</v>
      </c>
      <c r="E7364" s="2">
        <v>15996.82</v>
      </c>
      <c r="G7364" s="1" t="s">
        <v>14721</v>
      </c>
      <c r="H7364" s="2" t="s">
        <v>0</v>
      </c>
      <c r="I7364" s="2">
        <v>2667.7</v>
      </c>
    </row>
    <row r="7365">
      <c r="A7365" s="1" t="s">
        <v>14722</v>
      </c>
      <c r="B7365" s="2" t="s">
        <v>0</v>
      </c>
      <c r="C7365" s="2">
        <v>5088.8</v>
      </c>
      <c r="D7365" s="2" t="s">
        <v>0</v>
      </c>
      <c r="E7365" s="2">
        <v>15996.82</v>
      </c>
      <c r="G7365" s="1" t="s">
        <v>14723</v>
      </c>
      <c r="H7365" s="2" t="s">
        <v>0</v>
      </c>
      <c r="I7365" s="2">
        <v>2667.7</v>
      </c>
    </row>
    <row r="7366">
      <c r="A7366" s="1" t="s">
        <v>14724</v>
      </c>
      <c r="B7366" s="2">
        <v>5069.53</v>
      </c>
      <c r="C7366" s="2">
        <v>5069.53</v>
      </c>
      <c r="D7366" s="2">
        <v>15976.25</v>
      </c>
      <c r="E7366" s="2">
        <v>15976.25</v>
      </c>
      <c r="G7366" s="1" t="s">
        <v>14725</v>
      </c>
      <c r="H7366" s="2">
        <v>2647.08</v>
      </c>
      <c r="I7366" s="2">
        <v>2647.08</v>
      </c>
    </row>
    <row r="7367">
      <c r="A7367" s="1" t="s">
        <v>14726</v>
      </c>
      <c r="B7367" s="2">
        <v>5078.18</v>
      </c>
      <c r="C7367" s="2">
        <v>5078.18</v>
      </c>
      <c r="D7367" s="2">
        <v>16035.3</v>
      </c>
      <c r="E7367" s="2">
        <v>16035.3</v>
      </c>
      <c r="G7367" s="1" t="s">
        <v>14727</v>
      </c>
      <c r="H7367" s="2">
        <v>2625.05</v>
      </c>
      <c r="I7367" s="2">
        <v>2625.05</v>
      </c>
    </row>
    <row r="7368">
      <c r="A7368" s="1" t="s">
        <v>14728</v>
      </c>
      <c r="B7368" s="2">
        <v>5069.76</v>
      </c>
      <c r="C7368" s="2">
        <v>5069.76</v>
      </c>
      <c r="D7368" s="2">
        <v>15947.74</v>
      </c>
      <c r="E7368" s="2">
        <v>15947.74</v>
      </c>
      <c r="G7368" s="1" t="s">
        <v>14729</v>
      </c>
      <c r="H7368" s="2">
        <v>2652.29</v>
      </c>
      <c r="I7368" s="2">
        <v>2652.29</v>
      </c>
    </row>
    <row r="7369">
      <c r="A7369" s="1" t="s">
        <v>14730</v>
      </c>
      <c r="B7369" s="2">
        <v>5096.27</v>
      </c>
      <c r="C7369" s="2">
        <v>5096.27</v>
      </c>
      <c r="D7369" s="2">
        <v>16091.92</v>
      </c>
      <c r="E7369" s="2">
        <v>16091.92</v>
      </c>
      <c r="G7369" s="1" t="s">
        <v>14731</v>
      </c>
      <c r="H7369" s="2">
        <v>2642.36</v>
      </c>
      <c r="I7369" s="2">
        <v>2642.36</v>
      </c>
    </row>
    <row r="7370">
      <c r="A7370" s="1" t="s">
        <v>14732</v>
      </c>
      <c r="B7370" s="2">
        <v>5137.08</v>
      </c>
      <c r="C7370" s="2">
        <v>5137.08</v>
      </c>
      <c r="D7370" s="2">
        <v>16274.94</v>
      </c>
      <c r="E7370" s="2">
        <v>16274.94</v>
      </c>
      <c r="G7370" s="1" t="s">
        <v>14733</v>
      </c>
      <c r="H7370" s="2" t="s">
        <v>0</v>
      </c>
      <c r="I7370" s="2">
        <v>2642.36</v>
      </c>
    </row>
    <row r="7371">
      <c r="A7371" s="1" t="s">
        <v>14734</v>
      </c>
      <c r="B7371" s="2" t="s">
        <v>0</v>
      </c>
      <c r="C7371" s="2">
        <v>5137.08</v>
      </c>
      <c r="D7371" s="2" t="s">
        <v>0</v>
      </c>
      <c r="E7371" s="2">
        <v>16274.94</v>
      </c>
      <c r="G7371" s="1" t="s">
        <v>14735</v>
      </c>
      <c r="H7371" s="2" t="s">
        <v>0</v>
      </c>
      <c r="I7371" s="2">
        <v>2642.36</v>
      </c>
    </row>
    <row r="7372">
      <c r="A7372" s="1" t="s">
        <v>14736</v>
      </c>
      <c r="B7372" s="2" t="s">
        <v>0</v>
      </c>
      <c r="C7372" s="2">
        <v>5137.08</v>
      </c>
      <c r="D7372" s="2" t="s">
        <v>0</v>
      </c>
      <c r="E7372" s="2">
        <v>16274.94</v>
      </c>
      <c r="G7372" s="1" t="s">
        <v>14737</v>
      </c>
      <c r="H7372" s="2" t="s">
        <v>0</v>
      </c>
      <c r="I7372" s="2">
        <v>2642.36</v>
      </c>
    </row>
    <row r="7373">
      <c r="A7373" s="1" t="s">
        <v>14738</v>
      </c>
      <c r="B7373" s="2">
        <v>5130.95</v>
      </c>
      <c r="C7373" s="2">
        <v>5130.95</v>
      </c>
      <c r="D7373" s="2">
        <v>16207.51</v>
      </c>
      <c r="E7373" s="2">
        <v>16207.51</v>
      </c>
      <c r="G7373" s="1" t="s">
        <v>14739</v>
      </c>
      <c r="H7373" s="2">
        <v>2674.27</v>
      </c>
      <c r="I7373" s="2">
        <v>2674.27</v>
      </c>
    </row>
    <row r="7374">
      <c r="A7374" s="1" t="s">
        <v>14740</v>
      </c>
      <c r="B7374" s="2">
        <v>5078.65</v>
      </c>
      <c r="C7374" s="2">
        <v>5078.65</v>
      </c>
      <c r="D7374" s="2">
        <v>15939.59</v>
      </c>
      <c r="E7374" s="2">
        <v>15939.59</v>
      </c>
      <c r="G7374" s="1" t="s">
        <v>14741</v>
      </c>
      <c r="H7374" s="2">
        <v>2649.4</v>
      </c>
      <c r="I7374" s="2">
        <v>2649.4</v>
      </c>
    </row>
    <row r="7375">
      <c r="A7375" s="1" t="s">
        <v>14742</v>
      </c>
      <c r="B7375" s="2">
        <v>5104.76</v>
      </c>
      <c r="C7375" s="2">
        <v>5104.76</v>
      </c>
      <c r="D7375" s="2">
        <v>16031.54</v>
      </c>
      <c r="E7375" s="2">
        <v>16031.54</v>
      </c>
      <c r="G7375" s="1" t="s">
        <v>14743</v>
      </c>
      <c r="H7375" s="2">
        <v>2641.49</v>
      </c>
      <c r="I7375" s="2">
        <v>2641.49</v>
      </c>
    </row>
    <row r="7376">
      <c r="A7376" s="1" t="s">
        <v>14744</v>
      </c>
      <c r="B7376" s="2">
        <v>5157.36</v>
      </c>
      <c r="C7376" s="2">
        <v>5157.36</v>
      </c>
      <c r="D7376" s="2">
        <v>16273.38</v>
      </c>
      <c r="E7376" s="2">
        <v>16273.38</v>
      </c>
      <c r="G7376" s="1" t="s">
        <v>14745</v>
      </c>
      <c r="H7376" s="2">
        <v>2647.62</v>
      </c>
      <c r="I7376" s="2">
        <v>2647.62</v>
      </c>
    </row>
    <row r="7377">
      <c r="A7377" s="1" t="s">
        <v>14746</v>
      </c>
      <c r="B7377" s="2">
        <v>5123.69</v>
      </c>
      <c r="C7377" s="2">
        <v>5123.69</v>
      </c>
      <c r="D7377" s="2">
        <v>16085.11</v>
      </c>
      <c r="E7377" s="2">
        <v>16085.11</v>
      </c>
      <c r="G7377" s="1" t="s">
        <v>14747</v>
      </c>
      <c r="H7377" s="2">
        <v>2680.35</v>
      </c>
      <c r="I7377" s="2">
        <v>2680.35</v>
      </c>
    </row>
    <row r="7378">
      <c r="A7378" s="1" t="s">
        <v>14748</v>
      </c>
      <c r="B7378" s="2" t="s">
        <v>0</v>
      </c>
      <c r="C7378" s="2">
        <v>5123.69</v>
      </c>
      <c r="D7378" s="2" t="s">
        <v>0</v>
      </c>
      <c r="E7378" s="2">
        <v>16085.11</v>
      </c>
      <c r="G7378" s="1" t="s">
        <v>14749</v>
      </c>
      <c r="H7378" s="2" t="s">
        <v>0</v>
      </c>
      <c r="I7378" s="2">
        <v>2680.35</v>
      </c>
    </row>
    <row r="7379">
      <c r="A7379" s="1" t="s">
        <v>14750</v>
      </c>
      <c r="B7379" s="2" t="s">
        <v>0</v>
      </c>
      <c r="C7379" s="2">
        <v>5123.69</v>
      </c>
      <c r="D7379" s="2" t="s">
        <v>0</v>
      </c>
      <c r="E7379" s="2">
        <v>16085.11</v>
      </c>
      <c r="G7379" s="1" t="s">
        <v>14751</v>
      </c>
      <c r="H7379" s="2" t="s">
        <v>0</v>
      </c>
      <c r="I7379" s="2">
        <v>2680.35</v>
      </c>
    </row>
    <row r="7380">
      <c r="A7380" s="1" t="s">
        <v>14752</v>
      </c>
      <c r="B7380" s="2">
        <v>5117.94</v>
      </c>
      <c r="C7380" s="2">
        <v>5117.94</v>
      </c>
      <c r="D7380" s="2">
        <v>16019.27</v>
      </c>
      <c r="E7380" s="2">
        <v>16019.27</v>
      </c>
      <c r="G7380" s="1" t="s">
        <v>14753</v>
      </c>
      <c r="H7380" s="2">
        <v>2659.84</v>
      </c>
      <c r="I7380" s="2">
        <v>2659.84</v>
      </c>
    </row>
    <row r="7381">
      <c r="A7381" s="1" t="s">
        <v>14754</v>
      </c>
      <c r="B7381" s="2">
        <v>5175.27</v>
      </c>
      <c r="C7381" s="2">
        <v>5175.27</v>
      </c>
      <c r="D7381" s="2">
        <v>16265.64</v>
      </c>
      <c r="E7381" s="2">
        <v>16265.64</v>
      </c>
      <c r="G7381" s="1" t="s">
        <v>14755</v>
      </c>
      <c r="H7381" s="2">
        <v>2681.81</v>
      </c>
      <c r="I7381" s="2">
        <v>2681.81</v>
      </c>
    </row>
    <row r="7382">
      <c r="A7382" s="1" t="s">
        <v>14756</v>
      </c>
      <c r="B7382" s="2">
        <v>5165.31</v>
      </c>
      <c r="C7382" s="2">
        <v>5165.31</v>
      </c>
      <c r="D7382" s="2">
        <v>16177.77</v>
      </c>
      <c r="E7382" s="2">
        <v>16177.77</v>
      </c>
      <c r="G7382" s="1" t="s">
        <v>14757</v>
      </c>
      <c r="H7382" s="2">
        <v>2693.57</v>
      </c>
      <c r="I7382" s="2">
        <v>2693.57</v>
      </c>
    </row>
    <row r="7383">
      <c r="A7383" s="1" t="s">
        <v>14758</v>
      </c>
      <c r="B7383" s="2">
        <v>5150.48</v>
      </c>
      <c r="C7383" s="2">
        <v>5150.48</v>
      </c>
      <c r="D7383" s="2">
        <v>16128.53</v>
      </c>
      <c r="E7383" s="2">
        <v>16128.53</v>
      </c>
      <c r="G7383" s="1" t="s">
        <v>14759</v>
      </c>
      <c r="H7383" s="2">
        <v>2718.76</v>
      </c>
      <c r="I7383" s="2">
        <v>2718.76</v>
      </c>
    </row>
    <row r="7384">
      <c r="A7384" s="1" t="s">
        <v>14760</v>
      </c>
      <c r="B7384" s="2">
        <v>5117.09</v>
      </c>
      <c r="C7384" s="2">
        <v>5117.09</v>
      </c>
      <c r="D7384" s="2">
        <v>15973.17</v>
      </c>
      <c r="E7384" s="2">
        <v>15973.17</v>
      </c>
      <c r="G7384" s="1" t="s">
        <v>14761</v>
      </c>
      <c r="H7384" s="2">
        <v>2666.84</v>
      </c>
      <c r="I7384" s="2">
        <v>2666.84</v>
      </c>
    </row>
    <row r="7385">
      <c r="A7385" s="1" t="s">
        <v>14762</v>
      </c>
      <c r="B7385" s="2" t="s">
        <v>0</v>
      </c>
      <c r="C7385" s="2">
        <v>5117.09</v>
      </c>
      <c r="D7385" s="2" t="s">
        <v>0</v>
      </c>
      <c r="E7385" s="2">
        <v>15973.17</v>
      </c>
      <c r="G7385" s="1" t="s">
        <v>14763</v>
      </c>
      <c r="H7385" s="2" t="s">
        <v>0</v>
      </c>
      <c r="I7385" s="2">
        <v>2666.84</v>
      </c>
    </row>
    <row r="7386">
      <c r="A7386" s="1" t="s">
        <v>14764</v>
      </c>
      <c r="B7386" s="2" t="s">
        <v>0</v>
      </c>
      <c r="C7386" s="2">
        <v>5117.09</v>
      </c>
      <c r="D7386" s="2" t="s">
        <v>0</v>
      </c>
      <c r="E7386" s="2">
        <v>15973.17</v>
      </c>
      <c r="G7386" s="1" t="s">
        <v>14765</v>
      </c>
      <c r="H7386" s="2" t="s">
        <v>0</v>
      </c>
      <c r="I7386" s="2">
        <v>2666.84</v>
      </c>
    </row>
    <row r="7387">
      <c r="A7387" s="1" t="s">
        <v>14766</v>
      </c>
      <c r="B7387" s="2">
        <v>5149.42</v>
      </c>
      <c r="C7387" s="2">
        <v>5149.42</v>
      </c>
      <c r="D7387" s="2">
        <v>16103.45</v>
      </c>
      <c r="E7387" s="2">
        <v>16103.45</v>
      </c>
      <c r="G7387" s="1" t="s">
        <v>14767</v>
      </c>
      <c r="H7387" s="2">
        <v>2685.84</v>
      </c>
      <c r="I7387" s="2">
        <v>2685.84</v>
      </c>
    </row>
    <row r="7388">
      <c r="A7388" s="1" t="s">
        <v>14768</v>
      </c>
      <c r="B7388" s="2">
        <v>5178.51</v>
      </c>
      <c r="C7388" s="2">
        <v>5178.51</v>
      </c>
      <c r="D7388" s="2">
        <v>16166.79</v>
      </c>
      <c r="E7388" s="2">
        <v>16166.79</v>
      </c>
      <c r="G7388" s="1" t="s">
        <v>14769</v>
      </c>
      <c r="H7388" s="2">
        <v>2656.17</v>
      </c>
      <c r="I7388" s="2">
        <v>2656.17</v>
      </c>
    </row>
    <row r="7389">
      <c r="A7389" s="1" t="s">
        <v>14770</v>
      </c>
      <c r="B7389" s="2">
        <v>5224.62</v>
      </c>
      <c r="C7389" s="2">
        <v>5224.62</v>
      </c>
      <c r="D7389" s="2">
        <v>16369.41</v>
      </c>
      <c r="E7389" s="2">
        <v>16369.41</v>
      </c>
      <c r="G7389" s="1" t="s">
        <v>14771</v>
      </c>
      <c r="H7389" s="2">
        <v>2690.14</v>
      </c>
      <c r="I7389" s="2">
        <v>2690.14</v>
      </c>
    </row>
    <row r="7390">
      <c r="A7390" s="1" t="s">
        <v>14772</v>
      </c>
      <c r="B7390" s="2">
        <v>5241.53</v>
      </c>
      <c r="C7390" s="2">
        <v>5241.53</v>
      </c>
      <c r="D7390" s="2">
        <v>16401.84</v>
      </c>
      <c r="E7390" s="2">
        <v>16401.84</v>
      </c>
      <c r="G7390" s="1" t="s">
        <v>14773</v>
      </c>
      <c r="H7390" s="2">
        <v>2754.86</v>
      </c>
      <c r="I7390" s="2">
        <v>2754.86</v>
      </c>
    </row>
    <row r="7391">
      <c r="A7391" s="1" t="s">
        <v>14774</v>
      </c>
      <c r="B7391" s="2">
        <v>5234.18</v>
      </c>
      <c r="C7391" s="2">
        <v>5234.18</v>
      </c>
      <c r="D7391" s="2">
        <v>16428.82</v>
      </c>
      <c r="E7391" s="2">
        <v>16428.82</v>
      </c>
      <c r="G7391" s="1" t="s">
        <v>14775</v>
      </c>
      <c r="H7391" s="2">
        <v>2748.56</v>
      </c>
      <c r="I7391" s="2">
        <v>2748.56</v>
      </c>
    </row>
    <row r="7392">
      <c r="A7392" s="1" t="s">
        <v>14776</v>
      </c>
      <c r="B7392" s="2" t="s">
        <v>0</v>
      </c>
      <c r="C7392" s="2">
        <v>5234.18</v>
      </c>
      <c r="D7392" s="2" t="s">
        <v>0</v>
      </c>
      <c r="E7392" s="2">
        <v>16428.82</v>
      </c>
      <c r="G7392" s="1" t="s">
        <v>14777</v>
      </c>
      <c r="H7392" s="2" t="s">
        <v>0</v>
      </c>
      <c r="I7392" s="2">
        <v>2748.56</v>
      </c>
    </row>
    <row r="7393">
      <c r="A7393" s="1" t="s">
        <v>14778</v>
      </c>
      <c r="B7393" s="2" t="s">
        <v>0</v>
      </c>
      <c r="C7393" s="2">
        <v>5234.18</v>
      </c>
      <c r="D7393" s="2" t="s">
        <v>0</v>
      </c>
      <c r="E7393" s="2">
        <v>16428.82</v>
      </c>
      <c r="G7393" s="1" t="s">
        <v>14779</v>
      </c>
      <c r="H7393" s="2" t="s">
        <v>0</v>
      </c>
      <c r="I7393" s="2">
        <v>2748.56</v>
      </c>
    </row>
    <row r="7394">
      <c r="A7394" s="1" t="s">
        <v>14780</v>
      </c>
      <c r="B7394" s="2">
        <v>5218.19</v>
      </c>
      <c r="C7394" s="2">
        <v>5218.19</v>
      </c>
      <c r="D7394" s="2">
        <v>16384.47</v>
      </c>
      <c r="E7394" s="2">
        <v>16384.47</v>
      </c>
      <c r="G7394" s="1" t="s">
        <v>14781</v>
      </c>
      <c r="H7394" s="2">
        <v>2737.57</v>
      </c>
      <c r="I7394" s="2">
        <v>2737.57</v>
      </c>
    </row>
    <row r="7395">
      <c r="A7395" s="1" t="s">
        <v>14782</v>
      </c>
      <c r="B7395" s="2">
        <v>5203.58</v>
      </c>
      <c r="C7395" s="2">
        <v>5203.58</v>
      </c>
      <c r="D7395" s="2">
        <v>16315.7</v>
      </c>
      <c r="E7395" s="2">
        <v>16315.7</v>
      </c>
      <c r="G7395" s="1" t="s">
        <v>14783</v>
      </c>
      <c r="H7395" s="2">
        <v>2757.09</v>
      </c>
      <c r="I7395" s="2">
        <v>2757.09</v>
      </c>
    </row>
    <row r="7396">
      <c r="A7396" s="1" t="s">
        <v>14784</v>
      </c>
      <c r="B7396" s="2">
        <v>5248.49</v>
      </c>
      <c r="C7396" s="2">
        <v>5248.49</v>
      </c>
      <c r="D7396" s="2">
        <v>16399.52</v>
      </c>
      <c r="E7396" s="2">
        <v>16399.52</v>
      </c>
      <c r="G7396" s="1" t="s">
        <v>14785</v>
      </c>
      <c r="H7396" s="2">
        <v>2755.11</v>
      </c>
      <c r="I7396" s="2">
        <v>2755.11</v>
      </c>
    </row>
    <row r="7397">
      <c r="A7397" s="1" t="s">
        <v>14786</v>
      </c>
      <c r="B7397" s="2">
        <v>5254.35</v>
      </c>
      <c r="C7397" s="2">
        <v>5254.35</v>
      </c>
      <c r="D7397" s="2">
        <v>16379.46</v>
      </c>
      <c r="E7397" s="2">
        <v>16379.46</v>
      </c>
      <c r="G7397" s="1" t="s">
        <v>14787</v>
      </c>
      <c r="H7397" s="2">
        <v>2745.82</v>
      </c>
      <c r="I7397" s="2">
        <v>2745.82</v>
      </c>
    </row>
    <row r="7398">
      <c r="A7398" s="1" t="s">
        <v>14788</v>
      </c>
      <c r="B7398" s="2" t="s">
        <v>0</v>
      </c>
      <c r="C7398" s="2">
        <v>5254.35</v>
      </c>
      <c r="D7398" s="2" t="s">
        <v>0</v>
      </c>
      <c r="E7398" s="2">
        <v>16379.46</v>
      </c>
      <c r="G7398" s="1" t="s">
        <v>14789</v>
      </c>
      <c r="H7398" s="2">
        <v>2746.63</v>
      </c>
      <c r="I7398" s="2">
        <v>2746.63</v>
      </c>
    </row>
    <row r="7399">
      <c r="A7399" s="1" t="s">
        <v>14790</v>
      </c>
      <c r="B7399" s="2" t="s">
        <v>0</v>
      </c>
      <c r="C7399" s="2">
        <v>5254.35</v>
      </c>
      <c r="D7399" s="2" t="s">
        <v>0</v>
      </c>
      <c r="E7399" s="2">
        <v>16379.46</v>
      </c>
      <c r="G7399" s="1" t="s">
        <v>14791</v>
      </c>
      <c r="H7399" s="2" t="s">
        <v>0</v>
      </c>
      <c r="I7399" s="2">
        <v>2746.63</v>
      </c>
    </row>
    <row r="7400">
      <c r="A7400" s="1" t="s">
        <v>14792</v>
      </c>
      <c r="B7400" s="2" t="s">
        <v>0</v>
      </c>
      <c r="C7400" s="2">
        <v>5254.35</v>
      </c>
      <c r="D7400" s="2" t="s">
        <v>0</v>
      </c>
      <c r="E7400" s="2">
        <v>16379.46</v>
      </c>
      <c r="G7400" s="1" t="s">
        <v>14793</v>
      </c>
      <c r="H7400" s="2" t="s">
        <v>0</v>
      </c>
      <c r="I7400" s="2">
        <v>2746.63</v>
      </c>
    </row>
    <row r="7401">
      <c r="A7401" s="1" t="s">
        <v>14794</v>
      </c>
      <c r="B7401" s="2">
        <v>5243.77</v>
      </c>
      <c r="C7401" s="2">
        <v>5243.77</v>
      </c>
      <c r="D7401" s="2">
        <v>16396.83</v>
      </c>
      <c r="E7401" s="2">
        <v>16396.83</v>
      </c>
      <c r="G7401" s="1" t="s">
        <v>14795</v>
      </c>
      <c r="H7401" s="2">
        <v>2747.86</v>
      </c>
      <c r="I7401" s="2">
        <v>2747.86</v>
      </c>
    </row>
    <row r="7402">
      <c r="A7402" s="1" t="s">
        <v>14796</v>
      </c>
      <c r="B7402" s="2">
        <v>5205.81</v>
      </c>
      <c r="C7402" s="2">
        <v>5205.81</v>
      </c>
      <c r="D7402" s="2">
        <v>16240.45</v>
      </c>
      <c r="E7402" s="2">
        <v>16240.45</v>
      </c>
      <c r="G7402" s="1" t="s">
        <v>14797</v>
      </c>
      <c r="H7402" s="2">
        <v>2753.16</v>
      </c>
      <c r="I7402" s="2">
        <v>2753.16</v>
      </c>
    </row>
    <row r="7403">
      <c r="A7403" s="1" t="s">
        <v>14798</v>
      </c>
      <c r="B7403" s="2">
        <v>5211.49</v>
      </c>
      <c r="C7403" s="2">
        <v>5211.49</v>
      </c>
      <c r="D7403" s="2">
        <v>16277.46</v>
      </c>
      <c r="E7403" s="2">
        <v>16277.46</v>
      </c>
      <c r="G7403" s="1" t="s">
        <v>14799</v>
      </c>
      <c r="H7403" s="2">
        <v>2706.97</v>
      </c>
      <c r="I7403" s="2">
        <v>2706.97</v>
      </c>
    </row>
    <row r="7404">
      <c r="A7404" s="1" t="s">
        <v>14800</v>
      </c>
      <c r="B7404" s="2">
        <v>5147.21</v>
      </c>
      <c r="C7404" s="2">
        <v>5147.21</v>
      </c>
      <c r="D7404" s="2">
        <v>16049.08</v>
      </c>
      <c r="E7404" s="2">
        <v>16049.08</v>
      </c>
      <c r="G7404" s="1" t="s">
        <v>14801</v>
      </c>
      <c r="H7404" s="2">
        <v>2742.0</v>
      </c>
      <c r="I7404" s="2">
        <v>2742.0</v>
      </c>
    </row>
    <row r="7405">
      <c r="A7405" s="1" t="s">
        <v>14802</v>
      </c>
      <c r="B7405" s="2">
        <v>5204.34</v>
      </c>
      <c r="C7405" s="2">
        <v>5204.34</v>
      </c>
      <c r="D7405" s="2">
        <v>16248.52</v>
      </c>
      <c r="E7405" s="2">
        <v>16248.52</v>
      </c>
      <c r="G7405" s="1" t="s">
        <v>14803</v>
      </c>
      <c r="H7405" s="2">
        <v>2714.21</v>
      </c>
      <c r="I7405" s="2">
        <v>2714.21</v>
      </c>
    </row>
    <row r="7406">
      <c r="A7406" s="1" t="s">
        <v>14804</v>
      </c>
      <c r="B7406" s="2" t="s">
        <v>0</v>
      </c>
      <c r="C7406" s="2">
        <v>5204.34</v>
      </c>
      <c r="D7406" s="2" t="s">
        <v>0</v>
      </c>
      <c r="E7406" s="2">
        <v>16248.52</v>
      </c>
      <c r="G7406" s="1" t="s">
        <v>14805</v>
      </c>
      <c r="H7406" s="2" t="s">
        <v>0</v>
      </c>
      <c r="I7406" s="2">
        <v>2714.21</v>
      </c>
    </row>
    <row r="7407">
      <c r="A7407" s="1" t="s">
        <v>14806</v>
      </c>
      <c r="B7407" s="2" t="s">
        <v>0</v>
      </c>
      <c r="C7407" s="2">
        <v>5204.34</v>
      </c>
      <c r="D7407" s="2" t="s">
        <v>0</v>
      </c>
      <c r="E7407" s="2">
        <v>16248.52</v>
      </c>
      <c r="G7407" s="1" t="s">
        <v>14807</v>
      </c>
      <c r="H7407" s="2" t="s">
        <v>0</v>
      </c>
      <c r="I7407" s="2">
        <v>2714.21</v>
      </c>
    </row>
    <row r="7408">
      <c r="A7408" s="1" t="s">
        <v>14808</v>
      </c>
      <c r="B7408" s="2">
        <v>5202.39</v>
      </c>
      <c r="C7408" s="2">
        <v>5202.39</v>
      </c>
      <c r="D7408" s="2">
        <v>16253.96</v>
      </c>
      <c r="E7408" s="2">
        <v>16253.96</v>
      </c>
      <c r="G7408" s="1" t="s">
        <v>14809</v>
      </c>
      <c r="H7408" s="2">
        <v>2717.65</v>
      </c>
      <c r="I7408" s="2">
        <v>2717.65</v>
      </c>
    </row>
    <row r="7409">
      <c r="A7409" s="1" t="s">
        <v>14810</v>
      </c>
      <c r="B7409" s="2">
        <v>5209.91</v>
      </c>
      <c r="C7409" s="2">
        <v>5209.91</v>
      </c>
      <c r="D7409" s="2">
        <v>16306.64</v>
      </c>
      <c r="E7409" s="2">
        <v>16306.64</v>
      </c>
      <c r="G7409" s="1" t="s">
        <v>14811</v>
      </c>
      <c r="H7409" s="2">
        <v>2705.16</v>
      </c>
      <c r="I7409" s="2">
        <v>2705.16</v>
      </c>
    </row>
    <row r="7410">
      <c r="A7410" s="1" t="s">
        <v>14812</v>
      </c>
      <c r="B7410" s="2">
        <v>5160.64</v>
      </c>
      <c r="C7410" s="2">
        <v>5160.64</v>
      </c>
      <c r="D7410" s="2">
        <v>16170.36</v>
      </c>
      <c r="E7410" s="2">
        <v>16170.36</v>
      </c>
      <c r="G7410" s="1" t="s">
        <v>14813</v>
      </c>
      <c r="H7410" s="2" t="s">
        <v>0</v>
      </c>
      <c r="I7410" s="2">
        <v>2705.16</v>
      </c>
    </row>
    <row r="7411">
      <c r="A7411" s="1" t="s">
        <v>14814</v>
      </c>
      <c r="B7411" s="2">
        <v>5199.06</v>
      </c>
      <c r="C7411" s="2">
        <v>5199.06</v>
      </c>
      <c r="D7411" s="2">
        <v>16442.2</v>
      </c>
      <c r="E7411" s="2">
        <v>16442.2</v>
      </c>
      <c r="G7411" s="1" t="s">
        <v>14815</v>
      </c>
      <c r="H7411" s="2">
        <v>2706.96</v>
      </c>
      <c r="I7411" s="2">
        <v>2706.96</v>
      </c>
    </row>
    <row r="7412">
      <c r="A7412" s="1" t="s">
        <v>14816</v>
      </c>
      <c r="B7412" s="2">
        <v>5123.41</v>
      </c>
      <c r="C7412" s="2">
        <v>5123.41</v>
      </c>
      <c r="D7412" s="2">
        <v>16175.09</v>
      </c>
      <c r="E7412" s="2">
        <v>16175.09</v>
      </c>
      <c r="G7412" s="1" t="s">
        <v>14817</v>
      </c>
      <c r="H7412" s="2">
        <v>2681.82</v>
      </c>
      <c r="I7412" s="2">
        <v>2681.82</v>
      </c>
    </row>
    <row r="7413">
      <c r="A7413" s="1" t="s">
        <v>14818</v>
      </c>
      <c r="B7413" s="2" t="s">
        <v>0</v>
      </c>
      <c r="C7413" s="2">
        <v>5123.41</v>
      </c>
      <c r="D7413" s="2" t="s">
        <v>0</v>
      </c>
      <c r="E7413" s="2">
        <v>16175.09</v>
      </c>
      <c r="G7413" s="1" t="s">
        <v>14819</v>
      </c>
      <c r="H7413" s="2" t="s">
        <v>0</v>
      </c>
      <c r="I7413" s="2">
        <v>2681.82</v>
      </c>
    </row>
    <row r="7414">
      <c r="A7414" s="1" t="s">
        <v>14820</v>
      </c>
      <c r="B7414" s="2" t="s">
        <v>0</v>
      </c>
      <c r="C7414" s="2">
        <v>5123.41</v>
      </c>
      <c r="D7414" s="2" t="s">
        <v>0</v>
      </c>
      <c r="E7414" s="2">
        <v>16175.09</v>
      </c>
      <c r="G7414" s="1" t="s">
        <v>14821</v>
      </c>
      <c r="H7414" s="2" t="s">
        <v>0</v>
      </c>
      <c r="I7414" s="2">
        <v>2681.82</v>
      </c>
    </row>
    <row r="7415">
      <c r="A7415" s="1" t="s">
        <v>14822</v>
      </c>
      <c r="B7415" s="2">
        <v>5061.82</v>
      </c>
      <c r="C7415" s="2">
        <v>5061.82</v>
      </c>
      <c r="D7415" s="2">
        <v>15885.02</v>
      </c>
      <c r="E7415" s="2">
        <v>15885.02</v>
      </c>
      <c r="G7415" s="1" t="s">
        <v>14823</v>
      </c>
      <c r="H7415" s="2">
        <v>2670.43</v>
      </c>
      <c r="I7415" s="2">
        <v>2670.43</v>
      </c>
    </row>
    <row r="7416">
      <c r="A7416" s="1" t="s">
        <v>14824</v>
      </c>
      <c r="B7416" s="2">
        <v>5051.41</v>
      </c>
      <c r="C7416" s="2">
        <v>5051.41</v>
      </c>
      <c r="D7416" s="2">
        <v>15865.25</v>
      </c>
      <c r="E7416" s="2">
        <v>15865.25</v>
      </c>
      <c r="G7416" s="1" t="s">
        <v>14825</v>
      </c>
      <c r="H7416" s="2">
        <v>2609.63</v>
      </c>
      <c r="I7416" s="2">
        <v>2609.63</v>
      </c>
    </row>
    <row r="7417">
      <c r="A7417" s="1" t="s">
        <v>14826</v>
      </c>
      <c r="B7417" s="2">
        <v>5022.21</v>
      </c>
      <c r="C7417" s="2">
        <v>5022.21</v>
      </c>
      <c r="D7417" s="2">
        <v>15683.37</v>
      </c>
      <c r="E7417" s="2">
        <v>15683.37</v>
      </c>
      <c r="G7417" s="1" t="s">
        <v>14827</v>
      </c>
      <c r="H7417" s="2">
        <v>2584.18</v>
      </c>
      <c r="I7417" s="2">
        <v>2584.18</v>
      </c>
    </row>
    <row r="7418">
      <c r="A7418" s="1" t="s">
        <v>14828</v>
      </c>
      <c r="B7418" s="2">
        <v>5011.12</v>
      </c>
      <c r="C7418" s="2">
        <v>5011.12</v>
      </c>
      <c r="D7418" s="2">
        <v>15601.5</v>
      </c>
      <c r="E7418" s="2">
        <v>15601.5</v>
      </c>
      <c r="G7418" s="1" t="s">
        <v>14829</v>
      </c>
      <c r="H7418" s="2">
        <v>2634.7</v>
      </c>
      <c r="I7418" s="2">
        <v>2634.7</v>
      </c>
    </row>
    <row r="7419">
      <c r="A7419" s="1" t="s">
        <v>14830</v>
      </c>
      <c r="B7419" s="2">
        <v>4967.23</v>
      </c>
      <c r="C7419" s="2">
        <v>4967.23</v>
      </c>
      <c r="D7419" s="2">
        <v>15282.01</v>
      </c>
      <c r="E7419" s="2">
        <v>15282.01</v>
      </c>
      <c r="G7419" s="1" t="s">
        <v>14831</v>
      </c>
      <c r="H7419" s="2">
        <v>2591.86</v>
      </c>
      <c r="I7419" s="2">
        <v>2591.86</v>
      </c>
    </row>
    <row r="7420">
      <c r="A7420" s="1" t="s">
        <v>14832</v>
      </c>
      <c r="B7420" s="2" t="s">
        <v>0</v>
      </c>
      <c r="C7420" s="2">
        <v>4967.23</v>
      </c>
      <c r="D7420" s="2" t="s">
        <v>0</v>
      </c>
      <c r="E7420" s="2">
        <v>15282.01</v>
      </c>
      <c r="G7420" s="1" t="s">
        <v>14833</v>
      </c>
      <c r="H7420" s="2" t="s">
        <v>0</v>
      </c>
      <c r="I7420" s="2">
        <v>2591.86</v>
      </c>
    </row>
    <row r="7421">
      <c r="A7421" s="1" t="s">
        <v>14834</v>
      </c>
      <c r="B7421" s="2" t="s">
        <v>0</v>
      </c>
      <c r="C7421" s="2">
        <v>4967.23</v>
      </c>
      <c r="D7421" s="2" t="s">
        <v>0</v>
      </c>
      <c r="E7421" s="2">
        <v>15282.01</v>
      </c>
      <c r="G7421" s="1" t="s">
        <v>14835</v>
      </c>
      <c r="H7421" s="2" t="s">
        <v>0</v>
      </c>
      <c r="I7421" s="2">
        <v>2591.86</v>
      </c>
    </row>
    <row r="7422">
      <c r="A7422" s="1" t="s">
        <v>14836</v>
      </c>
      <c r="B7422" s="2">
        <v>5010.6</v>
      </c>
      <c r="C7422" s="2">
        <v>5010.6</v>
      </c>
      <c r="D7422" s="2">
        <v>15451.31</v>
      </c>
      <c r="E7422" s="2">
        <v>15451.31</v>
      </c>
      <c r="G7422" s="1" t="s">
        <v>14837</v>
      </c>
      <c r="H7422" s="2">
        <v>2629.44</v>
      </c>
      <c r="I7422" s="2">
        <v>2629.44</v>
      </c>
    </row>
    <row r="7423">
      <c r="A7423" s="1" t="s">
        <v>14838</v>
      </c>
      <c r="B7423" s="2">
        <v>5070.55</v>
      </c>
      <c r="C7423" s="2">
        <v>5070.55</v>
      </c>
      <c r="D7423" s="2">
        <v>15696.64</v>
      </c>
      <c r="E7423" s="2">
        <v>15696.64</v>
      </c>
      <c r="G7423" s="1" t="s">
        <v>14839</v>
      </c>
      <c r="H7423" s="2">
        <v>2623.02</v>
      </c>
      <c r="I7423" s="2">
        <v>2623.02</v>
      </c>
    </row>
    <row r="7424">
      <c r="A7424" s="1" t="s">
        <v>14840</v>
      </c>
      <c r="B7424" s="2">
        <v>5071.63</v>
      </c>
      <c r="C7424" s="2">
        <v>5071.63</v>
      </c>
      <c r="D7424" s="2">
        <v>15712.75</v>
      </c>
      <c r="E7424" s="2">
        <v>15712.75</v>
      </c>
      <c r="G7424" s="1" t="s">
        <v>14841</v>
      </c>
      <c r="H7424" s="2">
        <v>2675.75</v>
      </c>
      <c r="I7424" s="2">
        <v>2675.75</v>
      </c>
    </row>
    <row r="7425">
      <c r="A7425" s="1" t="s">
        <v>14842</v>
      </c>
      <c r="B7425" s="2">
        <v>5048.42</v>
      </c>
      <c r="C7425" s="2">
        <v>5048.42</v>
      </c>
      <c r="D7425" s="2">
        <v>15611.76</v>
      </c>
      <c r="E7425" s="2">
        <v>15611.76</v>
      </c>
      <c r="G7425" s="1" t="s">
        <v>14843</v>
      </c>
      <c r="H7425" s="2">
        <v>2628.62</v>
      </c>
      <c r="I7425" s="2">
        <v>2628.62</v>
      </c>
    </row>
    <row r="7426">
      <c r="A7426" s="1" t="s">
        <v>14844</v>
      </c>
      <c r="B7426" s="2">
        <v>5099.96</v>
      </c>
      <c r="C7426" s="2">
        <v>5099.96</v>
      </c>
      <c r="D7426" s="2">
        <v>15927.9</v>
      </c>
      <c r="E7426" s="2">
        <v>15927.9</v>
      </c>
      <c r="G7426" s="1" t="s">
        <v>14845</v>
      </c>
      <c r="H7426" s="2">
        <v>2656.33</v>
      </c>
      <c r="I7426" s="2">
        <v>2656.33</v>
      </c>
    </row>
    <row r="7427">
      <c r="A7427" s="1" t="s">
        <v>14846</v>
      </c>
      <c r="B7427" s="2" t="s">
        <v>0</v>
      </c>
      <c r="C7427" s="2">
        <v>5099.96</v>
      </c>
      <c r="D7427" s="2" t="s">
        <v>0</v>
      </c>
      <c r="E7427" s="2">
        <v>15927.9</v>
      </c>
      <c r="G7427" s="1" t="s">
        <v>14847</v>
      </c>
      <c r="H7427" s="2" t="s">
        <v>0</v>
      </c>
      <c r="I7427" s="2">
        <v>2656.33</v>
      </c>
    </row>
    <row r="7428">
      <c r="A7428" s="1" t="s">
        <v>14848</v>
      </c>
      <c r="B7428" s="2" t="s">
        <v>0</v>
      </c>
      <c r="C7428" s="2">
        <v>5099.96</v>
      </c>
      <c r="D7428" s="2" t="s">
        <v>0</v>
      </c>
      <c r="E7428" s="2">
        <v>15927.9</v>
      </c>
      <c r="G7428" s="1" t="s">
        <v>14849</v>
      </c>
      <c r="H7428" s="2" t="s">
        <v>0</v>
      </c>
      <c r="I7428" s="2">
        <v>2656.33</v>
      </c>
    </row>
    <row r="7429">
      <c r="A7429" s="1" t="s">
        <v>14850</v>
      </c>
      <c r="B7429" s="2">
        <v>5116.17</v>
      </c>
      <c r="C7429" s="2">
        <v>5116.17</v>
      </c>
      <c r="D7429" s="2">
        <v>15983.08</v>
      </c>
      <c r="E7429" s="2">
        <v>15983.08</v>
      </c>
      <c r="G7429" s="1" t="s">
        <v>14851</v>
      </c>
      <c r="H7429" s="2">
        <v>2687.44</v>
      </c>
      <c r="I7429" s="2">
        <v>2687.44</v>
      </c>
    </row>
    <row r="7430">
      <c r="A7430" s="1" t="s">
        <v>14852</v>
      </c>
      <c r="B7430" s="2">
        <v>5035.69</v>
      </c>
      <c r="C7430" s="2">
        <v>5035.69</v>
      </c>
      <c r="D7430" s="2">
        <v>15657.82</v>
      </c>
      <c r="E7430" s="2">
        <v>15657.82</v>
      </c>
      <c r="G7430" s="1" t="s">
        <v>14853</v>
      </c>
      <c r="H7430" s="2">
        <v>2692.06</v>
      </c>
      <c r="I7430" s="2">
        <v>2692.06</v>
      </c>
    </row>
    <row r="7431">
      <c r="A7431" s="1" t="s">
        <v>14854</v>
      </c>
      <c r="B7431" s="2">
        <v>5018.39</v>
      </c>
      <c r="C7431" s="2">
        <v>5018.39</v>
      </c>
      <c r="D7431" s="2">
        <v>15605.48</v>
      </c>
      <c r="E7431" s="2">
        <v>15605.48</v>
      </c>
      <c r="G7431" s="1" t="s">
        <v>14855</v>
      </c>
      <c r="H7431" s="2" t="s">
        <v>0</v>
      </c>
      <c r="I7431" s="2">
        <v>2692.06</v>
      </c>
    </row>
    <row r="7432">
      <c r="A7432" s="1" t="s">
        <v>14856</v>
      </c>
      <c r="B7432" s="2">
        <v>5064.2</v>
      </c>
      <c r="C7432" s="2">
        <v>5064.2</v>
      </c>
      <c r="D7432" s="2">
        <v>15840.96</v>
      </c>
      <c r="E7432" s="2">
        <v>15840.96</v>
      </c>
      <c r="G7432" s="1" t="s">
        <v>14857</v>
      </c>
      <c r="H7432" s="2">
        <v>2683.65</v>
      </c>
      <c r="I7432" s="2">
        <v>2683.65</v>
      </c>
    </row>
    <row r="7433">
      <c r="A7433" s="1" t="s">
        <v>14858</v>
      </c>
      <c r="B7433" s="2">
        <v>5127.79</v>
      </c>
      <c r="C7433" s="2">
        <v>5127.79</v>
      </c>
      <c r="D7433" s="2">
        <v>16156.33</v>
      </c>
      <c r="E7433" s="2">
        <v>16156.33</v>
      </c>
      <c r="G7433" s="1" t="s">
        <v>14859</v>
      </c>
      <c r="H7433" s="2">
        <v>2676.63</v>
      </c>
      <c r="I7433" s="2">
        <v>2676.63</v>
      </c>
    </row>
    <row r="7434">
      <c r="A7434" s="1" t="s">
        <v>14860</v>
      </c>
      <c r="B7434" s="2" t="s">
        <v>0</v>
      </c>
      <c r="C7434" s="2">
        <v>5127.79</v>
      </c>
      <c r="D7434" s="2" t="s">
        <v>0</v>
      </c>
      <c r="E7434" s="2">
        <v>16156.33</v>
      </c>
      <c r="G7434" s="1" t="s">
        <v>14861</v>
      </c>
      <c r="H7434" s="2" t="s">
        <v>0</v>
      </c>
      <c r="I7434" s="2">
        <v>2676.63</v>
      </c>
    </row>
    <row r="7435">
      <c r="A7435" s="1" t="s">
        <v>14862</v>
      </c>
      <c r="B7435" s="2" t="s">
        <v>0</v>
      </c>
      <c r="C7435" s="2">
        <v>5127.79</v>
      </c>
      <c r="D7435" s="2" t="s">
        <v>0</v>
      </c>
      <c r="E7435" s="2">
        <v>16156.33</v>
      </c>
      <c r="G7435" s="1" t="s">
        <v>14863</v>
      </c>
      <c r="H7435" s="2" t="s">
        <v>0</v>
      </c>
      <c r="I7435" s="2">
        <v>2676.63</v>
      </c>
    </row>
    <row r="7436">
      <c r="A7436" s="1" t="s">
        <v>14864</v>
      </c>
      <c r="B7436" s="2">
        <v>5180.74</v>
      </c>
      <c r="C7436" s="2">
        <v>5180.74</v>
      </c>
      <c r="D7436" s="2">
        <v>16349.25</v>
      </c>
      <c r="E7436" s="2">
        <v>16349.25</v>
      </c>
      <c r="G7436" s="1" t="s">
        <v>14865</v>
      </c>
      <c r="H7436" s="2" t="s">
        <v>0</v>
      </c>
      <c r="I7436" s="2">
        <v>2676.63</v>
      </c>
    </row>
    <row r="7437">
      <c r="A7437" s="1" t="s">
        <v>14866</v>
      </c>
      <c r="B7437" s="2">
        <v>5187.7</v>
      </c>
      <c r="C7437" s="2">
        <v>5187.7</v>
      </c>
      <c r="D7437" s="2">
        <v>16332.56</v>
      </c>
      <c r="E7437" s="2">
        <v>16332.56</v>
      </c>
      <c r="G7437" s="1" t="s">
        <v>14867</v>
      </c>
      <c r="H7437" s="2">
        <v>2734.36</v>
      </c>
      <c r="I7437" s="2">
        <v>2734.36</v>
      </c>
    </row>
    <row r="7438">
      <c r="A7438" s="1" t="s">
        <v>14868</v>
      </c>
      <c r="B7438" s="2">
        <v>5187.67</v>
      </c>
      <c r="C7438" s="2">
        <v>5187.67</v>
      </c>
      <c r="D7438" s="2">
        <v>16302.76</v>
      </c>
      <c r="E7438" s="2">
        <v>16302.76</v>
      </c>
      <c r="G7438" s="1" t="s">
        <v>14869</v>
      </c>
      <c r="H7438" s="2">
        <v>2745.05</v>
      </c>
      <c r="I7438" s="2">
        <v>2745.05</v>
      </c>
    </row>
    <row r="7439">
      <c r="A7439" s="1" t="s">
        <v>14870</v>
      </c>
      <c r="B7439" s="2">
        <v>5214.08</v>
      </c>
      <c r="C7439" s="2">
        <v>5214.08</v>
      </c>
      <c r="D7439" s="2">
        <v>16346.27</v>
      </c>
      <c r="E7439" s="2">
        <v>16346.27</v>
      </c>
      <c r="G7439" s="1" t="s">
        <v>14871</v>
      </c>
      <c r="H7439" s="2">
        <v>2712.14</v>
      </c>
      <c r="I7439" s="2">
        <v>2712.14</v>
      </c>
    </row>
    <row r="7440">
      <c r="A7440" s="1" t="s">
        <v>14872</v>
      </c>
      <c r="B7440" s="2">
        <v>5222.68</v>
      </c>
      <c r="C7440" s="2">
        <v>5222.68</v>
      </c>
      <c r="D7440" s="2">
        <v>16340.87</v>
      </c>
      <c r="E7440" s="2">
        <v>16340.87</v>
      </c>
      <c r="G7440" s="1" t="s">
        <v>14873</v>
      </c>
      <c r="H7440" s="2">
        <v>2727.63</v>
      </c>
      <c r="I7440" s="2">
        <v>2727.63</v>
      </c>
    </row>
    <row r="7441">
      <c r="A7441" s="1" t="s">
        <v>14874</v>
      </c>
      <c r="B7441" s="2" t="s">
        <v>0</v>
      </c>
      <c r="C7441" s="2">
        <v>5222.68</v>
      </c>
      <c r="D7441" s="2" t="s">
        <v>0</v>
      </c>
      <c r="E7441" s="2">
        <v>16340.87</v>
      </c>
      <c r="G7441" s="1" t="s">
        <v>14875</v>
      </c>
      <c r="H7441" s="2" t="s">
        <v>0</v>
      </c>
      <c r="I7441" s="2">
        <v>2727.63</v>
      </c>
    </row>
    <row r="7442">
      <c r="A7442" s="1" t="s">
        <v>14876</v>
      </c>
      <c r="B7442" s="2" t="s">
        <v>0</v>
      </c>
      <c r="C7442" s="2">
        <v>5222.68</v>
      </c>
      <c r="D7442" s="2" t="s">
        <v>0</v>
      </c>
      <c r="E7442" s="2">
        <v>16340.87</v>
      </c>
      <c r="G7442" s="1" t="s">
        <v>14877</v>
      </c>
      <c r="H7442" s="2" t="s">
        <v>0</v>
      </c>
      <c r="I7442" s="2">
        <v>2727.63</v>
      </c>
    </row>
    <row r="7443">
      <c r="A7443" s="1" t="s">
        <v>14878</v>
      </c>
      <c r="B7443" s="2">
        <v>5221.42</v>
      </c>
      <c r="C7443" s="2">
        <v>5221.42</v>
      </c>
      <c r="D7443" s="2">
        <v>16388.24</v>
      </c>
      <c r="E7443" s="2">
        <v>16388.24</v>
      </c>
      <c r="G7443" s="1" t="s">
        <v>14879</v>
      </c>
      <c r="H7443" s="2">
        <v>2727.21</v>
      </c>
      <c r="I7443" s="2">
        <v>2727.21</v>
      </c>
    </row>
    <row r="7444">
      <c r="A7444" s="1" t="s">
        <v>14880</v>
      </c>
      <c r="B7444" s="2">
        <v>5246.68</v>
      </c>
      <c r="C7444" s="2">
        <v>5246.68</v>
      </c>
      <c r="D7444" s="2">
        <v>16511.18</v>
      </c>
      <c r="E7444" s="2">
        <v>16511.18</v>
      </c>
      <c r="G7444" s="1" t="s">
        <v>14881</v>
      </c>
      <c r="H7444" s="2">
        <v>2730.34</v>
      </c>
      <c r="I7444" s="2">
        <v>2730.34</v>
      </c>
    </row>
    <row r="7445">
      <c r="A7445" s="1" t="s">
        <v>14882</v>
      </c>
      <c r="B7445" s="2">
        <v>5308.15</v>
      </c>
      <c r="C7445" s="2">
        <v>5308.15</v>
      </c>
      <c r="D7445" s="2">
        <v>16742.39</v>
      </c>
      <c r="E7445" s="2">
        <v>16742.39</v>
      </c>
      <c r="G7445" s="1" t="s">
        <v>14883</v>
      </c>
      <c r="H7445" s="2" t="s">
        <v>0</v>
      </c>
      <c r="I7445" s="2">
        <v>2730.34</v>
      </c>
    </row>
    <row r="7446">
      <c r="A7446" s="1" t="s">
        <v>14884</v>
      </c>
      <c r="B7446" s="2">
        <v>5297.1</v>
      </c>
      <c r="C7446" s="2">
        <v>5297.1</v>
      </c>
      <c r="D7446" s="2">
        <v>16698.32</v>
      </c>
      <c r="E7446" s="2">
        <v>16698.32</v>
      </c>
      <c r="G7446" s="1" t="s">
        <v>14885</v>
      </c>
      <c r="H7446" s="2">
        <v>2753.0</v>
      </c>
      <c r="I7446" s="2">
        <v>2753.0</v>
      </c>
    </row>
    <row r="7447">
      <c r="A7447" s="1" t="s">
        <v>14886</v>
      </c>
      <c r="B7447" s="2">
        <v>5303.27</v>
      </c>
      <c r="C7447" s="2">
        <v>5303.27</v>
      </c>
      <c r="D7447" s="2">
        <v>16685.97</v>
      </c>
      <c r="E7447" s="2">
        <v>16685.97</v>
      </c>
      <c r="G7447" s="1" t="s">
        <v>14887</v>
      </c>
      <c r="H7447" s="2">
        <v>2724.62</v>
      </c>
      <c r="I7447" s="2">
        <v>2724.62</v>
      </c>
    </row>
    <row r="7448">
      <c r="A7448" s="1" t="s">
        <v>14888</v>
      </c>
      <c r="B7448" s="2" t="s">
        <v>0</v>
      </c>
      <c r="C7448" s="2">
        <v>5303.27</v>
      </c>
      <c r="D7448" s="2" t="s">
        <v>0</v>
      </c>
      <c r="E7448" s="2">
        <v>16685.97</v>
      </c>
      <c r="G7448" s="1" t="s">
        <v>14889</v>
      </c>
      <c r="H7448" s="2" t="s">
        <v>0</v>
      </c>
      <c r="I7448" s="2">
        <v>2724.62</v>
      </c>
    </row>
    <row r="7449">
      <c r="A7449" s="1" t="s">
        <v>14890</v>
      </c>
      <c r="B7449" s="2" t="s">
        <v>0</v>
      </c>
      <c r="C7449" s="2">
        <v>5303.27</v>
      </c>
      <c r="D7449" s="2" t="s">
        <v>0</v>
      </c>
      <c r="E7449" s="2">
        <v>16685.97</v>
      </c>
      <c r="G7449" s="1" t="s">
        <v>14891</v>
      </c>
      <c r="H7449" s="2" t="s">
        <v>0</v>
      </c>
      <c r="I7449" s="2">
        <v>2724.62</v>
      </c>
    </row>
    <row r="7450">
      <c r="A7450" s="1" t="s">
        <v>14892</v>
      </c>
      <c r="B7450" s="2">
        <v>5308.13</v>
      </c>
      <c r="C7450" s="2">
        <v>5308.13</v>
      </c>
      <c r="D7450" s="2">
        <v>16794.87</v>
      </c>
      <c r="E7450" s="2">
        <v>16794.87</v>
      </c>
      <c r="G7450" s="1" t="s">
        <v>14893</v>
      </c>
      <c r="H7450" s="2">
        <v>2742.14</v>
      </c>
      <c r="I7450" s="2">
        <v>2742.14</v>
      </c>
    </row>
    <row r="7451">
      <c r="A7451" s="1" t="s">
        <v>14894</v>
      </c>
      <c r="B7451" s="2">
        <v>5321.41</v>
      </c>
      <c r="C7451" s="2">
        <v>5321.41</v>
      </c>
      <c r="D7451" s="2">
        <v>16832.62</v>
      </c>
      <c r="E7451" s="2">
        <v>16832.62</v>
      </c>
      <c r="G7451" s="1" t="s">
        <v>14895</v>
      </c>
      <c r="H7451" s="2">
        <v>2724.18</v>
      </c>
      <c r="I7451" s="2">
        <v>2724.18</v>
      </c>
    </row>
    <row r="7452">
      <c r="A7452" s="1" t="s">
        <v>14896</v>
      </c>
      <c r="B7452" s="2">
        <v>5307.01</v>
      </c>
      <c r="C7452" s="2">
        <v>5307.01</v>
      </c>
      <c r="D7452" s="2">
        <v>16801.54</v>
      </c>
      <c r="E7452" s="2">
        <v>16801.54</v>
      </c>
      <c r="G7452" s="1" t="s">
        <v>14897</v>
      </c>
      <c r="H7452" s="2">
        <v>2723.46</v>
      </c>
      <c r="I7452" s="2">
        <v>2723.46</v>
      </c>
    </row>
    <row r="7453">
      <c r="A7453" s="1" t="s">
        <v>14898</v>
      </c>
      <c r="B7453" s="2">
        <v>5267.84</v>
      </c>
      <c r="C7453" s="2">
        <v>5267.84</v>
      </c>
      <c r="D7453" s="2">
        <v>16736.03</v>
      </c>
      <c r="E7453" s="2">
        <v>16736.03</v>
      </c>
      <c r="G7453" s="1" t="s">
        <v>14899</v>
      </c>
      <c r="H7453" s="2">
        <v>2721.81</v>
      </c>
      <c r="I7453" s="2">
        <v>2721.81</v>
      </c>
    </row>
    <row r="7454">
      <c r="A7454" s="1" t="s">
        <v>14900</v>
      </c>
      <c r="B7454" s="2">
        <v>5304.72</v>
      </c>
      <c r="C7454" s="2">
        <v>5304.72</v>
      </c>
      <c r="D7454" s="2">
        <v>16920.79</v>
      </c>
      <c r="E7454" s="2">
        <v>16920.79</v>
      </c>
      <c r="G7454" s="1" t="s">
        <v>14901</v>
      </c>
      <c r="H7454" s="2">
        <v>2687.6</v>
      </c>
      <c r="I7454" s="2">
        <v>2687.6</v>
      </c>
    </row>
    <row r="7455">
      <c r="A7455" s="1" t="s">
        <v>14902</v>
      </c>
      <c r="B7455" s="2" t="s">
        <v>0</v>
      </c>
      <c r="C7455" s="2">
        <v>5304.72</v>
      </c>
      <c r="D7455" s="2" t="s">
        <v>0</v>
      </c>
      <c r="E7455" s="2">
        <v>16920.79</v>
      </c>
      <c r="G7455" s="1" t="s">
        <v>14903</v>
      </c>
      <c r="H7455" s="2" t="s">
        <v>0</v>
      </c>
      <c r="I7455" s="2">
        <v>2687.6</v>
      </c>
    </row>
    <row r="7456">
      <c r="A7456" s="1" t="s">
        <v>14904</v>
      </c>
      <c r="B7456" s="2" t="s">
        <v>0</v>
      </c>
      <c r="C7456" s="2">
        <v>5304.72</v>
      </c>
      <c r="D7456" s="2" t="s">
        <v>0</v>
      </c>
      <c r="E7456" s="2">
        <v>16920.79</v>
      </c>
      <c r="G7456" s="1" t="s">
        <v>14905</v>
      </c>
      <c r="H7456" s="2" t="s">
        <v>0</v>
      </c>
      <c r="I7456" s="2">
        <v>2687.6</v>
      </c>
    </row>
    <row r="7457">
      <c r="A7457" s="1" t="s">
        <v>14906</v>
      </c>
      <c r="B7457" s="2" t="s">
        <v>0</v>
      </c>
      <c r="C7457" s="2">
        <v>5304.72</v>
      </c>
      <c r="D7457" s="2" t="s">
        <v>0</v>
      </c>
      <c r="E7457" s="2">
        <v>16920.79</v>
      </c>
      <c r="G7457" s="1" t="s">
        <v>14907</v>
      </c>
      <c r="H7457" s="2">
        <v>2722.99</v>
      </c>
      <c r="I7457" s="2">
        <v>2722.99</v>
      </c>
    </row>
    <row r="7458">
      <c r="A7458" s="1" t="s">
        <v>14908</v>
      </c>
      <c r="B7458" s="2">
        <v>5306.04</v>
      </c>
      <c r="C7458" s="2">
        <v>5306.04</v>
      </c>
      <c r="D7458" s="2">
        <v>17019.88</v>
      </c>
      <c r="E7458" s="2">
        <v>17019.88</v>
      </c>
      <c r="G7458" s="1" t="s">
        <v>14909</v>
      </c>
      <c r="H7458" s="2">
        <v>2722.85</v>
      </c>
      <c r="I7458" s="2">
        <v>2722.85</v>
      </c>
    </row>
    <row r="7459">
      <c r="A7459" s="1" t="s">
        <v>14910</v>
      </c>
      <c r="B7459" s="2">
        <v>5266.95</v>
      </c>
      <c r="C7459" s="2">
        <v>5266.95</v>
      </c>
      <c r="D7459" s="2">
        <v>16920.58</v>
      </c>
      <c r="E7459" s="2">
        <v>16920.58</v>
      </c>
      <c r="G7459" s="1" t="s">
        <v>14911</v>
      </c>
      <c r="H7459" s="2">
        <v>2677.3</v>
      </c>
      <c r="I7459" s="2">
        <v>2677.3</v>
      </c>
    </row>
    <row r="7460">
      <c r="A7460" s="1" t="s">
        <v>14912</v>
      </c>
      <c r="B7460" s="2">
        <v>5235.48</v>
      </c>
      <c r="C7460" s="2">
        <v>5235.48</v>
      </c>
      <c r="D7460" s="2">
        <v>16737.08</v>
      </c>
      <c r="E7460" s="2">
        <v>16737.08</v>
      </c>
      <c r="G7460" s="1" t="s">
        <v>14913</v>
      </c>
      <c r="H7460" s="2">
        <v>2635.44</v>
      </c>
      <c r="I7460" s="2">
        <v>2635.44</v>
      </c>
    </row>
    <row r="7461">
      <c r="A7461" s="1" t="s">
        <v>14914</v>
      </c>
      <c r="B7461" s="2">
        <v>5277.51</v>
      </c>
      <c r="C7461" s="2">
        <v>5277.51</v>
      </c>
      <c r="D7461" s="2">
        <v>16735.02</v>
      </c>
      <c r="E7461" s="2">
        <v>16735.02</v>
      </c>
      <c r="G7461" s="1" t="s">
        <v>14915</v>
      </c>
      <c r="H7461" s="2">
        <v>2636.52</v>
      </c>
      <c r="I7461" s="2">
        <v>2636.52</v>
      </c>
    </row>
    <row r="7462">
      <c r="A7462" s="1" t="s">
        <v>14916</v>
      </c>
      <c r="B7462" s="2" t="s">
        <v>0</v>
      </c>
      <c r="C7462" s="2">
        <v>5277.51</v>
      </c>
      <c r="D7462" s="2" t="s">
        <v>0</v>
      </c>
      <c r="E7462" s="2">
        <v>16735.02</v>
      </c>
      <c r="G7462" s="1" t="s">
        <v>14917</v>
      </c>
      <c r="H7462" s="2" t="s">
        <v>0</v>
      </c>
      <c r="I7462" s="2">
        <v>2636.52</v>
      </c>
    </row>
    <row r="7463">
      <c r="A7463" s="1" t="s">
        <v>14918</v>
      </c>
      <c r="B7463" s="2" t="s">
        <v>0</v>
      </c>
      <c r="C7463" s="2">
        <v>5277.51</v>
      </c>
      <c r="D7463" s="2" t="s">
        <v>0</v>
      </c>
      <c r="E7463" s="2">
        <v>16735.02</v>
      </c>
      <c r="G7463" s="1" t="s">
        <v>14919</v>
      </c>
      <c r="H7463" s="2" t="s">
        <v>0</v>
      </c>
      <c r="I7463" s="2">
        <v>2636.52</v>
      </c>
    </row>
    <row r="7464">
      <c r="A7464" s="1" t="s">
        <v>14920</v>
      </c>
      <c r="B7464" s="2">
        <v>5283.4</v>
      </c>
      <c r="C7464" s="2">
        <v>5283.4</v>
      </c>
      <c r="D7464" s="2">
        <v>16828.67</v>
      </c>
      <c r="E7464" s="2">
        <v>16828.67</v>
      </c>
      <c r="G7464" s="1" t="s">
        <v>14921</v>
      </c>
      <c r="H7464" s="2">
        <v>2682.52</v>
      </c>
      <c r="I7464" s="2">
        <v>2682.52</v>
      </c>
    </row>
    <row r="7465">
      <c r="A7465" s="1" t="s">
        <v>14922</v>
      </c>
      <c r="B7465" s="2">
        <v>5291.34</v>
      </c>
      <c r="C7465" s="2">
        <v>5291.34</v>
      </c>
      <c r="D7465" s="2">
        <v>16857.05</v>
      </c>
      <c r="E7465" s="2">
        <v>16857.05</v>
      </c>
      <c r="G7465" s="1" t="s">
        <v>14923</v>
      </c>
      <c r="H7465" s="2">
        <v>2662.1</v>
      </c>
      <c r="I7465" s="2">
        <v>2662.1</v>
      </c>
    </row>
    <row r="7466">
      <c r="A7466" s="1" t="s">
        <v>14924</v>
      </c>
      <c r="B7466" s="2">
        <v>5354.03</v>
      </c>
      <c r="C7466" s="2">
        <v>5354.03</v>
      </c>
      <c r="D7466" s="2">
        <v>17187.91</v>
      </c>
      <c r="E7466" s="2">
        <v>17187.91</v>
      </c>
      <c r="G7466" s="1" t="s">
        <v>14925</v>
      </c>
      <c r="H7466" s="2">
        <v>2689.5</v>
      </c>
      <c r="I7466" s="2">
        <v>2689.5</v>
      </c>
    </row>
    <row r="7467">
      <c r="A7467" s="1" t="s">
        <v>14926</v>
      </c>
      <c r="B7467" s="2">
        <v>5352.96</v>
      </c>
      <c r="C7467" s="2">
        <v>5352.96</v>
      </c>
      <c r="D7467" s="2">
        <v>17173.12</v>
      </c>
      <c r="E7467" s="2">
        <v>17173.12</v>
      </c>
      <c r="G7467" s="1" t="s">
        <v>14927</v>
      </c>
      <c r="H7467" s="2" t="s">
        <v>0</v>
      </c>
      <c r="I7467" s="2">
        <v>2689.5</v>
      </c>
    </row>
    <row r="7468">
      <c r="A7468" s="1" t="s">
        <v>14928</v>
      </c>
      <c r="B7468" s="2">
        <v>5346.99</v>
      </c>
      <c r="C7468" s="2">
        <v>5346.99</v>
      </c>
      <c r="D7468" s="2">
        <v>17133.13</v>
      </c>
      <c r="E7468" s="2">
        <v>17133.13</v>
      </c>
      <c r="G7468" s="1" t="s">
        <v>14929</v>
      </c>
      <c r="H7468" s="2">
        <v>2722.67</v>
      </c>
      <c r="I7468" s="2">
        <v>2722.67</v>
      </c>
    </row>
    <row r="7469">
      <c r="A7469" s="1" t="s">
        <v>14930</v>
      </c>
      <c r="B7469" s="2" t="s">
        <v>0</v>
      </c>
      <c r="C7469" s="2">
        <v>5346.99</v>
      </c>
      <c r="D7469" s="2" t="s">
        <v>0</v>
      </c>
      <c r="E7469" s="2">
        <v>17133.13</v>
      </c>
      <c r="G7469" s="1" t="s">
        <v>14931</v>
      </c>
      <c r="H7469" s="2" t="s">
        <v>0</v>
      </c>
      <c r="I7469" s="2">
        <v>2722.67</v>
      </c>
    </row>
    <row r="7470">
      <c r="A7470" s="1" t="s">
        <v>14932</v>
      </c>
      <c r="B7470" s="2" t="s">
        <v>0</v>
      </c>
      <c r="C7470" s="2">
        <v>5346.99</v>
      </c>
      <c r="D7470" s="2" t="s">
        <v>0</v>
      </c>
      <c r="E7470" s="2">
        <v>17133.13</v>
      </c>
      <c r="G7470" s="1" t="s">
        <v>14933</v>
      </c>
      <c r="H7470" s="2" t="s">
        <v>0</v>
      </c>
      <c r="I7470" s="2">
        <v>2722.67</v>
      </c>
    </row>
    <row r="7471">
      <c r="A7471" s="1" t="s">
        <v>14934</v>
      </c>
      <c r="B7471" s="2">
        <v>5360.79</v>
      </c>
      <c r="C7471" s="2">
        <v>5360.79</v>
      </c>
      <c r="D7471" s="2">
        <v>17192.53</v>
      </c>
      <c r="E7471" s="2">
        <v>17192.53</v>
      </c>
      <c r="G7471" s="1" t="s">
        <v>14935</v>
      </c>
      <c r="H7471" s="2">
        <v>2701.17</v>
      </c>
      <c r="I7471" s="2">
        <v>2701.17</v>
      </c>
    </row>
    <row r="7472">
      <c r="A7472" s="1" t="s">
        <v>14936</v>
      </c>
      <c r="B7472" s="2">
        <v>5375.32</v>
      </c>
      <c r="C7472" s="2">
        <v>5375.32</v>
      </c>
      <c r="D7472" s="2">
        <v>17343.55</v>
      </c>
      <c r="E7472" s="2">
        <v>17343.55</v>
      </c>
      <c r="G7472" s="1" t="s">
        <v>14937</v>
      </c>
      <c r="H7472" s="2">
        <v>2705.32</v>
      </c>
      <c r="I7472" s="2">
        <v>2705.32</v>
      </c>
    </row>
    <row r="7473">
      <c r="A7473" s="1" t="s">
        <v>14938</v>
      </c>
      <c r="B7473" s="2">
        <v>5421.03</v>
      </c>
      <c r="C7473" s="2">
        <v>5421.03</v>
      </c>
      <c r="D7473" s="2">
        <v>17608.44</v>
      </c>
      <c r="E7473" s="2">
        <v>17608.44</v>
      </c>
      <c r="G7473" s="1" t="s">
        <v>14939</v>
      </c>
      <c r="H7473" s="2">
        <v>2728.17</v>
      </c>
      <c r="I7473" s="2">
        <v>2728.17</v>
      </c>
    </row>
    <row r="7474">
      <c r="A7474" s="1" t="s">
        <v>14940</v>
      </c>
      <c r="B7474" s="2">
        <v>5433.74</v>
      </c>
      <c r="C7474" s="2">
        <v>5433.74</v>
      </c>
      <c r="D7474" s="2">
        <v>17667.56</v>
      </c>
      <c r="E7474" s="2">
        <v>17667.56</v>
      </c>
      <c r="G7474" s="1" t="s">
        <v>14941</v>
      </c>
      <c r="H7474" s="2">
        <v>2754.89</v>
      </c>
      <c r="I7474" s="2">
        <v>2754.89</v>
      </c>
    </row>
    <row r="7475">
      <c r="A7475" s="1" t="s">
        <v>14942</v>
      </c>
      <c r="B7475" s="2">
        <v>5431.6</v>
      </c>
      <c r="C7475" s="2">
        <v>5431.6</v>
      </c>
      <c r="D7475" s="2">
        <v>17688.88</v>
      </c>
      <c r="E7475" s="2">
        <v>17688.88</v>
      </c>
      <c r="G7475" s="1" t="s">
        <v>14943</v>
      </c>
      <c r="H7475" s="2">
        <v>2758.42</v>
      </c>
      <c r="I7475" s="2">
        <v>2758.42</v>
      </c>
    </row>
    <row r="7476">
      <c r="A7476" s="1" t="s">
        <v>14944</v>
      </c>
      <c r="B7476" s="2" t="s">
        <v>0</v>
      </c>
      <c r="C7476" s="2">
        <v>5431.6</v>
      </c>
      <c r="D7476" s="2" t="s">
        <v>0</v>
      </c>
      <c r="E7476" s="2">
        <v>17688.88</v>
      </c>
      <c r="G7476" s="1" t="s">
        <v>14945</v>
      </c>
      <c r="H7476" s="2" t="s">
        <v>0</v>
      </c>
      <c r="I7476" s="2">
        <v>2758.42</v>
      </c>
    </row>
    <row r="7477">
      <c r="A7477" s="1" t="s">
        <v>14946</v>
      </c>
      <c r="B7477" s="2" t="s">
        <v>0</v>
      </c>
      <c r="C7477" s="2">
        <v>5431.6</v>
      </c>
      <c r="D7477" s="2" t="s">
        <v>0</v>
      </c>
      <c r="E7477" s="2">
        <v>17688.88</v>
      </c>
      <c r="G7477" s="1" t="s">
        <v>14947</v>
      </c>
      <c r="H7477" s="2" t="s">
        <v>0</v>
      </c>
      <c r="I7477" s="2">
        <v>2758.42</v>
      </c>
    </row>
    <row r="7478">
      <c r="A7478" s="1" t="s">
        <v>14948</v>
      </c>
      <c r="B7478" s="2">
        <v>5473.23</v>
      </c>
      <c r="C7478" s="2">
        <v>5473.23</v>
      </c>
      <c r="D7478" s="2">
        <v>17857.02</v>
      </c>
      <c r="E7478" s="2">
        <v>17857.02</v>
      </c>
      <c r="G7478" s="1" t="s">
        <v>14949</v>
      </c>
      <c r="H7478" s="2">
        <v>2744.1</v>
      </c>
      <c r="I7478" s="2">
        <v>2744.1</v>
      </c>
    </row>
    <row r="7479">
      <c r="A7479" s="1" t="s">
        <v>14950</v>
      </c>
      <c r="B7479" s="2">
        <v>5487.03</v>
      </c>
      <c r="C7479" s="2">
        <v>5487.03</v>
      </c>
      <c r="D7479" s="2">
        <v>17862.23</v>
      </c>
      <c r="E7479" s="2">
        <v>17862.23</v>
      </c>
      <c r="G7479" s="1" t="s">
        <v>14951</v>
      </c>
      <c r="H7479" s="2">
        <v>2763.92</v>
      </c>
      <c r="I7479" s="2">
        <v>2763.92</v>
      </c>
    </row>
    <row r="7480">
      <c r="A7480" s="1" t="s">
        <v>14952</v>
      </c>
      <c r="B7480" s="2" t="s">
        <v>0</v>
      </c>
      <c r="C7480" s="2">
        <v>5487.03</v>
      </c>
      <c r="D7480" s="2" t="s">
        <v>0</v>
      </c>
      <c r="E7480" s="2">
        <v>17862.23</v>
      </c>
      <c r="G7480" s="1" t="s">
        <v>14953</v>
      </c>
      <c r="H7480" s="2">
        <v>2797.33</v>
      </c>
      <c r="I7480" s="2">
        <v>2797.33</v>
      </c>
    </row>
    <row r="7481">
      <c r="A7481" s="1" t="s">
        <v>14954</v>
      </c>
      <c r="B7481" s="2">
        <v>5473.17</v>
      </c>
      <c r="C7481" s="2">
        <v>5473.17</v>
      </c>
      <c r="D7481" s="2">
        <v>17721.59</v>
      </c>
      <c r="E7481" s="2">
        <v>17721.59</v>
      </c>
      <c r="G7481" s="1" t="s">
        <v>14955</v>
      </c>
      <c r="H7481" s="2">
        <v>2807.63</v>
      </c>
      <c r="I7481" s="2">
        <v>2807.63</v>
      </c>
    </row>
    <row r="7482">
      <c r="A7482" s="1" t="s">
        <v>14956</v>
      </c>
      <c r="B7482" s="2">
        <v>5464.62</v>
      </c>
      <c r="C7482" s="2">
        <v>5464.62</v>
      </c>
      <c r="D7482" s="2">
        <v>17689.36</v>
      </c>
      <c r="E7482" s="2">
        <v>17689.36</v>
      </c>
      <c r="G7482" s="1" t="s">
        <v>14957</v>
      </c>
      <c r="H7482" s="2">
        <v>2784.26</v>
      </c>
      <c r="I7482" s="2">
        <v>2784.26</v>
      </c>
    </row>
    <row r="7483">
      <c r="A7483" s="1" t="s">
        <v>14958</v>
      </c>
      <c r="B7483" s="2" t="s">
        <v>0</v>
      </c>
      <c r="C7483" s="2">
        <v>5464.62</v>
      </c>
      <c r="D7483" s="2" t="s">
        <v>0</v>
      </c>
      <c r="E7483" s="2">
        <v>17689.36</v>
      </c>
      <c r="G7483" s="1" t="s">
        <v>14959</v>
      </c>
      <c r="H7483" s="2" t="s">
        <v>0</v>
      </c>
      <c r="I7483" s="2">
        <v>2784.26</v>
      </c>
    </row>
    <row r="7484">
      <c r="A7484" s="1" t="s">
        <v>14960</v>
      </c>
      <c r="B7484" s="2" t="s">
        <v>0</v>
      </c>
      <c r="C7484" s="2">
        <v>5464.62</v>
      </c>
      <c r="D7484" s="2" t="s">
        <v>0</v>
      </c>
      <c r="E7484" s="2">
        <v>17689.36</v>
      </c>
      <c r="G7484" s="1" t="s">
        <v>14961</v>
      </c>
      <c r="H7484" s="2" t="s">
        <v>0</v>
      </c>
      <c r="I7484" s="2">
        <v>2784.26</v>
      </c>
    </row>
    <row r="7485">
      <c r="A7485" s="1" t="s">
        <v>14962</v>
      </c>
      <c r="B7485" s="2">
        <v>5447.87</v>
      </c>
      <c r="C7485" s="2">
        <v>5447.87</v>
      </c>
      <c r="D7485" s="2">
        <v>17496.82</v>
      </c>
      <c r="E7485" s="2">
        <v>17496.82</v>
      </c>
      <c r="G7485" s="1" t="s">
        <v>14963</v>
      </c>
      <c r="H7485" s="2">
        <v>2764.73</v>
      </c>
      <c r="I7485" s="2">
        <v>2764.73</v>
      </c>
    </row>
    <row r="7486">
      <c r="A7486" s="1" t="s">
        <v>14964</v>
      </c>
      <c r="B7486" s="2">
        <v>5469.3</v>
      </c>
      <c r="C7486" s="2">
        <v>5469.3</v>
      </c>
      <c r="D7486" s="2">
        <v>17717.65</v>
      </c>
      <c r="E7486" s="2">
        <v>17717.65</v>
      </c>
      <c r="G7486" s="1" t="s">
        <v>14965</v>
      </c>
      <c r="H7486" s="2">
        <v>2774.39</v>
      </c>
      <c r="I7486" s="2">
        <v>2774.39</v>
      </c>
    </row>
    <row r="7487">
      <c r="A7487" s="1" t="s">
        <v>14966</v>
      </c>
      <c r="B7487" s="2">
        <v>5477.9</v>
      </c>
      <c r="C7487" s="2">
        <v>5477.9</v>
      </c>
      <c r="D7487" s="2">
        <v>17805.16</v>
      </c>
      <c r="E7487" s="2">
        <v>17805.16</v>
      </c>
      <c r="G7487" s="1" t="s">
        <v>14967</v>
      </c>
      <c r="H7487" s="2">
        <v>2792.05</v>
      </c>
      <c r="I7487" s="2">
        <v>2792.05</v>
      </c>
    </row>
    <row r="7488">
      <c r="A7488" s="1" t="s">
        <v>14968</v>
      </c>
      <c r="B7488" s="2">
        <v>5482.87</v>
      </c>
      <c r="C7488" s="2">
        <v>5482.87</v>
      </c>
      <c r="D7488" s="2">
        <v>17858.68</v>
      </c>
      <c r="E7488" s="2">
        <v>17858.68</v>
      </c>
      <c r="G7488" s="1" t="s">
        <v>14969</v>
      </c>
      <c r="H7488" s="2">
        <v>2784.06</v>
      </c>
      <c r="I7488" s="2">
        <v>2784.06</v>
      </c>
    </row>
    <row r="7489">
      <c r="A7489" s="1" t="s">
        <v>14970</v>
      </c>
      <c r="B7489" s="2">
        <v>5460.48</v>
      </c>
      <c r="C7489" s="2">
        <v>5460.48</v>
      </c>
      <c r="D7489" s="2">
        <v>17732.6</v>
      </c>
      <c r="E7489" s="2">
        <v>17732.6</v>
      </c>
      <c r="G7489" s="1" t="s">
        <v>14971</v>
      </c>
      <c r="H7489" s="2">
        <v>2797.82</v>
      </c>
      <c r="I7489" s="2">
        <v>2797.82</v>
      </c>
    </row>
    <row r="7490">
      <c r="A7490" s="1" t="s">
        <v>14972</v>
      </c>
      <c r="B7490" s="2" t="s">
        <v>0</v>
      </c>
      <c r="C7490" s="2">
        <v>5460.48</v>
      </c>
      <c r="D7490" s="2" t="s">
        <v>0</v>
      </c>
      <c r="E7490" s="2">
        <v>17732.6</v>
      </c>
      <c r="G7490" s="1" t="s">
        <v>14973</v>
      </c>
      <c r="H7490" s="2" t="s">
        <v>0</v>
      </c>
      <c r="I7490" s="2">
        <v>2797.82</v>
      </c>
    </row>
    <row r="7491">
      <c r="A7491" s="1" t="s">
        <v>14974</v>
      </c>
      <c r="B7491" s="2" t="s">
        <v>0</v>
      </c>
      <c r="C7491" s="2">
        <v>5460.48</v>
      </c>
      <c r="D7491" s="2" t="s">
        <v>0</v>
      </c>
      <c r="E7491" s="2">
        <v>17732.6</v>
      </c>
      <c r="G7491" s="1" t="s">
        <v>14975</v>
      </c>
      <c r="H7491" s="2" t="s">
        <v>0</v>
      </c>
      <c r="I7491" s="2">
        <v>2797.82</v>
      </c>
    </row>
    <row r="7492">
      <c r="A7492" s="1" t="s">
        <v>14976</v>
      </c>
      <c r="B7492" s="2">
        <v>5475.09</v>
      </c>
      <c r="C7492" s="2">
        <v>5475.09</v>
      </c>
      <c r="D7492" s="2">
        <v>17879.3</v>
      </c>
      <c r="E7492" s="2">
        <v>17879.3</v>
      </c>
      <c r="G7492" s="1" t="s">
        <v>14977</v>
      </c>
      <c r="H7492" s="2">
        <v>2804.31</v>
      </c>
      <c r="I7492" s="2">
        <v>2804.31</v>
      </c>
    </row>
    <row r="7493">
      <c r="A7493" s="1" t="s">
        <v>14978</v>
      </c>
      <c r="B7493" s="2">
        <v>5509.01</v>
      </c>
      <c r="C7493" s="2">
        <v>5509.01</v>
      </c>
      <c r="D7493" s="2">
        <v>18028.76</v>
      </c>
      <c r="E7493" s="2">
        <v>18028.76</v>
      </c>
      <c r="G7493" s="1" t="s">
        <v>14979</v>
      </c>
      <c r="H7493" s="2">
        <v>2780.86</v>
      </c>
      <c r="I7493" s="2">
        <v>2780.86</v>
      </c>
    </row>
    <row r="7494">
      <c r="A7494" s="1" t="s">
        <v>14980</v>
      </c>
      <c r="B7494" s="2" t="s">
        <v>0</v>
      </c>
      <c r="C7494" s="2">
        <v>5509.01</v>
      </c>
      <c r="D7494" s="2" t="s">
        <v>0</v>
      </c>
      <c r="E7494" s="2">
        <v>18028.76</v>
      </c>
      <c r="G7494" s="1" t="s">
        <v>14981</v>
      </c>
      <c r="H7494" s="2">
        <v>2794.01</v>
      </c>
      <c r="I7494" s="2">
        <v>2794.01</v>
      </c>
    </row>
    <row r="7495">
      <c r="A7495" s="1" t="s">
        <v>14982</v>
      </c>
      <c r="B7495" s="2" t="s">
        <v>0</v>
      </c>
      <c r="C7495" s="2">
        <v>5509.01</v>
      </c>
      <c r="D7495" s="2" t="s">
        <v>0</v>
      </c>
      <c r="E7495" s="2">
        <v>18028.76</v>
      </c>
      <c r="G7495" s="1" t="s">
        <v>14983</v>
      </c>
      <c r="H7495" s="2">
        <v>2824.94</v>
      </c>
      <c r="I7495" s="2">
        <v>2824.94</v>
      </c>
    </row>
    <row r="7496">
      <c r="A7496" s="1" t="s">
        <v>14984</v>
      </c>
      <c r="B7496" s="2">
        <v>5567.19</v>
      </c>
      <c r="C7496" s="2">
        <v>5567.19</v>
      </c>
      <c r="D7496" s="2">
        <v>18352.76</v>
      </c>
      <c r="E7496" s="2">
        <v>18352.76</v>
      </c>
      <c r="G7496" s="1" t="s">
        <v>14985</v>
      </c>
      <c r="H7496" s="2">
        <v>2862.23</v>
      </c>
      <c r="I7496" s="2">
        <v>2862.23</v>
      </c>
    </row>
    <row r="7497">
      <c r="A7497" s="1" t="s">
        <v>14986</v>
      </c>
      <c r="B7497" s="2" t="s">
        <v>0</v>
      </c>
      <c r="C7497" s="2">
        <v>5567.19</v>
      </c>
      <c r="D7497" s="2" t="s">
        <v>0</v>
      </c>
      <c r="E7497" s="2">
        <v>18352.76</v>
      </c>
      <c r="G7497" s="1" t="s">
        <v>14987</v>
      </c>
      <c r="H7497" s="2" t="s">
        <v>0</v>
      </c>
      <c r="I7497" s="2">
        <v>2862.23</v>
      </c>
    </row>
    <row r="7498">
      <c r="A7498" s="1" t="s">
        <v>14988</v>
      </c>
      <c r="B7498" s="2" t="s">
        <v>0</v>
      </c>
      <c r="C7498" s="2">
        <v>5567.19</v>
      </c>
      <c r="D7498" s="2" t="s">
        <v>0</v>
      </c>
      <c r="E7498" s="2">
        <v>18352.76</v>
      </c>
      <c r="G7498" s="1" t="s">
        <v>14989</v>
      </c>
      <c r="H7498" s="2" t="s">
        <v>0</v>
      </c>
      <c r="I7498" s="2">
        <v>2862.23</v>
      </c>
    </row>
    <row r="7499">
      <c r="A7499" s="1" t="s">
        <v>14990</v>
      </c>
      <c r="B7499" s="2">
        <v>5572.85</v>
      </c>
      <c r="C7499" s="2">
        <v>5572.85</v>
      </c>
      <c r="D7499" s="2">
        <v>18403.74</v>
      </c>
      <c r="E7499" s="2">
        <v>18403.74</v>
      </c>
      <c r="G7499" s="1" t="s">
        <v>14991</v>
      </c>
      <c r="H7499" s="2">
        <v>2857.76</v>
      </c>
      <c r="I7499" s="2">
        <v>2857.76</v>
      </c>
    </row>
    <row r="7500">
      <c r="A7500" s="1" t="s">
        <v>14992</v>
      </c>
      <c r="B7500" s="2">
        <v>5576.98</v>
      </c>
      <c r="C7500" s="2">
        <v>5576.98</v>
      </c>
      <c r="D7500" s="2">
        <v>18429.29</v>
      </c>
      <c r="E7500" s="2">
        <v>18429.29</v>
      </c>
      <c r="G7500" s="1" t="s">
        <v>14993</v>
      </c>
      <c r="H7500" s="2">
        <v>2867.38</v>
      </c>
      <c r="I7500" s="2">
        <v>2867.38</v>
      </c>
    </row>
    <row r="7501">
      <c r="A7501" s="1" t="s">
        <v>14994</v>
      </c>
      <c r="B7501" s="2">
        <v>5633.91</v>
      </c>
      <c r="C7501" s="2">
        <v>5633.91</v>
      </c>
      <c r="D7501" s="2">
        <v>18647.45</v>
      </c>
      <c r="E7501" s="2">
        <v>18647.45</v>
      </c>
      <c r="G7501" s="1" t="s">
        <v>14995</v>
      </c>
      <c r="H7501" s="2">
        <v>2867.99</v>
      </c>
      <c r="I7501" s="2">
        <v>2867.99</v>
      </c>
    </row>
    <row r="7502">
      <c r="A7502" s="1" t="s">
        <v>14996</v>
      </c>
      <c r="B7502" s="2">
        <v>5584.54</v>
      </c>
      <c r="C7502" s="2">
        <v>5584.54</v>
      </c>
      <c r="D7502" s="2">
        <v>18283.41</v>
      </c>
      <c r="E7502" s="2">
        <v>18283.41</v>
      </c>
      <c r="G7502" s="1" t="s">
        <v>14997</v>
      </c>
      <c r="H7502" s="2">
        <v>2891.35</v>
      </c>
      <c r="I7502" s="2">
        <v>2891.35</v>
      </c>
    </row>
    <row r="7503">
      <c r="A7503" s="1" t="s">
        <v>14998</v>
      </c>
      <c r="B7503" s="2">
        <v>5615.35</v>
      </c>
      <c r="C7503" s="2">
        <v>5615.35</v>
      </c>
      <c r="D7503" s="2">
        <v>18398.45</v>
      </c>
      <c r="E7503" s="2">
        <v>18398.45</v>
      </c>
      <c r="G7503" s="1" t="s">
        <v>14999</v>
      </c>
      <c r="H7503" s="2">
        <v>2857.0</v>
      </c>
      <c r="I7503" s="2">
        <v>2857.0</v>
      </c>
    </row>
    <row r="7504">
      <c r="A7504" s="1" t="s">
        <v>15000</v>
      </c>
      <c r="B7504" s="2" t="s">
        <v>0</v>
      </c>
      <c r="C7504" s="2">
        <v>5615.35</v>
      </c>
      <c r="D7504" s="2" t="s">
        <v>0</v>
      </c>
      <c r="E7504" s="2">
        <v>18398.45</v>
      </c>
      <c r="G7504" s="1" t="s">
        <v>15001</v>
      </c>
      <c r="H7504" s="2" t="s">
        <v>0</v>
      </c>
      <c r="I7504" s="2">
        <v>2857.0</v>
      </c>
    </row>
    <row r="7505">
      <c r="A7505" s="1" t="s">
        <v>15002</v>
      </c>
      <c r="B7505" s="2" t="s">
        <v>0</v>
      </c>
      <c r="C7505" s="2">
        <v>5615.35</v>
      </c>
      <c r="D7505" s="2" t="s">
        <v>0</v>
      </c>
      <c r="E7505" s="2">
        <v>18398.45</v>
      </c>
      <c r="G7505" s="1" t="s">
        <v>15003</v>
      </c>
      <c r="H7505" s="2" t="s">
        <v>0</v>
      </c>
      <c r="I7505" s="2">
        <v>2857.0</v>
      </c>
    </row>
    <row r="7506">
      <c r="A7506" s="1" t="s">
        <v>15004</v>
      </c>
      <c r="B7506" s="2">
        <v>5631.22</v>
      </c>
      <c r="C7506" s="2">
        <v>5631.22</v>
      </c>
      <c r="D7506" s="2">
        <v>18472.57</v>
      </c>
      <c r="E7506" s="2">
        <v>18472.57</v>
      </c>
      <c r="G7506" s="1" t="s">
        <v>15005</v>
      </c>
      <c r="H7506" s="2">
        <v>2860.92</v>
      </c>
      <c r="I7506" s="2">
        <v>2860.92</v>
      </c>
    </row>
    <row r="7507">
      <c r="A7507" s="1" t="s">
        <v>15006</v>
      </c>
      <c r="B7507" s="2">
        <v>5667.2</v>
      </c>
      <c r="C7507" s="2">
        <v>5667.2</v>
      </c>
      <c r="D7507" s="2">
        <v>18509.34</v>
      </c>
      <c r="E7507" s="2">
        <v>18509.34</v>
      </c>
      <c r="G7507" s="1" t="s">
        <v>15007</v>
      </c>
      <c r="H7507" s="2">
        <v>2866.09</v>
      </c>
      <c r="I7507" s="2">
        <v>2866.09</v>
      </c>
    </row>
    <row r="7508">
      <c r="A7508" s="1" t="s">
        <v>15008</v>
      </c>
      <c r="B7508" s="2">
        <v>5588.27</v>
      </c>
      <c r="C7508" s="2">
        <v>5588.27</v>
      </c>
      <c r="D7508" s="2">
        <v>17996.93</v>
      </c>
      <c r="E7508" s="2">
        <v>17996.93</v>
      </c>
      <c r="G7508" s="1" t="s">
        <v>15009</v>
      </c>
      <c r="H7508" s="2">
        <v>2843.29</v>
      </c>
      <c r="I7508" s="2">
        <v>2843.29</v>
      </c>
    </row>
    <row r="7509">
      <c r="A7509" s="1" t="s">
        <v>15010</v>
      </c>
      <c r="B7509" s="2">
        <v>5544.59</v>
      </c>
      <c r="C7509" s="2">
        <v>5544.59</v>
      </c>
      <c r="D7509" s="2">
        <v>17871.22</v>
      </c>
      <c r="E7509" s="2">
        <v>17871.22</v>
      </c>
      <c r="G7509" s="1" t="s">
        <v>15011</v>
      </c>
      <c r="H7509" s="2">
        <v>2824.35</v>
      </c>
      <c r="I7509" s="2">
        <v>2824.35</v>
      </c>
    </row>
    <row r="7510">
      <c r="A7510" s="1" t="s">
        <v>15012</v>
      </c>
      <c r="B7510" s="2">
        <v>5505.0</v>
      </c>
      <c r="C7510" s="2">
        <v>5505.0</v>
      </c>
      <c r="D7510" s="2">
        <v>17726.94</v>
      </c>
      <c r="E7510" s="2">
        <v>17726.94</v>
      </c>
      <c r="G7510" s="1" t="s">
        <v>15013</v>
      </c>
      <c r="H7510" s="2">
        <v>2795.46</v>
      </c>
      <c r="I7510" s="2">
        <v>2795.46</v>
      </c>
    </row>
    <row r="7511">
      <c r="A7511" s="1" t="s">
        <v>15014</v>
      </c>
      <c r="B7511" s="2" t="s">
        <v>0</v>
      </c>
      <c r="C7511" s="2">
        <v>5505.0</v>
      </c>
      <c r="D7511" s="2" t="s">
        <v>0</v>
      </c>
      <c r="E7511" s="2">
        <v>17726.94</v>
      </c>
      <c r="G7511" s="1" t="s">
        <v>15015</v>
      </c>
      <c r="H7511" s="2" t="s">
        <v>0</v>
      </c>
      <c r="I7511" s="2">
        <v>2795.46</v>
      </c>
    </row>
    <row r="7512">
      <c r="A7512" s="1" t="s">
        <v>15016</v>
      </c>
      <c r="B7512" s="2" t="s">
        <v>0</v>
      </c>
      <c r="C7512" s="2">
        <v>5505.0</v>
      </c>
      <c r="D7512" s="2" t="s">
        <v>0</v>
      </c>
      <c r="E7512" s="2">
        <v>17726.94</v>
      </c>
      <c r="G7512" s="1" t="s">
        <v>15017</v>
      </c>
      <c r="H7512" s="2" t="s">
        <v>0</v>
      </c>
      <c r="I7512" s="2">
        <v>2795.46</v>
      </c>
    </row>
    <row r="7513">
      <c r="A7513" s="1" t="s">
        <v>15018</v>
      </c>
      <c r="B7513" s="2">
        <v>5564.41</v>
      </c>
      <c r="C7513" s="2">
        <v>5564.41</v>
      </c>
      <c r="D7513" s="2">
        <v>18007.57</v>
      </c>
      <c r="E7513" s="2">
        <v>18007.57</v>
      </c>
      <c r="G7513" s="1" t="s">
        <v>15019</v>
      </c>
      <c r="H7513" s="2">
        <v>2763.51</v>
      </c>
      <c r="I7513" s="2">
        <v>2763.51</v>
      </c>
    </row>
    <row r="7514">
      <c r="A7514" s="1" t="s">
        <v>15020</v>
      </c>
      <c r="B7514" s="2">
        <v>5555.74</v>
      </c>
      <c r="C7514" s="2">
        <v>5555.74</v>
      </c>
      <c r="D7514" s="2">
        <v>17997.35</v>
      </c>
      <c r="E7514" s="2">
        <v>17997.35</v>
      </c>
      <c r="G7514" s="1" t="s">
        <v>15021</v>
      </c>
      <c r="H7514" s="2">
        <v>2774.29</v>
      </c>
      <c r="I7514" s="2">
        <v>2774.29</v>
      </c>
    </row>
    <row r="7515">
      <c r="A7515" s="1" t="s">
        <v>15022</v>
      </c>
      <c r="B7515" s="2">
        <v>5427.13</v>
      </c>
      <c r="C7515" s="2">
        <v>5427.13</v>
      </c>
      <c r="D7515" s="2">
        <v>17342.41</v>
      </c>
      <c r="E7515" s="2">
        <v>17342.41</v>
      </c>
      <c r="G7515" s="1" t="s">
        <v>15023</v>
      </c>
      <c r="H7515" s="2">
        <v>2758.71</v>
      </c>
      <c r="I7515" s="2">
        <v>2758.71</v>
      </c>
    </row>
    <row r="7516">
      <c r="A7516" s="1" t="s">
        <v>15024</v>
      </c>
      <c r="B7516" s="2">
        <v>5399.22</v>
      </c>
      <c r="C7516" s="2">
        <v>5399.22</v>
      </c>
      <c r="D7516" s="2">
        <v>17181.72</v>
      </c>
      <c r="E7516" s="2">
        <v>17181.72</v>
      </c>
      <c r="G7516" s="1" t="s">
        <v>15025</v>
      </c>
      <c r="H7516" s="2">
        <v>2710.65</v>
      </c>
      <c r="I7516" s="2">
        <v>2710.65</v>
      </c>
    </row>
    <row r="7517">
      <c r="A7517" s="1" t="s">
        <v>15026</v>
      </c>
      <c r="B7517" s="2">
        <v>5459.1</v>
      </c>
      <c r="C7517" s="2">
        <v>5459.1</v>
      </c>
      <c r="D7517" s="2">
        <v>17357.88</v>
      </c>
      <c r="E7517" s="2">
        <v>17357.88</v>
      </c>
      <c r="G7517" s="1" t="s">
        <v>15027</v>
      </c>
      <c r="H7517" s="2">
        <v>2731.9</v>
      </c>
      <c r="I7517" s="2">
        <v>2731.9</v>
      </c>
    </row>
    <row r="7518">
      <c r="A7518" s="1" t="s">
        <v>15028</v>
      </c>
      <c r="B7518" s="2" t="s">
        <v>0</v>
      </c>
      <c r="C7518" s="2">
        <v>5459.1</v>
      </c>
      <c r="D7518" s="2" t="s">
        <v>0</v>
      </c>
      <c r="E7518" s="2">
        <v>17357.88</v>
      </c>
      <c r="G7518" s="1" t="s">
        <v>15029</v>
      </c>
      <c r="H7518" s="2" t="s">
        <v>0</v>
      </c>
      <c r="I7518" s="2">
        <v>2731.9</v>
      </c>
    </row>
    <row r="7519">
      <c r="A7519" s="1" t="s">
        <v>15030</v>
      </c>
      <c r="B7519" s="2" t="s">
        <v>0</v>
      </c>
      <c r="C7519" s="2">
        <v>5459.1</v>
      </c>
      <c r="D7519" s="2" t="s">
        <v>0</v>
      </c>
      <c r="E7519" s="2">
        <v>17357.88</v>
      </c>
      <c r="G7519" s="1" t="s">
        <v>15031</v>
      </c>
      <c r="H7519" s="2" t="s">
        <v>0</v>
      </c>
      <c r="I7519" s="2">
        <v>2731.9</v>
      </c>
    </row>
    <row r="7520">
      <c r="A7520" s="1" t="s">
        <v>15032</v>
      </c>
      <c r="B7520" s="2">
        <v>5463.54</v>
      </c>
      <c r="C7520" s="2">
        <v>5463.54</v>
      </c>
      <c r="D7520" s="2">
        <v>17370.2</v>
      </c>
      <c r="E7520" s="2">
        <v>17370.2</v>
      </c>
      <c r="G7520" s="1" t="s">
        <v>15033</v>
      </c>
      <c r="H7520" s="2">
        <v>2765.53</v>
      </c>
      <c r="I7520" s="2">
        <v>2765.53</v>
      </c>
    </row>
    <row r="7521">
      <c r="A7521" s="1" t="s">
        <v>15034</v>
      </c>
      <c r="B7521" s="2">
        <v>5436.44</v>
      </c>
      <c r="C7521" s="2">
        <v>5436.44</v>
      </c>
      <c r="D7521" s="2">
        <v>17147.42</v>
      </c>
      <c r="E7521" s="2">
        <v>17147.42</v>
      </c>
      <c r="G7521" s="1" t="s">
        <v>15035</v>
      </c>
      <c r="H7521" s="2">
        <v>2738.19</v>
      </c>
      <c r="I7521" s="2">
        <v>2738.19</v>
      </c>
    </row>
    <row r="7522">
      <c r="A7522" s="1" t="s">
        <v>15036</v>
      </c>
      <c r="B7522" s="2">
        <v>5522.3</v>
      </c>
      <c r="C7522" s="2">
        <v>5522.3</v>
      </c>
      <c r="D7522" s="2">
        <v>17599.4</v>
      </c>
      <c r="E7522" s="2">
        <v>17599.4</v>
      </c>
      <c r="G7522" s="1" t="s">
        <v>15037</v>
      </c>
      <c r="H7522" s="2">
        <v>2770.69</v>
      </c>
      <c r="I7522" s="2">
        <v>2770.69</v>
      </c>
    </row>
    <row r="7523">
      <c r="A7523" s="1" t="s">
        <v>15038</v>
      </c>
      <c r="B7523" s="2">
        <v>5446.68</v>
      </c>
      <c r="C7523" s="2">
        <v>5446.68</v>
      </c>
      <c r="D7523" s="2">
        <v>17194.15</v>
      </c>
      <c r="E7523" s="2">
        <v>17194.15</v>
      </c>
      <c r="G7523" s="1" t="s">
        <v>15039</v>
      </c>
      <c r="H7523" s="2">
        <v>2777.68</v>
      </c>
      <c r="I7523" s="2">
        <v>2777.68</v>
      </c>
    </row>
    <row r="7524">
      <c r="A7524" s="1" t="s">
        <v>15040</v>
      </c>
      <c r="B7524" s="2">
        <v>5346.56</v>
      </c>
      <c r="C7524" s="2">
        <v>5346.56</v>
      </c>
      <c r="D7524" s="2">
        <v>16776.16</v>
      </c>
      <c r="E7524" s="2">
        <v>16776.16</v>
      </c>
      <c r="G7524" s="1" t="s">
        <v>15041</v>
      </c>
      <c r="H7524" s="2">
        <v>2676.19</v>
      </c>
      <c r="I7524" s="2">
        <v>2676.19</v>
      </c>
    </row>
    <row r="7525">
      <c r="A7525" s="1" t="s">
        <v>15042</v>
      </c>
      <c r="B7525" s="2" t="s">
        <v>0</v>
      </c>
      <c r="C7525" s="2">
        <v>5346.56</v>
      </c>
      <c r="D7525" s="2" t="s">
        <v>0</v>
      </c>
      <c r="E7525" s="2">
        <v>16776.16</v>
      </c>
      <c r="G7525" s="1" t="s">
        <v>15043</v>
      </c>
      <c r="H7525" s="2" t="s">
        <v>0</v>
      </c>
      <c r="I7525" s="2">
        <v>2676.19</v>
      </c>
    </row>
    <row r="7526">
      <c r="A7526" s="1" t="s">
        <v>15044</v>
      </c>
      <c r="B7526" s="2" t="s">
        <v>0</v>
      </c>
      <c r="C7526" s="2">
        <v>5346.56</v>
      </c>
      <c r="D7526" s="2" t="s">
        <v>0</v>
      </c>
      <c r="E7526" s="2">
        <v>16776.16</v>
      </c>
      <c r="G7526" s="1" t="s">
        <v>15045</v>
      </c>
      <c r="H7526" s="2" t="s">
        <v>0</v>
      </c>
      <c r="I7526" s="2">
        <v>2676.19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0.38"/>
    <col customWidth="1" min="8" max="8" width="13.75"/>
    <col customWidth="1" min="12" max="12" width="19.5"/>
    <col customWidth="1" min="13" max="13" width="9.0"/>
    <col customWidth="1" min="16" max="16" width="27.75"/>
  </cols>
  <sheetData>
    <row r="1">
      <c r="H1" s="6" t="str">
        <f t="shared" ref="H1:H4" si="1">IFERROR(VLOOKUP(G1, $P$6:$Q7526, 2, FALSE), "")</f>
        <v/>
      </c>
    </row>
    <row r="2">
      <c r="H2" s="6" t="str">
        <f t="shared" si="1"/>
        <v/>
      </c>
      <c r="L2" s="3" t="s">
        <v>15046</v>
      </c>
      <c r="M2" s="7">
        <v>37987.0</v>
      </c>
    </row>
    <row r="3">
      <c r="H3" s="6" t="str">
        <f t="shared" si="1"/>
        <v/>
      </c>
      <c r="L3" s="3" t="s">
        <v>15047</v>
      </c>
      <c r="M3" s="8">
        <f>TODAY()</f>
        <v>45508</v>
      </c>
    </row>
    <row r="4">
      <c r="H4" s="6" t="str">
        <f t="shared" si="1"/>
        <v/>
      </c>
      <c r="K4" s="3" t="s">
        <v>15048</v>
      </c>
      <c r="L4" s="3"/>
      <c r="M4" s="3" t="s">
        <v>2</v>
      </c>
      <c r="P4" s="3" t="s">
        <v>3</v>
      </c>
    </row>
    <row r="5">
      <c r="C5" s="3" t="s">
        <v>1</v>
      </c>
      <c r="E5" s="3" t="s">
        <v>2</v>
      </c>
      <c r="I5" s="3" t="s">
        <v>3</v>
      </c>
      <c r="K5" s="9" t="str">
        <f>IFERROR(__xludf.DUMMYFUNCTION("GOOGLEFINANCE(""INDEXSP:.INX"",""close"",$M$2,$M$3,""daily"")"),"#N/A")</f>
        <v>#N/A</v>
      </c>
      <c r="M5" s="9" t="str">
        <f>IFERROR(__xludf.DUMMYFUNCTION("GOOGLEFINANCE(""INDEXNASDAQ:.IXIC"",""price"",$M$2,$M$3,""daily"")"),"Date")</f>
        <v>Date</v>
      </c>
      <c r="N5" s="2" t="str">
        <f>IFERROR(__xludf.DUMMYFUNCTION("""COMPUTED_VALUE"""),"Close")</f>
        <v>Close</v>
      </c>
      <c r="O5" s="9"/>
      <c r="P5" s="9" t="str">
        <f>IFERROR(__xludf.DUMMYFUNCTION("GOOGLEFINANCE(""kospi"",""price"",$M$2,$M$3,""daily"")"),"#N/A")</f>
        <v>#N/A</v>
      </c>
    </row>
    <row r="6">
      <c r="A6" s="10">
        <v>37988.666666666664</v>
      </c>
      <c r="B6" s="2" t="str">
        <f t="shared" ref="B6:B7526" si="2">IFERROR(VLOOKUP(A6, $K$6:$L7526, 2, FALSE), "")</f>
        <v/>
      </c>
      <c r="C6" s="2" t="str">
        <f t="shared" ref="C6:C7526" si="3">IF(B6 = "", C5, B6)</f>
        <v>SP500</v>
      </c>
      <c r="D6" s="2">
        <f t="shared" ref="D6:D7526" si="4">IFERROR(VLOOKUP(A6, $M$6:$N7526, 2, FALSE), "")</f>
        <v>2006.68</v>
      </c>
      <c r="E6" s="2">
        <f t="shared" ref="E6:E7526" si="5">IF(D6 = "", E5, D6)</f>
        <v>2006.68</v>
      </c>
      <c r="F6" s="5"/>
      <c r="G6" s="5">
        <v>37988.645833333336</v>
      </c>
      <c r="H6" s="11">
        <f t="shared" ref="H6:H7526" si="6">IFERROR(VLOOKUP(G6, $P$6:$Q7526, 2, FALSE), "")</f>
        <v>821.26</v>
      </c>
      <c r="I6" s="2">
        <f t="shared" ref="I6:I7526" si="7">IF(H6 = "", I5, H6)</f>
        <v>821.26</v>
      </c>
      <c r="M6" s="10">
        <f>IFERROR(__xludf.DUMMYFUNCTION("""COMPUTED_VALUE"""),37988.666666666664)</f>
        <v>37988.66667</v>
      </c>
      <c r="N6" s="2">
        <f>IFERROR(__xludf.DUMMYFUNCTION("""COMPUTED_VALUE"""),2006.68)</f>
        <v>2006.68</v>
      </c>
      <c r="S6" s="12"/>
    </row>
    <row r="7">
      <c r="A7" s="10">
        <f t="shared" ref="A7:A7526" si="8">A6 + 1 </f>
        <v>37989.66667</v>
      </c>
      <c r="B7" s="2" t="str">
        <f t="shared" si="2"/>
        <v/>
      </c>
      <c r="C7" s="2" t="str">
        <f t="shared" si="3"/>
        <v>SP500</v>
      </c>
      <c r="D7" s="2" t="str">
        <f t="shared" si="4"/>
        <v/>
      </c>
      <c r="E7" s="2">
        <f t="shared" si="5"/>
        <v>2006.68</v>
      </c>
      <c r="G7" s="10">
        <f t="shared" ref="G7:G7526" si="9">G6+1</f>
        <v>37989.64583</v>
      </c>
      <c r="H7" s="6" t="str">
        <f t="shared" si="6"/>
        <v/>
      </c>
      <c r="I7" s="2">
        <f t="shared" si="7"/>
        <v>821.26</v>
      </c>
      <c r="M7" s="10">
        <f>IFERROR(__xludf.DUMMYFUNCTION("""COMPUTED_VALUE"""),37991.666666666664)</f>
        <v>37991.66667</v>
      </c>
      <c r="N7" s="2">
        <f>IFERROR(__xludf.DUMMYFUNCTION("""COMPUTED_VALUE"""),2047.36)</f>
        <v>2047.36</v>
      </c>
      <c r="S7" s="13"/>
    </row>
    <row r="8">
      <c r="A8" s="10">
        <f t="shared" si="8"/>
        <v>37990.66667</v>
      </c>
      <c r="B8" s="2" t="str">
        <f t="shared" si="2"/>
        <v/>
      </c>
      <c r="C8" s="2" t="str">
        <f t="shared" si="3"/>
        <v>SP500</v>
      </c>
      <c r="D8" s="2" t="str">
        <f t="shared" si="4"/>
        <v/>
      </c>
      <c r="E8" s="2">
        <f t="shared" si="5"/>
        <v>2006.68</v>
      </c>
      <c r="G8" s="10">
        <f t="shared" si="9"/>
        <v>37990.64583</v>
      </c>
      <c r="H8" s="6" t="str">
        <f t="shared" si="6"/>
        <v/>
      </c>
      <c r="I8" s="2">
        <f t="shared" si="7"/>
        <v>821.26</v>
      </c>
      <c r="M8" s="10">
        <f>IFERROR(__xludf.DUMMYFUNCTION("""COMPUTED_VALUE"""),37992.666666666664)</f>
        <v>37992.66667</v>
      </c>
      <c r="N8" s="2">
        <f>IFERROR(__xludf.DUMMYFUNCTION("""COMPUTED_VALUE"""),2057.37)</f>
        <v>2057.37</v>
      </c>
      <c r="S8" s="13"/>
    </row>
    <row r="9">
      <c r="A9" s="10">
        <f t="shared" si="8"/>
        <v>37991.66667</v>
      </c>
      <c r="B9" s="2" t="str">
        <f t="shared" si="2"/>
        <v/>
      </c>
      <c r="C9" s="2" t="str">
        <f t="shared" si="3"/>
        <v>SP500</v>
      </c>
      <c r="D9" s="2">
        <f t="shared" si="4"/>
        <v>2047.36</v>
      </c>
      <c r="E9" s="2">
        <f t="shared" si="5"/>
        <v>2047.36</v>
      </c>
      <c r="G9" s="10">
        <f t="shared" si="9"/>
        <v>37991.64583</v>
      </c>
      <c r="H9" s="6">
        <f t="shared" si="6"/>
        <v>824.1</v>
      </c>
      <c r="I9" s="2">
        <f t="shared" si="7"/>
        <v>824.1</v>
      </c>
      <c r="M9" s="10">
        <f>IFERROR(__xludf.DUMMYFUNCTION("""COMPUTED_VALUE"""),37993.666666666664)</f>
        <v>37993.66667</v>
      </c>
      <c r="N9" s="2">
        <f>IFERROR(__xludf.DUMMYFUNCTION("""COMPUTED_VALUE"""),2077.68)</f>
        <v>2077.68</v>
      </c>
      <c r="S9" s="13"/>
    </row>
    <row r="10">
      <c r="A10" s="10">
        <f t="shared" si="8"/>
        <v>37992.66667</v>
      </c>
      <c r="B10" s="2" t="str">
        <f t="shared" si="2"/>
        <v/>
      </c>
      <c r="C10" s="2" t="str">
        <f t="shared" si="3"/>
        <v>SP500</v>
      </c>
      <c r="D10" s="2">
        <f t="shared" si="4"/>
        <v>2057.37</v>
      </c>
      <c r="E10" s="2">
        <f t="shared" si="5"/>
        <v>2057.37</v>
      </c>
      <c r="G10" s="10">
        <f t="shared" si="9"/>
        <v>37992.64583</v>
      </c>
      <c r="H10" s="6">
        <f t="shared" si="6"/>
        <v>823.43</v>
      </c>
      <c r="I10" s="2">
        <f t="shared" si="7"/>
        <v>823.43</v>
      </c>
      <c r="M10" s="10">
        <f>IFERROR(__xludf.DUMMYFUNCTION("""COMPUTED_VALUE"""),37994.666666666664)</f>
        <v>37994.66667</v>
      </c>
      <c r="N10" s="2">
        <f>IFERROR(__xludf.DUMMYFUNCTION("""COMPUTED_VALUE"""),2100.25)</f>
        <v>2100.25</v>
      </c>
      <c r="S10" s="13"/>
    </row>
    <row r="11">
      <c r="A11" s="10">
        <f t="shared" si="8"/>
        <v>37993.66667</v>
      </c>
      <c r="B11" s="2" t="str">
        <f t="shared" si="2"/>
        <v/>
      </c>
      <c r="C11" s="2" t="str">
        <f t="shared" si="3"/>
        <v>SP500</v>
      </c>
      <c r="D11" s="2">
        <f t="shared" si="4"/>
        <v>2077.68</v>
      </c>
      <c r="E11" s="2">
        <f t="shared" si="5"/>
        <v>2077.68</v>
      </c>
      <c r="G11" s="10">
        <f t="shared" si="9"/>
        <v>37993.64583</v>
      </c>
      <c r="H11" s="6">
        <f t="shared" si="6"/>
        <v>827.07</v>
      </c>
      <c r="I11" s="2">
        <f t="shared" si="7"/>
        <v>827.07</v>
      </c>
      <c r="M11" s="10">
        <f>IFERROR(__xludf.DUMMYFUNCTION("""COMPUTED_VALUE"""),37995.666666666664)</f>
        <v>37995.66667</v>
      </c>
      <c r="N11" s="2">
        <f>IFERROR(__xludf.DUMMYFUNCTION("""COMPUTED_VALUE"""),2086.92)</f>
        <v>2086.92</v>
      </c>
      <c r="S11" s="13"/>
    </row>
    <row r="12">
      <c r="A12" s="10">
        <f t="shared" si="8"/>
        <v>37994.66667</v>
      </c>
      <c r="B12" s="2" t="str">
        <f t="shared" si="2"/>
        <v/>
      </c>
      <c r="C12" s="2" t="str">
        <f t="shared" si="3"/>
        <v>SP500</v>
      </c>
      <c r="D12" s="2">
        <f t="shared" si="4"/>
        <v>2100.25</v>
      </c>
      <c r="E12" s="2">
        <f t="shared" si="5"/>
        <v>2100.25</v>
      </c>
      <c r="G12" s="10">
        <f t="shared" si="9"/>
        <v>37994.64583</v>
      </c>
      <c r="H12" s="6">
        <f t="shared" si="6"/>
        <v>824.15</v>
      </c>
      <c r="I12" s="2">
        <f t="shared" si="7"/>
        <v>824.15</v>
      </c>
      <c r="M12" s="10">
        <f>IFERROR(__xludf.DUMMYFUNCTION("""COMPUTED_VALUE"""),37998.666666666664)</f>
        <v>37998.66667</v>
      </c>
      <c r="N12" s="2">
        <f>IFERROR(__xludf.DUMMYFUNCTION("""COMPUTED_VALUE"""),2111.78)</f>
        <v>2111.78</v>
      </c>
      <c r="S12" s="13"/>
    </row>
    <row r="13">
      <c r="A13" s="10">
        <f t="shared" si="8"/>
        <v>37995.66667</v>
      </c>
      <c r="B13" s="2" t="str">
        <f t="shared" si="2"/>
        <v/>
      </c>
      <c r="C13" s="2" t="str">
        <f t="shared" si="3"/>
        <v>SP500</v>
      </c>
      <c r="D13" s="2">
        <f t="shared" si="4"/>
        <v>2086.92</v>
      </c>
      <c r="E13" s="2">
        <f t="shared" si="5"/>
        <v>2086.92</v>
      </c>
      <c r="G13" s="10">
        <f t="shared" si="9"/>
        <v>37995.64583</v>
      </c>
      <c r="H13" s="6">
        <f t="shared" si="6"/>
        <v>845.27</v>
      </c>
      <c r="I13" s="2">
        <f t="shared" si="7"/>
        <v>845.27</v>
      </c>
      <c r="M13" s="10">
        <f>IFERROR(__xludf.DUMMYFUNCTION("""COMPUTED_VALUE"""),37999.666666666664)</f>
        <v>37999.66667</v>
      </c>
      <c r="N13" s="2">
        <f>IFERROR(__xludf.DUMMYFUNCTION("""COMPUTED_VALUE"""),2096.44)</f>
        <v>2096.44</v>
      </c>
      <c r="S13" s="13"/>
    </row>
    <row r="14">
      <c r="A14" s="10">
        <f t="shared" si="8"/>
        <v>37996.66667</v>
      </c>
      <c r="B14" s="2" t="str">
        <f t="shared" si="2"/>
        <v/>
      </c>
      <c r="C14" s="2" t="str">
        <f t="shared" si="3"/>
        <v>SP500</v>
      </c>
      <c r="D14" s="2" t="str">
        <f t="shared" si="4"/>
        <v/>
      </c>
      <c r="E14" s="2">
        <f t="shared" si="5"/>
        <v>2086.92</v>
      </c>
      <c r="G14" s="10">
        <f t="shared" si="9"/>
        <v>37996.64583</v>
      </c>
      <c r="H14" s="6" t="str">
        <f t="shared" si="6"/>
        <v/>
      </c>
      <c r="I14" s="2">
        <f t="shared" si="7"/>
        <v>845.27</v>
      </c>
      <c r="M14" s="10">
        <f>IFERROR(__xludf.DUMMYFUNCTION("""COMPUTED_VALUE"""),38000.666666666664)</f>
        <v>38000.66667</v>
      </c>
      <c r="N14" s="2">
        <f>IFERROR(__xludf.DUMMYFUNCTION("""COMPUTED_VALUE"""),2111.13)</f>
        <v>2111.13</v>
      </c>
      <c r="S14" s="13"/>
    </row>
    <row r="15">
      <c r="A15" s="10">
        <f t="shared" si="8"/>
        <v>37997.66667</v>
      </c>
      <c r="B15" s="2" t="str">
        <f t="shared" si="2"/>
        <v/>
      </c>
      <c r="C15" s="2" t="str">
        <f t="shared" si="3"/>
        <v>SP500</v>
      </c>
      <c r="D15" s="2" t="str">
        <f t="shared" si="4"/>
        <v/>
      </c>
      <c r="E15" s="2">
        <f t="shared" si="5"/>
        <v>2086.92</v>
      </c>
      <c r="G15" s="10">
        <f t="shared" si="9"/>
        <v>37997.64583</v>
      </c>
      <c r="H15" s="6" t="str">
        <f t="shared" si="6"/>
        <v/>
      </c>
      <c r="I15" s="2">
        <f t="shared" si="7"/>
        <v>845.27</v>
      </c>
      <c r="M15" s="10">
        <f>IFERROR(__xludf.DUMMYFUNCTION("""COMPUTED_VALUE"""),38001.666666666664)</f>
        <v>38001.66667</v>
      </c>
      <c r="N15" s="2">
        <f>IFERROR(__xludf.DUMMYFUNCTION("""COMPUTED_VALUE"""),2109.08)</f>
        <v>2109.08</v>
      </c>
      <c r="S15" s="13"/>
    </row>
    <row r="16">
      <c r="A16" s="10">
        <f t="shared" si="8"/>
        <v>37998.66667</v>
      </c>
      <c r="B16" s="2" t="str">
        <f t="shared" si="2"/>
        <v/>
      </c>
      <c r="C16" s="2" t="str">
        <f t="shared" si="3"/>
        <v>SP500</v>
      </c>
      <c r="D16" s="2">
        <f t="shared" si="4"/>
        <v>2111.78</v>
      </c>
      <c r="E16" s="2">
        <f t="shared" si="5"/>
        <v>2111.78</v>
      </c>
      <c r="G16" s="10">
        <f t="shared" si="9"/>
        <v>37998.64583</v>
      </c>
      <c r="H16" s="6">
        <f t="shared" si="6"/>
        <v>850.79</v>
      </c>
      <c r="I16" s="2">
        <f t="shared" si="7"/>
        <v>850.79</v>
      </c>
      <c r="M16" s="10">
        <f>IFERROR(__xludf.DUMMYFUNCTION("""COMPUTED_VALUE"""),38002.666666666664)</f>
        <v>38002.66667</v>
      </c>
      <c r="N16" s="2">
        <f>IFERROR(__xludf.DUMMYFUNCTION("""COMPUTED_VALUE"""),2140.46)</f>
        <v>2140.46</v>
      </c>
      <c r="S16" s="13"/>
    </row>
    <row r="17">
      <c r="A17" s="10">
        <f t="shared" si="8"/>
        <v>37999.66667</v>
      </c>
      <c r="B17" s="2" t="str">
        <f t="shared" si="2"/>
        <v/>
      </c>
      <c r="C17" s="2" t="str">
        <f t="shared" si="3"/>
        <v>SP500</v>
      </c>
      <c r="D17" s="2">
        <f t="shared" si="4"/>
        <v>2096.44</v>
      </c>
      <c r="E17" s="2">
        <f t="shared" si="5"/>
        <v>2096.44</v>
      </c>
      <c r="G17" s="10">
        <f t="shared" si="9"/>
        <v>37999.64583</v>
      </c>
      <c r="H17" s="6">
        <f t="shared" si="6"/>
        <v>848.43</v>
      </c>
      <c r="I17" s="2">
        <f t="shared" si="7"/>
        <v>848.43</v>
      </c>
      <c r="M17" s="10">
        <f>IFERROR(__xludf.DUMMYFUNCTION("""COMPUTED_VALUE"""),38006.666666666664)</f>
        <v>38006.66667</v>
      </c>
      <c r="N17" s="2">
        <f>IFERROR(__xludf.DUMMYFUNCTION("""COMPUTED_VALUE"""),2147.98)</f>
        <v>2147.98</v>
      </c>
      <c r="S17" s="13"/>
    </row>
    <row r="18">
      <c r="A18" s="10">
        <f t="shared" si="8"/>
        <v>38000.66667</v>
      </c>
      <c r="B18" s="2" t="str">
        <f t="shared" si="2"/>
        <v/>
      </c>
      <c r="C18" s="2" t="str">
        <f t="shared" si="3"/>
        <v>SP500</v>
      </c>
      <c r="D18" s="2">
        <f t="shared" si="4"/>
        <v>2111.13</v>
      </c>
      <c r="E18" s="2">
        <f t="shared" si="5"/>
        <v>2111.13</v>
      </c>
      <c r="G18" s="10">
        <f t="shared" si="9"/>
        <v>38000.64583</v>
      </c>
      <c r="H18" s="6">
        <f t="shared" si="6"/>
        <v>849.62</v>
      </c>
      <c r="I18" s="2">
        <f t="shared" si="7"/>
        <v>849.62</v>
      </c>
      <c r="M18" s="10">
        <f>IFERROR(__xludf.DUMMYFUNCTION("""COMPUTED_VALUE"""),38007.666666666664)</f>
        <v>38007.66667</v>
      </c>
      <c r="N18" s="2">
        <f>IFERROR(__xludf.DUMMYFUNCTION("""COMPUTED_VALUE"""),2142.45)</f>
        <v>2142.45</v>
      </c>
      <c r="S18" s="13"/>
    </row>
    <row r="19">
      <c r="A19" s="10">
        <f t="shared" si="8"/>
        <v>38001.66667</v>
      </c>
      <c r="B19" s="2" t="str">
        <f t="shared" si="2"/>
        <v/>
      </c>
      <c r="C19" s="2" t="str">
        <f t="shared" si="3"/>
        <v>SP500</v>
      </c>
      <c r="D19" s="2">
        <f t="shared" si="4"/>
        <v>2109.08</v>
      </c>
      <c r="E19" s="2">
        <f t="shared" si="5"/>
        <v>2109.08</v>
      </c>
      <c r="G19" s="10">
        <f t="shared" si="9"/>
        <v>38001.64583</v>
      </c>
      <c r="H19" s="6">
        <f t="shared" si="6"/>
        <v>845.66</v>
      </c>
      <c r="I19" s="2">
        <f t="shared" si="7"/>
        <v>845.66</v>
      </c>
      <c r="M19" s="10">
        <f>IFERROR(__xludf.DUMMYFUNCTION("""COMPUTED_VALUE"""),38008.666666666664)</f>
        <v>38008.66667</v>
      </c>
      <c r="N19" s="2">
        <f>IFERROR(__xludf.DUMMYFUNCTION("""COMPUTED_VALUE"""),2119.01)</f>
        <v>2119.01</v>
      </c>
      <c r="S19" s="13"/>
    </row>
    <row r="20">
      <c r="A20" s="10">
        <f t="shared" si="8"/>
        <v>38002.66667</v>
      </c>
      <c r="B20" s="2" t="str">
        <f t="shared" si="2"/>
        <v/>
      </c>
      <c r="C20" s="2" t="str">
        <f t="shared" si="3"/>
        <v>SP500</v>
      </c>
      <c r="D20" s="2">
        <f t="shared" si="4"/>
        <v>2140.46</v>
      </c>
      <c r="E20" s="2">
        <f t="shared" si="5"/>
        <v>2140.46</v>
      </c>
      <c r="G20" s="10">
        <f t="shared" si="9"/>
        <v>38002.64583</v>
      </c>
      <c r="H20" s="6">
        <f t="shared" si="6"/>
        <v>847.95</v>
      </c>
      <c r="I20" s="2">
        <f t="shared" si="7"/>
        <v>847.95</v>
      </c>
      <c r="M20" s="10">
        <f>IFERROR(__xludf.DUMMYFUNCTION("""COMPUTED_VALUE"""),38009.666666666664)</f>
        <v>38009.66667</v>
      </c>
      <c r="N20" s="2">
        <f>IFERROR(__xludf.DUMMYFUNCTION("""COMPUTED_VALUE"""),2123.87)</f>
        <v>2123.87</v>
      </c>
      <c r="S20" s="13"/>
    </row>
    <row r="21">
      <c r="A21" s="10">
        <f t="shared" si="8"/>
        <v>38003.66667</v>
      </c>
      <c r="B21" s="2" t="str">
        <f t="shared" si="2"/>
        <v/>
      </c>
      <c r="C21" s="2" t="str">
        <f t="shared" si="3"/>
        <v>SP500</v>
      </c>
      <c r="D21" s="2" t="str">
        <f t="shared" si="4"/>
        <v/>
      </c>
      <c r="E21" s="2">
        <f t="shared" si="5"/>
        <v>2140.46</v>
      </c>
      <c r="G21" s="10">
        <f t="shared" si="9"/>
        <v>38003.64583</v>
      </c>
      <c r="H21" s="6" t="str">
        <f t="shared" si="6"/>
        <v/>
      </c>
      <c r="I21" s="2">
        <f t="shared" si="7"/>
        <v>847.95</v>
      </c>
      <c r="M21" s="10">
        <f>IFERROR(__xludf.DUMMYFUNCTION("""COMPUTED_VALUE"""),38012.666666666664)</f>
        <v>38012.66667</v>
      </c>
      <c r="N21" s="2">
        <f>IFERROR(__xludf.DUMMYFUNCTION("""COMPUTED_VALUE"""),2153.83)</f>
        <v>2153.83</v>
      </c>
      <c r="S21" s="13"/>
    </row>
    <row r="22">
      <c r="A22" s="10">
        <f t="shared" si="8"/>
        <v>38004.66667</v>
      </c>
      <c r="B22" s="2" t="str">
        <f t="shared" si="2"/>
        <v/>
      </c>
      <c r="C22" s="2" t="str">
        <f t="shared" si="3"/>
        <v>SP500</v>
      </c>
      <c r="D22" s="2" t="str">
        <f t="shared" si="4"/>
        <v/>
      </c>
      <c r="E22" s="2">
        <f t="shared" si="5"/>
        <v>2140.46</v>
      </c>
      <c r="G22" s="10">
        <f t="shared" si="9"/>
        <v>38004.64583</v>
      </c>
      <c r="H22" s="6" t="str">
        <f t="shared" si="6"/>
        <v/>
      </c>
      <c r="I22" s="2">
        <f t="shared" si="7"/>
        <v>847.95</v>
      </c>
      <c r="M22" s="10">
        <f>IFERROR(__xludf.DUMMYFUNCTION("""COMPUTED_VALUE"""),38013.666666666664)</f>
        <v>38013.66667</v>
      </c>
      <c r="N22" s="2">
        <f>IFERROR(__xludf.DUMMYFUNCTION("""COMPUTED_VALUE"""),2116.04)</f>
        <v>2116.04</v>
      </c>
      <c r="S22" s="13"/>
    </row>
    <row r="23">
      <c r="A23" s="10">
        <f t="shared" si="8"/>
        <v>38005.66667</v>
      </c>
      <c r="B23" s="2" t="str">
        <f t="shared" si="2"/>
        <v/>
      </c>
      <c r="C23" s="2" t="str">
        <f t="shared" si="3"/>
        <v>SP500</v>
      </c>
      <c r="D23" s="2" t="str">
        <f t="shared" si="4"/>
        <v/>
      </c>
      <c r="E23" s="2">
        <f t="shared" si="5"/>
        <v>2140.46</v>
      </c>
      <c r="G23" s="10">
        <f t="shared" si="9"/>
        <v>38005.64583</v>
      </c>
      <c r="H23" s="6">
        <f t="shared" si="6"/>
        <v>856.8</v>
      </c>
      <c r="I23" s="2">
        <f t="shared" si="7"/>
        <v>856.8</v>
      </c>
      <c r="M23" s="10">
        <f>IFERROR(__xludf.DUMMYFUNCTION("""COMPUTED_VALUE"""),38014.666666666664)</f>
        <v>38014.66667</v>
      </c>
      <c r="N23" s="2">
        <f>IFERROR(__xludf.DUMMYFUNCTION("""COMPUTED_VALUE"""),2077.37)</f>
        <v>2077.37</v>
      </c>
      <c r="S23" s="13"/>
    </row>
    <row r="24">
      <c r="A24" s="10">
        <f t="shared" si="8"/>
        <v>38006.66667</v>
      </c>
      <c r="B24" s="2" t="str">
        <f t="shared" si="2"/>
        <v/>
      </c>
      <c r="C24" s="2" t="str">
        <f t="shared" si="3"/>
        <v>SP500</v>
      </c>
      <c r="D24" s="2">
        <f t="shared" si="4"/>
        <v>2147.98</v>
      </c>
      <c r="E24" s="2">
        <f t="shared" si="5"/>
        <v>2147.98</v>
      </c>
      <c r="G24" s="10">
        <f t="shared" si="9"/>
        <v>38006.64583</v>
      </c>
      <c r="H24" s="6">
        <f t="shared" si="6"/>
        <v>861.37</v>
      </c>
      <c r="I24" s="2">
        <f t="shared" si="7"/>
        <v>861.37</v>
      </c>
      <c r="M24" s="10">
        <f>IFERROR(__xludf.DUMMYFUNCTION("""COMPUTED_VALUE"""),38015.666666666664)</f>
        <v>38015.66667</v>
      </c>
      <c r="N24" s="2">
        <f>IFERROR(__xludf.DUMMYFUNCTION("""COMPUTED_VALUE"""),2068.23)</f>
        <v>2068.23</v>
      </c>
      <c r="S24" s="13"/>
    </row>
    <row r="25">
      <c r="A25" s="10">
        <f t="shared" si="8"/>
        <v>38007.66667</v>
      </c>
      <c r="B25" s="2" t="str">
        <f t="shared" si="2"/>
        <v/>
      </c>
      <c r="C25" s="2" t="str">
        <f t="shared" si="3"/>
        <v>SP500</v>
      </c>
      <c r="D25" s="2">
        <f t="shared" si="4"/>
        <v>2142.45</v>
      </c>
      <c r="E25" s="2">
        <f t="shared" si="5"/>
        <v>2142.45</v>
      </c>
      <c r="G25" s="10">
        <f t="shared" si="9"/>
        <v>38007.64583</v>
      </c>
      <c r="H25" s="6" t="str">
        <f t="shared" si="6"/>
        <v/>
      </c>
      <c r="I25" s="2">
        <f t="shared" si="7"/>
        <v>861.37</v>
      </c>
      <c r="M25" s="10">
        <f>IFERROR(__xludf.DUMMYFUNCTION("""COMPUTED_VALUE"""),38016.666666666664)</f>
        <v>38016.66667</v>
      </c>
      <c r="N25" s="2">
        <f>IFERROR(__xludf.DUMMYFUNCTION("""COMPUTED_VALUE"""),2066.15)</f>
        <v>2066.15</v>
      </c>
      <c r="S25" s="13"/>
    </row>
    <row r="26">
      <c r="A26" s="10">
        <f t="shared" si="8"/>
        <v>38008.66667</v>
      </c>
      <c r="B26" s="2" t="str">
        <f t="shared" si="2"/>
        <v/>
      </c>
      <c r="C26" s="2" t="str">
        <f t="shared" si="3"/>
        <v>SP500</v>
      </c>
      <c r="D26" s="2">
        <f t="shared" si="4"/>
        <v>2119.01</v>
      </c>
      <c r="E26" s="2">
        <f t="shared" si="5"/>
        <v>2119.01</v>
      </c>
      <c r="G26" s="10">
        <f t="shared" si="9"/>
        <v>38008.64583</v>
      </c>
      <c r="H26" s="6" t="str">
        <f t="shared" si="6"/>
        <v/>
      </c>
      <c r="I26" s="2">
        <f t="shared" si="7"/>
        <v>861.37</v>
      </c>
      <c r="M26" s="10">
        <f>IFERROR(__xludf.DUMMYFUNCTION("""COMPUTED_VALUE"""),38019.666666666664)</f>
        <v>38019.66667</v>
      </c>
      <c r="N26" s="2">
        <f>IFERROR(__xludf.DUMMYFUNCTION("""COMPUTED_VALUE"""),2063.15)</f>
        <v>2063.15</v>
      </c>
      <c r="S26" s="13"/>
    </row>
    <row r="27">
      <c r="A27" s="10">
        <f t="shared" si="8"/>
        <v>38009.66667</v>
      </c>
      <c r="B27" s="2" t="str">
        <f t="shared" si="2"/>
        <v/>
      </c>
      <c r="C27" s="2" t="str">
        <f t="shared" si="3"/>
        <v>SP500</v>
      </c>
      <c r="D27" s="2">
        <f t="shared" si="4"/>
        <v>2123.87</v>
      </c>
      <c r="E27" s="2">
        <f t="shared" si="5"/>
        <v>2123.87</v>
      </c>
      <c r="G27" s="10">
        <f t="shared" si="9"/>
        <v>38009.64583</v>
      </c>
      <c r="H27" s="6" t="str">
        <f t="shared" si="6"/>
        <v/>
      </c>
      <c r="I27" s="2">
        <f t="shared" si="7"/>
        <v>861.37</v>
      </c>
      <c r="M27" s="10">
        <f>IFERROR(__xludf.DUMMYFUNCTION("""COMPUTED_VALUE"""),38020.666666666664)</f>
        <v>38020.66667</v>
      </c>
      <c r="N27" s="2">
        <f>IFERROR(__xludf.DUMMYFUNCTION("""COMPUTED_VALUE"""),2066.21)</f>
        <v>2066.21</v>
      </c>
      <c r="S27" s="13"/>
    </row>
    <row r="28">
      <c r="A28" s="10">
        <f t="shared" si="8"/>
        <v>38010.66667</v>
      </c>
      <c r="B28" s="2" t="str">
        <f t="shared" si="2"/>
        <v/>
      </c>
      <c r="C28" s="2" t="str">
        <f t="shared" si="3"/>
        <v>SP500</v>
      </c>
      <c r="D28" s="2" t="str">
        <f t="shared" si="4"/>
        <v/>
      </c>
      <c r="E28" s="2">
        <f t="shared" si="5"/>
        <v>2123.87</v>
      </c>
      <c r="G28" s="10">
        <f t="shared" si="9"/>
        <v>38010.64583</v>
      </c>
      <c r="H28" s="6" t="str">
        <f t="shared" si="6"/>
        <v/>
      </c>
      <c r="I28" s="2">
        <f t="shared" si="7"/>
        <v>861.37</v>
      </c>
      <c r="M28" s="10">
        <f>IFERROR(__xludf.DUMMYFUNCTION("""COMPUTED_VALUE"""),38021.666666666664)</f>
        <v>38021.66667</v>
      </c>
      <c r="N28" s="2">
        <f>IFERROR(__xludf.DUMMYFUNCTION("""COMPUTED_VALUE"""),2014.14)</f>
        <v>2014.14</v>
      </c>
      <c r="S28" s="13"/>
    </row>
    <row r="29">
      <c r="A29" s="10">
        <f t="shared" si="8"/>
        <v>38011.66667</v>
      </c>
      <c r="B29" s="2" t="str">
        <f t="shared" si="2"/>
        <v/>
      </c>
      <c r="C29" s="2" t="str">
        <f t="shared" si="3"/>
        <v>SP500</v>
      </c>
      <c r="D29" s="2" t="str">
        <f t="shared" si="4"/>
        <v/>
      </c>
      <c r="E29" s="2">
        <f t="shared" si="5"/>
        <v>2123.87</v>
      </c>
      <c r="G29" s="10">
        <f t="shared" si="9"/>
        <v>38011.64583</v>
      </c>
      <c r="H29" s="6" t="str">
        <f t="shared" si="6"/>
        <v/>
      </c>
      <c r="I29" s="2">
        <f t="shared" si="7"/>
        <v>861.37</v>
      </c>
      <c r="M29" s="10">
        <f>IFERROR(__xludf.DUMMYFUNCTION("""COMPUTED_VALUE"""),38022.666666666664)</f>
        <v>38022.66667</v>
      </c>
      <c r="N29" s="2">
        <f>IFERROR(__xludf.DUMMYFUNCTION("""COMPUTED_VALUE"""),2019.56)</f>
        <v>2019.56</v>
      </c>
      <c r="S29" s="13"/>
    </row>
    <row r="30">
      <c r="A30" s="10">
        <f t="shared" si="8"/>
        <v>38012.66667</v>
      </c>
      <c r="B30" s="2" t="str">
        <f t="shared" si="2"/>
        <v/>
      </c>
      <c r="C30" s="2" t="str">
        <f t="shared" si="3"/>
        <v>SP500</v>
      </c>
      <c r="D30" s="2">
        <f t="shared" si="4"/>
        <v>2153.83</v>
      </c>
      <c r="E30" s="2">
        <f t="shared" si="5"/>
        <v>2153.83</v>
      </c>
      <c r="G30" s="10">
        <f t="shared" si="9"/>
        <v>38012.64583</v>
      </c>
      <c r="H30" s="6">
        <f t="shared" si="6"/>
        <v>869.04</v>
      </c>
      <c r="I30" s="2">
        <f t="shared" si="7"/>
        <v>869.04</v>
      </c>
      <c r="M30" s="10">
        <f>IFERROR(__xludf.DUMMYFUNCTION("""COMPUTED_VALUE"""),38023.666666666664)</f>
        <v>38023.66667</v>
      </c>
      <c r="N30" s="2">
        <f>IFERROR(__xludf.DUMMYFUNCTION("""COMPUTED_VALUE"""),2064.01)</f>
        <v>2064.01</v>
      </c>
      <c r="S30" s="13"/>
    </row>
    <row r="31">
      <c r="A31" s="10">
        <f t="shared" si="8"/>
        <v>38013.66667</v>
      </c>
      <c r="B31" s="2" t="str">
        <f t="shared" si="2"/>
        <v/>
      </c>
      <c r="C31" s="2" t="str">
        <f t="shared" si="3"/>
        <v>SP500</v>
      </c>
      <c r="D31" s="2">
        <f t="shared" si="4"/>
        <v>2116.04</v>
      </c>
      <c r="E31" s="2">
        <f t="shared" si="5"/>
        <v>2116.04</v>
      </c>
      <c r="G31" s="10">
        <f t="shared" si="9"/>
        <v>38013.64583</v>
      </c>
      <c r="H31" s="6">
        <f t="shared" si="6"/>
        <v>863.03</v>
      </c>
      <c r="I31" s="2">
        <f t="shared" si="7"/>
        <v>863.03</v>
      </c>
      <c r="M31" s="10">
        <f>IFERROR(__xludf.DUMMYFUNCTION("""COMPUTED_VALUE"""),38026.666666666664)</f>
        <v>38026.66667</v>
      </c>
      <c r="N31" s="2">
        <f>IFERROR(__xludf.DUMMYFUNCTION("""COMPUTED_VALUE"""),2060.57)</f>
        <v>2060.57</v>
      </c>
      <c r="S31" s="13"/>
    </row>
    <row r="32">
      <c r="A32" s="10">
        <f t="shared" si="8"/>
        <v>38014.66667</v>
      </c>
      <c r="B32" s="2" t="str">
        <f t="shared" si="2"/>
        <v/>
      </c>
      <c r="C32" s="2" t="str">
        <f t="shared" si="3"/>
        <v>SP500</v>
      </c>
      <c r="D32" s="2">
        <f t="shared" si="4"/>
        <v>2077.37</v>
      </c>
      <c r="E32" s="2">
        <f t="shared" si="5"/>
        <v>2077.37</v>
      </c>
      <c r="G32" s="10">
        <f t="shared" si="9"/>
        <v>38014.64583</v>
      </c>
      <c r="H32" s="6">
        <f t="shared" si="6"/>
        <v>859.59</v>
      </c>
      <c r="I32" s="2">
        <f t="shared" si="7"/>
        <v>859.59</v>
      </c>
      <c r="M32" s="10">
        <f>IFERROR(__xludf.DUMMYFUNCTION("""COMPUTED_VALUE"""),38027.666666666664)</f>
        <v>38027.66667</v>
      </c>
      <c r="N32" s="2">
        <f>IFERROR(__xludf.DUMMYFUNCTION("""COMPUTED_VALUE"""),2075.33)</f>
        <v>2075.33</v>
      </c>
      <c r="S32" s="13"/>
    </row>
    <row r="33">
      <c r="A33" s="10">
        <f t="shared" si="8"/>
        <v>38015.66667</v>
      </c>
      <c r="B33" s="2" t="str">
        <f t="shared" si="2"/>
        <v/>
      </c>
      <c r="C33" s="2" t="str">
        <f t="shared" si="3"/>
        <v>SP500</v>
      </c>
      <c r="D33" s="2">
        <f t="shared" si="4"/>
        <v>2068.23</v>
      </c>
      <c r="E33" s="2">
        <f t="shared" si="5"/>
        <v>2068.23</v>
      </c>
      <c r="G33" s="10">
        <f t="shared" si="9"/>
        <v>38015.64583</v>
      </c>
      <c r="H33" s="6">
        <f t="shared" si="6"/>
        <v>853.47</v>
      </c>
      <c r="I33" s="2">
        <f t="shared" si="7"/>
        <v>853.47</v>
      </c>
      <c r="M33" s="10">
        <f>IFERROR(__xludf.DUMMYFUNCTION("""COMPUTED_VALUE"""),38028.666666666664)</f>
        <v>38028.66667</v>
      </c>
      <c r="N33" s="2">
        <f>IFERROR(__xludf.DUMMYFUNCTION("""COMPUTED_VALUE"""),2089.66)</f>
        <v>2089.66</v>
      </c>
      <c r="S33" s="13"/>
    </row>
    <row r="34">
      <c r="A34" s="10">
        <f t="shared" si="8"/>
        <v>38016.66667</v>
      </c>
      <c r="B34" s="2" t="str">
        <f t="shared" si="2"/>
        <v/>
      </c>
      <c r="C34" s="2" t="str">
        <f t="shared" si="3"/>
        <v>SP500</v>
      </c>
      <c r="D34" s="2">
        <f t="shared" si="4"/>
        <v>2066.15</v>
      </c>
      <c r="E34" s="2">
        <f t="shared" si="5"/>
        <v>2066.15</v>
      </c>
      <c r="G34" s="10">
        <f t="shared" si="9"/>
        <v>38016.64583</v>
      </c>
      <c r="H34" s="6">
        <f t="shared" si="6"/>
        <v>848.5</v>
      </c>
      <c r="I34" s="2">
        <f t="shared" si="7"/>
        <v>848.5</v>
      </c>
      <c r="M34" s="10">
        <f>IFERROR(__xludf.DUMMYFUNCTION("""COMPUTED_VALUE"""),38029.666666666664)</f>
        <v>38029.66667</v>
      </c>
      <c r="N34" s="2">
        <f>IFERROR(__xludf.DUMMYFUNCTION("""COMPUTED_VALUE"""),2073.61)</f>
        <v>2073.61</v>
      </c>
      <c r="S34" s="13"/>
    </row>
    <row r="35">
      <c r="A35" s="10">
        <f t="shared" si="8"/>
        <v>38017.66667</v>
      </c>
      <c r="B35" s="2" t="str">
        <f t="shared" si="2"/>
        <v/>
      </c>
      <c r="C35" s="2" t="str">
        <f t="shared" si="3"/>
        <v>SP500</v>
      </c>
      <c r="D35" s="2" t="str">
        <f t="shared" si="4"/>
        <v/>
      </c>
      <c r="E35" s="2">
        <f t="shared" si="5"/>
        <v>2066.15</v>
      </c>
      <c r="G35" s="10">
        <f t="shared" si="9"/>
        <v>38017.64583</v>
      </c>
      <c r="H35" s="6" t="str">
        <f t="shared" si="6"/>
        <v/>
      </c>
      <c r="I35" s="2">
        <f t="shared" si="7"/>
        <v>848.5</v>
      </c>
      <c r="M35" s="10">
        <f>IFERROR(__xludf.DUMMYFUNCTION("""COMPUTED_VALUE"""),38030.666666666664)</f>
        <v>38030.66667</v>
      </c>
      <c r="N35" s="2">
        <f>IFERROR(__xludf.DUMMYFUNCTION("""COMPUTED_VALUE"""),2053.56)</f>
        <v>2053.56</v>
      </c>
      <c r="S35" s="13"/>
    </row>
    <row r="36">
      <c r="A36" s="10">
        <f t="shared" si="8"/>
        <v>38018.66667</v>
      </c>
      <c r="B36" s="2" t="str">
        <f t="shared" si="2"/>
        <v/>
      </c>
      <c r="C36" s="2" t="str">
        <f t="shared" si="3"/>
        <v>SP500</v>
      </c>
      <c r="D36" s="2" t="str">
        <f t="shared" si="4"/>
        <v/>
      </c>
      <c r="E36" s="2">
        <f t="shared" si="5"/>
        <v>2066.15</v>
      </c>
      <c r="G36" s="10">
        <f t="shared" si="9"/>
        <v>38018.64583</v>
      </c>
      <c r="H36" s="6" t="str">
        <f t="shared" si="6"/>
        <v/>
      </c>
      <c r="I36" s="2">
        <f t="shared" si="7"/>
        <v>848.5</v>
      </c>
      <c r="M36" s="10">
        <f>IFERROR(__xludf.DUMMYFUNCTION("""COMPUTED_VALUE"""),38034.666666666664)</f>
        <v>38034.66667</v>
      </c>
      <c r="N36" s="2">
        <f>IFERROR(__xludf.DUMMYFUNCTION("""COMPUTED_VALUE"""),2080.35)</f>
        <v>2080.35</v>
      </c>
      <c r="S36" s="13"/>
    </row>
    <row r="37">
      <c r="A37" s="10">
        <f t="shared" si="8"/>
        <v>38019.66667</v>
      </c>
      <c r="B37" s="2" t="str">
        <f t="shared" si="2"/>
        <v/>
      </c>
      <c r="C37" s="2" t="str">
        <f t="shared" si="3"/>
        <v>SP500</v>
      </c>
      <c r="D37" s="2">
        <f t="shared" si="4"/>
        <v>2063.15</v>
      </c>
      <c r="E37" s="2">
        <f t="shared" si="5"/>
        <v>2063.15</v>
      </c>
      <c r="G37" s="10">
        <f t="shared" si="9"/>
        <v>38019.64583</v>
      </c>
      <c r="H37" s="6">
        <f t="shared" si="6"/>
        <v>854.89</v>
      </c>
      <c r="I37" s="2">
        <f t="shared" si="7"/>
        <v>854.89</v>
      </c>
      <c r="M37" s="10">
        <f>IFERROR(__xludf.DUMMYFUNCTION("""COMPUTED_VALUE"""),38035.666666666664)</f>
        <v>38035.66667</v>
      </c>
      <c r="N37" s="2">
        <f>IFERROR(__xludf.DUMMYFUNCTION("""COMPUTED_VALUE"""),2076.47)</f>
        <v>2076.47</v>
      </c>
      <c r="S37" s="13"/>
    </row>
    <row r="38">
      <c r="A38" s="10">
        <f t="shared" si="8"/>
        <v>38020.66667</v>
      </c>
      <c r="B38" s="2" t="str">
        <f t="shared" si="2"/>
        <v/>
      </c>
      <c r="C38" s="2" t="str">
        <f t="shared" si="3"/>
        <v>SP500</v>
      </c>
      <c r="D38" s="2">
        <f t="shared" si="4"/>
        <v>2066.21</v>
      </c>
      <c r="E38" s="2">
        <f t="shared" si="5"/>
        <v>2066.21</v>
      </c>
      <c r="G38" s="10">
        <f t="shared" si="9"/>
        <v>38020.64583</v>
      </c>
      <c r="H38" s="6">
        <f t="shared" si="6"/>
        <v>839.87</v>
      </c>
      <c r="I38" s="2">
        <f t="shared" si="7"/>
        <v>839.87</v>
      </c>
      <c r="M38" s="10">
        <f>IFERROR(__xludf.DUMMYFUNCTION("""COMPUTED_VALUE"""),38036.666666666664)</f>
        <v>38036.66667</v>
      </c>
      <c r="N38" s="2">
        <f>IFERROR(__xludf.DUMMYFUNCTION("""COMPUTED_VALUE"""),2045.96)</f>
        <v>2045.96</v>
      </c>
      <c r="S38" s="13"/>
    </row>
    <row r="39">
      <c r="A39" s="10">
        <f t="shared" si="8"/>
        <v>38021.66667</v>
      </c>
      <c r="B39" s="2" t="str">
        <f t="shared" si="2"/>
        <v/>
      </c>
      <c r="C39" s="2" t="str">
        <f t="shared" si="3"/>
        <v>SP500</v>
      </c>
      <c r="D39" s="2">
        <f t="shared" si="4"/>
        <v>2014.14</v>
      </c>
      <c r="E39" s="2">
        <f t="shared" si="5"/>
        <v>2014.14</v>
      </c>
      <c r="G39" s="10">
        <f t="shared" si="9"/>
        <v>38021.64583</v>
      </c>
      <c r="H39" s="6">
        <f t="shared" si="6"/>
        <v>835.5</v>
      </c>
      <c r="I39" s="2">
        <f t="shared" si="7"/>
        <v>835.5</v>
      </c>
      <c r="M39" s="10">
        <f>IFERROR(__xludf.DUMMYFUNCTION("""COMPUTED_VALUE"""),38037.666666666664)</f>
        <v>38037.66667</v>
      </c>
      <c r="N39" s="2">
        <f>IFERROR(__xludf.DUMMYFUNCTION("""COMPUTED_VALUE"""),2037.93)</f>
        <v>2037.93</v>
      </c>
      <c r="S39" s="13"/>
    </row>
    <row r="40">
      <c r="A40" s="10">
        <f t="shared" si="8"/>
        <v>38022.66667</v>
      </c>
      <c r="B40" s="2" t="str">
        <f t="shared" si="2"/>
        <v/>
      </c>
      <c r="C40" s="2" t="str">
        <f t="shared" si="3"/>
        <v>SP500</v>
      </c>
      <c r="D40" s="2">
        <f t="shared" si="4"/>
        <v>2019.56</v>
      </c>
      <c r="E40" s="2">
        <f t="shared" si="5"/>
        <v>2019.56</v>
      </c>
      <c r="G40" s="10">
        <f t="shared" si="9"/>
        <v>38022.64583</v>
      </c>
      <c r="H40" s="6">
        <f t="shared" si="6"/>
        <v>840.92</v>
      </c>
      <c r="I40" s="2">
        <f t="shared" si="7"/>
        <v>840.92</v>
      </c>
      <c r="M40" s="10">
        <f>IFERROR(__xludf.DUMMYFUNCTION("""COMPUTED_VALUE"""),38040.666666666664)</f>
        <v>38040.66667</v>
      </c>
      <c r="N40" s="2">
        <f>IFERROR(__xludf.DUMMYFUNCTION("""COMPUTED_VALUE"""),2007.52)</f>
        <v>2007.52</v>
      </c>
      <c r="S40" s="13"/>
    </row>
    <row r="41">
      <c r="A41" s="10">
        <f t="shared" si="8"/>
        <v>38023.66667</v>
      </c>
      <c r="B41" s="2" t="str">
        <f t="shared" si="2"/>
        <v/>
      </c>
      <c r="C41" s="2" t="str">
        <f t="shared" si="3"/>
        <v>SP500</v>
      </c>
      <c r="D41" s="2">
        <f t="shared" si="4"/>
        <v>2064.01</v>
      </c>
      <c r="E41" s="2">
        <f t="shared" si="5"/>
        <v>2064.01</v>
      </c>
      <c r="G41" s="10">
        <f t="shared" si="9"/>
        <v>38023.64583</v>
      </c>
      <c r="H41" s="6">
        <f t="shared" si="6"/>
        <v>850.23</v>
      </c>
      <c r="I41" s="2">
        <f t="shared" si="7"/>
        <v>850.23</v>
      </c>
      <c r="M41" s="10">
        <f>IFERROR(__xludf.DUMMYFUNCTION("""COMPUTED_VALUE"""),38041.666666666664)</f>
        <v>38041.66667</v>
      </c>
      <c r="N41" s="2">
        <f>IFERROR(__xludf.DUMMYFUNCTION("""COMPUTED_VALUE"""),2005.44)</f>
        <v>2005.44</v>
      </c>
      <c r="S41" s="13"/>
    </row>
    <row r="42">
      <c r="A42" s="10">
        <f t="shared" si="8"/>
        <v>38024.66667</v>
      </c>
      <c r="B42" s="2" t="str">
        <f t="shared" si="2"/>
        <v/>
      </c>
      <c r="C42" s="2" t="str">
        <f t="shared" si="3"/>
        <v>SP500</v>
      </c>
      <c r="D42" s="2" t="str">
        <f t="shared" si="4"/>
        <v/>
      </c>
      <c r="E42" s="2">
        <f t="shared" si="5"/>
        <v>2064.01</v>
      </c>
      <c r="G42" s="10">
        <f t="shared" si="9"/>
        <v>38024.64583</v>
      </c>
      <c r="H42" s="6" t="str">
        <f t="shared" si="6"/>
        <v/>
      </c>
      <c r="I42" s="2">
        <f t="shared" si="7"/>
        <v>850.23</v>
      </c>
      <c r="M42" s="10">
        <f>IFERROR(__xludf.DUMMYFUNCTION("""COMPUTED_VALUE"""),38042.666666666664)</f>
        <v>38042.66667</v>
      </c>
      <c r="N42" s="2">
        <f>IFERROR(__xludf.DUMMYFUNCTION("""COMPUTED_VALUE"""),2022.98)</f>
        <v>2022.98</v>
      </c>
      <c r="S42" s="13"/>
    </row>
    <row r="43">
      <c r="A43" s="10">
        <f t="shared" si="8"/>
        <v>38025.66667</v>
      </c>
      <c r="B43" s="2" t="str">
        <f t="shared" si="2"/>
        <v/>
      </c>
      <c r="C43" s="2" t="str">
        <f t="shared" si="3"/>
        <v>SP500</v>
      </c>
      <c r="D43" s="2" t="str">
        <f t="shared" si="4"/>
        <v/>
      </c>
      <c r="E43" s="2">
        <f t="shared" si="5"/>
        <v>2064.01</v>
      </c>
      <c r="G43" s="10">
        <f t="shared" si="9"/>
        <v>38025.64583</v>
      </c>
      <c r="H43" s="6" t="str">
        <f t="shared" si="6"/>
        <v/>
      </c>
      <c r="I43" s="2">
        <f t="shared" si="7"/>
        <v>850.23</v>
      </c>
      <c r="M43" s="10">
        <f>IFERROR(__xludf.DUMMYFUNCTION("""COMPUTED_VALUE"""),38043.666666666664)</f>
        <v>38043.66667</v>
      </c>
      <c r="N43" s="2">
        <f>IFERROR(__xludf.DUMMYFUNCTION("""COMPUTED_VALUE"""),2032.57)</f>
        <v>2032.57</v>
      </c>
      <c r="S43" s="13"/>
    </row>
    <row r="44">
      <c r="A44" s="10">
        <f t="shared" si="8"/>
        <v>38026.66667</v>
      </c>
      <c r="B44" s="2" t="str">
        <f t="shared" si="2"/>
        <v/>
      </c>
      <c r="C44" s="2" t="str">
        <f t="shared" si="3"/>
        <v>SP500</v>
      </c>
      <c r="D44" s="2">
        <f t="shared" si="4"/>
        <v>2060.57</v>
      </c>
      <c r="E44" s="2">
        <f t="shared" si="5"/>
        <v>2060.57</v>
      </c>
      <c r="G44" s="10">
        <f t="shared" si="9"/>
        <v>38026.64583</v>
      </c>
      <c r="H44" s="6">
        <f t="shared" si="6"/>
        <v>864.77</v>
      </c>
      <c r="I44" s="2">
        <f t="shared" si="7"/>
        <v>864.77</v>
      </c>
      <c r="M44" s="10">
        <f>IFERROR(__xludf.DUMMYFUNCTION("""COMPUTED_VALUE"""),38044.666666666664)</f>
        <v>38044.66667</v>
      </c>
      <c r="N44" s="2">
        <f>IFERROR(__xludf.DUMMYFUNCTION("""COMPUTED_VALUE"""),2029.82)</f>
        <v>2029.82</v>
      </c>
      <c r="S44" s="13"/>
    </row>
    <row r="45">
      <c r="A45" s="10">
        <f t="shared" si="8"/>
        <v>38027.66667</v>
      </c>
      <c r="B45" s="2" t="str">
        <f t="shared" si="2"/>
        <v/>
      </c>
      <c r="C45" s="2" t="str">
        <f t="shared" si="3"/>
        <v>SP500</v>
      </c>
      <c r="D45" s="2">
        <f t="shared" si="4"/>
        <v>2075.33</v>
      </c>
      <c r="E45" s="2">
        <f t="shared" si="5"/>
        <v>2075.33</v>
      </c>
      <c r="G45" s="10">
        <f t="shared" si="9"/>
        <v>38027.64583</v>
      </c>
      <c r="H45" s="6">
        <f t="shared" si="6"/>
        <v>866.8</v>
      </c>
      <c r="I45" s="2">
        <f t="shared" si="7"/>
        <v>866.8</v>
      </c>
      <c r="M45" s="10">
        <f>IFERROR(__xludf.DUMMYFUNCTION("""COMPUTED_VALUE"""),38047.666666666664)</f>
        <v>38047.66667</v>
      </c>
      <c r="N45" s="2">
        <f>IFERROR(__xludf.DUMMYFUNCTION("""COMPUTED_VALUE"""),2057.8)</f>
        <v>2057.8</v>
      </c>
      <c r="S45" s="13"/>
    </row>
    <row r="46">
      <c r="A46" s="10">
        <f t="shared" si="8"/>
        <v>38028.66667</v>
      </c>
      <c r="B46" s="2" t="str">
        <f t="shared" si="2"/>
        <v/>
      </c>
      <c r="C46" s="2" t="str">
        <f t="shared" si="3"/>
        <v>SP500</v>
      </c>
      <c r="D46" s="2">
        <f t="shared" si="4"/>
        <v>2089.66</v>
      </c>
      <c r="E46" s="2">
        <f t="shared" si="5"/>
        <v>2089.66</v>
      </c>
      <c r="G46" s="10">
        <f t="shared" si="9"/>
        <v>38028.64583</v>
      </c>
      <c r="H46" s="6">
        <f t="shared" si="6"/>
        <v>876.34</v>
      </c>
      <c r="I46" s="2">
        <f t="shared" si="7"/>
        <v>876.34</v>
      </c>
      <c r="M46" s="10">
        <f>IFERROR(__xludf.DUMMYFUNCTION("""COMPUTED_VALUE"""),38048.666666666664)</f>
        <v>38048.66667</v>
      </c>
      <c r="N46" s="2">
        <f>IFERROR(__xludf.DUMMYFUNCTION("""COMPUTED_VALUE"""),2039.65)</f>
        <v>2039.65</v>
      </c>
      <c r="S46" s="13"/>
    </row>
    <row r="47">
      <c r="A47" s="10">
        <f t="shared" si="8"/>
        <v>38029.66667</v>
      </c>
      <c r="B47" s="2" t="str">
        <f t="shared" si="2"/>
        <v/>
      </c>
      <c r="C47" s="2" t="str">
        <f t="shared" si="3"/>
        <v>SP500</v>
      </c>
      <c r="D47" s="2">
        <f t="shared" si="4"/>
        <v>2073.61</v>
      </c>
      <c r="E47" s="2">
        <f t="shared" si="5"/>
        <v>2073.61</v>
      </c>
      <c r="G47" s="10">
        <f t="shared" si="9"/>
        <v>38029.64583</v>
      </c>
      <c r="H47" s="6">
        <f t="shared" si="6"/>
        <v>877.95</v>
      </c>
      <c r="I47" s="2">
        <f t="shared" si="7"/>
        <v>877.95</v>
      </c>
      <c r="M47" s="10">
        <f>IFERROR(__xludf.DUMMYFUNCTION("""COMPUTED_VALUE"""),38049.666666666664)</f>
        <v>38049.66667</v>
      </c>
      <c r="N47" s="2">
        <f>IFERROR(__xludf.DUMMYFUNCTION("""COMPUTED_VALUE"""),2033.36)</f>
        <v>2033.36</v>
      </c>
      <c r="S47" s="13"/>
    </row>
    <row r="48">
      <c r="A48" s="10">
        <f t="shared" si="8"/>
        <v>38030.66667</v>
      </c>
      <c r="B48" s="2" t="str">
        <f t="shared" si="2"/>
        <v/>
      </c>
      <c r="C48" s="2" t="str">
        <f t="shared" si="3"/>
        <v>SP500</v>
      </c>
      <c r="D48" s="2">
        <f t="shared" si="4"/>
        <v>2053.56</v>
      </c>
      <c r="E48" s="2">
        <f t="shared" si="5"/>
        <v>2053.56</v>
      </c>
      <c r="G48" s="10">
        <f t="shared" si="9"/>
        <v>38030.64583</v>
      </c>
      <c r="H48" s="6">
        <f t="shared" si="6"/>
        <v>882.18</v>
      </c>
      <c r="I48" s="2">
        <f t="shared" si="7"/>
        <v>882.18</v>
      </c>
      <c r="M48" s="10">
        <f>IFERROR(__xludf.DUMMYFUNCTION("""COMPUTED_VALUE"""),38050.666666666664)</f>
        <v>38050.66667</v>
      </c>
      <c r="N48" s="2">
        <f>IFERROR(__xludf.DUMMYFUNCTION("""COMPUTED_VALUE"""),2055.11)</f>
        <v>2055.11</v>
      </c>
      <c r="S48" s="13"/>
    </row>
    <row r="49">
      <c r="A49" s="10">
        <f t="shared" si="8"/>
        <v>38031.66667</v>
      </c>
      <c r="B49" s="2" t="str">
        <f t="shared" si="2"/>
        <v/>
      </c>
      <c r="C49" s="2" t="str">
        <f t="shared" si="3"/>
        <v>SP500</v>
      </c>
      <c r="D49" s="2" t="str">
        <f t="shared" si="4"/>
        <v/>
      </c>
      <c r="E49" s="2">
        <f t="shared" si="5"/>
        <v>2053.56</v>
      </c>
      <c r="G49" s="10">
        <f t="shared" si="9"/>
        <v>38031.64583</v>
      </c>
      <c r="H49" s="6" t="str">
        <f t="shared" si="6"/>
        <v/>
      </c>
      <c r="I49" s="2">
        <f t="shared" si="7"/>
        <v>882.18</v>
      </c>
      <c r="M49" s="10">
        <f>IFERROR(__xludf.DUMMYFUNCTION("""COMPUTED_VALUE"""),38051.666666666664)</f>
        <v>38051.66667</v>
      </c>
      <c r="N49" s="2">
        <f>IFERROR(__xludf.DUMMYFUNCTION("""COMPUTED_VALUE"""),2047.63)</f>
        <v>2047.63</v>
      </c>
      <c r="S49" s="13"/>
    </row>
    <row r="50">
      <c r="A50" s="10">
        <f t="shared" si="8"/>
        <v>38032.66667</v>
      </c>
      <c r="B50" s="2" t="str">
        <f t="shared" si="2"/>
        <v/>
      </c>
      <c r="C50" s="2" t="str">
        <f t="shared" si="3"/>
        <v>SP500</v>
      </c>
      <c r="D50" s="2" t="str">
        <f t="shared" si="4"/>
        <v/>
      </c>
      <c r="E50" s="2">
        <f t="shared" si="5"/>
        <v>2053.56</v>
      </c>
      <c r="G50" s="10">
        <f t="shared" si="9"/>
        <v>38032.64583</v>
      </c>
      <c r="H50" s="6" t="str">
        <f t="shared" si="6"/>
        <v/>
      </c>
      <c r="I50" s="2">
        <f t="shared" si="7"/>
        <v>882.18</v>
      </c>
      <c r="M50" s="10">
        <f>IFERROR(__xludf.DUMMYFUNCTION("""COMPUTED_VALUE"""),38054.666666666664)</f>
        <v>38054.66667</v>
      </c>
      <c r="N50" s="2">
        <f>IFERROR(__xludf.DUMMYFUNCTION("""COMPUTED_VALUE"""),2008.78)</f>
        <v>2008.78</v>
      </c>
      <c r="S50" s="13"/>
    </row>
    <row r="51">
      <c r="A51" s="10">
        <f t="shared" si="8"/>
        <v>38033.66667</v>
      </c>
      <c r="B51" s="2" t="str">
        <f t="shared" si="2"/>
        <v/>
      </c>
      <c r="C51" s="2" t="str">
        <f t="shared" si="3"/>
        <v>SP500</v>
      </c>
      <c r="D51" s="2" t="str">
        <f t="shared" si="4"/>
        <v/>
      </c>
      <c r="E51" s="2">
        <f t="shared" si="5"/>
        <v>2053.56</v>
      </c>
      <c r="G51" s="10">
        <f t="shared" si="9"/>
        <v>38033.64583</v>
      </c>
      <c r="H51" s="6">
        <f t="shared" si="6"/>
        <v>881.28</v>
      </c>
      <c r="I51" s="2">
        <f t="shared" si="7"/>
        <v>881.28</v>
      </c>
      <c r="M51" s="10">
        <f>IFERROR(__xludf.DUMMYFUNCTION("""COMPUTED_VALUE"""),38055.666666666664)</f>
        <v>38055.66667</v>
      </c>
      <c r="N51" s="2">
        <f>IFERROR(__xludf.DUMMYFUNCTION("""COMPUTED_VALUE"""),1995.16)</f>
        <v>1995.16</v>
      </c>
      <c r="S51" s="13"/>
    </row>
    <row r="52">
      <c r="A52" s="10">
        <f t="shared" si="8"/>
        <v>38034.66667</v>
      </c>
      <c r="B52" s="2" t="str">
        <f t="shared" si="2"/>
        <v/>
      </c>
      <c r="C52" s="2" t="str">
        <f t="shared" si="3"/>
        <v>SP500</v>
      </c>
      <c r="D52" s="2">
        <f t="shared" si="4"/>
        <v>2080.35</v>
      </c>
      <c r="E52" s="2">
        <f t="shared" si="5"/>
        <v>2080.35</v>
      </c>
      <c r="G52" s="10">
        <f t="shared" si="9"/>
        <v>38034.64583</v>
      </c>
      <c r="H52" s="6">
        <f t="shared" si="6"/>
        <v>884.8</v>
      </c>
      <c r="I52" s="2">
        <f t="shared" si="7"/>
        <v>884.8</v>
      </c>
      <c r="M52" s="10">
        <f>IFERROR(__xludf.DUMMYFUNCTION("""COMPUTED_VALUE"""),38056.666666666664)</f>
        <v>38056.66667</v>
      </c>
      <c r="N52" s="2">
        <f>IFERROR(__xludf.DUMMYFUNCTION("""COMPUTED_VALUE"""),1964.15)</f>
        <v>1964.15</v>
      </c>
      <c r="S52" s="13"/>
    </row>
    <row r="53">
      <c r="A53" s="10">
        <f t="shared" si="8"/>
        <v>38035.66667</v>
      </c>
      <c r="B53" s="2" t="str">
        <f t="shared" si="2"/>
        <v/>
      </c>
      <c r="C53" s="2" t="str">
        <f t="shared" si="3"/>
        <v>SP500</v>
      </c>
      <c r="D53" s="2">
        <f t="shared" si="4"/>
        <v>2076.47</v>
      </c>
      <c r="E53" s="2">
        <f t="shared" si="5"/>
        <v>2076.47</v>
      </c>
      <c r="G53" s="10">
        <f t="shared" si="9"/>
        <v>38035.64583</v>
      </c>
      <c r="H53" s="6">
        <f t="shared" si="6"/>
        <v>877.1</v>
      </c>
      <c r="I53" s="2">
        <f t="shared" si="7"/>
        <v>877.1</v>
      </c>
      <c r="M53" s="10">
        <f>IFERROR(__xludf.DUMMYFUNCTION("""COMPUTED_VALUE"""),38057.666666666664)</f>
        <v>38057.66667</v>
      </c>
      <c r="N53" s="2">
        <f>IFERROR(__xludf.DUMMYFUNCTION("""COMPUTED_VALUE"""),1943.89)</f>
        <v>1943.89</v>
      </c>
      <c r="S53" s="13"/>
    </row>
    <row r="54">
      <c r="A54" s="10">
        <f t="shared" si="8"/>
        <v>38036.66667</v>
      </c>
      <c r="B54" s="2" t="str">
        <f t="shared" si="2"/>
        <v/>
      </c>
      <c r="C54" s="2" t="str">
        <f t="shared" si="3"/>
        <v>SP500</v>
      </c>
      <c r="D54" s="2">
        <f t="shared" si="4"/>
        <v>2045.96</v>
      </c>
      <c r="E54" s="2">
        <f t="shared" si="5"/>
        <v>2045.96</v>
      </c>
      <c r="G54" s="10">
        <f t="shared" si="9"/>
        <v>38036.64583</v>
      </c>
      <c r="H54" s="6">
        <f t="shared" si="6"/>
        <v>881.65</v>
      </c>
      <c r="I54" s="2">
        <f t="shared" si="7"/>
        <v>881.65</v>
      </c>
      <c r="M54" s="10">
        <f>IFERROR(__xludf.DUMMYFUNCTION("""COMPUTED_VALUE"""),38058.666666666664)</f>
        <v>38058.66667</v>
      </c>
      <c r="N54" s="2">
        <f>IFERROR(__xludf.DUMMYFUNCTION("""COMPUTED_VALUE"""),1984.73)</f>
        <v>1984.73</v>
      </c>
      <c r="S54" s="13"/>
    </row>
    <row r="55">
      <c r="A55" s="10">
        <f t="shared" si="8"/>
        <v>38037.66667</v>
      </c>
      <c r="B55" s="2" t="str">
        <f t="shared" si="2"/>
        <v/>
      </c>
      <c r="C55" s="2" t="str">
        <f t="shared" si="3"/>
        <v>SP500</v>
      </c>
      <c r="D55" s="2">
        <f t="shared" si="4"/>
        <v>2037.93</v>
      </c>
      <c r="E55" s="2">
        <f t="shared" si="5"/>
        <v>2037.93</v>
      </c>
      <c r="G55" s="10">
        <f t="shared" si="9"/>
        <v>38037.64583</v>
      </c>
      <c r="H55" s="6">
        <f t="shared" si="6"/>
        <v>877.49</v>
      </c>
      <c r="I55" s="2">
        <f t="shared" si="7"/>
        <v>877.49</v>
      </c>
      <c r="M55" s="10">
        <f>IFERROR(__xludf.DUMMYFUNCTION("""COMPUTED_VALUE"""),38061.666666666664)</f>
        <v>38061.66667</v>
      </c>
      <c r="N55" s="2">
        <f>IFERROR(__xludf.DUMMYFUNCTION("""COMPUTED_VALUE"""),1939.2)</f>
        <v>1939.2</v>
      </c>
      <c r="S55" s="13"/>
    </row>
    <row r="56">
      <c r="A56" s="10">
        <f t="shared" si="8"/>
        <v>38038.66667</v>
      </c>
      <c r="B56" s="2" t="str">
        <f t="shared" si="2"/>
        <v/>
      </c>
      <c r="C56" s="2" t="str">
        <f t="shared" si="3"/>
        <v>SP500</v>
      </c>
      <c r="D56" s="2" t="str">
        <f t="shared" si="4"/>
        <v/>
      </c>
      <c r="E56" s="2">
        <f t="shared" si="5"/>
        <v>2037.93</v>
      </c>
      <c r="G56" s="10">
        <f t="shared" si="9"/>
        <v>38038.64583</v>
      </c>
      <c r="H56" s="6" t="str">
        <f t="shared" si="6"/>
        <v/>
      </c>
      <c r="I56" s="2">
        <f t="shared" si="7"/>
        <v>877.49</v>
      </c>
      <c r="M56" s="10">
        <f>IFERROR(__xludf.DUMMYFUNCTION("""COMPUTED_VALUE"""),38062.666666666664)</f>
        <v>38062.66667</v>
      </c>
      <c r="N56" s="2">
        <f>IFERROR(__xludf.DUMMYFUNCTION("""COMPUTED_VALUE"""),1943.09)</f>
        <v>1943.09</v>
      </c>
      <c r="S56" s="13"/>
    </row>
    <row r="57">
      <c r="A57" s="10">
        <f t="shared" si="8"/>
        <v>38039.66667</v>
      </c>
      <c r="B57" s="2" t="str">
        <f t="shared" si="2"/>
        <v/>
      </c>
      <c r="C57" s="2" t="str">
        <f t="shared" si="3"/>
        <v>SP500</v>
      </c>
      <c r="D57" s="2" t="str">
        <f t="shared" si="4"/>
        <v/>
      </c>
      <c r="E57" s="2">
        <f t="shared" si="5"/>
        <v>2037.93</v>
      </c>
      <c r="G57" s="10">
        <f t="shared" si="9"/>
        <v>38039.64583</v>
      </c>
      <c r="H57" s="6" t="str">
        <f t="shared" si="6"/>
        <v/>
      </c>
      <c r="I57" s="2">
        <f t="shared" si="7"/>
        <v>877.49</v>
      </c>
      <c r="M57" s="10">
        <f>IFERROR(__xludf.DUMMYFUNCTION("""COMPUTED_VALUE"""),38063.666666666664)</f>
        <v>38063.66667</v>
      </c>
      <c r="N57" s="2">
        <f>IFERROR(__xludf.DUMMYFUNCTION("""COMPUTED_VALUE"""),1976.76)</f>
        <v>1976.76</v>
      </c>
      <c r="S57" s="13"/>
    </row>
    <row r="58">
      <c r="A58" s="10">
        <f t="shared" si="8"/>
        <v>38040.66667</v>
      </c>
      <c r="B58" s="2" t="str">
        <f t="shared" si="2"/>
        <v/>
      </c>
      <c r="C58" s="2" t="str">
        <f t="shared" si="3"/>
        <v>SP500</v>
      </c>
      <c r="D58" s="2">
        <f t="shared" si="4"/>
        <v>2007.52</v>
      </c>
      <c r="E58" s="2">
        <f t="shared" si="5"/>
        <v>2007.52</v>
      </c>
      <c r="G58" s="10">
        <f t="shared" si="9"/>
        <v>38040.64583</v>
      </c>
      <c r="H58" s="6">
        <f t="shared" si="6"/>
        <v>877.52</v>
      </c>
      <c r="I58" s="2">
        <f t="shared" si="7"/>
        <v>877.52</v>
      </c>
      <c r="M58" s="10">
        <f>IFERROR(__xludf.DUMMYFUNCTION("""COMPUTED_VALUE"""),38064.666666666664)</f>
        <v>38064.66667</v>
      </c>
      <c r="N58" s="2">
        <f>IFERROR(__xludf.DUMMYFUNCTION("""COMPUTED_VALUE"""),1962.44)</f>
        <v>1962.44</v>
      </c>
      <c r="S58" s="13"/>
    </row>
    <row r="59">
      <c r="A59" s="10">
        <f t="shared" si="8"/>
        <v>38041.66667</v>
      </c>
      <c r="B59" s="2" t="str">
        <f t="shared" si="2"/>
        <v/>
      </c>
      <c r="C59" s="2" t="str">
        <f t="shared" si="3"/>
        <v>SP500</v>
      </c>
      <c r="D59" s="2">
        <f t="shared" si="4"/>
        <v>2005.44</v>
      </c>
      <c r="E59" s="2">
        <f t="shared" si="5"/>
        <v>2005.44</v>
      </c>
      <c r="G59" s="10">
        <f t="shared" si="9"/>
        <v>38041.64583</v>
      </c>
      <c r="H59" s="6">
        <f t="shared" si="6"/>
        <v>864.59</v>
      </c>
      <c r="I59" s="2">
        <f t="shared" si="7"/>
        <v>864.59</v>
      </c>
      <c r="M59" s="10">
        <f>IFERROR(__xludf.DUMMYFUNCTION("""COMPUTED_VALUE"""),38065.666666666664)</f>
        <v>38065.66667</v>
      </c>
      <c r="N59" s="2">
        <f>IFERROR(__xludf.DUMMYFUNCTION("""COMPUTED_VALUE"""),1940.47)</f>
        <v>1940.47</v>
      </c>
      <c r="S59" s="13"/>
    </row>
    <row r="60">
      <c r="A60" s="10">
        <f t="shared" si="8"/>
        <v>38042.66667</v>
      </c>
      <c r="B60" s="2" t="str">
        <f t="shared" si="2"/>
        <v/>
      </c>
      <c r="C60" s="2" t="str">
        <f t="shared" si="3"/>
        <v>SP500</v>
      </c>
      <c r="D60" s="2">
        <f t="shared" si="4"/>
        <v>2022.98</v>
      </c>
      <c r="E60" s="2">
        <f t="shared" si="5"/>
        <v>2022.98</v>
      </c>
      <c r="G60" s="10">
        <f t="shared" si="9"/>
        <v>38042.64583</v>
      </c>
      <c r="H60" s="6">
        <f t="shared" si="6"/>
        <v>866.87</v>
      </c>
      <c r="I60" s="2">
        <f t="shared" si="7"/>
        <v>866.87</v>
      </c>
      <c r="M60" s="10">
        <f>IFERROR(__xludf.DUMMYFUNCTION("""COMPUTED_VALUE"""),38068.666666666664)</f>
        <v>38068.66667</v>
      </c>
      <c r="N60" s="2">
        <f>IFERROR(__xludf.DUMMYFUNCTION("""COMPUTED_VALUE"""),1909.9)</f>
        <v>1909.9</v>
      </c>
      <c r="S60" s="13"/>
    </row>
    <row r="61">
      <c r="A61" s="10">
        <f t="shared" si="8"/>
        <v>38043.66667</v>
      </c>
      <c r="B61" s="2" t="str">
        <f t="shared" si="2"/>
        <v/>
      </c>
      <c r="C61" s="2" t="str">
        <f t="shared" si="3"/>
        <v>SP500</v>
      </c>
      <c r="D61" s="2">
        <f t="shared" si="4"/>
        <v>2032.57</v>
      </c>
      <c r="E61" s="2">
        <f t="shared" si="5"/>
        <v>2032.57</v>
      </c>
      <c r="G61" s="10">
        <f t="shared" si="9"/>
        <v>38043.64583</v>
      </c>
      <c r="H61" s="6">
        <f t="shared" si="6"/>
        <v>864.86</v>
      </c>
      <c r="I61" s="2">
        <f t="shared" si="7"/>
        <v>864.86</v>
      </c>
      <c r="M61" s="10">
        <f>IFERROR(__xludf.DUMMYFUNCTION("""COMPUTED_VALUE"""),38069.666666666664)</f>
        <v>38069.66667</v>
      </c>
      <c r="N61" s="2">
        <f>IFERROR(__xludf.DUMMYFUNCTION("""COMPUTED_VALUE"""),1901.8)</f>
        <v>1901.8</v>
      </c>
      <c r="S61" s="13"/>
    </row>
    <row r="62">
      <c r="A62" s="10">
        <f t="shared" si="8"/>
        <v>38044.66667</v>
      </c>
      <c r="B62" s="2" t="str">
        <f t="shared" si="2"/>
        <v/>
      </c>
      <c r="C62" s="2" t="str">
        <f t="shared" si="3"/>
        <v>SP500</v>
      </c>
      <c r="D62" s="2">
        <f t="shared" si="4"/>
        <v>2029.82</v>
      </c>
      <c r="E62" s="2">
        <f t="shared" si="5"/>
        <v>2029.82</v>
      </c>
      <c r="G62" s="10">
        <f t="shared" si="9"/>
        <v>38044.64583</v>
      </c>
      <c r="H62" s="6">
        <f t="shared" si="6"/>
        <v>883.42</v>
      </c>
      <c r="I62" s="2">
        <f t="shared" si="7"/>
        <v>883.42</v>
      </c>
      <c r="M62" s="10">
        <f>IFERROR(__xludf.DUMMYFUNCTION("""COMPUTED_VALUE"""),38070.666666666664)</f>
        <v>38070.66667</v>
      </c>
      <c r="N62" s="2">
        <f>IFERROR(__xludf.DUMMYFUNCTION("""COMPUTED_VALUE"""),1909.48)</f>
        <v>1909.48</v>
      </c>
      <c r="S62" s="13"/>
    </row>
    <row r="63">
      <c r="A63" s="10">
        <f t="shared" si="8"/>
        <v>38045.66667</v>
      </c>
      <c r="B63" s="2" t="str">
        <f t="shared" si="2"/>
        <v/>
      </c>
      <c r="C63" s="2" t="str">
        <f t="shared" si="3"/>
        <v>SP500</v>
      </c>
      <c r="D63" s="2" t="str">
        <f t="shared" si="4"/>
        <v/>
      </c>
      <c r="E63" s="2">
        <f t="shared" si="5"/>
        <v>2029.82</v>
      </c>
      <c r="G63" s="10">
        <f t="shared" si="9"/>
        <v>38045.64583</v>
      </c>
      <c r="H63" s="6" t="str">
        <f t="shared" si="6"/>
        <v/>
      </c>
      <c r="I63" s="2">
        <f t="shared" si="7"/>
        <v>883.42</v>
      </c>
      <c r="M63" s="10">
        <f>IFERROR(__xludf.DUMMYFUNCTION("""COMPUTED_VALUE"""),38071.666666666664)</f>
        <v>38071.66667</v>
      </c>
      <c r="N63" s="2">
        <f>IFERROR(__xludf.DUMMYFUNCTION("""COMPUTED_VALUE"""),1967.17)</f>
        <v>1967.17</v>
      </c>
      <c r="S63" s="13"/>
    </row>
    <row r="64">
      <c r="A64" s="10">
        <f t="shared" si="8"/>
        <v>38046.66667</v>
      </c>
      <c r="B64" s="2" t="str">
        <f t="shared" si="2"/>
        <v/>
      </c>
      <c r="C64" s="2" t="str">
        <f t="shared" si="3"/>
        <v>SP500</v>
      </c>
      <c r="D64" s="2" t="str">
        <f t="shared" si="4"/>
        <v/>
      </c>
      <c r="E64" s="2">
        <f t="shared" si="5"/>
        <v>2029.82</v>
      </c>
      <c r="G64" s="10">
        <f t="shared" si="9"/>
        <v>38046.64583</v>
      </c>
      <c r="H64" s="6" t="str">
        <f t="shared" si="6"/>
        <v/>
      </c>
      <c r="I64" s="2">
        <f t="shared" si="7"/>
        <v>883.42</v>
      </c>
      <c r="M64" s="10">
        <f>IFERROR(__xludf.DUMMYFUNCTION("""COMPUTED_VALUE"""),38072.666666666664)</f>
        <v>38072.66667</v>
      </c>
      <c r="N64" s="2">
        <f>IFERROR(__xludf.DUMMYFUNCTION("""COMPUTED_VALUE"""),1960.02)</f>
        <v>1960.02</v>
      </c>
      <c r="S64" s="13"/>
    </row>
    <row r="65">
      <c r="A65" s="10">
        <f t="shared" si="8"/>
        <v>38047.66667</v>
      </c>
      <c r="B65" s="2" t="str">
        <f t="shared" si="2"/>
        <v/>
      </c>
      <c r="C65" s="2" t="str">
        <f t="shared" si="3"/>
        <v>SP500</v>
      </c>
      <c r="D65" s="2">
        <f t="shared" si="4"/>
        <v>2057.8</v>
      </c>
      <c r="E65" s="2">
        <f t="shared" si="5"/>
        <v>2057.8</v>
      </c>
      <c r="G65" s="10">
        <f t="shared" si="9"/>
        <v>38047.64583</v>
      </c>
      <c r="H65" s="6" t="str">
        <f t="shared" si="6"/>
        <v/>
      </c>
      <c r="I65" s="2">
        <f t="shared" si="7"/>
        <v>883.42</v>
      </c>
      <c r="M65" s="10">
        <f>IFERROR(__xludf.DUMMYFUNCTION("""COMPUTED_VALUE"""),38075.666666666664)</f>
        <v>38075.66667</v>
      </c>
      <c r="N65" s="2">
        <f>IFERROR(__xludf.DUMMYFUNCTION("""COMPUTED_VALUE"""),1992.57)</f>
        <v>1992.57</v>
      </c>
      <c r="S65" s="13"/>
    </row>
    <row r="66">
      <c r="A66" s="10">
        <f t="shared" si="8"/>
        <v>38048.66667</v>
      </c>
      <c r="B66" s="2" t="str">
        <f t="shared" si="2"/>
        <v/>
      </c>
      <c r="C66" s="2" t="str">
        <f t="shared" si="3"/>
        <v>SP500</v>
      </c>
      <c r="D66" s="2">
        <f t="shared" si="4"/>
        <v>2039.65</v>
      </c>
      <c r="E66" s="2">
        <f t="shared" si="5"/>
        <v>2039.65</v>
      </c>
      <c r="G66" s="10">
        <f t="shared" si="9"/>
        <v>38048.64583</v>
      </c>
      <c r="H66" s="6">
        <f t="shared" si="6"/>
        <v>899.21</v>
      </c>
      <c r="I66" s="2">
        <f t="shared" si="7"/>
        <v>899.21</v>
      </c>
      <c r="M66" s="10">
        <f>IFERROR(__xludf.DUMMYFUNCTION("""COMPUTED_VALUE"""),38076.666666666664)</f>
        <v>38076.66667</v>
      </c>
      <c r="N66" s="2">
        <f>IFERROR(__xludf.DUMMYFUNCTION("""COMPUTED_VALUE"""),2000.63)</f>
        <v>2000.63</v>
      </c>
      <c r="S66" s="13"/>
    </row>
    <row r="67">
      <c r="A67" s="10">
        <f t="shared" si="8"/>
        <v>38049.66667</v>
      </c>
      <c r="B67" s="2" t="str">
        <f t="shared" si="2"/>
        <v/>
      </c>
      <c r="C67" s="2" t="str">
        <f t="shared" si="3"/>
        <v>SP500</v>
      </c>
      <c r="D67" s="2">
        <f t="shared" si="4"/>
        <v>2033.36</v>
      </c>
      <c r="E67" s="2">
        <f t="shared" si="5"/>
        <v>2033.36</v>
      </c>
      <c r="G67" s="10">
        <f t="shared" si="9"/>
        <v>38049.64583</v>
      </c>
      <c r="H67" s="6">
        <f t="shared" si="6"/>
        <v>895.81</v>
      </c>
      <c r="I67" s="2">
        <f t="shared" si="7"/>
        <v>895.81</v>
      </c>
      <c r="M67" s="10">
        <f>IFERROR(__xludf.DUMMYFUNCTION("""COMPUTED_VALUE"""),38077.666666666664)</f>
        <v>38077.66667</v>
      </c>
      <c r="N67" s="2">
        <f>IFERROR(__xludf.DUMMYFUNCTION("""COMPUTED_VALUE"""),1994.22)</f>
        <v>1994.22</v>
      </c>
      <c r="S67" s="13"/>
    </row>
    <row r="68">
      <c r="A68" s="10">
        <f t="shared" si="8"/>
        <v>38050.66667</v>
      </c>
      <c r="B68" s="2" t="str">
        <f t="shared" si="2"/>
        <v/>
      </c>
      <c r="C68" s="2" t="str">
        <f t="shared" si="3"/>
        <v>SP500</v>
      </c>
      <c r="D68" s="2">
        <f t="shared" si="4"/>
        <v>2055.11</v>
      </c>
      <c r="E68" s="2">
        <f t="shared" si="5"/>
        <v>2055.11</v>
      </c>
      <c r="G68" s="10">
        <f t="shared" si="9"/>
        <v>38050.64583</v>
      </c>
      <c r="H68" s="6">
        <f t="shared" si="6"/>
        <v>907.43</v>
      </c>
      <c r="I68" s="2">
        <f t="shared" si="7"/>
        <v>907.43</v>
      </c>
      <c r="M68" s="10">
        <f>IFERROR(__xludf.DUMMYFUNCTION("""COMPUTED_VALUE"""),38078.666666666664)</f>
        <v>38078.66667</v>
      </c>
      <c r="N68" s="2">
        <f>IFERROR(__xludf.DUMMYFUNCTION("""COMPUTED_VALUE"""),2015.01)</f>
        <v>2015.01</v>
      </c>
      <c r="S68" s="13"/>
    </row>
    <row r="69">
      <c r="A69" s="10">
        <f t="shared" si="8"/>
        <v>38051.66667</v>
      </c>
      <c r="B69" s="2" t="str">
        <f t="shared" si="2"/>
        <v/>
      </c>
      <c r="C69" s="2" t="str">
        <f t="shared" si="3"/>
        <v>SP500</v>
      </c>
      <c r="D69" s="2">
        <f t="shared" si="4"/>
        <v>2047.63</v>
      </c>
      <c r="E69" s="2">
        <f t="shared" si="5"/>
        <v>2047.63</v>
      </c>
      <c r="G69" s="10">
        <f t="shared" si="9"/>
        <v>38051.64583</v>
      </c>
      <c r="H69" s="6">
        <f t="shared" si="6"/>
        <v>905.38</v>
      </c>
      <c r="I69" s="2">
        <f t="shared" si="7"/>
        <v>905.38</v>
      </c>
      <c r="M69" s="10">
        <f>IFERROR(__xludf.DUMMYFUNCTION("""COMPUTED_VALUE"""),38079.666666666664)</f>
        <v>38079.66667</v>
      </c>
      <c r="N69" s="2">
        <f>IFERROR(__xludf.DUMMYFUNCTION("""COMPUTED_VALUE"""),2057.17)</f>
        <v>2057.17</v>
      </c>
      <c r="S69" s="13"/>
    </row>
    <row r="70">
      <c r="A70" s="10">
        <f t="shared" si="8"/>
        <v>38052.66667</v>
      </c>
      <c r="B70" s="2" t="str">
        <f t="shared" si="2"/>
        <v/>
      </c>
      <c r="C70" s="2" t="str">
        <f t="shared" si="3"/>
        <v>SP500</v>
      </c>
      <c r="D70" s="2" t="str">
        <f t="shared" si="4"/>
        <v/>
      </c>
      <c r="E70" s="2">
        <f t="shared" si="5"/>
        <v>2047.63</v>
      </c>
      <c r="G70" s="10">
        <f t="shared" si="9"/>
        <v>38052.64583</v>
      </c>
      <c r="H70" s="6" t="str">
        <f t="shared" si="6"/>
        <v/>
      </c>
      <c r="I70" s="2">
        <f t="shared" si="7"/>
        <v>905.38</v>
      </c>
      <c r="M70" s="10">
        <f>IFERROR(__xludf.DUMMYFUNCTION("""COMPUTED_VALUE"""),38082.666666666664)</f>
        <v>38082.66667</v>
      </c>
      <c r="N70" s="2">
        <f>IFERROR(__xludf.DUMMYFUNCTION("""COMPUTED_VALUE"""),2079.12)</f>
        <v>2079.12</v>
      </c>
      <c r="S70" s="13"/>
    </row>
    <row r="71">
      <c r="A71" s="10">
        <f t="shared" si="8"/>
        <v>38053.66667</v>
      </c>
      <c r="B71" s="2" t="str">
        <f t="shared" si="2"/>
        <v/>
      </c>
      <c r="C71" s="2" t="str">
        <f t="shared" si="3"/>
        <v>SP500</v>
      </c>
      <c r="D71" s="2" t="str">
        <f t="shared" si="4"/>
        <v/>
      </c>
      <c r="E71" s="2">
        <f t="shared" si="5"/>
        <v>2047.63</v>
      </c>
      <c r="G71" s="10">
        <f t="shared" si="9"/>
        <v>38053.64583</v>
      </c>
      <c r="H71" s="6" t="str">
        <f t="shared" si="6"/>
        <v/>
      </c>
      <c r="I71" s="2">
        <f t="shared" si="7"/>
        <v>905.38</v>
      </c>
      <c r="M71" s="10">
        <f>IFERROR(__xludf.DUMMYFUNCTION("""COMPUTED_VALUE"""),38083.666666666664)</f>
        <v>38083.66667</v>
      </c>
      <c r="N71" s="2">
        <f>IFERROR(__xludf.DUMMYFUNCTION("""COMPUTED_VALUE"""),2059.9)</f>
        <v>2059.9</v>
      </c>
      <c r="S71" s="13"/>
    </row>
    <row r="72">
      <c r="A72" s="10">
        <f t="shared" si="8"/>
        <v>38054.66667</v>
      </c>
      <c r="B72" s="2" t="str">
        <f t="shared" si="2"/>
        <v/>
      </c>
      <c r="C72" s="2" t="str">
        <f t="shared" si="3"/>
        <v>SP500</v>
      </c>
      <c r="D72" s="2">
        <f t="shared" si="4"/>
        <v>2008.78</v>
      </c>
      <c r="E72" s="2">
        <f t="shared" si="5"/>
        <v>2008.78</v>
      </c>
      <c r="G72" s="10">
        <f t="shared" si="9"/>
        <v>38054.64583</v>
      </c>
      <c r="H72" s="6">
        <f t="shared" si="6"/>
        <v>900.1</v>
      </c>
      <c r="I72" s="2">
        <f t="shared" si="7"/>
        <v>900.1</v>
      </c>
      <c r="M72" s="10">
        <f>IFERROR(__xludf.DUMMYFUNCTION("""COMPUTED_VALUE"""),38084.666666666664)</f>
        <v>38084.66667</v>
      </c>
      <c r="N72" s="2">
        <f>IFERROR(__xludf.DUMMYFUNCTION("""COMPUTED_VALUE"""),2050.24)</f>
        <v>2050.24</v>
      </c>
      <c r="S72" s="13"/>
    </row>
    <row r="73">
      <c r="A73" s="10">
        <f t="shared" si="8"/>
        <v>38055.66667</v>
      </c>
      <c r="B73" s="2" t="str">
        <f t="shared" si="2"/>
        <v/>
      </c>
      <c r="C73" s="2" t="str">
        <f t="shared" si="3"/>
        <v>SP500</v>
      </c>
      <c r="D73" s="2">
        <f t="shared" si="4"/>
        <v>1995.16</v>
      </c>
      <c r="E73" s="2">
        <f t="shared" si="5"/>
        <v>1995.16</v>
      </c>
      <c r="G73" s="10">
        <f t="shared" si="9"/>
        <v>38055.64583</v>
      </c>
      <c r="H73" s="6">
        <f t="shared" si="6"/>
        <v>891.58</v>
      </c>
      <c r="I73" s="2">
        <f t="shared" si="7"/>
        <v>891.58</v>
      </c>
      <c r="M73" s="10">
        <f>IFERROR(__xludf.DUMMYFUNCTION("""COMPUTED_VALUE"""),38085.666666666664)</f>
        <v>38085.66667</v>
      </c>
      <c r="N73" s="2">
        <f>IFERROR(__xludf.DUMMYFUNCTION("""COMPUTED_VALUE"""),2052.88)</f>
        <v>2052.88</v>
      </c>
      <c r="S73" s="13"/>
    </row>
    <row r="74">
      <c r="A74" s="10">
        <f t="shared" si="8"/>
        <v>38056.66667</v>
      </c>
      <c r="B74" s="2" t="str">
        <f t="shared" si="2"/>
        <v/>
      </c>
      <c r="C74" s="2" t="str">
        <f t="shared" si="3"/>
        <v>SP500</v>
      </c>
      <c r="D74" s="2">
        <f t="shared" si="4"/>
        <v>1964.15</v>
      </c>
      <c r="E74" s="2">
        <f t="shared" si="5"/>
        <v>1964.15</v>
      </c>
      <c r="G74" s="10">
        <f t="shared" si="9"/>
        <v>38056.64583</v>
      </c>
      <c r="H74" s="6">
        <f t="shared" si="6"/>
        <v>876.02</v>
      </c>
      <c r="I74" s="2">
        <f t="shared" si="7"/>
        <v>876.02</v>
      </c>
      <c r="M74" s="10">
        <f>IFERROR(__xludf.DUMMYFUNCTION("""COMPUTED_VALUE"""),38089.666666666664)</f>
        <v>38089.66667</v>
      </c>
      <c r="N74" s="2">
        <f>IFERROR(__xludf.DUMMYFUNCTION("""COMPUTED_VALUE"""),2065.48)</f>
        <v>2065.48</v>
      </c>
      <c r="S74" s="13"/>
    </row>
    <row r="75">
      <c r="A75" s="10">
        <f t="shared" si="8"/>
        <v>38057.66667</v>
      </c>
      <c r="B75" s="2" t="str">
        <f t="shared" si="2"/>
        <v/>
      </c>
      <c r="C75" s="2" t="str">
        <f t="shared" si="3"/>
        <v>SP500</v>
      </c>
      <c r="D75" s="2">
        <f t="shared" si="4"/>
        <v>1943.89</v>
      </c>
      <c r="E75" s="2">
        <f t="shared" si="5"/>
        <v>1943.89</v>
      </c>
      <c r="G75" s="10">
        <f t="shared" si="9"/>
        <v>38057.64583</v>
      </c>
      <c r="H75" s="6">
        <f t="shared" si="6"/>
        <v>869.93</v>
      </c>
      <c r="I75" s="2">
        <f t="shared" si="7"/>
        <v>869.93</v>
      </c>
      <c r="M75" s="10">
        <f>IFERROR(__xludf.DUMMYFUNCTION("""COMPUTED_VALUE"""),38090.666666666664)</f>
        <v>38090.66667</v>
      </c>
      <c r="N75" s="2">
        <f>IFERROR(__xludf.DUMMYFUNCTION("""COMPUTED_VALUE"""),2030.08)</f>
        <v>2030.08</v>
      </c>
      <c r="S75" s="13"/>
    </row>
    <row r="76">
      <c r="A76" s="10">
        <f t="shared" si="8"/>
        <v>38058.66667</v>
      </c>
      <c r="B76" s="2" t="str">
        <f t="shared" si="2"/>
        <v/>
      </c>
      <c r="C76" s="2" t="str">
        <f t="shared" si="3"/>
        <v>SP500</v>
      </c>
      <c r="D76" s="2">
        <f t="shared" si="4"/>
        <v>1984.73</v>
      </c>
      <c r="E76" s="2">
        <f t="shared" si="5"/>
        <v>1984.73</v>
      </c>
      <c r="G76" s="10">
        <f t="shared" si="9"/>
        <v>38058.64583</v>
      </c>
      <c r="H76" s="6">
        <f t="shared" si="6"/>
        <v>848.8</v>
      </c>
      <c r="I76" s="2">
        <f t="shared" si="7"/>
        <v>848.8</v>
      </c>
      <c r="M76" s="10">
        <f>IFERROR(__xludf.DUMMYFUNCTION("""COMPUTED_VALUE"""),38091.666666666664)</f>
        <v>38091.66667</v>
      </c>
      <c r="N76" s="2">
        <f>IFERROR(__xludf.DUMMYFUNCTION("""COMPUTED_VALUE"""),2024.85)</f>
        <v>2024.85</v>
      </c>
      <c r="S76" s="13"/>
    </row>
    <row r="77">
      <c r="A77" s="10">
        <f t="shared" si="8"/>
        <v>38059.66667</v>
      </c>
      <c r="B77" s="2" t="str">
        <f t="shared" si="2"/>
        <v/>
      </c>
      <c r="C77" s="2" t="str">
        <f t="shared" si="3"/>
        <v>SP500</v>
      </c>
      <c r="D77" s="2" t="str">
        <f t="shared" si="4"/>
        <v/>
      </c>
      <c r="E77" s="2">
        <f t="shared" si="5"/>
        <v>1984.73</v>
      </c>
      <c r="G77" s="10">
        <f t="shared" si="9"/>
        <v>38059.64583</v>
      </c>
      <c r="H77" s="6" t="str">
        <f t="shared" si="6"/>
        <v/>
      </c>
      <c r="I77" s="2">
        <f t="shared" si="7"/>
        <v>848.8</v>
      </c>
      <c r="M77" s="10">
        <f>IFERROR(__xludf.DUMMYFUNCTION("""COMPUTED_VALUE"""),38092.666666666664)</f>
        <v>38092.66667</v>
      </c>
      <c r="N77" s="2">
        <f>IFERROR(__xludf.DUMMYFUNCTION("""COMPUTED_VALUE"""),2002.17)</f>
        <v>2002.17</v>
      </c>
      <c r="S77" s="13"/>
    </row>
    <row r="78">
      <c r="A78" s="10">
        <f t="shared" si="8"/>
        <v>38060.66667</v>
      </c>
      <c r="B78" s="2" t="str">
        <f t="shared" si="2"/>
        <v/>
      </c>
      <c r="C78" s="2" t="str">
        <f t="shared" si="3"/>
        <v>SP500</v>
      </c>
      <c r="D78" s="2" t="str">
        <f t="shared" si="4"/>
        <v/>
      </c>
      <c r="E78" s="2">
        <f t="shared" si="5"/>
        <v>1984.73</v>
      </c>
      <c r="G78" s="10">
        <f t="shared" si="9"/>
        <v>38060.64583</v>
      </c>
      <c r="H78" s="6" t="str">
        <f t="shared" si="6"/>
        <v/>
      </c>
      <c r="I78" s="2">
        <f t="shared" si="7"/>
        <v>848.8</v>
      </c>
      <c r="M78" s="10">
        <f>IFERROR(__xludf.DUMMYFUNCTION("""COMPUTED_VALUE"""),38093.666666666664)</f>
        <v>38093.66667</v>
      </c>
      <c r="N78" s="2">
        <f>IFERROR(__xludf.DUMMYFUNCTION("""COMPUTED_VALUE"""),1995.74)</f>
        <v>1995.74</v>
      </c>
      <c r="S78" s="13"/>
    </row>
    <row r="79">
      <c r="A79" s="10">
        <f t="shared" si="8"/>
        <v>38061.66667</v>
      </c>
      <c r="B79" s="2" t="str">
        <f t="shared" si="2"/>
        <v/>
      </c>
      <c r="C79" s="2" t="str">
        <f t="shared" si="3"/>
        <v>SP500</v>
      </c>
      <c r="D79" s="2">
        <f t="shared" si="4"/>
        <v>1939.2</v>
      </c>
      <c r="E79" s="2">
        <f t="shared" si="5"/>
        <v>1939.2</v>
      </c>
      <c r="G79" s="10">
        <f t="shared" si="9"/>
        <v>38061.64583</v>
      </c>
      <c r="H79" s="6">
        <f t="shared" si="6"/>
        <v>852.26</v>
      </c>
      <c r="I79" s="2">
        <f t="shared" si="7"/>
        <v>852.26</v>
      </c>
      <c r="M79" s="10">
        <f>IFERROR(__xludf.DUMMYFUNCTION("""COMPUTED_VALUE"""),38096.666666666664)</f>
        <v>38096.66667</v>
      </c>
      <c r="N79" s="2">
        <f>IFERROR(__xludf.DUMMYFUNCTION("""COMPUTED_VALUE"""),2020.43)</f>
        <v>2020.43</v>
      </c>
      <c r="S79" s="13"/>
    </row>
    <row r="80">
      <c r="A80" s="10">
        <f t="shared" si="8"/>
        <v>38062.66667</v>
      </c>
      <c r="B80" s="2" t="str">
        <f t="shared" si="2"/>
        <v/>
      </c>
      <c r="C80" s="2" t="str">
        <f t="shared" si="3"/>
        <v>SP500</v>
      </c>
      <c r="D80" s="2">
        <f t="shared" si="4"/>
        <v>1943.09</v>
      </c>
      <c r="E80" s="2">
        <f t="shared" si="5"/>
        <v>1943.09</v>
      </c>
      <c r="G80" s="10">
        <f t="shared" si="9"/>
        <v>38062.64583</v>
      </c>
      <c r="H80" s="6">
        <f t="shared" si="6"/>
        <v>850.13</v>
      </c>
      <c r="I80" s="2">
        <f t="shared" si="7"/>
        <v>850.13</v>
      </c>
      <c r="M80" s="10">
        <f>IFERROR(__xludf.DUMMYFUNCTION("""COMPUTED_VALUE"""),38097.666666666664)</f>
        <v>38097.66667</v>
      </c>
      <c r="N80" s="2">
        <f>IFERROR(__xludf.DUMMYFUNCTION("""COMPUTED_VALUE"""),1978.63)</f>
        <v>1978.63</v>
      </c>
      <c r="S80" s="13"/>
    </row>
    <row r="81">
      <c r="A81" s="10">
        <f t="shared" si="8"/>
        <v>38063.66667</v>
      </c>
      <c r="B81" s="2" t="str">
        <f t="shared" si="2"/>
        <v/>
      </c>
      <c r="C81" s="2" t="str">
        <f t="shared" si="3"/>
        <v>SP500</v>
      </c>
      <c r="D81" s="2">
        <f t="shared" si="4"/>
        <v>1976.76</v>
      </c>
      <c r="E81" s="2">
        <f t="shared" si="5"/>
        <v>1976.76</v>
      </c>
      <c r="G81" s="10">
        <f t="shared" si="9"/>
        <v>38063.64583</v>
      </c>
      <c r="H81" s="6">
        <f t="shared" si="6"/>
        <v>872.38</v>
      </c>
      <c r="I81" s="2">
        <f t="shared" si="7"/>
        <v>872.38</v>
      </c>
      <c r="M81" s="10">
        <f>IFERROR(__xludf.DUMMYFUNCTION("""COMPUTED_VALUE"""),38098.666666666664)</f>
        <v>38098.66667</v>
      </c>
      <c r="N81" s="2">
        <f>IFERROR(__xludf.DUMMYFUNCTION("""COMPUTED_VALUE"""),1995.63)</f>
        <v>1995.63</v>
      </c>
      <c r="S81" s="13"/>
    </row>
    <row r="82">
      <c r="A82" s="10">
        <f t="shared" si="8"/>
        <v>38064.66667</v>
      </c>
      <c r="B82" s="2" t="str">
        <f t="shared" si="2"/>
        <v/>
      </c>
      <c r="C82" s="2" t="str">
        <f t="shared" si="3"/>
        <v>SP500</v>
      </c>
      <c r="D82" s="2">
        <f t="shared" si="4"/>
        <v>1962.44</v>
      </c>
      <c r="E82" s="2">
        <f t="shared" si="5"/>
        <v>1962.44</v>
      </c>
      <c r="G82" s="10">
        <f t="shared" si="9"/>
        <v>38064.64583</v>
      </c>
      <c r="H82" s="6">
        <f t="shared" si="6"/>
        <v>872.82</v>
      </c>
      <c r="I82" s="2">
        <f t="shared" si="7"/>
        <v>872.82</v>
      </c>
      <c r="M82" s="10">
        <f>IFERROR(__xludf.DUMMYFUNCTION("""COMPUTED_VALUE"""),38099.666666666664)</f>
        <v>38099.66667</v>
      </c>
      <c r="N82" s="2">
        <f>IFERROR(__xludf.DUMMYFUNCTION("""COMPUTED_VALUE"""),2032.91)</f>
        <v>2032.91</v>
      </c>
      <c r="S82" s="13"/>
    </row>
    <row r="83">
      <c r="A83" s="10">
        <f t="shared" si="8"/>
        <v>38065.66667</v>
      </c>
      <c r="B83" s="2" t="str">
        <f t="shared" si="2"/>
        <v/>
      </c>
      <c r="C83" s="2" t="str">
        <f t="shared" si="3"/>
        <v>SP500</v>
      </c>
      <c r="D83" s="2">
        <f t="shared" si="4"/>
        <v>1940.47</v>
      </c>
      <c r="E83" s="2">
        <f t="shared" si="5"/>
        <v>1940.47</v>
      </c>
      <c r="G83" s="10">
        <f t="shared" si="9"/>
        <v>38065.64583</v>
      </c>
      <c r="H83" s="6">
        <f t="shared" si="6"/>
        <v>883.33</v>
      </c>
      <c r="I83" s="2">
        <f t="shared" si="7"/>
        <v>883.33</v>
      </c>
      <c r="M83" s="10">
        <f>IFERROR(__xludf.DUMMYFUNCTION("""COMPUTED_VALUE"""),38100.666666666664)</f>
        <v>38100.66667</v>
      </c>
      <c r="N83" s="2">
        <f>IFERROR(__xludf.DUMMYFUNCTION("""COMPUTED_VALUE"""),2049.77)</f>
        <v>2049.77</v>
      </c>
      <c r="S83" s="13"/>
    </row>
    <row r="84">
      <c r="A84" s="10">
        <f t="shared" si="8"/>
        <v>38066.66667</v>
      </c>
      <c r="B84" s="2" t="str">
        <f t="shared" si="2"/>
        <v/>
      </c>
      <c r="C84" s="2" t="str">
        <f t="shared" si="3"/>
        <v>SP500</v>
      </c>
      <c r="D84" s="2" t="str">
        <f t="shared" si="4"/>
        <v/>
      </c>
      <c r="E84" s="2">
        <f t="shared" si="5"/>
        <v>1940.47</v>
      </c>
      <c r="G84" s="10">
        <f t="shared" si="9"/>
        <v>38066.64583</v>
      </c>
      <c r="H84" s="6" t="str">
        <f t="shared" si="6"/>
        <v/>
      </c>
      <c r="I84" s="2">
        <f t="shared" si="7"/>
        <v>883.33</v>
      </c>
      <c r="M84" s="10">
        <f>IFERROR(__xludf.DUMMYFUNCTION("""COMPUTED_VALUE"""),38103.666666666664)</f>
        <v>38103.66667</v>
      </c>
      <c r="N84" s="2">
        <f>IFERROR(__xludf.DUMMYFUNCTION("""COMPUTED_VALUE"""),2036.77)</f>
        <v>2036.77</v>
      </c>
      <c r="S84" s="13"/>
    </row>
    <row r="85">
      <c r="A85" s="10">
        <f t="shared" si="8"/>
        <v>38067.66667</v>
      </c>
      <c r="B85" s="2" t="str">
        <f t="shared" si="2"/>
        <v/>
      </c>
      <c r="C85" s="2" t="str">
        <f t="shared" si="3"/>
        <v>SP500</v>
      </c>
      <c r="D85" s="2" t="str">
        <f t="shared" si="4"/>
        <v/>
      </c>
      <c r="E85" s="2">
        <f t="shared" si="5"/>
        <v>1940.47</v>
      </c>
      <c r="G85" s="10">
        <f t="shared" si="9"/>
        <v>38067.64583</v>
      </c>
      <c r="H85" s="6" t="str">
        <f t="shared" si="6"/>
        <v/>
      </c>
      <c r="I85" s="2">
        <f t="shared" si="7"/>
        <v>883.33</v>
      </c>
      <c r="M85" s="10">
        <f>IFERROR(__xludf.DUMMYFUNCTION("""COMPUTED_VALUE"""),38104.666666666664)</f>
        <v>38104.66667</v>
      </c>
      <c r="N85" s="2">
        <f>IFERROR(__xludf.DUMMYFUNCTION("""COMPUTED_VALUE"""),2032.53)</f>
        <v>2032.53</v>
      </c>
      <c r="S85" s="13"/>
    </row>
    <row r="86">
      <c r="A86" s="10">
        <f t="shared" si="8"/>
        <v>38068.66667</v>
      </c>
      <c r="B86" s="2" t="str">
        <f t="shared" si="2"/>
        <v/>
      </c>
      <c r="C86" s="2" t="str">
        <f t="shared" si="3"/>
        <v>SP500</v>
      </c>
      <c r="D86" s="2">
        <f t="shared" si="4"/>
        <v>1909.9</v>
      </c>
      <c r="E86" s="2">
        <f t="shared" si="5"/>
        <v>1909.9</v>
      </c>
      <c r="G86" s="10">
        <f t="shared" si="9"/>
        <v>38068.64583</v>
      </c>
      <c r="H86" s="6">
        <f t="shared" si="6"/>
        <v>863.69</v>
      </c>
      <c r="I86" s="2">
        <f t="shared" si="7"/>
        <v>863.69</v>
      </c>
      <c r="M86" s="10">
        <f>IFERROR(__xludf.DUMMYFUNCTION("""COMPUTED_VALUE"""),38105.666666666664)</f>
        <v>38105.66667</v>
      </c>
      <c r="N86" s="2">
        <f>IFERROR(__xludf.DUMMYFUNCTION("""COMPUTED_VALUE"""),1989.54)</f>
        <v>1989.54</v>
      </c>
      <c r="S86" s="13"/>
    </row>
    <row r="87">
      <c r="A87" s="10">
        <f t="shared" si="8"/>
        <v>38069.66667</v>
      </c>
      <c r="B87" s="2" t="str">
        <f t="shared" si="2"/>
        <v/>
      </c>
      <c r="C87" s="2" t="str">
        <f t="shared" si="3"/>
        <v>SP500</v>
      </c>
      <c r="D87" s="2">
        <f t="shared" si="4"/>
        <v>1901.8</v>
      </c>
      <c r="E87" s="2">
        <f t="shared" si="5"/>
        <v>1901.8</v>
      </c>
      <c r="G87" s="10">
        <f t="shared" si="9"/>
        <v>38069.64583</v>
      </c>
      <c r="H87" s="6">
        <f t="shared" si="6"/>
        <v>866.17</v>
      </c>
      <c r="I87" s="2">
        <f t="shared" si="7"/>
        <v>866.17</v>
      </c>
      <c r="M87" s="10">
        <f>IFERROR(__xludf.DUMMYFUNCTION("""COMPUTED_VALUE"""),38106.666666666664)</f>
        <v>38106.66667</v>
      </c>
      <c r="N87" s="2">
        <f>IFERROR(__xludf.DUMMYFUNCTION("""COMPUTED_VALUE"""),1958.78)</f>
        <v>1958.78</v>
      </c>
      <c r="S87" s="13"/>
    </row>
    <row r="88">
      <c r="A88" s="10">
        <f t="shared" si="8"/>
        <v>38070.66667</v>
      </c>
      <c r="B88" s="2" t="str">
        <f t="shared" si="2"/>
        <v/>
      </c>
      <c r="C88" s="2" t="str">
        <f t="shared" si="3"/>
        <v>SP500</v>
      </c>
      <c r="D88" s="2">
        <f t="shared" si="4"/>
        <v>1909.48</v>
      </c>
      <c r="E88" s="2">
        <f t="shared" si="5"/>
        <v>1909.48</v>
      </c>
      <c r="G88" s="10">
        <f t="shared" si="9"/>
        <v>38070.64583</v>
      </c>
      <c r="H88" s="6">
        <f t="shared" si="6"/>
        <v>861.72</v>
      </c>
      <c r="I88" s="2">
        <f t="shared" si="7"/>
        <v>861.72</v>
      </c>
      <c r="M88" s="10">
        <f>IFERROR(__xludf.DUMMYFUNCTION("""COMPUTED_VALUE"""),38107.666666666664)</f>
        <v>38107.66667</v>
      </c>
      <c r="N88" s="2">
        <f>IFERROR(__xludf.DUMMYFUNCTION("""COMPUTED_VALUE"""),1920.15)</f>
        <v>1920.15</v>
      </c>
      <c r="S88" s="13"/>
    </row>
    <row r="89">
      <c r="A89" s="10">
        <f t="shared" si="8"/>
        <v>38071.66667</v>
      </c>
      <c r="B89" s="2" t="str">
        <f t="shared" si="2"/>
        <v/>
      </c>
      <c r="C89" s="2" t="str">
        <f t="shared" si="3"/>
        <v>SP500</v>
      </c>
      <c r="D89" s="2">
        <f t="shared" si="4"/>
        <v>1967.17</v>
      </c>
      <c r="E89" s="2">
        <f t="shared" si="5"/>
        <v>1967.17</v>
      </c>
      <c r="G89" s="10">
        <f t="shared" si="9"/>
        <v>38071.64583</v>
      </c>
      <c r="H89" s="6">
        <f t="shared" si="6"/>
        <v>853.38</v>
      </c>
      <c r="I89" s="2">
        <f t="shared" si="7"/>
        <v>853.38</v>
      </c>
      <c r="M89" s="10">
        <f>IFERROR(__xludf.DUMMYFUNCTION("""COMPUTED_VALUE"""),38110.666666666664)</f>
        <v>38110.66667</v>
      </c>
      <c r="N89" s="2">
        <f>IFERROR(__xludf.DUMMYFUNCTION("""COMPUTED_VALUE"""),1938.72)</f>
        <v>1938.72</v>
      </c>
      <c r="S89" s="13"/>
    </row>
    <row r="90">
      <c r="A90" s="10">
        <f t="shared" si="8"/>
        <v>38072.66667</v>
      </c>
      <c r="B90" s="2" t="str">
        <f t="shared" si="2"/>
        <v/>
      </c>
      <c r="C90" s="2" t="str">
        <f t="shared" si="3"/>
        <v>SP500</v>
      </c>
      <c r="D90" s="2">
        <f t="shared" si="4"/>
        <v>1960.02</v>
      </c>
      <c r="E90" s="2">
        <f t="shared" si="5"/>
        <v>1960.02</v>
      </c>
      <c r="G90" s="10">
        <f t="shared" si="9"/>
        <v>38072.64583</v>
      </c>
      <c r="H90" s="6">
        <f t="shared" si="6"/>
        <v>863.95</v>
      </c>
      <c r="I90" s="2">
        <f t="shared" si="7"/>
        <v>863.95</v>
      </c>
      <c r="M90" s="10">
        <f>IFERROR(__xludf.DUMMYFUNCTION("""COMPUTED_VALUE"""),38111.666666666664)</f>
        <v>38111.66667</v>
      </c>
      <c r="N90" s="2">
        <f>IFERROR(__xludf.DUMMYFUNCTION("""COMPUTED_VALUE"""),1950.48)</f>
        <v>1950.48</v>
      </c>
      <c r="S90" s="13"/>
    </row>
    <row r="91">
      <c r="A91" s="10">
        <f t="shared" si="8"/>
        <v>38073.66667</v>
      </c>
      <c r="B91" s="2" t="str">
        <f t="shared" si="2"/>
        <v/>
      </c>
      <c r="C91" s="2" t="str">
        <f t="shared" si="3"/>
        <v>SP500</v>
      </c>
      <c r="D91" s="2" t="str">
        <f t="shared" si="4"/>
        <v/>
      </c>
      <c r="E91" s="2">
        <f t="shared" si="5"/>
        <v>1960.02</v>
      </c>
      <c r="G91" s="10">
        <f t="shared" si="9"/>
        <v>38073.64583</v>
      </c>
      <c r="H91" s="6" t="str">
        <f t="shared" si="6"/>
        <v/>
      </c>
      <c r="I91" s="2">
        <f t="shared" si="7"/>
        <v>863.95</v>
      </c>
      <c r="M91" s="10">
        <f>IFERROR(__xludf.DUMMYFUNCTION("""COMPUTED_VALUE"""),38112.666666666664)</f>
        <v>38112.66667</v>
      </c>
      <c r="N91" s="2">
        <f>IFERROR(__xludf.DUMMYFUNCTION("""COMPUTED_VALUE"""),1957.26)</f>
        <v>1957.26</v>
      </c>
      <c r="S91" s="13"/>
    </row>
    <row r="92">
      <c r="A92" s="10">
        <f t="shared" si="8"/>
        <v>38074.66667</v>
      </c>
      <c r="B92" s="2" t="str">
        <f t="shared" si="2"/>
        <v/>
      </c>
      <c r="C92" s="2" t="str">
        <f t="shared" si="3"/>
        <v>SP500</v>
      </c>
      <c r="D92" s="2" t="str">
        <f t="shared" si="4"/>
        <v/>
      </c>
      <c r="E92" s="2">
        <f t="shared" si="5"/>
        <v>1960.02</v>
      </c>
      <c r="G92" s="10">
        <f t="shared" si="9"/>
        <v>38074.64583</v>
      </c>
      <c r="H92" s="6" t="str">
        <f t="shared" si="6"/>
        <v/>
      </c>
      <c r="I92" s="2">
        <f t="shared" si="7"/>
        <v>863.95</v>
      </c>
      <c r="M92" s="10">
        <f>IFERROR(__xludf.DUMMYFUNCTION("""COMPUTED_VALUE"""),38113.666666666664)</f>
        <v>38113.66667</v>
      </c>
      <c r="N92" s="2">
        <f>IFERROR(__xludf.DUMMYFUNCTION("""COMPUTED_VALUE"""),1937.74)</f>
        <v>1937.74</v>
      </c>
      <c r="S92" s="13"/>
    </row>
    <row r="93">
      <c r="A93" s="10">
        <f t="shared" si="8"/>
        <v>38075.66667</v>
      </c>
      <c r="B93" s="2" t="str">
        <f t="shared" si="2"/>
        <v/>
      </c>
      <c r="C93" s="2" t="str">
        <f t="shared" si="3"/>
        <v>SP500</v>
      </c>
      <c r="D93" s="2">
        <f t="shared" si="4"/>
        <v>1992.57</v>
      </c>
      <c r="E93" s="2">
        <f t="shared" si="5"/>
        <v>1992.57</v>
      </c>
      <c r="G93" s="10">
        <f t="shared" si="9"/>
        <v>38075.64583</v>
      </c>
      <c r="H93" s="6">
        <f t="shared" si="6"/>
        <v>874.67</v>
      </c>
      <c r="I93" s="2">
        <f t="shared" si="7"/>
        <v>874.67</v>
      </c>
      <c r="M93" s="10">
        <f>IFERROR(__xludf.DUMMYFUNCTION("""COMPUTED_VALUE"""),38114.666666666664)</f>
        <v>38114.66667</v>
      </c>
      <c r="N93" s="2">
        <f>IFERROR(__xludf.DUMMYFUNCTION("""COMPUTED_VALUE"""),1917.96)</f>
        <v>1917.96</v>
      </c>
      <c r="S93" s="13"/>
    </row>
    <row r="94">
      <c r="A94" s="10">
        <f t="shared" si="8"/>
        <v>38076.66667</v>
      </c>
      <c r="B94" s="2" t="str">
        <f t="shared" si="2"/>
        <v/>
      </c>
      <c r="C94" s="2" t="str">
        <f t="shared" si="3"/>
        <v>SP500</v>
      </c>
      <c r="D94" s="2">
        <f t="shared" si="4"/>
        <v>2000.63</v>
      </c>
      <c r="E94" s="2">
        <f t="shared" si="5"/>
        <v>2000.63</v>
      </c>
      <c r="G94" s="10">
        <f t="shared" si="9"/>
        <v>38076.64583</v>
      </c>
      <c r="H94" s="6">
        <f t="shared" si="6"/>
        <v>873.46</v>
      </c>
      <c r="I94" s="2">
        <f t="shared" si="7"/>
        <v>873.46</v>
      </c>
      <c r="M94" s="10">
        <f>IFERROR(__xludf.DUMMYFUNCTION("""COMPUTED_VALUE"""),38117.666666666664)</f>
        <v>38117.66667</v>
      </c>
      <c r="N94" s="2">
        <f>IFERROR(__xludf.DUMMYFUNCTION("""COMPUTED_VALUE"""),1896.07)</f>
        <v>1896.07</v>
      </c>
      <c r="S94" s="13"/>
    </row>
    <row r="95">
      <c r="A95" s="10">
        <f t="shared" si="8"/>
        <v>38077.66667</v>
      </c>
      <c r="B95" s="2" t="str">
        <f t="shared" si="2"/>
        <v/>
      </c>
      <c r="C95" s="2" t="str">
        <f t="shared" si="3"/>
        <v>SP500</v>
      </c>
      <c r="D95" s="2">
        <f t="shared" si="4"/>
        <v>1994.22</v>
      </c>
      <c r="E95" s="2">
        <f t="shared" si="5"/>
        <v>1994.22</v>
      </c>
      <c r="G95" s="10">
        <f t="shared" si="9"/>
        <v>38077.64583</v>
      </c>
      <c r="H95" s="6">
        <f t="shared" si="6"/>
        <v>880.5</v>
      </c>
      <c r="I95" s="2">
        <f t="shared" si="7"/>
        <v>880.5</v>
      </c>
      <c r="M95" s="10">
        <f>IFERROR(__xludf.DUMMYFUNCTION("""COMPUTED_VALUE"""),38118.666666666664)</f>
        <v>38118.66667</v>
      </c>
      <c r="N95" s="2">
        <f>IFERROR(__xludf.DUMMYFUNCTION("""COMPUTED_VALUE"""),1931.35)</f>
        <v>1931.35</v>
      </c>
      <c r="S95" s="13"/>
    </row>
    <row r="96">
      <c r="A96" s="10">
        <f t="shared" si="8"/>
        <v>38078.66667</v>
      </c>
      <c r="B96" s="2" t="str">
        <f t="shared" si="2"/>
        <v/>
      </c>
      <c r="C96" s="2" t="str">
        <f t="shared" si="3"/>
        <v>SP500</v>
      </c>
      <c r="D96" s="2">
        <f t="shared" si="4"/>
        <v>2015.01</v>
      </c>
      <c r="E96" s="2">
        <f t="shared" si="5"/>
        <v>2015.01</v>
      </c>
      <c r="G96" s="10">
        <f t="shared" si="9"/>
        <v>38078.64583</v>
      </c>
      <c r="H96" s="6">
        <f t="shared" si="6"/>
        <v>882.75</v>
      </c>
      <c r="I96" s="2">
        <f t="shared" si="7"/>
        <v>882.75</v>
      </c>
      <c r="M96" s="10">
        <f>IFERROR(__xludf.DUMMYFUNCTION("""COMPUTED_VALUE"""),38119.666666666664)</f>
        <v>38119.66667</v>
      </c>
      <c r="N96" s="2">
        <f>IFERROR(__xludf.DUMMYFUNCTION("""COMPUTED_VALUE"""),1925.59)</f>
        <v>1925.59</v>
      </c>
      <c r="S96" s="13"/>
    </row>
    <row r="97">
      <c r="A97" s="10">
        <f t="shared" si="8"/>
        <v>38079.66667</v>
      </c>
      <c r="B97" s="2" t="str">
        <f t="shared" si="2"/>
        <v/>
      </c>
      <c r="C97" s="2" t="str">
        <f t="shared" si="3"/>
        <v>SP500</v>
      </c>
      <c r="D97" s="2">
        <f t="shared" si="4"/>
        <v>2057.17</v>
      </c>
      <c r="E97" s="2">
        <f t="shared" si="5"/>
        <v>2057.17</v>
      </c>
      <c r="G97" s="10">
        <f t="shared" si="9"/>
        <v>38079.64583</v>
      </c>
      <c r="H97" s="6">
        <f t="shared" si="6"/>
        <v>883.69</v>
      </c>
      <c r="I97" s="2">
        <f t="shared" si="7"/>
        <v>883.69</v>
      </c>
      <c r="M97" s="10">
        <f>IFERROR(__xludf.DUMMYFUNCTION("""COMPUTED_VALUE"""),38120.666666666664)</f>
        <v>38120.66667</v>
      </c>
      <c r="N97" s="2">
        <f>IFERROR(__xludf.DUMMYFUNCTION("""COMPUTED_VALUE"""),1926.03)</f>
        <v>1926.03</v>
      </c>
      <c r="S97" s="13"/>
    </row>
    <row r="98">
      <c r="A98" s="10">
        <f t="shared" si="8"/>
        <v>38080.66667</v>
      </c>
      <c r="B98" s="2" t="str">
        <f t="shared" si="2"/>
        <v/>
      </c>
      <c r="C98" s="2" t="str">
        <f t="shared" si="3"/>
        <v>SP500</v>
      </c>
      <c r="D98" s="2" t="str">
        <f t="shared" si="4"/>
        <v/>
      </c>
      <c r="E98" s="2">
        <f t="shared" si="5"/>
        <v>2057.17</v>
      </c>
      <c r="G98" s="10">
        <f t="shared" si="9"/>
        <v>38080.64583</v>
      </c>
      <c r="H98" s="6" t="str">
        <f t="shared" si="6"/>
        <v/>
      </c>
      <c r="I98" s="2">
        <f t="shared" si="7"/>
        <v>883.69</v>
      </c>
      <c r="M98" s="10">
        <f>IFERROR(__xludf.DUMMYFUNCTION("""COMPUTED_VALUE"""),38121.666666666664)</f>
        <v>38121.66667</v>
      </c>
      <c r="N98" s="2">
        <f>IFERROR(__xludf.DUMMYFUNCTION("""COMPUTED_VALUE"""),1904.25)</f>
        <v>1904.25</v>
      </c>
      <c r="S98" s="13"/>
    </row>
    <row r="99">
      <c r="A99" s="10">
        <f t="shared" si="8"/>
        <v>38081.66667</v>
      </c>
      <c r="B99" s="2" t="str">
        <f t="shared" si="2"/>
        <v/>
      </c>
      <c r="C99" s="2" t="str">
        <f t="shared" si="3"/>
        <v>SP500</v>
      </c>
      <c r="D99" s="2" t="str">
        <f t="shared" si="4"/>
        <v/>
      </c>
      <c r="E99" s="2">
        <f t="shared" si="5"/>
        <v>2057.17</v>
      </c>
      <c r="G99" s="10">
        <f t="shared" si="9"/>
        <v>38081.64583</v>
      </c>
      <c r="H99" s="6" t="str">
        <f t="shared" si="6"/>
        <v/>
      </c>
      <c r="I99" s="2">
        <f t="shared" si="7"/>
        <v>883.69</v>
      </c>
      <c r="M99" s="10">
        <f>IFERROR(__xludf.DUMMYFUNCTION("""COMPUTED_VALUE"""),38124.666666666664)</f>
        <v>38124.66667</v>
      </c>
      <c r="N99" s="2">
        <f>IFERROR(__xludf.DUMMYFUNCTION("""COMPUTED_VALUE"""),1876.64)</f>
        <v>1876.64</v>
      </c>
      <c r="S99" s="13"/>
    </row>
    <row r="100">
      <c r="A100" s="10">
        <f t="shared" si="8"/>
        <v>38082.66667</v>
      </c>
      <c r="B100" s="2" t="str">
        <f t="shared" si="2"/>
        <v/>
      </c>
      <c r="C100" s="2" t="str">
        <f t="shared" si="3"/>
        <v>SP500</v>
      </c>
      <c r="D100" s="2">
        <f t="shared" si="4"/>
        <v>2079.12</v>
      </c>
      <c r="E100" s="2">
        <f t="shared" si="5"/>
        <v>2079.12</v>
      </c>
      <c r="G100" s="10">
        <f t="shared" si="9"/>
        <v>38082.64583</v>
      </c>
      <c r="H100" s="6" t="str">
        <f t="shared" si="6"/>
        <v/>
      </c>
      <c r="I100" s="2">
        <f t="shared" si="7"/>
        <v>883.69</v>
      </c>
      <c r="M100" s="10">
        <f>IFERROR(__xludf.DUMMYFUNCTION("""COMPUTED_VALUE"""),38125.666666666664)</f>
        <v>38125.66667</v>
      </c>
      <c r="N100" s="2">
        <f>IFERROR(__xludf.DUMMYFUNCTION("""COMPUTED_VALUE"""),1897.82)</f>
        <v>1897.82</v>
      </c>
      <c r="S100" s="13"/>
    </row>
    <row r="101">
      <c r="A101" s="10">
        <f t="shared" si="8"/>
        <v>38083.66667</v>
      </c>
      <c r="B101" s="2" t="str">
        <f t="shared" si="2"/>
        <v/>
      </c>
      <c r="C101" s="2" t="str">
        <f t="shared" si="3"/>
        <v>SP500</v>
      </c>
      <c r="D101" s="2">
        <f t="shared" si="4"/>
        <v>2059.9</v>
      </c>
      <c r="E101" s="2">
        <f t="shared" si="5"/>
        <v>2059.9</v>
      </c>
      <c r="G101" s="10">
        <f t="shared" si="9"/>
        <v>38083.64583</v>
      </c>
      <c r="H101" s="6">
        <f t="shared" si="6"/>
        <v>906.19</v>
      </c>
      <c r="I101" s="2">
        <f t="shared" si="7"/>
        <v>906.19</v>
      </c>
      <c r="M101" s="10">
        <f>IFERROR(__xludf.DUMMYFUNCTION("""COMPUTED_VALUE"""),38126.666666666664)</f>
        <v>38126.66667</v>
      </c>
      <c r="N101" s="2">
        <f>IFERROR(__xludf.DUMMYFUNCTION("""COMPUTED_VALUE"""),1898.17)</f>
        <v>1898.17</v>
      </c>
      <c r="S101" s="13"/>
    </row>
    <row r="102">
      <c r="A102" s="10">
        <f t="shared" si="8"/>
        <v>38084.66667</v>
      </c>
      <c r="B102" s="2" t="str">
        <f t="shared" si="2"/>
        <v/>
      </c>
      <c r="C102" s="2" t="str">
        <f t="shared" si="3"/>
        <v>SP500</v>
      </c>
      <c r="D102" s="2">
        <f t="shared" si="4"/>
        <v>2050.24</v>
      </c>
      <c r="E102" s="2">
        <f t="shared" si="5"/>
        <v>2050.24</v>
      </c>
      <c r="G102" s="10">
        <f t="shared" si="9"/>
        <v>38084.64583</v>
      </c>
      <c r="H102" s="6">
        <f t="shared" si="6"/>
        <v>909.93</v>
      </c>
      <c r="I102" s="2">
        <f t="shared" si="7"/>
        <v>909.93</v>
      </c>
      <c r="M102" s="10">
        <f>IFERROR(__xludf.DUMMYFUNCTION("""COMPUTED_VALUE"""),38127.666666666664)</f>
        <v>38127.66667</v>
      </c>
      <c r="N102" s="2">
        <f>IFERROR(__xludf.DUMMYFUNCTION("""COMPUTED_VALUE"""),1896.59)</f>
        <v>1896.59</v>
      </c>
      <c r="S102" s="13"/>
    </row>
    <row r="103">
      <c r="A103" s="10">
        <f t="shared" si="8"/>
        <v>38085.66667</v>
      </c>
      <c r="B103" s="2" t="str">
        <f t="shared" si="2"/>
        <v/>
      </c>
      <c r="C103" s="2" t="str">
        <f t="shared" si="3"/>
        <v>SP500</v>
      </c>
      <c r="D103" s="2">
        <f t="shared" si="4"/>
        <v>2052.88</v>
      </c>
      <c r="E103" s="2">
        <f t="shared" si="5"/>
        <v>2052.88</v>
      </c>
      <c r="G103" s="10">
        <f t="shared" si="9"/>
        <v>38085.64583</v>
      </c>
      <c r="H103" s="6">
        <f t="shared" si="6"/>
        <v>916.86</v>
      </c>
      <c r="I103" s="2">
        <f t="shared" si="7"/>
        <v>916.86</v>
      </c>
      <c r="M103" s="10">
        <f>IFERROR(__xludf.DUMMYFUNCTION("""COMPUTED_VALUE"""),38128.666666666664)</f>
        <v>38128.66667</v>
      </c>
      <c r="N103" s="2">
        <f>IFERROR(__xludf.DUMMYFUNCTION("""COMPUTED_VALUE"""),1912.09)</f>
        <v>1912.09</v>
      </c>
      <c r="S103" s="13"/>
    </row>
    <row r="104">
      <c r="A104" s="10">
        <f t="shared" si="8"/>
        <v>38086.66667</v>
      </c>
      <c r="B104" s="2" t="str">
        <f t="shared" si="2"/>
        <v/>
      </c>
      <c r="C104" s="2" t="str">
        <f t="shared" si="3"/>
        <v>SP500</v>
      </c>
      <c r="D104" s="2" t="str">
        <f t="shared" si="4"/>
        <v/>
      </c>
      <c r="E104" s="2">
        <f t="shared" si="5"/>
        <v>2052.88</v>
      </c>
      <c r="G104" s="10">
        <f t="shared" si="9"/>
        <v>38086.64583</v>
      </c>
      <c r="H104" s="6">
        <f t="shared" si="6"/>
        <v>905.44</v>
      </c>
      <c r="I104" s="2">
        <f t="shared" si="7"/>
        <v>905.44</v>
      </c>
      <c r="M104" s="10">
        <f>IFERROR(__xludf.DUMMYFUNCTION("""COMPUTED_VALUE"""),38131.666666666664)</f>
        <v>38131.66667</v>
      </c>
      <c r="N104" s="2">
        <f>IFERROR(__xludf.DUMMYFUNCTION("""COMPUTED_VALUE"""),1922.98)</f>
        <v>1922.98</v>
      </c>
      <c r="S104" s="13"/>
    </row>
    <row r="105">
      <c r="A105" s="10">
        <f t="shared" si="8"/>
        <v>38087.66667</v>
      </c>
      <c r="B105" s="2" t="str">
        <f t="shared" si="2"/>
        <v/>
      </c>
      <c r="C105" s="2" t="str">
        <f t="shared" si="3"/>
        <v>SP500</v>
      </c>
      <c r="D105" s="2" t="str">
        <f t="shared" si="4"/>
        <v/>
      </c>
      <c r="E105" s="2">
        <f t="shared" si="5"/>
        <v>2052.88</v>
      </c>
      <c r="G105" s="10">
        <f t="shared" si="9"/>
        <v>38087.64583</v>
      </c>
      <c r="H105" s="6" t="str">
        <f t="shared" si="6"/>
        <v/>
      </c>
      <c r="I105" s="2">
        <f t="shared" si="7"/>
        <v>905.44</v>
      </c>
      <c r="M105" s="10">
        <f>IFERROR(__xludf.DUMMYFUNCTION("""COMPUTED_VALUE"""),38132.666666666664)</f>
        <v>38132.66667</v>
      </c>
      <c r="N105" s="2">
        <f>IFERROR(__xludf.DUMMYFUNCTION("""COMPUTED_VALUE"""),1964.65)</f>
        <v>1964.65</v>
      </c>
      <c r="S105" s="13"/>
    </row>
    <row r="106">
      <c r="A106" s="10">
        <f t="shared" si="8"/>
        <v>38088.66667</v>
      </c>
      <c r="B106" s="2" t="str">
        <f t="shared" si="2"/>
        <v/>
      </c>
      <c r="C106" s="2" t="str">
        <f t="shared" si="3"/>
        <v>SP500</v>
      </c>
      <c r="D106" s="2" t="str">
        <f t="shared" si="4"/>
        <v/>
      </c>
      <c r="E106" s="2">
        <f t="shared" si="5"/>
        <v>2052.88</v>
      </c>
      <c r="G106" s="10">
        <f t="shared" si="9"/>
        <v>38088.64583</v>
      </c>
      <c r="H106" s="6" t="str">
        <f t="shared" si="6"/>
        <v/>
      </c>
      <c r="I106" s="2">
        <f t="shared" si="7"/>
        <v>905.44</v>
      </c>
      <c r="M106" s="10">
        <f>IFERROR(__xludf.DUMMYFUNCTION("""COMPUTED_VALUE"""),38133.666666666664)</f>
        <v>38133.66667</v>
      </c>
      <c r="N106" s="2">
        <f>IFERROR(__xludf.DUMMYFUNCTION("""COMPUTED_VALUE"""),1976.15)</f>
        <v>1976.15</v>
      </c>
      <c r="S106" s="13"/>
    </row>
    <row r="107">
      <c r="A107" s="10">
        <f t="shared" si="8"/>
        <v>38089.66667</v>
      </c>
      <c r="B107" s="2" t="str">
        <f t="shared" si="2"/>
        <v/>
      </c>
      <c r="C107" s="2" t="str">
        <f t="shared" si="3"/>
        <v>SP500</v>
      </c>
      <c r="D107" s="2">
        <f t="shared" si="4"/>
        <v>2065.48</v>
      </c>
      <c r="E107" s="2">
        <f t="shared" si="5"/>
        <v>2065.48</v>
      </c>
      <c r="G107" s="10">
        <f t="shared" si="9"/>
        <v>38089.64583</v>
      </c>
      <c r="H107" s="6">
        <f t="shared" si="6"/>
        <v>918.86</v>
      </c>
      <c r="I107" s="2">
        <f t="shared" si="7"/>
        <v>918.86</v>
      </c>
      <c r="M107" s="10">
        <f>IFERROR(__xludf.DUMMYFUNCTION("""COMPUTED_VALUE"""),38134.666666666664)</f>
        <v>38134.66667</v>
      </c>
      <c r="N107" s="2">
        <f>IFERROR(__xludf.DUMMYFUNCTION("""COMPUTED_VALUE"""),1984.5)</f>
        <v>1984.5</v>
      </c>
      <c r="S107" s="13"/>
    </row>
    <row r="108">
      <c r="A108" s="10">
        <f t="shared" si="8"/>
        <v>38090.66667</v>
      </c>
      <c r="B108" s="2" t="str">
        <f t="shared" si="2"/>
        <v/>
      </c>
      <c r="C108" s="2" t="str">
        <f t="shared" si="3"/>
        <v>SP500</v>
      </c>
      <c r="D108" s="2">
        <f t="shared" si="4"/>
        <v>2030.08</v>
      </c>
      <c r="E108" s="2">
        <f t="shared" si="5"/>
        <v>2030.08</v>
      </c>
      <c r="G108" s="10">
        <f t="shared" si="9"/>
        <v>38090.64583</v>
      </c>
      <c r="H108" s="6">
        <f t="shared" si="6"/>
        <v>917.63</v>
      </c>
      <c r="I108" s="2">
        <f t="shared" si="7"/>
        <v>917.63</v>
      </c>
      <c r="M108" s="10">
        <f>IFERROR(__xludf.DUMMYFUNCTION("""COMPUTED_VALUE"""),38135.666666666664)</f>
        <v>38135.66667</v>
      </c>
      <c r="N108" s="2">
        <f>IFERROR(__xludf.DUMMYFUNCTION("""COMPUTED_VALUE"""),1986.74)</f>
        <v>1986.74</v>
      </c>
      <c r="S108" s="13"/>
    </row>
    <row r="109">
      <c r="A109" s="10">
        <f t="shared" si="8"/>
        <v>38091.66667</v>
      </c>
      <c r="B109" s="2" t="str">
        <f t="shared" si="2"/>
        <v/>
      </c>
      <c r="C109" s="2" t="str">
        <f t="shared" si="3"/>
        <v>SP500</v>
      </c>
      <c r="D109" s="2">
        <f t="shared" si="4"/>
        <v>2024.85</v>
      </c>
      <c r="E109" s="2">
        <f t="shared" si="5"/>
        <v>2024.85</v>
      </c>
      <c r="G109" s="10">
        <f t="shared" si="9"/>
        <v>38091.64583</v>
      </c>
      <c r="H109" s="6">
        <f t="shared" si="6"/>
        <v>916.31</v>
      </c>
      <c r="I109" s="2">
        <f t="shared" si="7"/>
        <v>916.31</v>
      </c>
      <c r="M109" s="10">
        <f>IFERROR(__xludf.DUMMYFUNCTION("""COMPUTED_VALUE"""),38139.666666666664)</f>
        <v>38139.66667</v>
      </c>
      <c r="N109" s="2">
        <f>IFERROR(__xludf.DUMMYFUNCTION("""COMPUTED_VALUE"""),1990.77)</f>
        <v>1990.77</v>
      </c>
      <c r="S109" s="13"/>
    </row>
    <row r="110">
      <c r="A110" s="10">
        <f t="shared" si="8"/>
        <v>38092.66667</v>
      </c>
      <c r="B110" s="2" t="str">
        <f t="shared" si="2"/>
        <v/>
      </c>
      <c r="C110" s="2" t="str">
        <f t="shared" si="3"/>
        <v>SP500</v>
      </c>
      <c r="D110" s="2">
        <f t="shared" si="4"/>
        <v>2002.17</v>
      </c>
      <c r="E110" s="2">
        <f t="shared" si="5"/>
        <v>2002.17</v>
      </c>
      <c r="G110" s="10">
        <f t="shared" si="9"/>
        <v>38092.64583</v>
      </c>
      <c r="H110" s="6" t="str">
        <f t="shared" si="6"/>
        <v/>
      </c>
      <c r="I110" s="2">
        <f t="shared" si="7"/>
        <v>916.31</v>
      </c>
      <c r="M110" s="10">
        <f>IFERROR(__xludf.DUMMYFUNCTION("""COMPUTED_VALUE"""),38140.666666666664)</f>
        <v>38140.66667</v>
      </c>
      <c r="N110" s="2">
        <f>IFERROR(__xludf.DUMMYFUNCTION("""COMPUTED_VALUE"""),1988.98)</f>
        <v>1988.98</v>
      </c>
      <c r="S110" s="13"/>
    </row>
    <row r="111">
      <c r="A111" s="10">
        <f t="shared" si="8"/>
        <v>38093.66667</v>
      </c>
      <c r="B111" s="2" t="str">
        <f t="shared" si="2"/>
        <v/>
      </c>
      <c r="C111" s="2" t="str">
        <f t="shared" si="3"/>
        <v>SP500</v>
      </c>
      <c r="D111" s="2">
        <f t="shared" si="4"/>
        <v>1995.74</v>
      </c>
      <c r="E111" s="2">
        <f t="shared" si="5"/>
        <v>1995.74</v>
      </c>
      <c r="G111" s="10">
        <f t="shared" si="9"/>
        <v>38093.64583</v>
      </c>
      <c r="H111" s="6">
        <f t="shared" si="6"/>
        <v>898.88</v>
      </c>
      <c r="I111" s="2">
        <f t="shared" si="7"/>
        <v>898.88</v>
      </c>
      <c r="M111" s="10">
        <f>IFERROR(__xludf.DUMMYFUNCTION("""COMPUTED_VALUE"""),38141.666666666664)</f>
        <v>38141.66667</v>
      </c>
      <c r="N111" s="2">
        <f>IFERROR(__xludf.DUMMYFUNCTION("""COMPUTED_VALUE"""),1960.26)</f>
        <v>1960.26</v>
      </c>
      <c r="S111" s="13"/>
    </row>
    <row r="112">
      <c r="A112" s="10">
        <f t="shared" si="8"/>
        <v>38094.66667</v>
      </c>
      <c r="B112" s="2" t="str">
        <f t="shared" si="2"/>
        <v/>
      </c>
      <c r="C112" s="2" t="str">
        <f t="shared" si="3"/>
        <v>SP500</v>
      </c>
      <c r="D112" s="2" t="str">
        <f t="shared" si="4"/>
        <v/>
      </c>
      <c r="E112" s="2">
        <f t="shared" si="5"/>
        <v>1995.74</v>
      </c>
      <c r="G112" s="10">
        <f t="shared" si="9"/>
        <v>38094.64583</v>
      </c>
      <c r="H112" s="6" t="str">
        <f t="shared" si="6"/>
        <v/>
      </c>
      <c r="I112" s="2">
        <f t="shared" si="7"/>
        <v>898.88</v>
      </c>
      <c r="M112" s="10">
        <f>IFERROR(__xludf.DUMMYFUNCTION("""COMPUTED_VALUE"""),38142.666666666664)</f>
        <v>38142.66667</v>
      </c>
      <c r="N112" s="2">
        <f>IFERROR(__xludf.DUMMYFUNCTION("""COMPUTED_VALUE"""),1978.62)</f>
        <v>1978.62</v>
      </c>
      <c r="S112" s="13"/>
    </row>
    <row r="113">
      <c r="A113" s="10">
        <f t="shared" si="8"/>
        <v>38095.66667</v>
      </c>
      <c r="B113" s="2" t="str">
        <f t="shared" si="2"/>
        <v/>
      </c>
      <c r="C113" s="2" t="str">
        <f t="shared" si="3"/>
        <v>SP500</v>
      </c>
      <c r="D113" s="2" t="str">
        <f t="shared" si="4"/>
        <v/>
      </c>
      <c r="E113" s="2">
        <f t="shared" si="5"/>
        <v>1995.74</v>
      </c>
      <c r="G113" s="10">
        <f t="shared" si="9"/>
        <v>38095.64583</v>
      </c>
      <c r="H113" s="6" t="str">
        <f t="shared" si="6"/>
        <v/>
      </c>
      <c r="I113" s="2">
        <f t="shared" si="7"/>
        <v>898.88</v>
      </c>
      <c r="M113" s="10">
        <f>IFERROR(__xludf.DUMMYFUNCTION("""COMPUTED_VALUE"""),38145.666666666664)</f>
        <v>38145.66667</v>
      </c>
      <c r="N113" s="2">
        <f>IFERROR(__xludf.DUMMYFUNCTION("""COMPUTED_VALUE"""),2020.62)</f>
        <v>2020.62</v>
      </c>
      <c r="S113" s="13"/>
    </row>
    <row r="114">
      <c r="A114" s="10">
        <f t="shared" si="8"/>
        <v>38096.66667</v>
      </c>
      <c r="B114" s="2" t="str">
        <f t="shared" si="2"/>
        <v/>
      </c>
      <c r="C114" s="2" t="str">
        <f t="shared" si="3"/>
        <v>SP500</v>
      </c>
      <c r="D114" s="2">
        <f t="shared" si="4"/>
        <v>2020.43</v>
      </c>
      <c r="E114" s="2">
        <f t="shared" si="5"/>
        <v>2020.43</v>
      </c>
      <c r="G114" s="10">
        <f t="shared" si="9"/>
        <v>38096.64583</v>
      </c>
      <c r="H114" s="6">
        <f t="shared" si="6"/>
        <v>902.1</v>
      </c>
      <c r="I114" s="2">
        <f t="shared" si="7"/>
        <v>902.1</v>
      </c>
      <c r="M114" s="10">
        <f>IFERROR(__xludf.DUMMYFUNCTION("""COMPUTED_VALUE"""),38146.666666666664)</f>
        <v>38146.66667</v>
      </c>
      <c r="N114" s="2">
        <f>IFERROR(__xludf.DUMMYFUNCTION("""COMPUTED_VALUE"""),2023.53)</f>
        <v>2023.53</v>
      </c>
      <c r="S114" s="13"/>
    </row>
    <row r="115">
      <c r="A115" s="10">
        <f t="shared" si="8"/>
        <v>38097.66667</v>
      </c>
      <c r="B115" s="2" t="str">
        <f t="shared" si="2"/>
        <v/>
      </c>
      <c r="C115" s="2" t="str">
        <f t="shared" si="3"/>
        <v>SP500</v>
      </c>
      <c r="D115" s="2">
        <f t="shared" si="4"/>
        <v>1978.63</v>
      </c>
      <c r="E115" s="2">
        <f t="shared" si="5"/>
        <v>1978.63</v>
      </c>
      <c r="G115" s="10">
        <f t="shared" si="9"/>
        <v>38097.64583</v>
      </c>
      <c r="H115" s="6">
        <f t="shared" si="6"/>
        <v>918.9</v>
      </c>
      <c r="I115" s="2">
        <f t="shared" si="7"/>
        <v>918.9</v>
      </c>
      <c r="M115" s="10">
        <f>IFERROR(__xludf.DUMMYFUNCTION("""COMPUTED_VALUE"""),38147.666666666664)</f>
        <v>38147.66667</v>
      </c>
      <c r="N115" s="2">
        <f>IFERROR(__xludf.DUMMYFUNCTION("""COMPUTED_VALUE"""),1990.61)</f>
        <v>1990.61</v>
      </c>
      <c r="S115" s="13"/>
    </row>
    <row r="116">
      <c r="A116" s="10">
        <f t="shared" si="8"/>
        <v>38098.66667</v>
      </c>
      <c r="B116" s="2" t="str">
        <f t="shared" si="2"/>
        <v/>
      </c>
      <c r="C116" s="2" t="str">
        <f t="shared" si="3"/>
        <v>SP500</v>
      </c>
      <c r="D116" s="2">
        <f t="shared" si="4"/>
        <v>1995.63</v>
      </c>
      <c r="E116" s="2">
        <f t="shared" si="5"/>
        <v>1995.63</v>
      </c>
      <c r="G116" s="10">
        <f t="shared" si="9"/>
        <v>38098.64583</v>
      </c>
      <c r="H116" s="6">
        <f t="shared" si="6"/>
        <v>929.95</v>
      </c>
      <c r="I116" s="2">
        <f t="shared" si="7"/>
        <v>929.95</v>
      </c>
      <c r="M116" s="10">
        <f>IFERROR(__xludf.DUMMYFUNCTION("""COMPUTED_VALUE"""),38148.666666666664)</f>
        <v>38148.66667</v>
      </c>
      <c r="N116" s="2">
        <f>IFERROR(__xludf.DUMMYFUNCTION("""COMPUTED_VALUE"""),1999.87)</f>
        <v>1999.87</v>
      </c>
      <c r="S116" s="13"/>
    </row>
    <row r="117">
      <c r="A117" s="10">
        <f t="shared" si="8"/>
        <v>38099.66667</v>
      </c>
      <c r="B117" s="2" t="str">
        <f t="shared" si="2"/>
        <v/>
      </c>
      <c r="C117" s="2" t="str">
        <f t="shared" si="3"/>
        <v>SP500</v>
      </c>
      <c r="D117" s="2">
        <f t="shared" si="4"/>
        <v>2032.91</v>
      </c>
      <c r="E117" s="2">
        <f t="shared" si="5"/>
        <v>2032.91</v>
      </c>
      <c r="G117" s="10">
        <f t="shared" si="9"/>
        <v>38099.64583</v>
      </c>
      <c r="H117" s="6">
        <f t="shared" si="6"/>
        <v>924.01</v>
      </c>
      <c r="I117" s="2">
        <f t="shared" si="7"/>
        <v>924.01</v>
      </c>
      <c r="M117" s="10">
        <f>IFERROR(__xludf.DUMMYFUNCTION("""COMPUTED_VALUE"""),38152.666666666664)</f>
        <v>38152.66667</v>
      </c>
      <c r="N117" s="2">
        <f>IFERROR(__xludf.DUMMYFUNCTION("""COMPUTED_VALUE"""),1969.99)</f>
        <v>1969.99</v>
      </c>
      <c r="S117" s="13"/>
    </row>
    <row r="118">
      <c r="A118" s="10">
        <f t="shared" si="8"/>
        <v>38100.66667</v>
      </c>
      <c r="B118" s="2" t="str">
        <f t="shared" si="2"/>
        <v/>
      </c>
      <c r="C118" s="2" t="str">
        <f t="shared" si="3"/>
        <v>SP500</v>
      </c>
      <c r="D118" s="2">
        <f t="shared" si="4"/>
        <v>2049.77</v>
      </c>
      <c r="E118" s="2">
        <f t="shared" si="5"/>
        <v>2049.77</v>
      </c>
      <c r="G118" s="10">
        <f t="shared" si="9"/>
        <v>38100.64583</v>
      </c>
      <c r="H118" s="6">
        <f t="shared" si="6"/>
        <v>936.06</v>
      </c>
      <c r="I118" s="2">
        <f t="shared" si="7"/>
        <v>936.06</v>
      </c>
      <c r="M118" s="10">
        <f>IFERROR(__xludf.DUMMYFUNCTION("""COMPUTED_VALUE"""),38153.666666666664)</f>
        <v>38153.66667</v>
      </c>
      <c r="N118" s="2">
        <f>IFERROR(__xludf.DUMMYFUNCTION("""COMPUTED_VALUE"""),1995.6)</f>
        <v>1995.6</v>
      </c>
      <c r="S118" s="13"/>
    </row>
    <row r="119">
      <c r="A119" s="10">
        <f t="shared" si="8"/>
        <v>38101.66667</v>
      </c>
      <c r="B119" s="2" t="str">
        <f t="shared" si="2"/>
        <v/>
      </c>
      <c r="C119" s="2" t="str">
        <f t="shared" si="3"/>
        <v>SP500</v>
      </c>
      <c r="D119" s="2" t="str">
        <f t="shared" si="4"/>
        <v/>
      </c>
      <c r="E119" s="2">
        <f t="shared" si="5"/>
        <v>2049.77</v>
      </c>
      <c r="G119" s="10">
        <f t="shared" si="9"/>
        <v>38101.64583</v>
      </c>
      <c r="H119" s="6" t="str">
        <f t="shared" si="6"/>
        <v/>
      </c>
      <c r="I119" s="2">
        <f t="shared" si="7"/>
        <v>936.06</v>
      </c>
      <c r="M119" s="10">
        <f>IFERROR(__xludf.DUMMYFUNCTION("""COMPUTED_VALUE"""),38154.666666666664)</f>
        <v>38154.66667</v>
      </c>
      <c r="N119" s="2">
        <f>IFERROR(__xludf.DUMMYFUNCTION("""COMPUTED_VALUE"""),1998.23)</f>
        <v>1998.23</v>
      </c>
      <c r="S119" s="13"/>
    </row>
    <row r="120">
      <c r="A120" s="10">
        <f t="shared" si="8"/>
        <v>38102.66667</v>
      </c>
      <c r="B120" s="2" t="str">
        <f t="shared" si="2"/>
        <v/>
      </c>
      <c r="C120" s="2" t="str">
        <f t="shared" si="3"/>
        <v>SP500</v>
      </c>
      <c r="D120" s="2" t="str">
        <f t="shared" si="4"/>
        <v/>
      </c>
      <c r="E120" s="2">
        <f t="shared" si="5"/>
        <v>2049.77</v>
      </c>
      <c r="G120" s="10">
        <f t="shared" si="9"/>
        <v>38102.64583</v>
      </c>
      <c r="H120" s="6" t="str">
        <f t="shared" si="6"/>
        <v/>
      </c>
      <c r="I120" s="2">
        <f t="shared" si="7"/>
        <v>936.06</v>
      </c>
      <c r="M120" s="10">
        <f>IFERROR(__xludf.DUMMYFUNCTION("""COMPUTED_VALUE"""),38155.666666666664)</f>
        <v>38155.66667</v>
      </c>
      <c r="N120" s="2">
        <f>IFERROR(__xludf.DUMMYFUNCTION("""COMPUTED_VALUE"""),1983.67)</f>
        <v>1983.67</v>
      </c>
      <c r="S120" s="13"/>
    </row>
    <row r="121">
      <c r="A121" s="10">
        <f t="shared" si="8"/>
        <v>38103.66667</v>
      </c>
      <c r="B121" s="2" t="str">
        <f t="shared" si="2"/>
        <v/>
      </c>
      <c r="C121" s="2" t="str">
        <f t="shared" si="3"/>
        <v>SP500</v>
      </c>
      <c r="D121" s="2">
        <f t="shared" si="4"/>
        <v>2036.77</v>
      </c>
      <c r="E121" s="2">
        <f t="shared" si="5"/>
        <v>2036.77</v>
      </c>
      <c r="G121" s="10">
        <f t="shared" si="9"/>
        <v>38103.64583</v>
      </c>
      <c r="H121" s="6">
        <f t="shared" si="6"/>
        <v>919.74</v>
      </c>
      <c r="I121" s="2">
        <f t="shared" si="7"/>
        <v>919.74</v>
      </c>
      <c r="M121" s="10">
        <f>IFERROR(__xludf.DUMMYFUNCTION("""COMPUTED_VALUE"""),38156.666666666664)</f>
        <v>38156.66667</v>
      </c>
      <c r="N121" s="2">
        <f>IFERROR(__xludf.DUMMYFUNCTION("""COMPUTED_VALUE"""),1986.73)</f>
        <v>1986.73</v>
      </c>
      <c r="S121" s="13"/>
    </row>
    <row r="122">
      <c r="A122" s="10">
        <f t="shared" si="8"/>
        <v>38104.66667</v>
      </c>
      <c r="B122" s="2" t="str">
        <f t="shared" si="2"/>
        <v/>
      </c>
      <c r="C122" s="2" t="str">
        <f t="shared" si="3"/>
        <v>SP500</v>
      </c>
      <c r="D122" s="2">
        <f t="shared" si="4"/>
        <v>2032.53</v>
      </c>
      <c r="E122" s="2">
        <f t="shared" si="5"/>
        <v>2032.53</v>
      </c>
      <c r="G122" s="10">
        <f t="shared" si="9"/>
        <v>38104.64583</v>
      </c>
      <c r="H122" s="6">
        <f t="shared" si="6"/>
        <v>915.47</v>
      </c>
      <c r="I122" s="2">
        <f t="shared" si="7"/>
        <v>915.47</v>
      </c>
      <c r="M122" s="10">
        <f>IFERROR(__xludf.DUMMYFUNCTION("""COMPUTED_VALUE"""),38159.666666666664)</f>
        <v>38159.66667</v>
      </c>
      <c r="N122" s="2">
        <f>IFERROR(__xludf.DUMMYFUNCTION("""COMPUTED_VALUE"""),1974.38)</f>
        <v>1974.38</v>
      </c>
      <c r="S122" s="13"/>
    </row>
    <row r="123">
      <c r="A123" s="10">
        <f t="shared" si="8"/>
        <v>38105.66667</v>
      </c>
      <c r="B123" s="2" t="str">
        <f t="shared" si="2"/>
        <v/>
      </c>
      <c r="C123" s="2" t="str">
        <f t="shared" si="3"/>
        <v>SP500</v>
      </c>
      <c r="D123" s="2">
        <f t="shared" si="4"/>
        <v>1989.54</v>
      </c>
      <c r="E123" s="2">
        <f t="shared" si="5"/>
        <v>1989.54</v>
      </c>
      <c r="G123" s="10">
        <f t="shared" si="9"/>
        <v>38105.64583</v>
      </c>
      <c r="H123" s="6">
        <f t="shared" si="6"/>
        <v>901.83</v>
      </c>
      <c r="I123" s="2">
        <f t="shared" si="7"/>
        <v>901.83</v>
      </c>
      <c r="M123" s="10">
        <f>IFERROR(__xludf.DUMMYFUNCTION("""COMPUTED_VALUE"""),38160.666666666664)</f>
        <v>38160.66667</v>
      </c>
      <c r="N123" s="2">
        <f>IFERROR(__xludf.DUMMYFUNCTION("""COMPUTED_VALUE"""),1994.15)</f>
        <v>1994.15</v>
      </c>
      <c r="S123" s="13"/>
    </row>
    <row r="124">
      <c r="A124" s="10">
        <f t="shared" si="8"/>
        <v>38106.66667</v>
      </c>
      <c r="B124" s="2" t="str">
        <f t="shared" si="2"/>
        <v/>
      </c>
      <c r="C124" s="2" t="str">
        <f t="shared" si="3"/>
        <v>SP500</v>
      </c>
      <c r="D124" s="2">
        <f t="shared" si="4"/>
        <v>1958.78</v>
      </c>
      <c r="E124" s="2">
        <f t="shared" si="5"/>
        <v>1958.78</v>
      </c>
      <c r="G124" s="10">
        <f t="shared" si="9"/>
        <v>38106.64583</v>
      </c>
      <c r="H124" s="6">
        <f t="shared" si="6"/>
        <v>875.41</v>
      </c>
      <c r="I124" s="2">
        <f t="shared" si="7"/>
        <v>875.41</v>
      </c>
      <c r="M124" s="10">
        <f>IFERROR(__xludf.DUMMYFUNCTION("""COMPUTED_VALUE"""),38161.666666666664)</f>
        <v>38161.66667</v>
      </c>
      <c r="N124" s="2">
        <f>IFERROR(__xludf.DUMMYFUNCTION("""COMPUTED_VALUE"""),2020.98)</f>
        <v>2020.98</v>
      </c>
      <c r="S124" s="13"/>
    </row>
    <row r="125">
      <c r="A125" s="10">
        <f t="shared" si="8"/>
        <v>38107.66667</v>
      </c>
      <c r="B125" s="2" t="str">
        <f t="shared" si="2"/>
        <v/>
      </c>
      <c r="C125" s="2" t="str">
        <f t="shared" si="3"/>
        <v>SP500</v>
      </c>
      <c r="D125" s="2">
        <f t="shared" si="4"/>
        <v>1920.15</v>
      </c>
      <c r="E125" s="2">
        <f t="shared" si="5"/>
        <v>1920.15</v>
      </c>
      <c r="G125" s="10">
        <f t="shared" si="9"/>
        <v>38107.64583</v>
      </c>
      <c r="H125" s="6">
        <f t="shared" si="6"/>
        <v>862.84</v>
      </c>
      <c r="I125" s="2">
        <f t="shared" si="7"/>
        <v>862.84</v>
      </c>
      <c r="M125" s="10">
        <f>IFERROR(__xludf.DUMMYFUNCTION("""COMPUTED_VALUE"""),38162.666666666664)</f>
        <v>38162.66667</v>
      </c>
      <c r="N125" s="2">
        <f>IFERROR(__xludf.DUMMYFUNCTION("""COMPUTED_VALUE"""),2015.57)</f>
        <v>2015.57</v>
      </c>
      <c r="S125" s="13"/>
    </row>
    <row r="126">
      <c r="A126" s="10">
        <f t="shared" si="8"/>
        <v>38108.66667</v>
      </c>
      <c r="B126" s="2" t="str">
        <f t="shared" si="2"/>
        <v/>
      </c>
      <c r="C126" s="2" t="str">
        <f t="shared" si="3"/>
        <v>SP500</v>
      </c>
      <c r="D126" s="2" t="str">
        <f t="shared" si="4"/>
        <v/>
      </c>
      <c r="E126" s="2">
        <f t="shared" si="5"/>
        <v>1920.15</v>
      </c>
      <c r="G126" s="10">
        <f t="shared" si="9"/>
        <v>38108.64583</v>
      </c>
      <c r="H126" s="6" t="str">
        <f t="shared" si="6"/>
        <v/>
      </c>
      <c r="I126" s="2">
        <f t="shared" si="7"/>
        <v>862.84</v>
      </c>
      <c r="M126" s="10">
        <f>IFERROR(__xludf.DUMMYFUNCTION("""COMPUTED_VALUE"""),38163.666666666664)</f>
        <v>38163.66667</v>
      </c>
      <c r="N126" s="2">
        <f>IFERROR(__xludf.DUMMYFUNCTION("""COMPUTED_VALUE"""),2025.47)</f>
        <v>2025.47</v>
      </c>
      <c r="S126" s="13"/>
    </row>
    <row r="127">
      <c r="A127" s="10">
        <f t="shared" si="8"/>
        <v>38109.66667</v>
      </c>
      <c r="B127" s="2" t="str">
        <f t="shared" si="2"/>
        <v/>
      </c>
      <c r="C127" s="2" t="str">
        <f t="shared" si="3"/>
        <v>SP500</v>
      </c>
      <c r="D127" s="2" t="str">
        <f t="shared" si="4"/>
        <v/>
      </c>
      <c r="E127" s="2">
        <f t="shared" si="5"/>
        <v>1920.15</v>
      </c>
      <c r="G127" s="10">
        <f t="shared" si="9"/>
        <v>38109.64583</v>
      </c>
      <c r="H127" s="6" t="str">
        <f t="shared" si="6"/>
        <v/>
      </c>
      <c r="I127" s="2">
        <f t="shared" si="7"/>
        <v>862.84</v>
      </c>
      <c r="M127" s="10">
        <f>IFERROR(__xludf.DUMMYFUNCTION("""COMPUTED_VALUE"""),38166.666666666664)</f>
        <v>38166.66667</v>
      </c>
      <c r="N127" s="2">
        <f>IFERROR(__xludf.DUMMYFUNCTION("""COMPUTED_VALUE"""),2019.82)</f>
        <v>2019.82</v>
      </c>
      <c r="S127" s="13"/>
    </row>
    <row r="128">
      <c r="A128" s="10">
        <f t="shared" si="8"/>
        <v>38110.66667</v>
      </c>
      <c r="B128" s="2" t="str">
        <f t="shared" si="2"/>
        <v/>
      </c>
      <c r="C128" s="2" t="str">
        <f t="shared" si="3"/>
        <v>SP500</v>
      </c>
      <c r="D128" s="2">
        <f t="shared" si="4"/>
        <v>1938.72</v>
      </c>
      <c r="E128" s="2">
        <f t="shared" si="5"/>
        <v>1938.72</v>
      </c>
      <c r="G128" s="10">
        <f t="shared" si="9"/>
        <v>38110.64583</v>
      </c>
      <c r="H128" s="6">
        <f t="shared" si="6"/>
        <v>866.11</v>
      </c>
      <c r="I128" s="2">
        <f t="shared" si="7"/>
        <v>866.11</v>
      </c>
      <c r="M128" s="10">
        <f>IFERROR(__xludf.DUMMYFUNCTION("""COMPUTED_VALUE"""),38167.666666666664)</f>
        <v>38167.66667</v>
      </c>
      <c r="N128" s="2">
        <f>IFERROR(__xludf.DUMMYFUNCTION("""COMPUTED_VALUE"""),2034.93)</f>
        <v>2034.93</v>
      </c>
      <c r="S128" s="13"/>
    </row>
    <row r="129">
      <c r="A129" s="10">
        <f t="shared" si="8"/>
        <v>38111.66667</v>
      </c>
      <c r="B129" s="2" t="str">
        <f t="shared" si="2"/>
        <v/>
      </c>
      <c r="C129" s="2" t="str">
        <f t="shared" si="3"/>
        <v>SP500</v>
      </c>
      <c r="D129" s="2">
        <f t="shared" si="4"/>
        <v>1950.48</v>
      </c>
      <c r="E129" s="2">
        <f t="shared" si="5"/>
        <v>1950.48</v>
      </c>
      <c r="G129" s="10">
        <f t="shared" si="9"/>
        <v>38111.64583</v>
      </c>
      <c r="H129" s="6">
        <f t="shared" si="6"/>
        <v>867.48</v>
      </c>
      <c r="I129" s="2">
        <f t="shared" si="7"/>
        <v>867.48</v>
      </c>
      <c r="M129" s="10">
        <f>IFERROR(__xludf.DUMMYFUNCTION("""COMPUTED_VALUE"""),38168.666666666664)</f>
        <v>38168.66667</v>
      </c>
      <c r="N129" s="2">
        <f>IFERROR(__xludf.DUMMYFUNCTION("""COMPUTED_VALUE"""),2047.79)</f>
        <v>2047.79</v>
      </c>
      <c r="S129" s="13"/>
    </row>
    <row r="130">
      <c r="A130" s="10">
        <f t="shared" si="8"/>
        <v>38112.66667</v>
      </c>
      <c r="B130" s="2" t="str">
        <f t="shared" si="2"/>
        <v/>
      </c>
      <c r="C130" s="2" t="str">
        <f t="shared" si="3"/>
        <v>SP500</v>
      </c>
      <c r="D130" s="2">
        <f t="shared" si="4"/>
        <v>1957.26</v>
      </c>
      <c r="E130" s="2">
        <f t="shared" si="5"/>
        <v>1957.26</v>
      </c>
      <c r="G130" s="10">
        <f t="shared" si="9"/>
        <v>38112.64583</v>
      </c>
      <c r="H130" s="6" t="str">
        <f t="shared" si="6"/>
        <v/>
      </c>
      <c r="I130" s="2">
        <f t="shared" si="7"/>
        <v>867.48</v>
      </c>
      <c r="M130" s="10">
        <f>IFERROR(__xludf.DUMMYFUNCTION("""COMPUTED_VALUE"""),38169.666666666664)</f>
        <v>38169.66667</v>
      </c>
      <c r="N130" s="2">
        <f>IFERROR(__xludf.DUMMYFUNCTION("""COMPUTED_VALUE"""),2015.55)</f>
        <v>2015.55</v>
      </c>
      <c r="S130" s="13"/>
    </row>
    <row r="131">
      <c r="A131" s="10">
        <f t="shared" si="8"/>
        <v>38113.66667</v>
      </c>
      <c r="B131" s="2" t="str">
        <f t="shared" si="2"/>
        <v/>
      </c>
      <c r="C131" s="2" t="str">
        <f t="shared" si="3"/>
        <v>SP500</v>
      </c>
      <c r="D131" s="2">
        <f t="shared" si="4"/>
        <v>1937.74</v>
      </c>
      <c r="E131" s="2">
        <f t="shared" si="5"/>
        <v>1937.74</v>
      </c>
      <c r="G131" s="10">
        <f t="shared" si="9"/>
        <v>38113.64583</v>
      </c>
      <c r="H131" s="6">
        <f t="shared" si="6"/>
        <v>837.68</v>
      </c>
      <c r="I131" s="2">
        <f t="shared" si="7"/>
        <v>837.68</v>
      </c>
      <c r="M131" s="10">
        <f>IFERROR(__xludf.DUMMYFUNCTION("""COMPUTED_VALUE"""),38170.666666666664)</f>
        <v>38170.66667</v>
      </c>
      <c r="N131" s="2">
        <f>IFERROR(__xludf.DUMMYFUNCTION("""COMPUTED_VALUE"""),2006.66)</f>
        <v>2006.66</v>
      </c>
      <c r="S131" s="13"/>
    </row>
    <row r="132">
      <c r="A132" s="10">
        <f t="shared" si="8"/>
        <v>38114.66667</v>
      </c>
      <c r="B132" s="2" t="str">
        <f t="shared" si="2"/>
        <v/>
      </c>
      <c r="C132" s="2" t="str">
        <f t="shared" si="3"/>
        <v>SP500</v>
      </c>
      <c r="D132" s="2">
        <f t="shared" si="4"/>
        <v>1917.96</v>
      </c>
      <c r="E132" s="2">
        <f t="shared" si="5"/>
        <v>1917.96</v>
      </c>
      <c r="G132" s="10">
        <f t="shared" si="9"/>
        <v>38114.64583</v>
      </c>
      <c r="H132" s="6">
        <f t="shared" si="6"/>
        <v>838.74</v>
      </c>
      <c r="I132" s="2">
        <f t="shared" si="7"/>
        <v>838.74</v>
      </c>
      <c r="M132" s="10">
        <f>IFERROR(__xludf.DUMMYFUNCTION("""COMPUTED_VALUE"""),38174.666666666664)</f>
        <v>38174.66667</v>
      </c>
      <c r="N132" s="2">
        <f>IFERROR(__xludf.DUMMYFUNCTION("""COMPUTED_VALUE"""),1963.43)</f>
        <v>1963.43</v>
      </c>
      <c r="S132" s="13"/>
    </row>
    <row r="133">
      <c r="A133" s="10">
        <f t="shared" si="8"/>
        <v>38115.66667</v>
      </c>
      <c r="B133" s="2" t="str">
        <f t="shared" si="2"/>
        <v/>
      </c>
      <c r="C133" s="2" t="str">
        <f t="shared" si="3"/>
        <v>SP500</v>
      </c>
      <c r="D133" s="2" t="str">
        <f t="shared" si="4"/>
        <v/>
      </c>
      <c r="E133" s="2">
        <f t="shared" si="5"/>
        <v>1917.96</v>
      </c>
      <c r="G133" s="10">
        <f t="shared" si="9"/>
        <v>38115.64583</v>
      </c>
      <c r="H133" s="6" t="str">
        <f t="shared" si="6"/>
        <v/>
      </c>
      <c r="I133" s="2">
        <f t="shared" si="7"/>
        <v>838.74</v>
      </c>
      <c r="M133" s="10">
        <f>IFERROR(__xludf.DUMMYFUNCTION("""COMPUTED_VALUE"""),38175.666666666664)</f>
        <v>38175.66667</v>
      </c>
      <c r="N133" s="2">
        <f>IFERROR(__xludf.DUMMYFUNCTION("""COMPUTED_VALUE"""),1966.08)</f>
        <v>1966.08</v>
      </c>
      <c r="S133" s="13"/>
    </row>
    <row r="134">
      <c r="A134" s="10">
        <f t="shared" si="8"/>
        <v>38116.66667</v>
      </c>
      <c r="B134" s="2" t="str">
        <f t="shared" si="2"/>
        <v/>
      </c>
      <c r="C134" s="2" t="str">
        <f t="shared" si="3"/>
        <v>SP500</v>
      </c>
      <c r="D134" s="2" t="str">
        <f t="shared" si="4"/>
        <v/>
      </c>
      <c r="E134" s="2">
        <f t="shared" si="5"/>
        <v>1917.96</v>
      </c>
      <c r="G134" s="10">
        <f t="shared" si="9"/>
        <v>38116.64583</v>
      </c>
      <c r="H134" s="6" t="str">
        <f t="shared" si="6"/>
        <v/>
      </c>
      <c r="I134" s="2">
        <f t="shared" si="7"/>
        <v>838.74</v>
      </c>
      <c r="M134" s="10">
        <f>IFERROR(__xludf.DUMMYFUNCTION("""COMPUTED_VALUE"""),38176.666666666664)</f>
        <v>38176.66667</v>
      </c>
      <c r="N134" s="2">
        <f>IFERROR(__xludf.DUMMYFUNCTION("""COMPUTED_VALUE"""),1935.32)</f>
        <v>1935.32</v>
      </c>
      <c r="S134" s="13"/>
    </row>
    <row r="135">
      <c r="A135" s="10">
        <f t="shared" si="8"/>
        <v>38117.66667</v>
      </c>
      <c r="B135" s="2" t="str">
        <f t="shared" si="2"/>
        <v/>
      </c>
      <c r="C135" s="2" t="str">
        <f t="shared" si="3"/>
        <v>SP500</v>
      </c>
      <c r="D135" s="2">
        <f t="shared" si="4"/>
        <v>1896.07</v>
      </c>
      <c r="E135" s="2">
        <f t="shared" si="5"/>
        <v>1896.07</v>
      </c>
      <c r="G135" s="10">
        <f t="shared" si="9"/>
        <v>38117.64583</v>
      </c>
      <c r="H135" s="6">
        <f t="shared" si="6"/>
        <v>790.68</v>
      </c>
      <c r="I135" s="2">
        <f t="shared" si="7"/>
        <v>790.68</v>
      </c>
      <c r="M135" s="10">
        <f>IFERROR(__xludf.DUMMYFUNCTION("""COMPUTED_VALUE"""),38177.666666666664)</f>
        <v>38177.66667</v>
      </c>
      <c r="N135" s="2">
        <f>IFERROR(__xludf.DUMMYFUNCTION("""COMPUTED_VALUE"""),1946.33)</f>
        <v>1946.33</v>
      </c>
      <c r="S135" s="13"/>
    </row>
    <row r="136">
      <c r="A136" s="10">
        <f t="shared" si="8"/>
        <v>38118.66667</v>
      </c>
      <c r="B136" s="2" t="str">
        <f t="shared" si="2"/>
        <v/>
      </c>
      <c r="C136" s="2" t="str">
        <f t="shared" si="3"/>
        <v>SP500</v>
      </c>
      <c r="D136" s="2">
        <f t="shared" si="4"/>
        <v>1931.35</v>
      </c>
      <c r="E136" s="2">
        <f t="shared" si="5"/>
        <v>1931.35</v>
      </c>
      <c r="G136" s="10">
        <f t="shared" si="9"/>
        <v>38118.64583</v>
      </c>
      <c r="H136" s="6">
        <f t="shared" si="6"/>
        <v>791.02</v>
      </c>
      <c r="I136" s="2">
        <f t="shared" si="7"/>
        <v>791.02</v>
      </c>
      <c r="M136" s="10">
        <f>IFERROR(__xludf.DUMMYFUNCTION("""COMPUTED_VALUE"""),38180.666666666664)</f>
        <v>38180.66667</v>
      </c>
      <c r="N136" s="2">
        <f>IFERROR(__xludf.DUMMYFUNCTION("""COMPUTED_VALUE"""),1936.92)</f>
        <v>1936.92</v>
      </c>
      <c r="S136" s="13"/>
    </row>
    <row r="137">
      <c r="A137" s="10">
        <f t="shared" si="8"/>
        <v>38119.66667</v>
      </c>
      <c r="B137" s="2" t="str">
        <f t="shared" si="2"/>
        <v/>
      </c>
      <c r="C137" s="2" t="str">
        <f t="shared" si="3"/>
        <v>SP500</v>
      </c>
      <c r="D137" s="2">
        <f t="shared" si="4"/>
        <v>1925.59</v>
      </c>
      <c r="E137" s="2">
        <f t="shared" si="5"/>
        <v>1925.59</v>
      </c>
      <c r="G137" s="10">
        <f t="shared" si="9"/>
        <v>38119.64583</v>
      </c>
      <c r="H137" s="6">
        <f t="shared" si="6"/>
        <v>817.09</v>
      </c>
      <c r="I137" s="2">
        <f t="shared" si="7"/>
        <v>817.09</v>
      </c>
      <c r="M137" s="10">
        <f>IFERROR(__xludf.DUMMYFUNCTION("""COMPUTED_VALUE"""),38181.666666666664)</f>
        <v>38181.66667</v>
      </c>
      <c r="N137" s="2">
        <f>IFERROR(__xludf.DUMMYFUNCTION("""COMPUTED_VALUE"""),1931.66)</f>
        <v>1931.66</v>
      </c>
      <c r="S137" s="13"/>
    </row>
    <row r="138">
      <c r="A138" s="10">
        <f t="shared" si="8"/>
        <v>38120.66667</v>
      </c>
      <c r="B138" s="2" t="str">
        <f t="shared" si="2"/>
        <v/>
      </c>
      <c r="C138" s="2" t="str">
        <f t="shared" si="3"/>
        <v>SP500</v>
      </c>
      <c r="D138" s="2">
        <f t="shared" si="4"/>
        <v>1926.03</v>
      </c>
      <c r="E138" s="2">
        <f t="shared" si="5"/>
        <v>1926.03</v>
      </c>
      <c r="G138" s="10">
        <f t="shared" si="9"/>
        <v>38120.64583</v>
      </c>
      <c r="H138" s="6">
        <f t="shared" si="6"/>
        <v>790.13</v>
      </c>
      <c r="I138" s="2">
        <f t="shared" si="7"/>
        <v>790.13</v>
      </c>
      <c r="M138" s="10">
        <f>IFERROR(__xludf.DUMMYFUNCTION("""COMPUTED_VALUE"""),38182.666666666664)</f>
        <v>38182.66667</v>
      </c>
      <c r="N138" s="2">
        <f>IFERROR(__xludf.DUMMYFUNCTION("""COMPUTED_VALUE"""),1914.88)</f>
        <v>1914.88</v>
      </c>
      <c r="S138" s="13"/>
    </row>
    <row r="139">
      <c r="A139" s="10">
        <f t="shared" si="8"/>
        <v>38121.66667</v>
      </c>
      <c r="B139" s="2" t="str">
        <f t="shared" si="2"/>
        <v/>
      </c>
      <c r="C139" s="2" t="str">
        <f t="shared" si="3"/>
        <v>SP500</v>
      </c>
      <c r="D139" s="2">
        <f t="shared" si="4"/>
        <v>1904.25</v>
      </c>
      <c r="E139" s="2">
        <f t="shared" si="5"/>
        <v>1904.25</v>
      </c>
      <c r="G139" s="10">
        <f t="shared" si="9"/>
        <v>38121.64583</v>
      </c>
      <c r="H139" s="6">
        <f t="shared" si="6"/>
        <v>768.46</v>
      </c>
      <c r="I139" s="2">
        <f t="shared" si="7"/>
        <v>768.46</v>
      </c>
      <c r="M139" s="10">
        <f>IFERROR(__xludf.DUMMYFUNCTION("""COMPUTED_VALUE"""),38183.666666666664)</f>
        <v>38183.66667</v>
      </c>
      <c r="N139" s="2">
        <f>IFERROR(__xludf.DUMMYFUNCTION("""COMPUTED_VALUE"""),1912.71)</f>
        <v>1912.71</v>
      </c>
      <c r="S139" s="13"/>
    </row>
    <row r="140">
      <c r="A140" s="10">
        <f t="shared" si="8"/>
        <v>38122.66667</v>
      </c>
      <c r="B140" s="2" t="str">
        <f t="shared" si="2"/>
        <v/>
      </c>
      <c r="C140" s="2" t="str">
        <f t="shared" si="3"/>
        <v>SP500</v>
      </c>
      <c r="D140" s="2" t="str">
        <f t="shared" si="4"/>
        <v/>
      </c>
      <c r="E140" s="2">
        <f t="shared" si="5"/>
        <v>1904.25</v>
      </c>
      <c r="G140" s="10">
        <f t="shared" si="9"/>
        <v>38122.64583</v>
      </c>
      <c r="H140" s="6" t="str">
        <f t="shared" si="6"/>
        <v/>
      </c>
      <c r="I140" s="2">
        <f t="shared" si="7"/>
        <v>768.46</v>
      </c>
      <c r="M140" s="10">
        <f>IFERROR(__xludf.DUMMYFUNCTION("""COMPUTED_VALUE"""),38184.666666666664)</f>
        <v>38184.66667</v>
      </c>
      <c r="N140" s="2">
        <f>IFERROR(__xludf.DUMMYFUNCTION("""COMPUTED_VALUE"""),1883.15)</f>
        <v>1883.15</v>
      </c>
      <c r="S140" s="13"/>
    </row>
    <row r="141">
      <c r="A141" s="10">
        <f t="shared" si="8"/>
        <v>38123.66667</v>
      </c>
      <c r="B141" s="2" t="str">
        <f t="shared" si="2"/>
        <v/>
      </c>
      <c r="C141" s="2" t="str">
        <f t="shared" si="3"/>
        <v>SP500</v>
      </c>
      <c r="D141" s="2" t="str">
        <f t="shared" si="4"/>
        <v/>
      </c>
      <c r="E141" s="2">
        <f t="shared" si="5"/>
        <v>1904.25</v>
      </c>
      <c r="G141" s="10">
        <f t="shared" si="9"/>
        <v>38123.64583</v>
      </c>
      <c r="H141" s="6" t="str">
        <f t="shared" si="6"/>
        <v/>
      </c>
      <c r="I141" s="2">
        <f t="shared" si="7"/>
        <v>768.46</v>
      </c>
      <c r="M141" s="10">
        <f>IFERROR(__xludf.DUMMYFUNCTION("""COMPUTED_VALUE"""),38187.666666666664)</f>
        <v>38187.66667</v>
      </c>
      <c r="N141" s="2">
        <f>IFERROR(__xludf.DUMMYFUNCTION("""COMPUTED_VALUE"""),1883.83)</f>
        <v>1883.83</v>
      </c>
      <c r="S141" s="13"/>
    </row>
    <row r="142">
      <c r="A142" s="10">
        <f t="shared" si="8"/>
        <v>38124.66667</v>
      </c>
      <c r="B142" s="2" t="str">
        <f t="shared" si="2"/>
        <v/>
      </c>
      <c r="C142" s="2" t="str">
        <f t="shared" si="3"/>
        <v>SP500</v>
      </c>
      <c r="D142" s="2">
        <f t="shared" si="4"/>
        <v>1876.64</v>
      </c>
      <c r="E142" s="2">
        <f t="shared" si="5"/>
        <v>1876.64</v>
      </c>
      <c r="G142" s="10">
        <f t="shared" si="9"/>
        <v>38124.64583</v>
      </c>
      <c r="H142" s="6">
        <f t="shared" si="6"/>
        <v>728.98</v>
      </c>
      <c r="I142" s="2">
        <f t="shared" si="7"/>
        <v>728.98</v>
      </c>
      <c r="M142" s="10">
        <f>IFERROR(__xludf.DUMMYFUNCTION("""COMPUTED_VALUE"""),38188.666666666664)</f>
        <v>38188.66667</v>
      </c>
      <c r="N142" s="2">
        <f>IFERROR(__xludf.DUMMYFUNCTION("""COMPUTED_VALUE"""),1917.07)</f>
        <v>1917.07</v>
      </c>
      <c r="S142" s="13"/>
    </row>
    <row r="143">
      <c r="A143" s="10">
        <f t="shared" si="8"/>
        <v>38125.66667</v>
      </c>
      <c r="B143" s="2" t="str">
        <f t="shared" si="2"/>
        <v/>
      </c>
      <c r="C143" s="2" t="str">
        <f t="shared" si="3"/>
        <v>SP500</v>
      </c>
      <c r="D143" s="2">
        <f t="shared" si="4"/>
        <v>1897.82</v>
      </c>
      <c r="E143" s="2">
        <f t="shared" si="5"/>
        <v>1897.82</v>
      </c>
      <c r="G143" s="10">
        <f t="shared" si="9"/>
        <v>38125.64583</v>
      </c>
      <c r="H143" s="6">
        <f t="shared" si="6"/>
        <v>741.99</v>
      </c>
      <c r="I143" s="2">
        <f t="shared" si="7"/>
        <v>741.99</v>
      </c>
      <c r="M143" s="10">
        <f>IFERROR(__xludf.DUMMYFUNCTION("""COMPUTED_VALUE"""),38189.666666666664)</f>
        <v>38189.66667</v>
      </c>
      <c r="N143" s="2">
        <f>IFERROR(__xludf.DUMMYFUNCTION("""COMPUTED_VALUE"""),1874.37)</f>
        <v>1874.37</v>
      </c>
      <c r="S143" s="13"/>
    </row>
    <row r="144">
      <c r="A144" s="10">
        <f t="shared" si="8"/>
        <v>38126.66667</v>
      </c>
      <c r="B144" s="2" t="str">
        <f t="shared" si="2"/>
        <v/>
      </c>
      <c r="C144" s="2" t="str">
        <f t="shared" si="3"/>
        <v>SP500</v>
      </c>
      <c r="D144" s="2">
        <f t="shared" si="4"/>
        <v>1898.17</v>
      </c>
      <c r="E144" s="2">
        <f t="shared" si="5"/>
        <v>1898.17</v>
      </c>
      <c r="G144" s="10">
        <f t="shared" si="9"/>
        <v>38126.64583</v>
      </c>
      <c r="H144" s="6">
        <f t="shared" si="6"/>
        <v>777.95</v>
      </c>
      <c r="I144" s="2">
        <f t="shared" si="7"/>
        <v>777.95</v>
      </c>
      <c r="M144" s="10">
        <f>IFERROR(__xludf.DUMMYFUNCTION("""COMPUTED_VALUE"""),38190.666666666664)</f>
        <v>38190.66667</v>
      </c>
      <c r="N144" s="2">
        <f>IFERROR(__xludf.DUMMYFUNCTION("""COMPUTED_VALUE"""),1889.06)</f>
        <v>1889.06</v>
      </c>
      <c r="S144" s="13"/>
    </row>
    <row r="145">
      <c r="A145" s="10">
        <f t="shared" si="8"/>
        <v>38127.66667</v>
      </c>
      <c r="B145" s="2" t="str">
        <f t="shared" si="2"/>
        <v/>
      </c>
      <c r="C145" s="2" t="str">
        <f t="shared" si="3"/>
        <v>SP500</v>
      </c>
      <c r="D145" s="2">
        <f t="shared" si="4"/>
        <v>1896.59</v>
      </c>
      <c r="E145" s="2">
        <f t="shared" si="5"/>
        <v>1896.59</v>
      </c>
      <c r="G145" s="10">
        <f t="shared" si="9"/>
        <v>38127.64583</v>
      </c>
      <c r="H145" s="6">
        <f t="shared" si="6"/>
        <v>767.79</v>
      </c>
      <c r="I145" s="2">
        <f t="shared" si="7"/>
        <v>767.79</v>
      </c>
      <c r="M145" s="10">
        <f>IFERROR(__xludf.DUMMYFUNCTION("""COMPUTED_VALUE"""),38191.666666666664)</f>
        <v>38191.66667</v>
      </c>
      <c r="N145" s="2">
        <f>IFERROR(__xludf.DUMMYFUNCTION("""COMPUTED_VALUE"""),1849.09)</f>
        <v>1849.09</v>
      </c>
      <c r="S145" s="13"/>
    </row>
    <row r="146">
      <c r="A146" s="10">
        <f t="shared" si="8"/>
        <v>38128.66667</v>
      </c>
      <c r="B146" s="2" t="str">
        <f t="shared" si="2"/>
        <v/>
      </c>
      <c r="C146" s="2" t="str">
        <f t="shared" si="3"/>
        <v>SP500</v>
      </c>
      <c r="D146" s="2">
        <f t="shared" si="4"/>
        <v>1912.09</v>
      </c>
      <c r="E146" s="2">
        <f t="shared" si="5"/>
        <v>1912.09</v>
      </c>
      <c r="G146" s="10">
        <f t="shared" si="9"/>
        <v>38128.64583</v>
      </c>
      <c r="H146" s="6">
        <f t="shared" si="6"/>
        <v>786.36</v>
      </c>
      <c r="I146" s="2">
        <f t="shared" si="7"/>
        <v>786.36</v>
      </c>
      <c r="M146" s="10">
        <f>IFERROR(__xludf.DUMMYFUNCTION("""COMPUTED_VALUE"""),38194.666666666664)</f>
        <v>38194.66667</v>
      </c>
      <c r="N146" s="2">
        <f>IFERROR(__xludf.DUMMYFUNCTION("""COMPUTED_VALUE"""),1839.02)</f>
        <v>1839.02</v>
      </c>
      <c r="S146" s="13"/>
    </row>
    <row r="147">
      <c r="A147" s="10">
        <f t="shared" si="8"/>
        <v>38129.66667</v>
      </c>
      <c r="B147" s="2" t="str">
        <f t="shared" si="2"/>
        <v/>
      </c>
      <c r="C147" s="2" t="str">
        <f t="shared" si="3"/>
        <v>SP500</v>
      </c>
      <c r="D147" s="2" t="str">
        <f t="shared" si="4"/>
        <v/>
      </c>
      <c r="E147" s="2">
        <f t="shared" si="5"/>
        <v>1912.09</v>
      </c>
      <c r="G147" s="10">
        <f t="shared" si="9"/>
        <v>38129.64583</v>
      </c>
      <c r="H147" s="6" t="str">
        <f t="shared" si="6"/>
        <v/>
      </c>
      <c r="I147" s="2">
        <f t="shared" si="7"/>
        <v>786.36</v>
      </c>
      <c r="M147" s="10">
        <f>IFERROR(__xludf.DUMMYFUNCTION("""COMPUTED_VALUE"""),38195.666666666664)</f>
        <v>38195.66667</v>
      </c>
      <c r="N147" s="2">
        <f>IFERROR(__xludf.DUMMYFUNCTION("""COMPUTED_VALUE"""),1869.1)</f>
        <v>1869.1</v>
      </c>
      <c r="S147" s="13"/>
    </row>
    <row r="148">
      <c r="A148" s="10">
        <f t="shared" si="8"/>
        <v>38130.66667</v>
      </c>
      <c r="B148" s="2" t="str">
        <f t="shared" si="2"/>
        <v/>
      </c>
      <c r="C148" s="2" t="str">
        <f t="shared" si="3"/>
        <v>SP500</v>
      </c>
      <c r="D148" s="2" t="str">
        <f t="shared" si="4"/>
        <v/>
      </c>
      <c r="E148" s="2">
        <f t="shared" si="5"/>
        <v>1912.09</v>
      </c>
      <c r="G148" s="10">
        <f t="shared" si="9"/>
        <v>38130.64583</v>
      </c>
      <c r="H148" s="6" t="str">
        <f t="shared" si="6"/>
        <v/>
      </c>
      <c r="I148" s="2">
        <f t="shared" si="7"/>
        <v>786.36</v>
      </c>
      <c r="M148" s="10">
        <f>IFERROR(__xludf.DUMMYFUNCTION("""COMPUTED_VALUE"""),38196.666666666664)</f>
        <v>38196.66667</v>
      </c>
      <c r="N148" s="2">
        <f>IFERROR(__xludf.DUMMYFUNCTION("""COMPUTED_VALUE"""),1858.26)</f>
        <v>1858.26</v>
      </c>
      <c r="S148" s="13"/>
    </row>
    <row r="149">
      <c r="A149" s="10">
        <f t="shared" si="8"/>
        <v>38131.66667</v>
      </c>
      <c r="B149" s="2" t="str">
        <f t="shared" si="2"/>
        <v/>
      </c>
      <c r="C149" s="2" t="str">
        <f t="shared" si="3"/>
        <v>SP500</v>
      </c>
      <c r="D149" s="2">
        <f t="shared" si="4"/>
        <v>1922.98</v>
      </c>
      <c r="E149" s="2">
        <f t="shared" si="5"/>
        <v>1922.98</v>
      </c>
      <c r="G149" s="10">
        <f t="shared" si="9"/>
        <v>38131.64583</v>
      </c>
      <c r="H149" s="6">
        <f t="shared" si="6"/>
        <v>799.64</v>
      </c>
      <c r="I149" s="2">
        <f t="shared" si="7"/>
        <v>799.64</v>
      </c>
      <c r="M149" s="10">
        <f>IFERROR(__xludf.DUMMYFUNCTION("""COMPUTED_VALUE"""),38197.666666666664)</f>
        <v>38197.66667</v>
      </c>
      <c r="N149" s="2">
        <f>IFERROR(__xludf.DUMMYFUNCTION("""COMPUTED_VALUE"""),1881.06)</f>
        <v>1881.06</v>
      </c>
      <c r="S149" s="13"/>
    </row>
    <row r="150">
      <c r="A150" s="10">
        <f t="shared" si="8"/>
        <v>38132.66667</v>
      </c>
      <c r="B150" s="2" t="str">
        <f t="shared" si="2"/>
        <v/>
      </c>
      <c r="C150" s="2" t="str">
        <f t="shared" si="3"/>
        <v>SP500</v>
      </c>
      <c r="D150" s="2">
        <f t="shared" si="4"/>
        <v>1964.65</v>
      </c>
      <c r="E150" s="2">
        <f t="shared" si="5"/>
        <v>1964.65</v>
      </c>
      <c r="G150" s="10">
        <f t="shared" si="9"/>
        <v>38132.64583</v>
      </c>
      <c r="H150" s="6">
        <f t="shared" si="6"/>
        <v>784.06</v>
      </c>
      <c r="I150" s="2">
        <f t="shared" si="7"/>
        <v>784.06</v>
      </c>
      <c r="M150" s="10">
        <f>IFERROR(__xludf.DUMMYFUNCTION("""COMPUTED_VALUE"""),38198.666666666664)</f>
        <v>38198.66667</v>
      </c>
      <c r="N150" s="2">
        <f>IFERROR(__xludf.DUMMYFUNCTION("""COMPUTED_VALUE"""),1887.36)</f>
        <v>1887.36</v>
      </c>
      <c r="S150" s="13"/>
    </row>
    <row r="151">
      <c r="A151" s="10">
        <f t="shared" si="8"/>
        <v>38133.66667</v>
      </c>
      <c r="B151" s="2" t="str">
        <f t="shared" si="2"/>
        <v/>
      </c>
      <c r="C151" s="2" t="str">
        <f t="shared" si="3"/>
        <v>SP500</v>
      </c>
      <c r="D151" s="2">
        <f t="shared" si="4"/>
        <v>1976.15</v>
      </c>
      <c r="E151" s="2">
        <f t="shared" si="5"/>
        <v>1976.15</v>
      </c>
      <c r="G151" s="10">
        <f t="shared" si="9"/>
        <v>38133.64583</v>
      </c>
      <c r="H151" s="6" t="str">
        <f t="shared" si="6"/>
        <v/>
      </c>
      <c r="I151" s="2">
        <f t="shared" si="7"/>
        <v>784.06</v>
      </c>
      <c r="M151" s="10">
        <f>IFERROR(__xludf.DUMMYFUNCTION("""COMPUTED_VALUE"""),38201.666666666664)</f>
        <v>38201.66667</v>
      </c>
      <c r="N151" s="2">
        <f>IFERROR(__xludf.DUMMYFUNCTION("""COMPUTED_VALUE"""),1892.09)</f>
        <v>1892.09</v>
      </c>
      <c r="S151" s="13"/>
    </row>
    <row r="152">
      <c r="A152" s="10">
        <f t="shared" si="8"/>
        <v>38134.66667</v>
      </c>
      <c r="B152" s="2" t="str">
        <f t="shared" si="2"/>
        <v/>
      </c>
      <c r="C152" s="2" t="str">
        <f t="shared" si="3"/>
        <v>SP500</v>
      </c>
      <c r="D152" s="2">
        <f t="shared" si="4"/>
        <v>1984.5</v>
      </c>
      <c r="E152" s="2">
        <f t="shared" si="5"/>
        <v>1984.5</v>
      </c>
      <c r="G152" s="10">
        <f t="shared" si="9"/>
        <v>38134.64583</v>
      </c>
      <c r="H152" s="6">
        <f t="shared" si="6"/>
        <v>802.46</v>
      </c>
      <c r="I152" s="2">
        <f t="shared" si="7"/>
        <v>802.46</v>
      </c>
      <c r="M152" s="10">
        <f>IFERROR(__xludf.DUMMYFUNCTION("""COMPUTED_VALUE"""),38202.666666666664)</f>
        <v>38202.66667</v>
      </c>
      <c r="N152" s="2">
        <f>IFERROR(__xludf.DUMMYFUNCTION("""COMPUTED_VALUE"""),1859.42)</f>
        <v>1859.42</v>
      </c>
      <c r="S152" s="13"/>
    </row>
    <row r="153">
      <c r="A153" s="10">
        <f t="shared" si="8"/>
        <v>38135.66667</v>
      </c>
      <c r="B153" s="2" t="str">
        <f t="shared" si="2"/>
        <v/>
      </c>
      <c r="C153" s="2" t="str">
        <f t="shared" si="3"/>
        <v>SP500</v>
      </c>
      <c r="D153" s="2">
        <f t="shared" si="4"/>
        <v>1986.74</v>
      </c>
      <c r="E153" s="2">
        <f t="shared" si="5"/>
        <v>1986.74</v>
      </c>
      <c r="G153" s="10">
        <f t="shared" si="9"/>
        <v>38135.64583</v>
      </c>
      <c r="H153" s="6">
        <f t="shared" si="6"/>
        <v>816.51</v>
      </c>
      <c r="I153" s="2">
        <f t="shared" si="7"/>
        <v>816.51</v>
      </c>
      <c r="M153" s="10">
        <f>IFERROR(__xludf.DUMMYFUNCTION("""COMPUTED_VALUE"""),38203.666666666664)</f>
        <v>38203.66667</v>
      </c>
      <c r="N153" s="2">
        <f>IFERROR(__xludf.DUMMYFUNCTION("""COMPUTED_VALUE"""),1855.06)</f>
        <v>1855.06</v>
      </c>
      <c r="S153" s="13"/>
    </row>
    <row r="154">
      <c r="A154" s="10">
        <f t="shared" si="8"/>
        <v>38136.66667</v>
      </c>
      <c r="B154" s="2" t="str">
        <f t="shared" si="2"/>
        <v/>
      </c>
      <c r="C154" s="2" t="str">
        <f t="shared" si="3"/>
        <v>SP500</v>
      </c>
      <c r="D154" s="2" t="str">
        <f t="shared" si="4"/>
        <v/>
      </c>
      <c r="E154" s="2">
        <f t="shared" si="5"/>
        <v>1986.74</v>
      </c>
      <c r="G154" s="10">
        <f t="shared" si="9"/>
        <v>38136.64583</v>
      </c>
      <c r="H154" s="6" t="str">
        <f t="shared" si="6"/>
        <v/>
      </c>
      <c r="I154" s="2">
        <f t="shared" si="7"/>
        <v>816.51</v>
      </c>
      <c r="M154" s="10">
        <f>IFERROR(__xludf.DUMMYFUNCTION("""COMPUTED_VALUE"""),38204.666666666664)</f>
        <v>38204.66667</v>
      </c>
      <c r="N154" s="2">
        <f>IFERROR(__xludf.DUMMYFUNCTION("""COMPUTED_VALUE"""),1821.63)</f>
        <v>1821.63</v>
      </c>
      <c r="S154" s="13"/>
    </row>
    <row r="155">
      <c r="A155" s="10">
        <f t="shared" si="8"/>
        <v>38137.66667</v>
      </c>
      <c r="B155" s="2" t="str">
        <f t="shared" si="2"/>
        <v/>
      </c>
      <c r="C155" s="2" t="str">
        <f t="shared" si="3"/>
        <v>SP500</v>
      </c>
      <c r="D155" s="2" t="str">
        <f t="shared" si="4"/>
        <v/>
      </c>
      <c r="E155" s="2">
        <f t="shared" si="5"/>
        <v>1986.74</v>
      </c>
      <c r="G155" s="10">
        <f t="shared" si="9"/>
        <v>38137.64583</v>
      </c>
      <c r="H155" s="6" t="str">
        <f t="shared" si="6"/>
        <v/>
      </c>
      <c r="I155" s="2">
        <f t="shared" si="7"/>
        <v>816.51</v>
      </c>
      <c r="M155" s="10">
        <f>IFERROR(__xludf.DUMMYFUNCTION("""COMPUTED_VALUE"""),38205.666666666664)</f>
        <v>38205.66667</v>
      </c>
      <c r="N155" s="2">
        <f>IFERROR(__xludf.DUMMYFUNCTION("""COMPUTED_VALUE"""),1776.89)</f>
        <v>1776.89</v>
      </c>
      <c r="S155" s="13"/>
    </row>
    <row r="156">
      <c r="A156" s="10">
        <f t="shared" si="8"/>
        <v>38138.66667</v>
      </c>
      <c r="B156" s="2" t="str">
        <f t="shared" si="2"/>
        <v/>
      </c>
      <c r="C156" s="2" t="str">
        <f t="shared" si="3"/>
        <v>SP500</v>
      </c>
      <c r="D156" s="2" t="str">
        <f t="shared" si="4"/>
        <v/>
      </c>
      <c r="E156" s="2">
        <f t="shared" si="5"/>
        <v>1986.74</v>
      </c>
      <c r="G156" s="10">
        <f t="shared" si="9"/>
        <v>38138.64583</v>
      </c>
      <c r="H156" s="6">
        <f t="shared" si="6"/>
        <v>803.84</v>
      </c>
      <c r="I156" s="2">
        <f t="shared" si="7"/>
        <v>803.84</v>
      </c>
      <c r="M156" s="10">
        <f>IFERROR(__xludf.DUMMYFUNCTION("""COMPUTED_VALUE"""),38208.666666666664)</f>
        <v>38208.66667</v>
      </c>
      <c r="N156" s="2">
        <f>IFERROR(__xludf.DUMMYFUNCTION("""COMPUTED_VALUE"""),1774.64)</f>
        <v>1774.64</v>
      </c>
      <c r="S156" s="13"/>
    </row>
    <row r="157">
      <c r="A157" s="10">
        <f t="shared" si="8"/>
        <v>38139.66667</v>
      </c>
      <c r="B157" s="2" t="str">
        <f t="shared" si="2"/>
        <v/>
      </c>
      <c r="C157" s="2" t="str">
        <f t="shared" si="3"/>
        <v>SP500</v>
      </c>
      <c r="D157" s="2">
        <f t="shared" si="4"/>
        <v>1990.77</v>
      </c>
      <c r="E157" s="2">
        <f t="shared" si="5"/>
        <v>1990.77</v>
      </c>
      <c r="G157" s="10">
        <f t="shared" si="9"/>
        <v>38139.64583</v>
      </c>
      <c r="H157" s="6">
        <f t="shared" si="6"/>
        <v>815.77</v>
      </c>
      <c r="I157" s="2">
        <f t="shared" si="7"/>
        <v>815.77</v>
      </c>
      <c r="M157" s="10">
        <f>IFERROR(__xludf.DUMMYFUNCTION("""COMPUTED_VALUE"""),38209.666666666664)</f>
        <v>38209.66667</v>
      </c>
      <c r="N157" s="2">
        <f>IFERROR(__xludf.DUMMYFUNCTION("""COMPUTED_VALUE"""),1808.7)</f>
        <v>1808.7</v>
      </c>
      <c r="S157" s="13"/>
    </row>
    <row r="158">
      <c r="A158" s="10">
        <f t="shared" si="8"/>
        <v>38140.66667</v>
      </c>
      <c r="B158" s="2" t="str">
        <f t="shared" si="2"/>
        <v/>
      </c>
      <c r="C158" s="2" t="str">
        <f t="shared" si="3"/>
        <v>SP500</v>
      </c>
      <c r="D158" s="2">
        <f t="shared" si="4"/>
        <v>1988.98</v>
      </c>
      <c r="E158" s="2">
        <f t="shared" si="5"/>
        <v>1988.98</v>
      </c>
      <c r="G158" s="10">
        <f t="shared" si="9"/>
        <v>38140.64583</v>
      </c>
      <c r="H158" s="6">
        <f t="shared" si="6"/>
        <v>804.39</v>
      </c>
      <c r="I158" s="2">
        <f t="shared" si="7"/>
        <v>804.39</v>
      </c>
      <c r="M158" s="10">
        <f>IFERROR(__xludf.DUMMYFUNCTION("""COMPUTED_VALUE"""),38210.666666666664)</f>
        <v>38210.66667</v>
      </c>
      <c r="N158" s="2">
        <f>IFERROR(__xludf.DUMMYFUNCTION("""COMPUTED_VALUE"""),1782.42)</f>
        <v>1782.42</v>
      </c>
      <c r="S158" s="13"/>
    </row>
    <row r="159">
      <c r="A159" s="10">
        <f t="shared" si="8"/>
        <v>38141.66667</v>
      </c>
      <c r="B159" s="2" t="str">
        <f t="shared" si="2"/>
        <v/>
      </c>
      <c r="C159" s="2" t="str">
        <f t="shared" si="3"/>
        <v>SP500</v>
      </c>
      <c r="D159" s="2">
        <f t="shared" si="4"/>
        <v>1960.26</v>
      </c>
      <c r="E159" s="2">
        <f t="shared" si="5"/>
        <v>1960.26</v>
      </c>
      <c r="G159" s="10">
        <f t="shared" si="9"/>
        <v>38141.64583</v>
      </c>
      <c r="H159" s="6">
        <f t="shared" si="6"/>
        <v>770.06</v>
      </c>
      <c r="I159" s="2">
        <f t="shared" si="7"/>
        <v>770.06</v>
      </c>
      <c r="M159" s="10">
        <f>IFERROR(__xludf.DUMMYFUNCTION("""COMPUTED_VALUE"""),38211.666666666664)</f>
        <v>38211.66667</v>
      </c>
      <c r="N159" s="2">
        <f>IFERROR(__xludf.DUMMYFUNCTION("""COMPUTED_VALUE"""),1752.49)</f>
        <v>1752.49</v>
      </c>
      <c r="S159" s="13"/>
    </row>
    <row r="160">
      <c r="A160" s="10">
        <f t="shared" si="8"/>
        <v>38142.66667</v>
      </c>
      <c r="B160" s="2" t="str">
        <f t="shared" si="2"/>
        <v/>
      </c>
      <c r="C160" s="2" t="str">
        <f t="shared" si="3"/>
        <v>SP500</v>
      </c>
      <c r="D160" s="2">
        <f t="shared" si="4"/>
        <v>1978.62</v>
      </c>
      <c r="E160" s="2">
        <f t="shared" si="5"/>
        <v>1978.62</v>
      </c>
      <c r="G160" s="10">
        <f t="shared" si="9"/>
        <v>38142.64583</v>
      </c>
      <c r="H160" s="6">
        <f t="shared" si="6"/>
        <v>780.74</v>
      </c>
      <c r="I160" s="2">
        <f t="shared" si="7"/>
        <v>780.74</v>
      </c>
      <c r="M160" s="10">
        <f>IFERROR(__xludf.DUMMYFUNCTION("""COMPUTED_VALUE"""),38212.666666666664)</f>
        <v>38212.66667</v>
      </c>
      <c r="N160" s="2">
        <f>IFERROR(__xludf.DUMMYFUNCTION("""COMPUTED_VALUE"""),1757.22)</f>
        <v>1757.22</v>
      </c>
      <c r="S160" s="13"/>
    </row>
    <row r="161">
      <c r="A161" s="10">
        <f t="shared" si="8"/>
        <v>38143.66667</v>
      </c>
      <c r="B161" s="2" t="str">
        <f t="shared" si="2"/>
        <v/>
      </c>
      <c r="C161" s="2" t="str">
        <f t="shared" si="3"/>
        <v>SP500</v>
      </c>
      <c r="D161" s="2" t="str">
        <f t="shared" si="4"/>
        <v/>
      </c>
      <c r="E161" s="2">
        <f t="shared" si="5"/>
        <v>1978.62</v>
      </c>
      <c r="G161" s="10">
        <f t="shared" si="9"/>
        <v>38143.64583</v>
      </c>
      <c r="H161" s="6" t="str">
        <f t="shared" si="6"/>
        <v/>
      </c>
      <c r="I161" s="2">
        <f t="shared" si="7"/>
        <v>780.74</v>
      </c>
      <c r="M161" s="10">
        <f>IFERROR(__xludf.DUMMYFUNCTION("""COMPUTED_VALUE"""),38215.666666666664)</f>
        <v>38215.66667</v>
      </c>
      <c r="N161" s="2">
        <f>IFERROR(__xludf.DUMMYFUNCTION("""COMPUTED_VALUE"""),1782.84)</f>
        <v>1782.84</v>
      </c>
      <c r="S161" s="13"/>
    </row>
    <row r="162">
      <c r="A162" s="10">
        <f t="shared" si="8"/>
        <v>38144.66667</v>
      </c>
      <c r="B162" s="2" t="str">
        <f t="shared" si="2"/>
        <v/>
      </c>
      <c r="C162" s="2" t="str">
        <f t="shared" si="3"/>
        <v>SP500</v>
      </c>
      <c r="D162" s="2" t="str">
        <f t="shared" si="4"/>
        <v/>
      </c>
      <c r="E162" s="2">
        <f t="shared" si="5"/>
        <v>1978.62</v>
      </c>
      <c r="G162" s="10">
        <f t="shared" si="9"/>
        <v>38144.64583</v>
      </c>
      <c r="H162" s="6" t="str">
        <f t="shared" si="6"/>
        <v/>
      </c>
      <c r="I162" s="2">
        <f t="shared" si="7"/>
        <v>780.74</v>
      </c>
      <c r="M162" s="10">
        <f>IFERROR(__xludf.DUMMYFUNCTION("""COMPUTED_VALUE"""),38216.666666666664)</f>
        <v>38216.66667</v>
      </c>
      <c r="N162" s="2">
        <f>IFERROR(__xludf.DUMMYFUNCTION("""COMPUTED_VALUE"""),1795.25)</f>
        <v>1795.25</v>
      </c>
      <c r="S162" s="13"/>
    </row>
    <row r="163">
      <c r="A163" s="10">
        <f t="shared" si="8"/>
        <v>38145.66667</v>
      </c>
      <c r="B163" s="2" t="str">
        <f t="shared" si="2"/>
        <v/>
      </c>
      <c r="C163" s="2" t="str">
        <f t="shared" si="3"/>
        <v>SP500</v>
      </c>
      <c r="D163" s="2">
        <f t="shared" si="4"/>
        <v>2020.62</v>
      </c>
      <c r="E163" s="2">
        <f t="shared" si="5"/>
        <v>2020.62</v>
      </c>
      <c r="G163" s="10">
        <f t="shared" si="9"/>
        <v>38145.64583</v>
      </c>
      <c r="H163" s="6">
        <f t="shared" si="6"/>
        <v>809.45</v>
      </c>
      <c r="I163" s="2">
        <f t="shared" si="7"/>
        <v>809.45</v>
      </c>
      <c r="M163" s="10">
        <f>IFERROR(__xludf.DUMMYFUNCTION("""COMPUTED_VALUE"""),38217.666666666664)</f>
        <v>38217.66667</v>
      </c>
      <c r="N163" s="2">
        <f>IFERROR(__xludf.DUMMYFUNCTION("""COMPUTED_VALUE"""),1831.37)</f>
        <v>1831.37</v>
      </c>
      <c r="S163" s="13"/>
    </row>
    <row r="164">
      <c r="A164" s="10">
        <f t="shared" si="8"/>
        <v>38146.66667</v>
      </c>
      <c r="B164" s="2" t="str">
        <f t="shared" si="2"/>
        <v/>
      </c>
      <c r="C164" s="2" t="str">
        <f t="shared" si="3"/>
        <v>SP500</v>
      </c>
      <c r="D164" s="2">
        <f t="shared" si="4"/>
        <v>2023.53</v>
      </c>
      <c r="E164" s="2">
        <f t="shared" si="5"/>
        <v>2023.53</v>
      </c>
      <c r="G164" s="10">
        <f t="shared" si="9"/>
        <v>38146.64583</v>
      </c>
      <c r="H164" s="6">
        <f t="shared" si="6"/>
        <v>809.31</v>
      </c>
      <c r="I164" s="2">
        <f t="shared" si="7"/>
        <v>809.31</v>
      </c>
      <c r="M164" s="10">
        <f>IFERROR(__xludf.DUMMYFUNCTION("""COMPUTED_VALUE"""),38218.666666666664)</f>
        <v>38218.66667</v>
      </c>
      <c r="N164" s="2">
        <f>IFERROR(__xludf.DUMMYFUNCTION("""COMPUTED_VALUE"""),1819.89)</f>
        <v>1819.89</v>
      </c>
      <c r="S164" s="13"/>
    </row>
    <row r="165">
      <c r="A165" s="10">
        <f t="shared" si="8"/>
        <v>38147.66667</v>
      </c>
      <c r="B165" s="2" t="str">
        <f t="shared" si="2"/>
        <v/>
      </c>
      <c r="C165" s="2" t="str">
        <f t="shared" si="3"/>
        <v>SP500</v>
      </c>
      <c r="D165" s="2">
        <f t="shared" si="4"/>
        <v>1990.61</v>
      </c>
      <c r="E165" s="2">
        <f t="shared" si="5"/>
        <v>1990.61</v>
      </c>
      <c r="G165" s="10">
        <f t="shared" si="9"/>
        <v>38147.64583</v>
      </c>
      <c r="H165" s="6">
        <f t="shared" si="6"/>
        <v>794.53</v>
      </c>
      <c r="I165" s="2">
        <f t="shared" si="7"/>
        <v>794.53</v>
      </c>
      <c r="M165" s="10">
        <f>IFERROR(__xludf.DUMMYFUNCTION("""COMPUTED_VALUE"""),38219.666666666664)</f>
        <v>38219.66667</v>
      </c>
      <c r="N165" s="2">
        <f>IFERROR(__xludf.DUMMYFUNCTION("""COMPUTED_VALUE"""),1838.02)</f>
        <v>1838.02</v>
      </c>
      <c r="S165" s="13"/>
    </row>
    <row r="166">
      <c r="A166" s="10">
        <f t="shared" si="8"/>
        <v>38148.66667</v>
      </c>
      <c r="B166" s="2" t="str">
        <f t="shared" si="2"/>
        <v/>
      </c>
      <c r="C166" s="2" t="str">
        <f t="shared" si="3"/>
        <v>SP500</v>
      </c>
      <c r="D166" s="2">
        <f t="shared" si="4"/>
        <v>1999.87</v>
      </c>
      <c r="E166" s="2">
        <f t="shared" si="5"/>
        <v>1999.87</v>
      </c>
      <c r="G166" s="10">
        <f t="shared" si="9"/>
        <v>38148.64583</v>
      </c>
      <c r="H166" s="6">
        <f t="shared" si="6"/>
        <v>782.3</v>
      </c>
      <c r="I166" s="2">
        <f t="shared" si="7"/>
        <v>782.3</v>
      </c>
      <c r="M166" s="10">
        <f>IFERROR(__xludf.DUMMYFUNCTION("""COMPUTED_VALUE"""),38222.666666666664)</f>
        <v>38222.66667</v>
      </c>
      <c r="N166" s="2">
        <f>IFERROR(__xludf.DUMMYFUNCTION("""COMPUTED_VALUE"""),1838.7)</f>
        <v>1838.7</v>
      </c>
      <c r="S166" s="13"/>
    </row>
    <row r="167">
      <c r="A167" s="10">
        <f t="shared" si="8"/>
        <v>38149.66667</v>
      </c>
      <c r="B167" s="2" t="str">
        <f t="shared" si="2"/>
        <v/>
      </c>
      <c r="C167" s="2" t="str">
        <f t="shared" si="3"/>
        <v>SP500</v>
      </c>
      <c r="D167" s="2" t="str">
        <f t="shared" si="4"/>
        <v/>
      </c>
      <c r="E167" s="2">
        <f t="shared" si="5"/>
        <v>1999.87</v>
      </c>
      <c r="G167" s="10">
        <f t="shared" si="9"/>
        <v>38149.64583</v>
      </c>
      <c r="H167" s="6">
        <f t="shared" si="6"/>
        <v>751.53</v>
      </c>
      <c r="I167" s="2">
        <f t="shared" si="7"/>
        <v>751.53</v>
      </c>
      <c r="M167" s="10">
        <f>IFERROR(__xludf.DUMMYFUNCTION("""COMPUTED_VALUE"""),38223.666666666664)</f>
        <v>38223.66667</v>
      </c>
      <c r="N167" s="2">
        <f>IFERROR(__xludf.DUMMYFUNCTION("""COMPUTED_VALUE"""),1836.89)</f>
        <v>1836.89</v>
      </c>
      <c r="S167" s="13"/>
    </row>
    <row r="168">
      <c r="A168" s="10">
        <f t="shared" si="8"/>
        <v>38150.66667</v>
      </c>
      <c r="B168" s="2" t="str">
        <f t="shared" si="2"/>
        <v/>
      </c>
      <c r="C168" s="2" t="str">
        <f t="shared" si="3"/>
        <v>SP500</v>
      </c>
      <c r="D168" s="2" t="str">
        <f t="shared" si="4"/>
        <v/>
      </c>
      <c r="E168" s="2">
        <f t="shared" si="5"/>
        <v>1999.87</v>
      </c>
      <c r="G168" s="10">
        <f t="shared" si="9"/>
        <v>38150.64583</v>
      </c>
      <c r="H168" s="6" t="str">
        <f t="shared" si="6"/>
        <v/>
      </c>
      <c r="I168" s="2">
        <f t="shared" si="7"/>
        <v>751.53</v>
      </c>
      <c r="M168" s="10">
        <f>IFERROR(__xludf.DUMMYFUNCTION("""COMPUTED_VALUE"""),38224.666666666664)</f>
        <v>38224.66667</v>
      </c>
      <c r="N168" s="2">
        <f>IFERROR(__xludf.DUMMYFUNCTION("""COMPUTED_VALUE"""),1860.72)</f>
        <v>1860.72</v>
      </c>
      <c r="S168" s="13"/>
    </row>
    <row r="169">
      <c r="A169" s="10">
        <f t="shared" si="8"/>
        <v>38151.66667</v>
      </c>
      <c r="B169" s="2" t="str">
        <f t="shared" si="2"/>
        <v/>
      </c>
      <c r="C169" s="2" t="str">
        <f t="shared" si="3"/>
        <v>SP500</v>
      </c>
      <c r="D169" s="2" t="str">
        <f t="shared" si="4"/>
        <v/>
      </c>
      <c r="E169" s="2">
        <f t="shared" si="5"/>
        <v>1999.87</v>
      </c>
      <c r="G169" s="10">
        <f t="shared" si="9"/>
        <v>38151.64583</v>
      </c>
      <c r="H169" s="6" t="str">
        <f t="shared" si="6"/>
        <v/>
      </c>
      <c r="I169" s="2">
        <f t="shared" si="7"/>
        <v>751.53</v>
      </c>
      <c r="M169" s="10">
        <f>IFERROR(__xludf.DUMMYFUNCTION("""COMPUTED_VALUE"""),38225.666666666664)</f>
        <v>38225.66667</v>
      </c>
      <c r="N169" s="2">
        <f>IFERROR(__xludf.DUMMYFUNCTION("""COMPUTED_VALUE"""),1852.92)</f>
        <v>1852.92</v>
      </c>
      <c r="S169" s="13"/>
    </row>
    <row r="170">
      <c r="A170" s="10">
        <f t="shared" si="8"/>
        <v>38152.66667</v>
      </c>
      <c r="B170" s="2" t="str">
        <f t="shared" si="2"/>
        <v/>
      </c>
      <c r="C170" s="2" t="str">
        <f t="shared" si="3"/>
        <v>SP500</v>
      </c>
      <c r="D170" s="2">
        <f t="shared" si="4"/>
        <v>1969.99</v>
      </c>
      <c r="E170" s="2">
        <f t="shared" si="5"/>
        <v>1969.99</v>
      </c>
      <c r="G170" s="10">
        <f t="shared" si="9"/>
        <v>38152.64583</v>
      </c>
      <c r="H170" s="6">
        <f t="shared" si="6"/>
        <v>738.79</v>
      </c>
      <c r="I170" s="2">
        <f t="shared" si="7"/>
        <v>738.79</v>
      </c>
      <c r="M170" s="10">
        <f>IFERROR(__xludf.DUMMYFUNCTION("""COMPUTED_VALUE"""),38226.666666666664)</f>
        <v>38226.66667</v>
      </c>
      <c r="N170" s="2">
        <f>IFERROR(__xludf.DUMMYFUNCTION("""COMPUTED_VALUE"""),1862.09)</f>
        <v>1862.09</v>
      </c>
      <c r="S170" s="13"/>
    </row>
    <row r="171">
      <c r="A171" s="10">
        <f t="shared" si="8"/>
        <v>38153.66667</v>
      </c>
      <c r="B171" s="2" t="str">
        <f t="shared" si="2"/>
        <v/>
      </c>
      <c r="C171" s="2" t="str">
        <f t="shared" si="3"/>
        <v>SP500</v>
      </c>
      <c r="D171" s="2">
        <f t="shared" si="4"/>
        <v>1995.6</v>
      </c>
      <c r="E171" s="2">
        <f t="shared" si="5"/>
        <v>1995.6</v>
      </c>
      <c r="G171" s="10">
        <f t="shared" si="9"/>
        <v>38153.64583</v>
      </c>
      <c r="H171" s="6">
        <f t="shared" si="6"/>
        <v>752.1</v>
      </c>
      <c r="I171" s="2">
        <f t="shared" si="7"/>
        <v>752.1</v>
      </c>
      <c r="M171" s="10">
        <f>IFERROR(__xludf.DUMMYFUNCTION("""COMPUTED_VALUE"""),38229.666666666664)</f>
        <v>38229.66667</v>
      </c>
      <c r="N171" s="2">
        <f>IFERROR(__xludf.DUMMYFUNCTION("""COMPUTED_VALUE"""),1836.49)</f>
        <v>1836.49</v>
      </c>
      <c r="S171" s="13"/>
    </row>
    <row r="172">
      <c r="A172" s="10">
        <f t="shared" si="8"/>
        <v>38154.66667</v>
      </c>
      <c r="B172" s="2" t="str">
        <f t="shared" si="2"/>
        <v/>
      </c>
      <c r="C172" s="2" t="str">
        <f t="shared" si="3"/>
        <v>SP500</v>
      </c>
      <c r="D172" s="2">
        <f t="shared" si="4"/>
        <v>1998.23</v>
      </c>
      <c r="E172" s="2">
        <f t="shared" si="5"/>
        <v>1998.23</v>
      </c>
      <c r="G172" s="10">
        <f t="shared" si="9"/>
        <v>38154.64583</v>
      </c>
      <c r="H172" s="6">
        <f t="shared" si="6"/>
        <v>752.34</v>
      </c>
      <c r="I172" s="2">
        <f t="shared" si="7"/>
        <v>752.34</v>
      </c>
      <c r="M172" s="10">
        <f>IFERROR(__xludf.DUMMYFUNCTION("""COMPUTED_VALUE"""),38230.666666666664)</f>
        <v>38230.66667</v>
      </c>
      <c r="N172" s="2">
        <f>IFERROR(__xludf.DUMMYFUNCTION("""COMPUTED_VALUE"""),1838.1)</f>
        <v>1838.1</v>
      </c>
      <c r="S172" s="13"/>
    </row>
    <row r="173">
      <c r="A173" s="10">
        <f t="shared" si="8"/>
        <v>38155.66667</v>
      </c>
      <c r="B173" s="2" t="str">
        <f t="shared" si="2"/>
        <v/>
      </c>
      <c r="C173" s="2" t="str">
        <f t="shared" si="3"/>
        <v>SP500</v>
      </c>
      <c r="D173" s="2">
        <f t="shared" si="4"/>
        <v>1983.67</v>
      </c>
      <c r="E173" s="2">
        <f t="shared" si="5"/>
        <v>1983.67</v>
      </c>
      <c r="G173" s="10">
        <f t="shared" si="9"/>
        <v>38155.64583</v>
      </c>
      <c r="H173" s="6">
        <f t="shared" si="6"/>
        <v>760.09</v>
      </c>
      <c r="I173" s="2">
        <f t="shared" si="7"/>
        <v>760.09</v>
      </c>
      <c r="M173" s="10">
        <f>IFERROR(__xludf.DUMMYFUNCTION("""COMPUTED_VALUE"""),38231.666666666664)</f>
        <v>38231.66667</v>
      </c>
      <c r="N173" s="2">
        <f>IFERROR(__xludf.DUMMYFUNCTION("""COMPUTED_VALUE"""),1850.41)</f>
        <v>1850.41</v>
      </c>
      <c r="S173" s="13"/>
    </row>
    <row r="174">
      <c r="A174" s="10">
        <f t="shared" si="8"/>
        <v>38156.66667</v>
      </c>
      <c r="B174" s="2" t="str">
        <f t="shared" si="2"/>
        <v/>
      </c>
      <c r="C174" s="2" t="str">
        <f t="shared" si="3"/>
        <v>SP500</v>
      </c>
      <c r="D174" s="2">
        <f t="shared" si="4"/>
        <v>1986.73</v>
      </c>
      <c r="E174" s="2">
        <f t="shared" si="5"/>
        <v>1986.73</v>
      </c>
      <c r="G174" s="10">
        <f t="shared" si="9"/>
        <v>38156.64583</v>
      </c>
      <c r="H174" s="6">
        <f t="shared" si="6"/>
        <v>741.73</v>
      </c>
      <c r="I174" s="2">
        <f t="shared" si="7"/>
        <v>741.73</v>
      </c>
      <c r="M174" s="10">
        <f>IFERROR(__xludf.DUMMYFUNCTION("""COMPUTED_VALUE"""),38232.666666666664)</f>
        <v>38232.66667</v>
      </c>
      <c r="N174" s="2">
        <f>IFERROR(__xludf.DUMMYFUNCTION("""COMPUTED_VALUE"""),1873.43)</f>
        <v>1873.43</v>
      </c>
      <c r="S174" s="13"/>
    </row>
    <row r="175">
      <c r="A175" s="10">
        <f t="shared" si="8"/>
        <v>38157.66667</v>
      </c>
      <c r="B175" s="2" t="str">
        <f t="shared" si="2"/>
        <v/>
      </c>
      <c r="C175" s="2" t="str">
        <f t="shared" si="3"/>
        <v>SP500</v>
      </c>
      <c r="D175" s="2" t="str">
        <f t="shared" si="4"/>
        <v/>
      </c>
      <c r="E175" s="2">
        <f t="shared" si="5"/>
        <v>1986.73</v>
      </c>
      <c r="G175" s="10">
        <f t="shared" si="9"/>
        <v>38157.64583</v>
      </c>
      <c r="H175" s="6" t="str">
        <f t="shared" si="6"/>
        <v/>
      </c>
      <c r="I175" s="2">
        <f t="shared" si="7"/>
        <v>741.73</v>
      </c>
      <c r="M175" s="10">
        <f>IFERROR(__xludf.DUMMYFUNCTION("""COMPUTED_VALUE"""),38233.666666666664)</f>
        <v>38233.66667</v>
      </c>
      <c r="N175" s="2">
        <f>IFERROR(__xludf.DUMMYFUNCTION("""COMPUTED_VALUE"""),1844.48)</f>
        <v>1844.48</v>
      </c>
      <c r="S175" s="13"/>
    </row>
    <row r="176">
      <c r="A176" s="10">
        <f t="shared" si="8"/>
        <v>38158.66667</v>
      </c>
      <c r="B176" s="2" t="str">
        <f t="shared" si="2"/>
        <v/>
      </c>
      <c r="C176" s="2" t="str">
        <f t="shared" si="3"/>
        <v>SP500</v>
      </c>
      <c r="D176" s="2" t="str">
        <f t="shared" si="4"/>
        <v/>
      </c>
      <c r="E176" s="2">
        <f t="shared" si="5"/>
        <v>1986.73</v>
      </c>
      <c r="G176" s="10">
        <f t="shared" si="9"/>
        <v>38158.64583</v>
      </c>
      <c r="H176" s="6" t="str">
        <f t="shared" si="6"/>
        <v/>
      </c>
      <c r="I176" s="2">
        <f t="shared" si="7"/>
        <v>741.73</v>
      </c>
      <c r="M176" s="10">
        <f>IFERROR(__xludf.DUMMYFUNCTION("""COMPUTED_VALUE"""),38237.666666666664)</f>
        <v>38237.66667</v>
      </c>
      <c r="N176" s="2">
        <f>IFERROR(__xludf.DUMMYFUNCTION("""COMPUTED_VALUE"""),1858.56)</f>
        <v>1858.56</v>
      </c>
      <c r="S176" s="13"/>
    </row>
    <row r="177">
      <c r="A177" s="10">
        <f t="shared" si="8"/>
        <v>38159.66667</v>
      </c>
      <c r="B177" s="2" t="str">
        <f t="shared" si="2"/>
        <v/>
      </c>
      <c r="C177" s="2" t="str">
        <f t="shared" si="3"/>
        <v>SP500</v>
      </c>
      <c r="D177" s="2">
        <f t="shared" si="4"/>
        <v>1974.38</v>
      </c>
      <c r="E177" s="2">
        <f t="shared" si="5"/>
        <v>1974.38</v>
      </c>
      <c r="G177" s="10">
        <f t="shared" si="9"/>
        <v>38159.64583</v>
      </c>
      <c r="H177" s="6">
        <f t="shared" si="6"/>
        <v>749.3</v>
      </c>
      <c r="I177" s="2">
        <f t="shared" si="7"/>
        <v>749.3</v>
      </c>
      <c r="M177" s="10">
        <f>IFERROR(__xludf.DUMMYFUNCTION("""COMPUTED_VALUE"""),38238.666666666664)</f>
        <v>38238.66667</v>
      </c>
      <c r="N177" s="2">
        <f>IFERROR(__xludf.DUMMYFUNCTION("""COMPUTED_VALUE"""),1850.64)</f>
        <v>1850.64</v>
      </c>
      <c r="S177" s="13"/>
    </row>
    <row r="178">
      <c r="A178" s="10">
        <f t="shared" si="8"/>
        <v>38160.66667</v>
      </c>
      <c r="B178" s="2" t="str">
        <f t="shared" si="2"/>
        <v/>
      </c>
      <c r="C178" s="2" t="str">
        <f t="shared" si="3"/>
        <v>SP500</v>
      </c>
      <c r="D178" s="2">
        <f t="shared" si="4"/>
        <v>1994.15</v>
      </c>
      <c r="E178" s="2">
        <f t="shared" si="5"/>
        <v>1994.15</v>
      </c>
      <c r="G178" s="10">
        <f t="shared" si="9"/>
        <v>38160.64583</v>
      </c>
      <c r="H178" s="6">
        <f t="shared" si="6"/>
        <v>746.48</v>
      </c>
      <c r="I178" s="2">
        <f t="shared" si="7"/>
        <v>746.48</v>
      </c>
      <c r="M178" s="10">
        <f>IFERROR(__xludf.DUMMYFUNCTION("""COMPUTED_VALUE"""),38239.666666666664)</f>
        <v>38239.66667</v>
      </c>
      <c r="N178" s="2">
        <f>IFERROR(__xludf.DUMMYFUNCTION("""COMPUTED_VALUE"""),1869.65)</f>
        <v>1869.65</v>
      </c>
      <c r="S178" s="13"/>
    </row>
    <row r="179">
      <c r="A179" s="10">
        <f t="shared" si="8"/>
        <v>38161.66667</v>
      </c>
      <c r="B179" s="2" t="str">
        <f t="shared" si="2"/>
        <v/>
      </c>
      <c r="C179" s="2" t="str">
        <f t="shared" si="3"/>
        <v>SP500</v>
      </c>
      <c r="D179" s="2">
        <f t="shared" si="4"/>
        <v>2020.98</v>
      </c>
      <c r="E179" s="2">
        <f t="shared" si="5"/>
        <v>2020.98</v>
      </c>
      <c r="G179" s="10">
        <f t="shared" si="9"/>
        <v>38161.64583</v>
      </c>
      <c r="H179" s="6">
        <f t="shared" si="6"/>
        <v>738.93</v>
      </c>
      <c r="I179" s="2">
        <f t="shared" si="7"/>
        <v>738.93</v>
      </c>
      <c r="M179" s="10">
        <f>IFERROR(__xludf.DUMMYFUNCTION("""COMPUTED_VALUE"""),38240.666666666664)</f>
        <v>38240.66667</v>
      </c>
      <c r="N179" s="2">
        <f>IFERROR(__xludf.DUMMYFUNCTION("""COMPUTED_VALUE"""),1894.31)</f>
        <v>1894.31</v>
      </c>
      <c r="S179" s="13"/>
    </row>
    <row r="180">
      <c r="A180" s="10">
        <f t="shared" si="8"/>
        <v>38162.66667</v>
      </c>
      <c r="B180" s="2" t="str">
        <f t="shared" si="2"/>
        <v/>
      </c>
      <c r="C180" s="2" t="str">
        <f t="shared" si="3"/>
        <v>SP500</v>
      </c>
      <c r="D180" s="2">
        <f t="shared" si="4"/>
        <v>2015.57</v>
      </c>
      <c r="E180" s="2">
        <f t="shared" si="5"/>
        <v>2015.57</v>
      </c>
      <c r="G180" s="10">
        <f t="shared" si="9"/>
        <v>38162.64583</v>
      </c>
      <c r="H180" s="6">
        <f t="shared" si="6"/>
        <v>763.13</v>
      </c>
      <c r="I180" s="2">
        <f t="shared" si="7"/>
        <v>763.13</v>
      </c>
      <c r="M180" s="10">
        <f>IFERROR(__xludf.DUMMYFUNCTION("""COMPUTED_VALUE"""),38243.666666666664)</f>
        <v>38243.66667</v>
      </c>
      <c r="N180" s="2">
        <f>IFERROR(__xludf.DUMMYFUNCTION("""COMPUTED_VALUE"""),1910.38)</f>
        <v>1910.38</v>
      </c>
      <c r="S180" s="13"/>
    </row>
    <row r="181">
      <c r="A181" s="10">
        <f t="shared" si="8"/>
        <v>38163.66667</v>
      </c>
      <c r="B181" s="2" t="str">
        <f t="shared" si="2"/>
        <v/>
      </c>
      <c r="C181" s="2" t="str">
        <f t="shared" si="3"/>
        <v>SP500</v>
      </c>
      <c r="D181" s="2">
        <f t="shared" si="4"/>
        <v>2025.47</v>
      </c>
      <c r="E181" s="2">
        <f t="shared" si="5"/>
        <v>2025.47</v>
      </c>
      <c r="G181" s="10">
        <f t="shared" si="9"/>
        <v>38163.64583</v>
      </c>
      <c r="H181" s="6">
        <f t="shared" si="6"/>
        <v>779.03</v>
      </c>
      <c r="I181" s="2">
        <f t="shared" si="7"/>
        <v>779.03</v>
      </c>
      <c r="M181" s="10">
        <f>IFERROR(__xludf.DUMMYFUNCTION("""COMPUTED_VALUE"""),38244.666666666664)</f>
        <v>38244.66667</v>
      </c>
      <c r="N181" s="2">
        <f>IFERROR(__xludf.DUMMYFUNCTION("""COMPUTED_VALUE"""),1915.4)</f>
        <v>1915.4</v>
      </c>
      <c r="S181" s="13"/>
    </row>
    <row r="182">
      <c r="A182" s="10">
        <f t="shared" si="8"/>
        <v>38164.66667</v>
      </c>
      <c r="B182" s="2" t="str">
        <f t="shared" si="2"/>
        <v/>
      </c>
      <c r="C182" s="2" t="str">
        <f t="shared" si="3"/>
        <v>SP500</v>
      </c>
      <c r="D182" s="2" t="str">
        <f t="shared" si="4"/>
        <v/>
      </c>
      <c r="E182" s="2">
        <f t="shared" si="5"/>
        <v>2025.47</v>
      </c>
      <c r="G182" s="10">
        <f t="shared" si="9"/>
        <v>38164.64583</v>
      </c>
      <c r="H182" s="6" t="str">
        <f t="shared" si="6"/>
        <v/>
      </c>
      <c r="I182" s="2">
        <f t="shared" si="7"/>
        <v>779.03</v>
      </c>
      <c r="M182" s="10">
        <f>IFERROR(__xludf.DUMMYFUNCTION("""COMPUTED_VALUE"""),38245.666666666664)</f>
        <v>38245.66667</v>
      </c>
      <c r="N182" s="2">
        <f>IFERROR(__xludf.DUMMYFUNCTION("""COMPUTED_VALUE"""),1896.52)</f>
        <v>1896.52</v>
      </c>
      <c r="S182" s="13"/>
    </row>
    <row r="183">
      <c r="A183" s="10">
        <f t="shared" si="8"/>
        <v>38165.66667</v>
      </c>
      <c r="B183" s="2" t="str">
        <f t="shared" si="2"/>
        <v/>
      </c>
      <c r="C183" s="2" t="str">
        <f t="shared" si="3"/>
        <v>SP500</v>
      </c>
      <c r="D183" s="2" t="str">
        <f t="shared" si="4"/>
        <v/>
      </c>
      <c r="E183" s="2">
        <f t="shared" si="5"/>
        <v>2025.47</v>
      </c>
      <c r="G183" s="10">
        <f t="shared" si="9"/>
        <v>38165.64583</v>
      </c>
      <c r="H183" s="6" t="str">
        <f t="shared" si="6"/>
        <v/>
      </c>
      <c r="I183" s="2">
        <f t="shared" si="7"/>
        <v>779.03</v>
      </c>
      <c r="M183" s="10">
        <f>IFERROR(__xludf.DUMMYFUNCTION("""COMPUTED_VALUE"""),38246.666666666664)</f>
        <v>38246.66667</v>
      </c>
      <c r="N183" s="2">
        <f>IFERROR(__xludf.DUMMYFUNCTION("""COMPUTED_VALUE"""),1904.08)</f>
        <v>1904.08</v>
      </c>
      <c r="S183" s="13"/>
    </row>
    <row r="184">
      <c r="A184" s="10">
        <f t="shared" si="8"/>
        <v>38166.66667</v>
      </c>
      <c r="B184" s="2" t="str">
        <f t="shared" si="2"/>
        <v/>
      </c>
      <c r="C184" s="2" t="str">
        <f t="shared" si="3"/>
        <v>SP500</v>
      </c>
      <c r="D184" s="2">
        <f t="shared" si="4"/>
        <v>2019.82</v>
      </c>
      <c r="E184" s="2">
        <f t="shared" si="5"/>
        <v>2019.82</v>
      </c>
      <c r="G184" s="10">
        <f t="shared" si="9"/>
        <v>38166.64583</v>
      </c>
      <c r="H184" s="6">
        <f t="shared" si="6"/>
        <v>770.95</v>
      </c>
      <c r="I184" s="2">
        <f t="shared" si="7"/>
        <v>770.95</v>
      </c>
      <c r="M184" s="10">
        <f>IFERROR(__xludf.DUMMYFUNCTION("""COMPUTED_VALUE"""),38247.666666666664)</f>
        <v>38247.66667</v>
      </c>
      <c r="N184" s="2">
        <f>IFERROR(__xludf.DUMMYFUNCTION("""COMPUTED_VALUE"""),1910.09)</f>
        <v>1910.09</v>
      </c>
      <c r="S184" s="13"/>
    </row>
    <row r="185">
      <c r="A185" s="10">
        <f t="shared" si="8"/>
        <v>38167.66667</v>
      </c>
      <c r="B185" s="2" t="str">
        <f t="shared" si="2"/>
        <v/>
      </c>
      <c r="C185" s="2" t="str">
        <f t="shared" si="3"/>
        <v>SP500</v>
      </c>
      <c r="D185" s="2">
        <f t="shared" si="4"/>
        <v>2034.93</v>
      </c>
      <c r="E185" s="2">
        <f t="shared" si="5"/>
        <v>2034.93</v>
      </c>
      <c r="G185" s="10">
        <f t="shared" si="9"/>
        <v>38167.64583</v>
      </c>
      <c r="H185" s="6">
        <f t="shared" si="6"/>
        <v>778.72</v>
      </c>
      <c r="I185" s="2">
        <f t="shared" si="7"/>
        <v>778.72</v>
      </c>
      <c r="M185" s="10">
        <f>IFERROR(__xludf.DUMMYFUNCTION("""COMPUTED_VALUE"""),38250.666666666664)</f>
        <v>38250.66667</v>
      </c>
      <c r="N185" s="2">
        <f>IFERROR(__xludf.DUMMYFUNCTION("""COMPUTED_VALUE"""),1908.07)</f>
        <v>1908.07</v>
      </c>
      <c r="S185" s="13"/>
    </row>
    <row r="186">
      <c r="A186" s="10">
        <f t="shared" si="8"/>
        <v>38168.66667</v>
      </c>
      <c r="B186" s="2" t="str">
        <f t="shared" si="2"/>
        <v/>
      </c>
      <c r="C186" s="2" t="str">
        <f t="shared" si="3"/>
        <v>SP500</v>
      </c>
      <c r="D186" s="2">
        <f t="shared" si="4"/>
        <v>2047.79</v>
      </c>
      <c r="E186" s="2">
        <f t="shared" si="5"/>
        <v>2047.79</v>
      </c>
      <c r="G186" s="10">
        <f t="shared" si="9"/>
        <v>38168.64583</v>
      </c>
      <c r="H186" s="6">
        <f t="shared" si="6"/>
        <v>785.79</v>
      </c>
      <c r="I186" s="2">
        <f t="shared" si="7"/>
        <v>785.79</v>
      </c>
      <c r="M186" s="10">
        <f>IFERROR(__xludf.DUMMYFUNCTION("""COMPUTED_VALUE"""),38251.666666666664)</f>
        <v>38251.66667</v>
      </c>
      <c r="N186" s="2">
        <f>IFERROR(__xludf.DUMMYFUNCTION("""COMPUTED_VALUE"""),1921.18)</f>
        <v>1921.18</v>
      </c>
      <c r="S186" s="13"/>
    </row>
    <row r="187">
      <c r="A187" s="10">
        <f t="shared" si="8"/>
        <v>38169.66667</v>
      </c>
      <c r="B187" s="2" t="str">
        <f t="shared" si="2"/>
        <v/>
      </c>
      <c r="C187" s="2" t="str">
        <f t="shared" si="3"/>
        <v>SP500</v>
      </c>
      <c r="D187" s="2">
        <f t="shared" si="4"/>
        <v>2015.55</v>
      </c>
      <c r="E187" s="2">
        <f t="shared" si="5"/>
        <v>2015.55</v>
      </c>
      <c r="G187" s="10">
        <f t="shared" si="9"/>
        <v>38169.64583</v>
      </c>
      <c r="H187" s="6">
        <f t="shared" si="6"/>
        <v>778.03</v>
      </c>
      <c r="I187" s="2">
        <f t="shared" si="7"/>
        <v>778.03</v>
      </c>
      <c r="M187" s="10">
        <f>IFERROR(__xludf.DUMMYFUNCTION("""COMPUTED_VALUE"""),38252.666666666664)</f>
        <v>38252.66667</v>
      </c>
      <c r="N187" s="2">
        <f>IFERROR(__xludf.DUMMYFUNCTION("""COMPUTED_VALUE"""),1885.71)</f>
        <v>1885.71</v>
      </c>
      <c r="S187" s="13"/>
    </row>
    <row r="188">
      <c r="A188" s="10">
        <f t="shared" si="8"/>
        <v>38170.66667</v>
      </c>
      <c r="B188" s="2" t="str">
        <f t="shared" si="2"/>
        <v/>
      </c>
      <c r="C188" s="2" t="str">
        <f t="shared" si="3"/>
        <v>SP500</v>
      </c>
      <c r="D188" s="2">
        <f t="shared" si="4"/>
        <v>2006.66</v>
      </c>
      <c r="E188" s="2">
        <f t="shared" si="5"/>
        <v>2006.66</v>
      </c>
      <c r="G188" s="10">
        <f t="shared" si="9"/>
        <v>38170.64583</v>
      </c>
      <c r="H188" s="6">
        <f t="shared" si="6"/>
        <v>755.42</v>
      </c>
      <c r="I188" s="2">
        <f t="shared" si="7"/>
        <v>755.42</v>
      </c>
      <c r="M188" s="10">
        <f>IFERROR(__xludf.DUMMYFUNCTION("""COMPUTED_VALUE"""),38253.666666666664)</f>
        <v>38253.66667</v>
      </c>
      <c r="N188" s="2">
        <f>IFERROR(__xludf.DUMMYFUNCTION("""COMPUTED_VALUE"""),1886.43)</f>
        <v>1886.43</v>
      </c>
      <c r="S188" s="13"/>
    </row>
    <row r="189">
      <c r="A189" s="10">
        <f t="shared" si="8"/>
        <v>38171.66667</v>
      </c>
      <c r="B189" s="2" t="str">
        <f t="shared" si="2"/>
        <v/>
      </c>
      <c r="C189" s="2" t="str">
        <f t="shared" si="3"/>
        <v>SP500</v>
      </c>
      <c r="D189" s="2" t="str">
        <f t="shared" si="4"/>
        <v/>
      </c>
      <c r="E189" s="2">
        <f t="shared" si="5"/>
        <v>2006.66</v>
      </c>
      <c r="G189" s="10">
        <f t="shared" si="9"/>
        <v>38171.64583</v>
      </c>
      <c r="H189" s="6" t="str">
        <f t="shared" si="6"/>
        <v/>
      </c>
      <c r="I189" s="2">
        <f t="shared" si="7"/>
        <v>755.42</v>
      </c>
      <c r="M189" s="10">
        <f>IFERROR(__xludf.DUMMYFUNCTION("""COMPUTED_VALUE"""),38254.666666666664)</f>
        <v>38254.66667</v>
      </c>
      <c r="N189" s="2">
        <f>IFERROR(__xludf.DUMMYFUNCTION("""COMPUTED_VALUE"""),1879.48)</f>
        <v>1879.48</v>
      </c>
      <c r="S189" s="13"/>
    </row>
    <row r="190">
      <c r="A190" s="10">
        <f t="shared" si="8"/>
        <v>38172.66667</v>
      </c>
      <c r="B190" s="2" t="str">
        <f t="shared" si="2"/>
        <v/>
      </c>
      <c r="C190" s="2" t="str">
        <f t="shared" si="3"/>
        <v>SP500</v>
      </c>
      <c r="D190" s="2" t="str">
        <f t="shared" si="4"/>
        <v/>
      </c>
      <c r="E190" s="2">
        <f t="shared" si="5"/>
        <v>2006.66</v>
      </c>
      <c r="G190" s="10">
        <f t="shared" si="9"/>
        <v>38172.64583</v>
      </c>
      <c r="H190" s="6" t="str">
        <f t="shared" si="6"/>
        <v/>
      </c>
      <c r="I190" s="2">
        <f t="shared" si="7"/>
        <v>755.42</v>
      </c>
      <c r="M190" s="10">
        <f>IFERROR(__xludf.DUMMYFUNCTION("""COMPUTED_VALUE"""),38257.666666666664)</f>
        <v>38257.66667</v>
      </c>
      <c r="N190" s="2">
        <f>IFERROR(__xludf.DUMMYFUNCTION("""COMPUTED_VALUE"""),1859.88)</f>
        <v>1859.88</v>
      </c>
      <c r="S190" s="13"/>
    </row>
    <row r="191">
      <c r="A191" s="10">
        <f t="shared" si="8"/>
        <v>38173.66667</v>
      </c>
      <c r="B191" s="2" t="str">
        <f t="shared" si="2"/>
        <v/>
      </c>
      <c r="C191" s="2" t="str">
        <f t="shared" si="3"/>
        <v>SP500</v>
      </c>
      <c r="D191" s="2" t="str">
        <f t="shared" si="4"/>
        <v/>
      </c>
      <c r="E191" s="2">
        <f t="shared" si="5"/>
        <v>2006.66</v>
      </c>
      <c r="G191" s="10">
        <f t="shared" si="9"/>
        <v>38173.64583</v>
      </c>
      <c r="H191" s="6">
        <f t="shared" si="6"/>
        <v>756.72</v>
      </c>
      <c r="I191" s="2">
        <f t="shared" si="7"/>
        <v>756.72</v>
      </c>
      <c r="M191" s="10">
        <f>IFERROR(__xludf.DUMMYFUNCTION("""COMPUTED_VALUE"""),38258.666666666664)</f>
        <v>38258.66667</v>
      </c>
      <c r="N191" s="2">
        <f>IFERROR(__xludf.DUMMYFUNCTION("""COMPUTED_VALUE"""),1869.87)</f>
        <v>1869.87</v>
      </c>
      <c r="S191" s="13"/>
    </row>
    <row r="192">
      <c r="A192" s="10">
        <f t="shared" si="8"/>
        <v>38174.66667</v>
      </c>
      <c r="B192" s="2" t="str">
        <f t="shared" si="2"/>
        <v/>
      </c>
      <c r="C192" s="2" t="str">
        <f t="shared" si="3"/>
        <v>SP500</v>
      </c>
      <c r="D192" s="2">
        <f t="shared" si="4"/>
        <v>1963.43</v>
      </c>
      <c r="E192" s="2">
        <f t="shared" si="5"/>
        <v>1963.43</v>
      </c>
      <c r="G192" s="10">
        <f t="shared" si="9"/>
        <v>38174.64583</v>
      </c>
      <c r="H192" s="6">
        <f t="shared" si="6"/>
        <v>758.47</v>
      </c>
      <c r="I192" s="2">
        <f t="shared" si="7"/>
        <v>758.47</v>
      </c>
      <c r="M192" s="10">
        <f>IFERROR(__xludf.DUMMYFUNCTION("""COMPUTED_VALUE"""),38259.666666666664)</f>
        <v>38259.66667</v>
      </c>
      <c r="N192" s="2">
        <f>IFERROR(__xludf.DUMMYFUNCTION("""COMPUTED_VALUE"""),1893.94)</f>
        <v>1893.94</v>
      </c>
      <c r="S192" s="13"/>
    </row>
    <row r="193">
      <c r="A193" s="10">
        <f t="shared" si="8"/>
        <v>38175.66667</v>
      </c>
      <c r="B193" s="2" t="str">
        <f t="shared" si="2"/>
        <v/>
      </c>
      <c r="C193" s="2" t="str">
        <f t="shared" si="3"/>
        <v>SP500</v>
      </c>
      <c r="D193" s="2">
        <f t="shared" si="4"/>
        <v>1966.08</v>
      </c>
      <c r="E193" s="2">
        <f t="shared" si="5"/>
        <v>1966.08</v>
      </c>
      <c r="G193" s="10">
        <f t="shared" si="9"/>
        <v>38175.64583</v>
      </c>
      <c r="H193" s="6">
        <f t="shared" si="6"/>
        <v>761.88</v>
      </c>
      <c r="I193" s="2">
        <f t="shared" si="7"/>
        <v>761.88</v>
      </c>
      <c r="M193" s="10">
        <f>IFERROR(__xludf.DUMMYFUNCTION("""COMPUTED_VALUE"""),38260.666666666664)</f>
        <v>38260.66667</v>
      </c>
      <c r="N193" s="2">
        <f>IFERROR(__xludf.DUMMYFUNCTION("""COMPUTED_VALUE"""),1896.84)</f>
        <v>1896.84</v>
      </c>
      <c r="S193" s="13"/>
    </row>
    <row r="194">
      <c r="A194" s="10">
        <f t="shared" si="8"/>
        <v>38176.66667</v>
      </c>
      <c r="B194" s="2" t="str">
        <f t="shared" si="2"/>
        <v/>
      </c>
      <c r="C194" s="2" t="str">
        <f t="shared" si="3"/>
        <v>SP500</v>
      </c>
      <c r="D194" s="2">
        <f t="shared" si="4"/>
        <v>1935.32</v>
      </c>
      <c r="E194" s="2">
        <f t="shared" si="5"/>
        <v>1935.32</v>
      </c>
      <c r="G194" s="10">
        <f t="shared" si="9"/>
        <v>38176.64583</v>
      </c>
      <c r="H194" s="6">
        <f t="shared" si="6"/>
        <v>743.64</v>
      </c>
      <c r="I194" s="2">
        <f t="shared" si="7"/>
        <v>743.64</v>
      </c>
      <c r="M194" s="10">
        <f>IFERROR(__xludf.DUMMYFUNCTION("""COMPUTED_VALUE"""),38261.666666666664)</f>
        <v>38261.66667</v>
      </c>
      <c r="N194" s="2">
        <f>IFERROR(__xludf.DUMMYFUNCTION("""COMPUTED_VALUE"""),1942.2)</f>
        <v>1942.2</v>
      </c>
      <c r="S194" s="13"/>
    </row>
    <row r="195">
      <c r="A195" s="10">
        <f t="shared" si="8"/>
        <v>38177.66667</v>
      </c>
      <c r="B195" s="2" t="str">
        <f t="shared" si="2"/>
        <v/>
      </c>
      <c r="C195" s="2" t="str">
        <f t="shared" si="3"/>
        <v>SP500</v>
      </c>
      <c r="D195" s="2">
        <f t="shared" si="4"/>
        <v>1946.33</v>
      </c>
      <c r="E195" s="2">
        <f t="shared" si="5"/>
        <v>1946.33</v>
      </c>
      <c r="G195" s="10">
        <f t="shared" si="9"/>
        <v>38177.64583</v>
      </c>
      <c r="H195" s="6">
        <f t="shared" si="6"/>
        <v>747.46</v>
      </c>
      <c r="I195" s="2">
        <f t="shared" si="7"/>
        <v>747.46</v>
      </c>
      <c r="M195" s="10">
        <f>IFERROR(__xludf.DUMMYFUNCTION("""COMPUTED_VALUE"""),38264.666666666664)</f>
        <v>38264.66667</v>
      </c>
      <c r="N195" s="2">
        <f>IFERROR(__xludf.DUMMYFUNCTION("""COMPUTED_VALUE"""),1952.4)</f>
        <v>1952.4</v>
      </c>
      <c r="S195" s="13"/>
    </row>
    <row r="196">
      <c r="A196" s="10">
        <f t="shared" si="8"/>
        <v>38178.66667</v>
      </c>
      <c r="B196" s="2" t="str">
        <f t="shared" si="2"/>
        <v/>
      </c>
      <c r="C196" s="2" t="str">
        <f t="shared" si="3"/>
        <v>SP500</v>
      </c>
      <c r="D196" s="2" t="str">
        <f t="shared" si="4"/>
        <v/>
      </c>
      <c r="E196" s="2">
        <f t="shared" si="5"/>
        <v>1946.33</v>
      </c>
      <c r="G196" s="10">
        <f t="shared" si="9"/>
        <v>38178.64583</v>
      </c>
      <c r="H196" s="6" t="str">
        <f t="shared" si="6"/>
        <v/>
      </c>
      <c r="I196" s="2">
        <f t="shared" si="7"/>
        <v>747.46</v>
      </c>
      <c r="M196" s="10">
        <f>IFERROR(__xludf.DUMMYFUNCTION("""COMPUTED_VALUE"""),38265.666666666664)</f>
        <v>38265.66667</v>
      </c>
      <c r="N196" s="2">
        <f>IFERROR(__xludf.DUMMYFUNCTION("""COMPUTED_VALUE"""),1955.5)</f>
        <v>1955.5</v>
      </c>
      <c r="S196" s="13"/>
    </row>
    <row r="197">
      <c r="A197" s="10">
        <f t="shared" si="8"/>
        <v>38179.66667</v>
      </c>
      <c r="B197" s="2" t="str">
        <f t="shared" si="2"/>
        <v/>
      </c>
      <c r="C197" s="2" t="str">
        <f t="shared" si="3"/>
        <v>SP500</v>
      </c>
      <c r="D197" s="2" t="str">
        <f t="shared" si="4"/>
        <v/>
      </c>
      <c r="E197" s="2">
        <f t="shared" si="5"/>
        <v>1946.33</v>
      </c>
      <c r="G197" s="10">
        <f t="shared" si="9"/>
        <v>38179.64583</v>
      </c>
      <c r="H197" s="6" t="str">
        <f t="shared" si="6"/>
        <v/>
      </c>
      <c r="I197" s="2">
        <f t="shared" si="7"/>
        <v>747.46</v>
      </c>
      <c r="M197" s="10">
        <f>IFERROR(__xludf.DUMMYFUNCTION("""COMPUTED_VALUE"""),38266.666666666664)</f>
        <v>38266.66667</v>
      </c>
      <c r="N197" s="2">
        <f>IFERROR(__xludf.DUMMYFUNCTION("""COMPUTED_VALUE"""),1971.03)</f>
        <v>1971.03</v>
      </c>
      <c r="S197" s="13"/>
    </row>
    <row r="198">
      <c r="A198" s="10">
        <f t="shared" si="8"/>
        <v>38180.66667</v>
      </c>
      <c r="B198" s="2" t="str">
        <f t="shared" si="2"/>
        <v/>
      </c>
      <c r="C198" s="2" t="str">
        <f t="shared" si="3"/>
        <v>SP500</v>
      </c>
      <c r="D198" s="2">
        <f t="shared" si="4"/>
        <v>1936.92</v>
      </c>
      <c r="E198" s="2">
        <f t="shared" si="5"/>
        <v>1936.92</v>
      </c>
      <c r="G198" s="10">
        <f t="shared" si="9"/>
        <v>38180.64583</v>
      </c>
      <c r="H198" s="6">
        <f t="shared" si="6"/>
        <v>746.27</v>
      </c>
      <c r="I198" s="2">
        <f t="shared" si="7"/>
        <v>746.27</v>
      </c>
      <c r="M198" s="10">
        <f>IFERROR(__xludf.DUMMYFUNCTION("""COMPUTED_VALUE"""),38267.666666666664)</f>
        <v>38267.66667</v>
      </c>
      <c r="N198" s="2">
        <f>IFERROR(__xludf.DUMMYFUNCTION("""COMPUTED_VALUE"""),1948.52)</f>
        <v>1948.52</v>
      </c>
      <c r="S198" s="13"/>
    </row>
    <row r="199">
      <c r="A199" s="10">
        <f t="shared" si="8"/>
        <v>38181.66667</v>
      </c>
      <c r="B199" s="2" t="str">
        <f t="shared" si="2"/>
        <v/>
      </c>
      <c r="C199" s="2" t="str">
        <f t="shared" si="3"/>
        <v>SP500</v>
      </c>
      <c r="D199" s="2">
        <f t="shared" si="4"/>
        <v>1931.66</v>
      </c>
      <c r="E199" s="2">
        <f t="shared" si="5"/>
        <v>1931.66</v>
      </c>
      <c r="G199" s="10">
        <f t="shared" si="9"/>
        <v>38181.64583</v>
      </c>
      <c r="H199" s="6">
        <f t="shared" si="6"/>
        <v>750.95</v>
      </c>
      <c r="I199" s="2">
        <f t="shared" si="7"/>
        <v>750.95</v>
      </c>
      <c r="M199" s="10">
        <f>IFERROR(__xludf.DUMMYFUNCTION("""COMPUTED_VALUE"""),38268.666666666664)</f>
        <v>38268.66667</v>
      </c>
      <c r="N199" s="2">
        <f>IFERROR(__xludf.DUMMYFUNCTION("""COMPUTED_VALUE"""),1919.97)</f>
        <v>1919.97</v>
      </c>
      <c r="S199" s="13"/>
    </row>
    <row r="200">
      <c r="A200" s="10">
        <f t="shared" si="8"/>
        <v>38182.66667</v>
      </c>
      <c r="B200" s="2" t="str">
        <f t="shared" si="2"/>
        <v/>
      </c>
      <c r="C200" s="2" t="str">
        <f t="shared" si="3"/>
        <v>SP500</v>
      </c>
      <c r="D200" s="2">
        <f t="shared" si="4"/>
        <v>1914.88</v>
      </c>
      <c r="E200" s="2">
        <f t="shared" si="5"/>
        <v>1914.88</v>
      </c>
      <c r="G200" s="10">
        <f t="shared" si="9"/>
        <v>38182.64583</v>
      </c>
      <c r="H200" s="6">
        <f t="shared" si="6"/>
        <v>736.57</v>
      </c>
      <c r="I200" s="2">
        <f t="shared" si="7"/>
        <v>736.57</v>
      </c>
      <c r="M200" s="10">
        <f>IFERROR(__xludf.DUMMYFUNCTION("""COMPUTED_VALUE"""),38271.666666666664)</f>
        <v>38271.66667</v>
      </c>
      <c r="N200" s="2">
        <f>IFERROR(__xludf.DUMMYFUNCTION("""COMPUTED_VALUE"""),1928.76)</f>
        <v>1928.76</v>
      </c>
      <c r="S200" s="13"/>
    </row>
    <row r="201">
      <c r="A201" s="10">
        <f t="shared" si="8"/>
        <v>38183.66667</v>
      </c>
      <c r="B201" s="2" t="str">
        <f t="shared" si="2"/>
        <v/>
      </c>
      <c r="C201" s="2" t="str">
        <f t="shared" si="3"/>
        <v>SP500</v>
      </c>
      <c r="D201" s="2">
        <f t="shared" si="4"/>
        <v>1912.71</v>
      </c>
      <c r="E201" s="2">
        <f t="shared" si="5"/>
        <v>1912.71</v>
      </c>
      <c r="G201" s="10">
        <f t="shared" si="9"/>
        <v>38183.64583</v>
      </c>
      <c r="H201" s="6">
        <f t="shared" si="6"/>
        <v>732.74</v>
      </c>
      <c r="I201" s="2">
        <f t="shared" si="7"/>
        <v>732.74</v>
      </c>
      <c r="M201" s="10">
        <f>IFERROR(__xludf.DUMMYFUNCTION("""COMPUTED_VALUE"""),38272.666666666664)</f>
        <v>38272.66667</v>
      </c>
      <c r="N201" s="2">
        <f>IFERROR(__xludf.DUMMYFUNCTION("""COMPUTED_VALUE"""),1925.17)</f>
        <v>1925.17</v>
      </c>
      <c r="S201" s="13"/>
    </row>
    <row r="202">
      <c r="A202" s="10">
        <f t="shared" si="8"/>
        <v>38184.66667</v>
      </c>
      <c r="B202" s="2" t="str">
        <f t="shared" si="2"/>
        <v/>
      </c>
      <c r="C202" s="2" t="str">
        <f t="shared" si="3"/>
        <v>SP500</v>
      </c>
      <c r="D202" s="2">
        <f t="shared" si="4"/>
        <v>1883.15</v>
      </c>
      <c r="E202" s="2">
        <f t="shared" si="5"/>
        <v>1883.15</v>
      </c>
      <c r="G202" s="10">
        <f t="shared" si="9"/>
        <v>38184.64583</v>
      </c>
      <c r="H202" s="6">
        <f t="shared" si="6"/>
        <v>739.39</v>
      </c>
      <c r="I202" s="2">
        <f t="shared" si="7"/>
        <v>739.39</v>
      </c>
      <c r="M202" s="10">
        <f>IFERROR(__xludf.DUMMYFUNCTION("""COMPUTED_VALUE"""),38273.666666666664)</f>
        <v>38273.66667</v>
      </c>
      <c r="N202" s="2">
        <f>IFERROR(__xludf.DUMMYFUNCTION("""COMPUTED_VALUE"""),1920.53)</f>
        <v>1920.53</v>
      </c>
      <c r="S202" s="13"/>
    </row>
    <row r="203">
      <c r="A203" s="10">
        <f t="shared" si="8"/>
        <v>38185.66667</v>
      </c>
      <c r="B203" s="2" t="str">
        <f t="shared" si="2"/>
        <v/>
      </c>
      <c r="C203" s="2" t="str">
        <f t="shared" si="3"/>
        <v>SP500</v>
      </c>
      <c r="D203" s="2" t="str">
        <f t="shared" si="4"/>
        <v/>
      </c>
      <c r="E203" s="2">
        <f t="shared" si="5"/>
        <v>1883.15</v>
      </c>
      <c r="G203" s="10">
        <f t="shared" si="9"/>
        <v>38185.64583</v>
      </c>
      <c r="H203" s="6" t="str">
        <f t="shared" si="6"/>
        <v/>
      </c>
      <c r="I203" s="2">
        <f t="shared" si="7"/>
        <v>739.39</v>
      </c>
      <c r="M203" s="10">
        <f>IFERROR(__xludf.DUMMYFUNCTION("""COMPUTED_VALUE"""),38274.666666666664)</f>
        <v>38274.66667</v>
      </c>
      <c r="N203" s="2">
        <f>IFERROR(__xludf.DUMMYFUNCTION("""COMPUTED_VALUE"""),1903.02)</f>
        <v>1903.02</v>
      </c>
      <c r="S203" s="13"/>
    </row>
    <row r="204">
      <c r="A204" s="10">
        <f t="shared" si="8"/>
        <v>38186.66667</v>
      </c>
      <c r="B204" s="2" t="str">
        <f t="shared" si="2"/>
        <v/>
      </c>
      <c r="C204" s="2" t="str">
        <f t="shared" si="3"/>
        <v>SP500</v>
      </c>
      <c r="D204" s="2" t="str">
        <f t="shared" si="4"/>
        <v/>
      </c>
      <c r="E204" s="2">
        <f t="shared" si="5"/>
        <v>1883.15</v>
      </c>
      <c r="G204" s="10">
        <f t="shared" si="9"/>
        <v>38186.64583</v>
      </c>
      <c r="H204" s="6" t="str">
        <f t="shared" si="6"/>
        <v/>
      </c>
      <c r="I204" s="2">
        <f t="shared" si="7"/>
        <v>739.39</v>
      </c>
      <c r="M204" s="10">
        <f>IFERROR(__xludf.DUMMYFUNCTION("""COMPUTED_VALUE"""),38275.666666666664)</f>
        <v>38275.66667</v>
      </c>
      <c r="N204" s="2">
        <f>IFERROR(__xludf.DUMMYFUNCTION("""COMPUTED_VALUE"""),1911.5)</f>
        <v>1911.5</v>
      </c>
      <c r="S204" s="13"/>
    </row>
    <row r="205">
      <c r="A205" s="10">
        <f t="shared" si="8"/>
        <v>38187.66667</v>
      </c>
      <c r="B205" s="2" t="str">
        <f t="shared" si="2"/>
        <v/>
      </c>
      <c r="C205" s="2" t="str">
        <f t="shared" si="3"/>
        <v>SP500</v>
      </c>
      <c r="D205" s="2">
        <f t="shared" si="4"/>
        <v>1883.83</v>
      </c>
      <c r="E205" s="2">
        <f t="shared" si="5"/>
        <v>1883.83</v>
      </c>
      <c r="G205" s="10">
        <f t="shared" si="9"/>
        <v>38187.64583</v>
      </c>
      <c r="H205" s="6">
        <f t="shared" si="6"/>
        <v>750.4</v>
      </c>
      <c r="I205" s="2">
        <f t="shared" si="7"/>
        <v>750.4</v>
      </c>
      <c r="M205" s="10">
        <f>IFERROR(__xludf.DUMMYFUNCTION("""COMPUTED_VALUE"""),38278.666666666664)</f>
        <v>38278.66667</v>
      </c>
      <c r="N205" s="2">
        <f>IFERROR(__xludf.DUMMYFUNCTION("""COMPUTED_VALUE"""),1936.52)</f>
        <v>1936.52</v>
      </c>
      <c r="S205" s="13"/>
    </row>
    <row r="206">
      <c r="A206" s="10">
        <f t="shared" si="8"/>
        <v>38188.66667</v>
      </c>
      <c r="B206" s="2" t="str">
        <f t="shared" si="2"/>
        <v/>
      </c>
      <c r="C206" s="2" t="str">
        <f t="shared" si="3"/>
        <v>SP500</v>
      </c>
      <c r="D206" s="2">
        <f t="shared" si="4"/>
        <v>1917.07</v>
      </c>
      <c r="E206" s="2">
        <f t="shared" si="5"/>
        <v>1917.07</v>
      </c>
      <c r="G206" s="10">
        <f t="shared" si="9"/>
        <v>38188.64583</v>
      </c>
      <c r="H206" s="6">
        <f t="shared" si="6"/>
        <v>737</v>
      </c>
      <c r="I206" s="2">
        <f t="shared" si="7"/>
        <v>737</v>
      </c>
      <c r="M206" s="10">
        <f>IFERROR(__xludf.DUMMYFUNCTION("""COMPUTED_VALUE"""),38279.666666666664)</f>
        <v>38279.66667</v>
      </c>
      <c r="N206" s="2">
        <f>IFERROR(__xludf.DUMMYFUNCTION("""COMPUTED_VALUE"""),1922.9)</f>
        <v>1922.9</v>
      </c>
      <c r="S206" s="13"/>
    </row>
    <row r="207">
      <c r="A207" s="10">
        <f t="shared" si="8"/>
        <v>38189.66667</v>
      </c>
      <c r="B207" s="2" t="str">
        <f t="shared" si="2"/>
        <v/>
      </c>
      <c r="C207" s="2" t="str">
        <f t="shared" si="3"/>
        <v>SP500</v>
      </c>
      <c r="D207" s="2">
        <f t="shared" si="4"/>
        <v>1874.37</v>
      </c>
      <c r="E207" s="2">
        <f t="shared" si="5"/>
        <v>1874.37</v>
      </c>
      <c r="G207" s="10">
        <f t="shared" si="9"/>
        <v>38189.64583</v>
      </c>
      <c r="H207" s="6">
        <f t="shared" si="6"/>
        <v>753.32</v>
      </c>
      <c r="I207" s="2">
        <f t="shared" si="7"/>
        <v>753.32</v>
      </c>
      <c r="M207" s="10">
        <f>IFERROR(__xludf.DUMMYFUNCTION("""COMPUTED_VALUE"""),38280.666666666664)</f>
        <v>38280.66667</v>
      </c>
      <c r="N207" s="2">
        <f>IFERROR(__xludf.DUMMYFUNCTION("""COMPUTED_VALUE"""),1932.97)</f>
        <v>1932.97</v>
      </c>
      <c r="S207" s="13"/>
    </row>
    <row r="208">
      <c r="A208" s="10">
        <f t="shared" si="8"/>
        <v>38190.66667</v>
      </c>
      <c r="B208" s="2" t="str">
        <f t="shared" si="2"/>
        <v/>
      </c>
      <c r="C208" s="2" t="str">
        <f t="shared" si="3"/>
        <v>SP500</v>
      </c>
      <c r="D208" s="2">
        <f t="shared" si="4"/>
        <v>1889.06</v>
      </c>
      <c r="E208" s="2">
        <f t="shared" si="5"/>
        <v>1889.06</v>
      </c>
      <c r="G208" s="10">
        <f t="shared" si="9"/>
        <v>38190.64583</v>
      </c>
      <c r="H208" s="6">
        <f t="shared" si="6"/>
        <v>742.63</v>
      </c>
      <c r="I208" s="2">
        <f t="shared" si="7"/>
        <v>742.63</v>
      </c>
      <c r="M208" s="10">
        <f>IFERROR(__xludf.DUMMYFUNCTION("""COMPUTED_VALUE"""),38281.666666666664)</f>
        <v>38281.66667</v>
      </c>
      <c r="N208" s="2">
        <f>IFERROR(__xludf.DUMMYFUNCTION("""COMPUTED_VALUE"""),1953.62)</f>
        <v>1953.62</v>
      </c>
      <c r="S208" s="13"/>
    </row>
    <row r="209">
      <c r="A209" s="10">
        <f t="shared" si="8"/>
        <v>38191.66667</v>
      </c>
      <c r="B209" s="2" t="str">
        <f t="shared" si="2"/>
        <v/>
      </c>
      <c r="C209" s="2" t="str">
        <f t="shared" si="3"/>
        <v>SP500</v>
      </c>
      <c r="D209" s="2">
        <f t="shared" si="4"/>
        <v>1849.09</v>
      </c>
      <c r="E209" s="2">
        <f t="shared" si="5"/>
        <v>1849.09</v>
      </c>
      <c r="G209" s="10">
        <f t="shared" si="9"/>
        <v>38191.64583</v>
      </c>
      <c r="H209" s="6">
        <f t="shared" si="6"/>
        <v>737.51</v>
      </c>
      <c r="I209" s="2">
        <f t="shared" si="7"/>
        <v>737.51</v>
      </c>
      <c r="M209" s="10">
        <f>IFERROR(__xludf.DUMMYFUNCTION("""COMPUTED_VALUE"""),38282.666666666664)</f>
        <v>38282.66667</v>
      </c>
      <c r="N209" s="2">
        <f>IFERROR(__xludf.DUMMYFUNCTION("""COMPUTED_VALUE"""),1915.14)</f>
        <v>1915.14</v>
      </c>
      <c r="S209" s="13"/>
    </row>
    <row r="210">
      <c r="A210" s="10">
        <f t="shared" si="8"/>
        <v>38192.66667</v>
      </c>
      <c r="B210" s="2" t="str">
        <f t="shared" si="2"/>
        <v/>
      </c>
      <c r="C210" s="2" t="str">
        <f t="shared" si="3"/>
        <v>SP500</v>
      </c>
      <c r="D210" s="2" t="str">
        <f t="shared" si="4"/>
        <v/>
      </c>
      <c r="E210" s="2">
        <f t="shared" si="5"/>
        <v>1849.09</v>
      </c>
      <c r="G210" s="10">
        <f t="shared" si="9"/>
        <v>38192.64583</v>
      </c>
      <c r="H210" s="6" t="str">
        <f t="shared" si="6"/>
        <v/>
      </c>
      <c r="I210" s="2">
        <f t="shared" si="7"/>
        <v>737.51</v>
      </c>
      <c r="M210" s="10">
        <f>IFERROR(__xludf.DUMMYFUNCTION("""COMPUTED_VALUE"""),38285.666666666664)</f>
        <v>38285.66667</v>
      </c>
      <c r="N210" s="2">
        <f>IFERROR(__xludf.DUMMYFUNCTION("""COMPUTED_VALUE"""),1914.04)</f>
        <v>1914.04</v>
      </c>
      <c r="S210" s="13"/>
    </row>
    <row r="211">
      <c r="A211" s="10">
        <f t="shared" si="8"/>
        <v>38193.66667</v>
      </c>
      <c r="B211" s="2" t="str">
        <f t="shared" si="2"/>
        <v/>
      </c>
      <c r="C211" s="2" t="str">
        <f t="shared" si="3"/>
        <v>SP500</v>
      </c>
      <c r="D211" s="2" t="str">
        <f t="shared" si="4"/>
        <v/>
      </c>
      <c r="E211" s="2">
        <f t="shared" si="5"/>
        <v>1849.09</v>
      </c>
      <c r="G211" s="10">
        <f t="shared" si="9"/>
        <v>38193.64583</v>
      </c>
      <c r="H211" s="6" t="str">
        <f t="shared" si="6"/>
        <v/>
      </c>
      <c r="I211" s="2">
        <f t="shared" si="7"/>
        <v>737.51</v>
      </c>
      <c r="M211" s="10">
        <f>IFERROR(__xludf.DUMMYFUNCTION("""COMPUTED_VALUE"""),38286.666666666664)</f>
        <v>38286.66667</v>
      </c>
      <c r="N211" s="2">
        <f>IFERROR(__xludf.DUMMYFUNCTION("""COMPUTED_VALUE"""),1928.79)</f>
        <v>1928.79</v>
      </c>
      <c r="S211" s="13"/>
    </row>
    <row r="212">
      <c r="A212" s="10">
        <f t="shared" si="8"/>
        <v>38194.66667</v>
      </c>
      <c r="B212" s="2" t="str">
        <f t="shared" si="2"/>
        <v/>
      </c>
      <c r="C212" s="2" t="str">
        <f t="shared" si="3"/>
        <v>SP500</v>
      </c>
      <c r="D212" s="2">
        <f t="shared" si="4"/>
        <v>1839.02</v>
      </c>
      <c r="E212" s="2">
        <f t="shared" si="5"/>
        <v>1839.02</v>
      </c>
      <c r="G212" s="10">
        <f t="shared" si="9"/>
        <v>38194.64583</v>
      </c>
      <c r="H212" s="6">
        <f t="shared" si="6"/>
        <v>736.21</v>
      </c>
      <c r="I212" s="2">
        <f t="shared" si="7"/>
        <v>736.21</v>
      </c>
      <c r="M212" s="10">
        <f>IFERROR(__xludf.DUMMYFUNCTION("""COMPUTED_VALUE"""),38287.666666666664)</f>
        <v>38287.66667</v>
      </c>
      <c r="N212" s="2">
        <f>IFERROR(__xludf.DUMMYFUNCTION("""COMPUTED_VALUE"""),1969.99)</f>
        <v>1969.99</v>
      </c>
      <c r="S212" s="13"/>
    </row>
    <row r="213">
      <c r="A213" s="10">
        <f t="shared" si="8"/>
        <v>38195.66667</v>
      </c>
      <c r="B213" s="2" t="str">
        <f t="shared" si="2"/>
        <v/>
      </c>
      <c r="C213" s="2" t="str">
        <f t="shared" si="3"/>
        <v>SP500</v>
      </c>
      <c r="D213" s="2">
        <f t="shared" si="4"/>
        <v>1869.1</v>
      </c>
      <c r="E213" s="2">
        <f t="shared" si="5"/>
        <v>1869.1</v>
      </c>
      <c r="G213" s="10">
        <f t="shared" si="9"/>
        <v>38195.64583</v>
      </c>
      <c r="H213" s="6">
        <f t="shared" si="6"/>
        <v>738.51</v>
      </c>
      <c r="I213" s="2">
        <f t="shared" si="7"/>
        <v>738.51</v>
      </c>
      <c r="M213" s="10">
        <f>IFERROR(__xludf.DUMMYFUNCTION("""COMPUTED_VALUE"""),38288.666666666664)</f>
        <v>38288.66667</v>
      </c>
      <c r="N213" s="2">
        <f>IFERROR(__xludf.DUMMYFUNCTION("""COMPUTED_VALUE"""),1975.74)</f>
        <v>1975.74</v>
      </c>
      <c r="S213" s="13"/>
    </row>
    <row r="214">
      <c r="A214" s="10">
        <f t="shared" si="8"/>
        <v>38196.66667</v>
      </c>
      <c r="B214" s="2" t="str">
        <f t="shared" si="2"/>
        <v/>
      </c>
      <c r="C214" s="2" t="str">
        <f t="shared" si="3"/>
        <v>SP500</v>
      </c>
      <c r="D214" s="2">
        <f t="shared" si="4"/>
        <v>1858.26</v>
      </c>
      <c r="E214" s="2">
        <f t="shared" si="5"/>
        <v>1858.26</v>
      </c>
      <c r="G214" s="10">
        <f t="shared" si="9"/>
        <v>38196.64583</v>
      </c>
      <c r="H214" s="6">
        <f t="shared" si="6"/>
        <v>744.42</v>
      </c>
      <c r="I214" s="2">
        <f t="shared" si="7"/>
        <v>744.42</v>
      </c>
      <c r="M214" s="10">
        <f>IFERROR(__xludf.DUMMYFUNCTION("""COMPUTED_VALUE"""),38289.666666666664)</f>
        <v>38289.66667</v>
      </c>
      <c r="N214" s="2">
        <f>IFERROR(__xludf.DUMMYFUNCTION("""COMPUTED_VALUE"""),1974.99)</f>
        <v>1974.99</v>
      </c>
      <c r="S214" s="13"/>
    </row>
    <row r="215">
      <c r="A215" s="10">
        <f t="shared" si="8"/>
        <v>38197.66667</v>
      </c>
      <c r="B215" s="2" t="str">
        <f t="shared" si="2"/>
        <v/>
      </c>
      <c r="C215" s="2" t="str">
        <f t="shared" si="3"/>
        <v>SP500</v>
      </c>
      <c r="D215" s="2">
        <f t="shared" si="4"/>
        <v>1881.06</v>
      </c>
      <c r="E215" s="2">
        <f t="shared" si="5"/>
        <v>1881.06</v>
      </c>
      <c r="G215" s="10">
        <f t="shared" si="9"/>
        <v>38197.64583</v>
      </c>
      <c r="H215" s="6">
        <f t="shared" si="6"/>
        <v>730.61</v>
      </c>
      <c r="I215" s="2">
        <f t="shared" si="7"/>
        <v>730.61</v>
      </c>
      <c r="M215" s="10">
        <f>IFERROR(__xludf.DUMMYFUNCTION("""COMPUTED_VALUE"""),38292.666666666664)</f>
        <v>38292.66667</v>
      </c>
      <c r="N215" s="2">
        <f>IFERROR(__xludf.DUMMYFUNCTION("""COMPUTED_VALUE"""),1979.87)</f>
        <v>1979.87</v>
      </c>
      <c r="S215" s="13"/>
    </row>
    <row r="216">
      <c r="A216" s="10">
        <f t="shared" si="8"/>
        <v>38198.66667</v>
      </c>
      <c r="B216" s="2" t="str">
        <f t="shared" si="2"/>
        <v/>
      </c>
      <c r="C216" s="2" t="str">
        <f t="shared" si="3"/>
        <v>SP500</v>
      </c>
      <c r="D216" s="2">
        <f t="shared" si="4"/>
        <v>1887.36</v>
      </c>
      <c r="E216" s="2">
        <f t="shared" si="5"/>
        <v>1887.36</v>
      </c>
      <c r="G216" s="10">
        <f t="shared" si="9"/>
        <v>38198.64583</v>
      </c>
      <c r="H216" s="6">
        <f t="shared" si="6"/>
        <v>735.34</v>
      </c>
      <c r="I216" s="2">
        <f t="shared" si="7"/>
        <v>735.34</v>
      </c>
      <c r="M216" s="10">
        <f>IFERROR(__xludf.DUMMYFUNCTION("""COMPUTED_VALUE"""),38293.666666666664)</f>
        <v>38293.66667</v>
      </c>
      <c r="N216" s="2">
        <f>IFERROR(__xludf.DUMMYFUNCTION("""COMPUTED_VALUE"""),1984.79)</f>
        <v>1984.79</v>
      </c>
      <c r="S216" s="13"/>
    </row>
    <row r="217">
      <c r="A217" s="10">
        <f t="shared" si="8"/>
        <v>38199.66667</v>
      </c>
      <c r="B217" s="2" t="str">
        <f t="shared" si="2"/>
        <v/>
      </c>
      <c r="C217" s="2" t="str">
        <f t="shared" si="3"/>
        <v>SP500</v>
      </c>
      <c r="D217" s="2" t="str">
        <f t="shared" si="4"/>
        <v/>
      </c>
      <c r="E217" s="2">
        <f t="shared" si="5"/>
        <v>1887.36</v>
      </c>
      <c r="G217" s="10">
        <f t="shared" si="9"/>
        <v>38199.64583</v>
      </c>
      <c r="H217" s="6" t="str">
        <f t="shared" si="6"/>
        <v/>
      </c>
      <c r="I217" s="2">
        <f t="shared" si="7"/>
        <v>735.34</v>
      </c>
      <c r="M217" s="10">
        <f>IFERROR(__xludf.DUMMYFUNCTION("""COMPUTED_VALUE"""),38294.666666666664)</f>
        <v>38294.66667</v>
      </c>
      <c r="N217" s="2">
        <f>IFERROR(__xludf.DUMMYFUNCTION("""COMPUTED_VALUE"""),2004.33)</f>
        <v>2004.33</v>
      </c>
      <c r="S217" s="13"/>
    </row>
    <row r="218">
      <c r="A218" s="10">
        <f t="shared" si="8"/>
        <v>38200.66667</v>
      </c>
      <c r="B218" s="2" t="str">
        <f t="shared" si="2"/>
        <v/>
      </c>
      <c r="C218" s="2" t="str">
        <f t="shared" si="3"/>
        <v>SP500</v>
      </c>
      <c r="D218" s="2" t="str">
        <f t="shared" si="4"/>
        <v/>
      </c>
      <c r="E218" s="2">
        <f t="shared" si="5"/>
        <v>1887.36</v>
      </c>
      <c r="G218" s="10">
        <f t="shared" si="9"/>
        <v>38200.64583</v>
      </c>
      <c r="H218" s="6" t="str">
        <f t="shared" si="6"/>
        <v/>
      </c>
      <c r="I218" s="2">
        <f t="shared" si="7"/>
        <v>735.34</v>
      </c>
      <c r="M218" s="10">
        <f>IFERROR(__xludf.DUMMYFUNCTION("""COMPUTED_VALUE"""),38295.666666666664)</f>
        <v>38295.66667</v>
      </c>
      <c r="N218" s="2">
        <f>IFERROR(__xludf.DUMMYFUNCTION("""COMPUTED_VALUE"""),2023.63)</f>
        <v>2023.63</v>
      </c>
      <c r="S218" s="13"/>
    </row>
    <row r="219">
      <c r="A219" s="10">
        <f t="shared" si="8"/>
        <v>38201.66667</v>
      </c>
      <c r="B219" s="2" t="str">
        <f t="shared" si="2"/>
        <v/>
      </c>
      <c r="C219" s="2" t="str">
        <f t="shared" si="3"/>
        <v>SP500</v>
      </c>
      <c r="D219" s="2">
        <f t="shared" si="4"/>
        <v>1892.09</v>
      </c>
      <c r="E219" s="2">
        <f t="shared" si="5"/>
        <v>1892.09</v>
      </c>
      <c r="G219" s="10">
        <f t="shared" si="9"/>
        <v>38201.64583</v>
      </c>
      <c r="H219" s="6">
        <f t="shared" si="6"/>
        <v>719.59</v>
      </c>
      <c r="I219" s="2">
        <f t="shared" si="7"/>
        <v>719.59</v>
      </c>
      <c r="M219" s="10">
        <f>IFERROR(__xludf.DUMMYFUNCTION("""COMPUTED_VALUE"""),38296.666666666664)</f>
        <v>38296.66667</v>
      </c>
      <c r="N219" s="2">
        <f>IFERROR(__xludf.DUMMYFUNCTION("""COMPUTED_VALUE"""),2038.94)</f>
        <v>2038.94</v>
      </c>
      <c r="S219" s="13"/>
    </row>
    <row r="220">
      <c r="A220" s="10">
        <f t="shared" si="8"/>
        <v>38202.66667</v>
      </c>
      <c r="B220" s="2" t="str">
        <f t="shared" si="2"/>
        <v/>
      </c>
      <c r="C220" s="2" t="str">
        <f t="shared" si="3"/>
        <v>SP500</v>
      </c>
      <c r="D220" s="2">
        <f t="shared" si="4"/>
        <v>1859.42</v>
      </c>
      <c r="E220" s="2">
        <f t="shared" si="5"/>
        <v>1859.42</v>
      </c>
      <c r="G220" s="10">
        <f t="shared" si="9"/>
        <v>38202.64583</v>
      </c>
      <c r="H220" s="6">
        <f t="shared" si="6"/>
        <v>726.44</v>
      </c>
      <c r="I220" s="2">
        <f t="shared" si="7"/>
        <v>726.44</v>
      </c>
      <c r="M220" s="10">
        <f>IFERROR(__xludf.DUMMYFUNCTION("""COMPUTED_VALUE"""),38299.666666666664)</f>
        <v>38299.66667</v>
      </c>
      <c r="N220" s="2">
        <f>IFERROR(__xludf.DUMMYFUNCTION("""COMPUTED_VALUE"""),2039.25)</f>
        <v>2039.25</v>
      </c>
      <c r="S220" s="13"/>
    </row>
    <row r="221">
      <c r="A221" s="10">
        <f t="shared" si="8"/>
        <v>38203.66667</v>
      </c>
      <c r="B221" s="2" t="str">
        <f t="shared" si="2"/>
        <v/>
      </c>
      <c r="C221" s="2" t="str">
        <f t="shared" si="3"/>
        <v>SP500</v>
      </c>
      <c r="D221" s="2">
        <f t="shared" si="4"/>
        <v>1855.06</v>
      </c>
      <c r="E221" s="2">
        <f t="shared" si="5"/>
        <v>1855.06</v>
      </c>
      <c r="G221" s="10">
        <f t="shared" si="9"/>
        <v>38203.64583</v>
      </c>
      <c r="H221" s="6">
        <f t="shared" si="6"/>
        <v>729.41</v>
      </c>
      <c r="I221" s="2">
        <f t="shared" si="7"/>
        <v>729.41</v>
      </c>
      <c r="M221" s="10">
        <f>IFERROR(__xludf.DUMMYFUNCTION("""COMPUTED_VALUE"""),38300.666666666664)</f>
        <v>38300.66667</v>
      </c>
      <c r="N221" s="2">
        <f>IFERROR(__xludf.DUMMYFUNCTION("""COMPUTED_VALUE"""),2043.33)</f>
        <v>2043.33</v>
      </c>
      <c r="S221" s="13"/>
    </row>
    <row r="222">
      <c r="A222" s="10">
        <f t="shared" si="8"/>
        <v>38204.66667</v>
      </c>
      <c r="B222" s="2" t="str">
        <f t="shared" si="2"/>
        <v/>
      </c>
      <c r="C222" s="2" t="str">
        <f t="shared" si="3"/>
        <v>SP500</v>
      </c>
      <c r="D222" s="2">
        <f t="shared" si="4"/>
        <v>1821.63</v>
      </c>
      <c r="E222" s="2">
        <f t="shared" si="5"/>
        <v>1821.63</v>
      </c>
      <c r="G222" s="10">
        <f t="shared" si="9"/>
        <v>38204.64583</v>
      </c>
      <c r="H222" s="6">
        <f t="shared" si="6"/>
        <v>743.35</v>
      </c>
      <c r="I222" s="2">
        <f t="shared" si="7"/>
        <v>743.35</v>
      </c>
      <c r="M222" s="10">
        <f>IFERROR(__xludf.DUMMYFUNCTION("""COMPUTED_VALUE"""),38301.666666666664)</f>
        <v>38301.66667</v>
      </c>
      <c r="N222" s="2">
        <f>IFERROR(__xludf.DUMMYFUNCTION("""COMPUTED_VALUE"""),2034.56)</f>
        <v>2034.56</v>
      </c>
      <c r="S222" s="13"/>
    </row>
    <row r="223">
      <c r="A223" s="10">
        <f t="shared" si="8"/>
        <v>38205.66667</v>
      </c>
      <c r="B223" s="2" t="str">
        <f t="shared" si="2"/>
        <v/>
      </c>
      <c r="C223" s="2" t="str">
        <f t="shared" si="3"/>
        <v>SP500</v>
      </c>
      <c r="D223" s="2">
        <f t="shared" si="4"/>
        <v>1776.89</v>
      </c>
      <c r="E223" s="2">
        <f t="shared" si="5"/>
        <v>1776.89</v>
      </c>
      <c r="G223" s="10">
        <f t="shared" si="9"/>
        <v>38205.64583</v>
      </c>
      <c r="H223" s="6">
        <f t="shared" si="6"/>
        <v>733.95</v>
      </c>
      <c r="I223" s="2">
        <f t="shared" si="7"/>
        <v>733.95</v>
      </c>
      <c r="M223" s="10">
        <f>IFERROR(__xludf.DUMMYFUNCTION("""COMPUTED_VALUE"""),38302.666666666664)</f>
        <v>38302.66667</v>
      </c>
      <c r="N223" s="2">
        <f>IFERROR(__xludf.DUMMYFUNCTION("""COMPUTED_VALUE"""),2061.27)</f>
        <v>2061.27</v>
      </c>
      <c r="S223" s="13"/>
    </row>
    <row r="224">
      <c r="A224" s="10">
        <f t="shared" si="8"/>
        <v>38206.66667</v>
      </c>
      <c r="B224" s="2" t="str">
        <f t="shared" si="2"/>
        <v/>
      </c>
      <c r="C224" s="2" t="str">
        <f t="shared" si="3"/>
        <v>SP500</v>
      </c>
      <c r="D224" s="2" t="str">
        <f t="shared" si="4"/>
        <v/>
      </c>
      <c r="E224" s="2">
        <f t="shared" si="5"/>
        <v>1776.89</v>
      </c>
      <c r="G224" s="10">
        <f t="shared" si="9"/>
        <v>38206.64583</v>
      </c>
      <c r="H224" s="6" t="str">
        <f t="shared" si="6"/>
        <v/>
      </c>
      <c r="I224" s="2">
        <f t="shared" si="7"/>
        <v>733.95</v>
      </c>
      <c r="M224" s="10">
        <f>IFERROR(__xludf.DUMMYFUNCTION("""COMPUTED_VALUE"""),38303.666666666664)</f>
        <v>38303.66667</v>
      </c>
      <c r="N224" s="2">
        <f>IFERROR(__xludf.DUMMYFUNCTION("""COMPUTED_VALUE"""),2085.34)</f>
        <v>2085.34</v>
      </c>
      <c r="S224" s="13"/>
    </row>
    <row r="225">
      <c r="A225" s="10">
        <f t="shared" si="8"/>
        <v>38207.66667</v>
      </c>
      <c r="B225" s="2" t="str">
        <f t="shared" si="2"/>
        <v/>
      </c>
      <c r="C225" s="2" t="str">
        <f t="shared" si="3"/>
        <v>SP500</v>
      </c>
      <c r="D225" s="2" t="str">
        <f t="shared" si="4"/>
        <v/>
      </c>
      <c r="E225" s="2">
        <f t="shared" si="5"/>
        <v>1776.89</v>
      </c>
      <c r="G225" s="10">
        <f t="shared" si="9"/>
        <v>38207.64583</v>
      </c>
      <c r="H225" s="6" t="str">
        <f t="shared" si="6"/>
        <v/>
      </c>
      <c r="I225" s="2">
        <f t="shared" si="7"/>
        <v>733.95</v>
      </c>
      <c r="M225" s="10">
        <f>IFERROR(__xludf.DUMMYFUNCTION("""COMPUTED_VALUE"""),38306.666666666664)</f>
        <v>38306.66667</v>
      </c>
      <c r="N225" s="2">
        <f>IFERROR(__xludf.DUMMYFUNCTION("""COMPUTED_VALUE"""),2094.09)</f>
        <v>2094.09</v>
      </c>
      <c r="S225" s="13"/>
    </row>
    <row r="226">
      <c r="A226" s="10">
        <f t="shared" si="8"/>
        <v>38208.66667</v>
      </c>
      <c r="B226" s="2" t="str">
        <f t="shared" si="2"/>
        <v/>
      </c>
      <c r="C226" s="2" t="str">
        <f t="shared" si="3"/>
        <v>SP500</v>
      </c>
      <c r="D226" s="2">
        <f t="shared" si="4"/>
        <v>1774.64</v>
      </c>
      <c r="E226" s="2">
        <f t="shared" si="5"/>
        <v>1774.64</v>
      </c>
      <c r="G226" s="10">
        <f t="shared" si="9"/>
        <v>38208.64583</v>
      </c>
      <c r="H226" s="6">
        <f t="shared" si="6"/>
        <v>742.13</v>
      </c>
      <c r="I226" s="2">
        <f t="shared" si="7"/>
        <v>742.13</v>
      </c>
      <c r="M226" s="10">
        <f>IFERROR(__xludf.DUMMYFUNCTION("""COMPUTED_VALUE"""),38307.666666666664)</f>
        <v>38307.66667</v>
      </c>
      <c r="N226" s="2">
        <f>IFERROR(__xludf.DUMMYFUNCTION("""COMPUTED_VALUE"""),2078.62)</f>
        <v>2078.62</v>
      </c>
      <c r="S226" s="13"/>
    </row>
    <row r="227">
      <c r="A227" s="10">
        <f t="shared" si="8"/>
        <v>38209.66667</v>
      </c>
      <c r="B227" s="2" t="str">
        <f t="shared" si="2"/>
        <v/>
      </c>
      <c r="C227" s="2" t="str">
        <f t="shared" si="3"/>
        <v>SP500</v>
      </c>
      <c r="D227" s="2">
        <f t="shared" si="4"/>
        <v>1808.7</v>
      </c>
      <c r="E227" s="2">
        <f t="shared" si="5"/>
        <v>1808.7</v>
      </c>
      <c r="G227" s="10">
        <f t="shared" si="9"/>
        <v>38209.64583</v>
      </c>
      <c r="H227" s="6">
        <f t="shared" si="6"/>
        <v>748.62</v>
      </c>
      <c r="I227" s="2">
        <f t="shared" si="7"/>
        <v>748.62</v>
      </c>
      <c r="M227" s="10">
        <f>IFERROR(__xludf.DUMMYFUNCTION("""COMPUTED_VALUE"""),38308.666666666664)</f>
        <v>38308.66667</v>
      </c>
      <c r="N227" s="2">
        <f>IFERROR(__xludf.DUMMYFUNCTION("""COMPUTED_VALUE"""),2099.68)</f>
        <v>2099.68</v>
      </c>
      <c r="S227" s="13"/>
    </row>
    <row r="228">
      <c r="A228" s="10">
        <f t="shared" si="8"/>
        <v>38210.66667</v>
      </c>
      <c r="B228" s="2" t="str">
        <f t="shared" si="2"/>
        <v/>
      </c>
      <c r="C228" s="2" t="str">
        <f t="shared" si="3"/>
        <v>SP500</v>
      </c>
      <c r="D228" s="2">
        <f t="shared" si="4"/>
        <v>1782.42</v>
      </c>
      <c r="E228" s="2">
        <f t="shared" si="5"/>
        <v>1782.42</v>
      </c>
      <c r="G228" s="10">
        <f t="shared" si="9"/>
        <v>38210.64583</v>
      </c>
      <c r="H228" s="6">
        <f t="shared" si="6"/>
        <v>753.06</v>
      </c>
      <c r="I228" s="2">
        <f t="shared" si="7"/>
        <v>753.06</v>
      </c>
      <c r="M228" s="10">
        <f>IFERROR(__xludf.DUMMYFUNCTION("""COMPUTED_VALUE"""),38309.666666666664)</f>
        <v>38309.66667</v>
      </c>
      <c r="N228" s="2">
        <f>IFERROR(__xludf.DUMMYFUNCTION("""COMPUTED_VALUE"""),2104.28)</f>
        <v>2104.28</v>
      </c>
      <c r="S228" s="13"/>
    </row>
    <row r="229">
      <c r="A229" s="10">
        <f t="shared" si="8"/>
        <v>38211.66667</v>
      </c>
      <c r="B229" s="2" t="str">
        <f t="shared" si="2"/>
        <v/>
      </c>
      <c r="C229" s="2" t="str">
        <f t="shared" si="3"/>
        <v>SP500</v>
      </c>
      <c r="D229" s="2">
        <f t="shared" si="4"/>
        <v>1752.49</v>
      </c>
      <c r="E229" s="2">
        <f t="shared" si="5"/>
        <v>1752.49</v>
      </c>
      <c r="G229" s="10">
        <f t="shared" si="9"/>
        <v>38211.64583</v>
      </c>
      <c r="H229" s="6">
        <f t="shared" si="6"/>
        <v>766.7</v>
      </c>
      <c r="I229" s="2">
        <f t="shared" si="7"/>
        <v>766.7</v>
      </c>
      <c r="M229" s="10">
        <f>IFERROR(__xludf.DUMMYFUNCTION("""COMPUTED_VALUE"""),38310.666666666664)</f>
        <v>38310.66667</v>
      </c>
      <c r="N229" s="2">
        <f>IFERROR(__xludf.DUMMYFUNCTION("""COMPUTED_VALUE"""),2070.63)</f>
        <v>2070.63</v>
      </c>
      <c r="S229" s="13"/>
    </row>
    <row r="230">
      <c r="A230" s="10">
        <f t="shared" si="8"/>
        <v>38212.66667</v>
      </c>
      <c r="B230" s="2" t="str">
        <f t="shared" si="2"/>
        <v/>
      </c>
      <c r="C230" s="2" t="str">
        <f t="shared" si="3"/>
        <v>SP500</v>
      </c>
      <c r="D230" s="2">
        <f t="shared" si="4"/>
        <v>1757.22</v>
      </c>
      <c r="E230" s="2">
        <f t="shared" si="5"/>
        <v>1757.22</v>
      </c>
      <c r="G230" s="10">
        <f t="shared" si="9"/>
        <v>38212.64583</v>
      </c>
      <c r="H230" s="6">
        <f t="shared" si="6"/>
        <v>776.02</v>
      </c>
      <c r="I230" s="2">
        <f t="shared" si="7"/>
        <v>776.02</v>
      </c>
      <c r="M230" s="10">
        <f>IFERROR(__xludf.DUMMYFUNCTION("""COMPUTED_VALUE"""),38313.666666666664)</f>
        <v>38313.66667</v>
      </c>
      <c r="N230" s="2">
        <f>IFERROR(__xludf.DUMMYFUNCTION("""COMPUTED_VALUE"""),2085.19)</f>
        <v>2085.19</v>
      </c>
      <c r="S230" s="13"/>
    </row>
    <row r="231">
      <c r="A231" s="10">
        <f t="shared" si="8"/>
        <v>38213.66667</v>
      </c>
      <c r="B231" s="2" t="str">
        <f t="shared" si="2"/>
        <v/>
      </c>
      <c r="C231" s="2" t="str">
        <f t="shared" si="3"/>
        <v>SP500</v>
      </c>
      <c r="D231" s="2" t="str">
        <f t="shared" si="4"/>
        <v/>
      </c>
      <c r="E231" s="2">
        <f t="shared" si="5"/>
        <v>1757.22</v>
      </c>
      <c r="G231" s="10">
        <f t="shared" si="9"/>
        <v>38213.64583</v>
      </c>
      <c r="H231" s="6" t="str">
        <f t="shared" si="6"/>
        <v/>
      </c>
      <c r="I231" s="2">
        <f t="shared" si="7"/>
        <v>776.02</v>
      </c>
      <c r="M231" s="10">
        <f>IFERROR(__xludf.DUMMYFUNCTION("""COMPUTED_VALUE"""),38314.666666666664)</f>
        <v>38314.66667</v>
      </c>
      <c r="N231" s="2">
        <f>IFERROR(__xludf.DUMMYFUNCTION("""COMPUTED_VALUE"""),2084.28)</f>
        <v>2084.28</v>
      </c>
      <c r="S231" s="13"/>
    </row>
    <row r="232">
      <c r="A232" s="10">
        <f t="shared" si="8"/>
        <v>38214.66667</v>
      </c>
      <c r="B232" s="2" t="str">
        <f t="shared" si="2"/>
        <v/>
      </c>
      <c r="C232" s="2" t="str">
        <f t="shared" si="3"/>
        <v>SP500</v>
      </c>
      <c r="D232" s="2" t="str">
        <f t="shared" si="4"/>
        <v/>
      </c>
      <c r="E232" s="2">
        <f t="shared" si="5"/>
        <v>1757.22</v>
      </c>
      <c r="G232" s="10">
        <f t="shared" si="9"/>
        <v>38214.64583</v>
      </c>
      <c r="H232" s="6" t="str">
        <f t="shared" si="6"/>
        <v/>
      </c>
      <c r="I232" s="2">
        <f t="shared" si="7"/>
        <v>776.02</v>
      </c>
      <c r="M232" s="10">
        <f>IFERROR(__xludf.DUMMYFUNCTION("""COMPUTED_VALUE"""),38315.666666666664)</f>
        <v>38315.66667</v>
      </c>
      <c r="N232" s="2">
        <f>IFERROR(__xludf.DUMMYFUNCTION("""COMPUTED_VALUE"""),2102.54)</f>
        <v>2102.54</v>
      </c>
      <c r="S232" s="13"/>
    </row>
    <row r="233">
      <c r="A233" s="10">
        <f t="shared" si="8"/>
        <v>38215.66667</v>
      </c>
      <c r="B233" s="2" t="str">
        <f t="shared" si="2"/>
        <v/>
      </c>
      <c r="C233" s="2" t="str">
        <f t="shared" si="3"/>
        <v>SP500</v>
      </c>
      <c r="D233" s="2">
        <f t="shared" si="4"/>
        <v>1782.84</v>
      </c>
      <c r="E233" s="2">
        <f t="shared" si="5"/>
        <v>1782.84</v>
      </c>
      <c r="G233" s="10">
        <f t="shared" si="9"/>
        <v>38215.64583</v>
      </c>
      <c r="H233" s="6">
        <f t="shared" si="6"/>
        <v>773.85</v>
      </c>
      <c r="I233" s="2">
        <f t="shared" si="7"/>
        <v>773.85</v>
      </c>
      <c r="M233" s="10">
        <f>IFERROR(__xludf.DUMMYFUNCTION("""COMPUTED_VALUE"""),38317.666666666664)</f>
        <v>38317.66667</v>
      </c>
      <c r="N233" s="2">
        <f>IFERROR(__xludf.DUMMYFUNCTION("""COMPUTED_VALUE"""),2101.97)</f>
        <v>2101.97</v>
      </c>
      <c r="S233" s="13"/>
    </row>
    <row r="234">
      <c r="A234" s="10">
        <f t="shared" si="8"/>
        <v>38216.66667</v>
      </c>
      <c r="B234" s="2" t="str">
        <f t="shared" si="2"/>
        <v/>
      </c>
      <c r="C234" s="2" t="str">
        <f t="shared" si="3"/>
        <v>SP500</v>
      </c>
      <c r="D234" s="2">
        <f t="shared" si="4"/>
        <v>1795.25</v>
      </c>
      <c r="E234" s="2">
        <f t="shared" si="5"/>
        <v>1795.25</v>
      </c>
      <c r="G234" s="10">
        <f t="shared" si="9"/>
        <v>38216.64583</v>
      </c>
      <c r="H234" s="6">
        <f t="shared" si="6"/>
        <v>771.03</v>
      </c>
      <c r="I234" s="2">
        <f t="shared" si="7"/>
        <v>771.03</v>
      </c>
      <c r="M234" s="10">
        <f>IFERROR(__xludf.DUMMYFUNCTION("""COMPUTED_VALUE"""),38320.666666666664)</f>
        <v>38320.66667</v>
      </c>
      <c r="N234" s="2">
        <f>IFERROR(__xludf.DUMMYFUNCTION("""COMPUTED_VALUE"""),2106.87)</f>
        <v>2106.87</v>
      </c>
      <c r="S234" s="13"/>
    </row>
    <row r="235">
      <c r="A235" s="10">
        <f t="shared" si="8"/>
        <v>38217.66667</v>
      </c>
      <c r="B235" s="2" t="str">
        <f t="shared" si="2"/>
        <v/>
      </c>
      <c r="C235" s="2" t="str">
        <f t="shared" si="3"/>
        <v>SP500</v>
      </c>
      <c r="D235" s="2">
        <f t="shared" si="4"/>
        <v>1831.37</v>
      </c>
      <c r="E235" s="2">
        <f t="shared" si="5"/>
        <v>1831.37</v>
      </c>
      <c r="G235" s="10">
        <f t="shared" si="9"/>
        <v>38217.64583</v>
      </c>
      <c r="H235" s="6">
        <f t="shared" si="6"/>
        <v>773.19</v>
      </c>
      <c r="I235" s="2">
        <f t="shared" si="7"/>
        <v>773.19</v>
      </c>
      <c r="M235" s="10">
        <f>IFERROR(__xludf.DUMMYFUNCTION("""COMPUTED_VALUE"""),38321.666666666664)</f>
        <v>38321.66667</v>
      </c>
      <c r="N235" s="2">
        <f>IFERROR(__xludf.DUMMYFUNCTION("""COMPUTED_VALUE"""),2096.81)</f>
        <v>2096.81</v>
      </c>
      <c r="S235" s="13"/>
    </row>
    <row r="236">
      <c r="A236" s="10">
        <f t="shared" si="8"/>
        <v>38218.66667</v>
      </c>
      <c r="B236" s="2" t="str">
        <f t="shared" si="2"/>
        <v/>
      </c>
      <c r="C236" s="2" t="str">
        <f t="shared" si="3"/>
        <v>SP500</v>
      </c>
      <c r="D236" s="2">
        <f t="shared" si="4"/>
        <v>1819.89</v>
      </c>
      <c r="E236" s="2">
        <f t="shared" si="5"/>
        <v>1819.89</v>
      </c>
      <c r="G236" s="10">
        <f t="shared" si="9"/>
        <v>38218.64583</v>
      </c>
      <c r="H236" s="6">
        <f t="shared" si="6"/>
        <v>788.53</v>
      </c>
      <c r="I236" s="2">
        <f t="shared" si="7"/>
        <v>788.53</v>
      </c>
      <c r="M236" s="10">
        <f>IFERROR(__xludf.DUMMYFUNCTION("""COMPUTED_VALUE"""),38322.666666666664)</f>
        <v>38322.66667</v>
      </c>
      <c r="N236" s="2">
        <f>IFERROR(__xludf.DUMMYFUNCTION("""COMPUTED_VALUE"""),2138.23)</f>
        <v>2138.23</v>
      </c>
      <c r="S236" s="13"/>
    </row>
    <row r="237">
      <c r="A237" s="10">
        <f t="shared" si="8"/>
        <v>38219.66667</v>
      </c>
      <c r="B237" s="2" t="str">
        <f t="shared" si="2"/>
        <v/>
      </c>
      <c r="C237" s="2" t="str">
        <f t="shared" si="3"/>
        <v>SP500</v>
      </c>
      <c r="D237" s="2">
        <f t="shared" si="4"/>
        <v>1838.02</v>
      </c>
      <c r="E237" s="2">
        <f t="shared" si="5"/>
        <v>1838.02</v>
      </c>
      <c r="G237" s="10">
        <f t="shared" si="9"/>
        <v>38219.64583</v>
      </c>
      <c r="H237" s="6">
        <f t="shared" si="6"/>
        <v>787.64</v>
      </c>
      <c r="I237" s="2">
        <f t="shared" si="7"/>
        <v>787.64</v>
      </c>
      <c r="M237" s="10">
        <f>IFERROR(__xludf.DUMMYFUNCTION("""COMPUTED_VALUE"""),38323.666666666664)</f>
        <v>38323.66667</v>
      </c>
      <c r="N237" s="2">
        <f>IFERROR(__xludf.DUMMYFUNCTION("""COMPUTED_VALUE"""),2153.29)</f>
        <v>2153.29</v>
      </c>
      <c r="S237" s="13"/>
    </row>
    <row r="238">
      <c r="A238" s="10">
        <f t="shared" si="8"/>
        <v>38220.66667</v>
      </c>
      <c r="B238" s="2" t="str">
        <f t="shared" si="2"/>
        <v/>
      </c>
      <c r="C238" s="2" t="str">
        <f t="shared" si="3"/>
        <v>SP500</v>
      </c>
      <c r="D238" s="2" t="str">
        <f t="shared" si="4"/>
        <v/>
      </c>
      <c r="E238" s="2">
        <f t="shared" si="5"/>
        <v>1838.02</v>
      </c>
      <c r="G238" s="10">
        <f t="shared" si="9"/>
        <v>38220.64583</v>
      </c>
      <c r="H238" s="6" t="str">
        <f t="shared" si="6"/>
        <v/>
      </c>
      <c r="I238" s="2">
        <f t="shared" si="7"/>
        <v>787.64</v>
      </c>
      <c r="M238" s="10">
        <f>IFERROR(__xludf.DUMMYFUNCTION("""COMPUTED_VALUE"""),38324.666666666664)</f>
        <v>38324.66667</v>
      </c>
      <c r="N238" s="2">
        <f>IFERROR(__xludf.DUMMYFUNCTION("""COMPUTED_VALUE"""),2145.43)</f>
        <v>2145.43</v>
      </c>
      <c r="S238" s="13"/>
    </row>
    <row r="239">
      <c r="A239" s="10">
        <f t="shared" si="8"/>
        <v>38221.66667</v>
      </c>
      <c r="B239" s="2" t="str">
        <f t="shared" si="2"/>
        <v/>
      </c>
      <c r="C239" s="2" t="str">
        <f t="shared" si="3"/>
        <v>SP500</v>
      </c>
      <c r="D239" s="2" t="str">
        <f t="shared" si="4"/>
        <v/>
      </c>
      <c r="E239" s="2">
        <f t="shared" si="5"/>
        <v>1838.02</v>
      </c>
      <c r="G239" s="10">
        <f t="shared" si="9"/>
        <v>38221.64583</v>
      </c>
      <c r="H239" s="6" t="str">
        <f t="shared" si="6"/>
        <v/>
      </c>
      <c r="I239" s="2">
        <f t="shared" si="7"/>
        <v>787.64</v>
      </c>
      <c r="M239" s="10">
        <f>IFERROR(__xludf.DUMMYFUNCTION("""COMPUTED_VALUE"""),38327.666666666664)</f>
        <v>38327.66667</v>
      </c>
      <c r="N239" s="2">
        <f>IFERROR(__xludf.DUMMYFUNCTION("""COMPUTED_VALUE"""),2154.13)</f>
        <v>2154.13</v>
      </c>
      <c r="S239" s="13"/>
    </row>
    <row r="240">
      <c r="A240" s="10">
        <f t="shared" si="8"/>
        <v>38222.66667</v>
      </c>
      <c r="B240" s="2" t="str">
        <f t="shared" si="2"/>
        <v/>
      </c>
      <c r="C240" s="2" t="str">
        <f t="shared" si="3"/>
        <v>SP500</v>
      </c>
      <c r="D240" s="2">
        <f t="shared" si="4"/>
        <v>1838.7</v>
      </c>
      <c r="E240" s="2">
        <f t="shared" si="5"/>
        <v>1838.7</v>
      </c>
      <c r="G240" s="10">
        <f t="shared" si="9"/>
        <v>38222.64583</v>
      </c>
      <c r="H240" s="6">
        <f t="shared" si="6"/>
        <v>787.65</v>
      </c>
      <c r="I240" s="2">
        <f t="shared" si="7"/>
        <v>787.65</v>
      </c>
      <c r="M240" s="10">
        <f>IFERROR(__xludf.DUMMYFUNCTION("""COMPUTED_VALUE"""),38328.666666666664)</f>
        <v>38328.66667</v>
      </c>
      <c r="N240" s="2">
        <f>IFERROR(__xludf.DUMMYFUNCTION("""COMPUTED_VALUE"""),2118.14)</f>
        <v>2118.14</v>
      </c>
      <c r="S240" s="13"/>
    </row>
    <row r="241">
      <c r="A241" s="10">
        <f t="shared" si="8"/>
        <v>38223.66667</v>
      </c>
      <c r="B241" s="2" t="str">
        <f t="shared" si="2"/>
        <v/>
      </c>
      <c r="C241" s="2" t="str">
        <f t="shared" si="3"/>
        <v>SP500</v>
      </c>
      <c r="D241" s="2">
        <f t="shared" si="4"/>
        <v>1836.89</v>
      </c>
      <c r="E241" s="2">
        <f t="shared" si="5"/>
        <v>1836.89</v>
      </c>
      <c r="G241" s="10">
        <f t="shared" si="9"/>
        <v>38223.64583</v>
      </c>
      <c r="H241" s="6">
        <f t="shared" si="6"/>
        <v>792.34</v>
      </c>
      <c r="I241" s="2">
        <f t="shared" si="7"/>
        <v>792.34</v>
      </c>
      <c r="M241" s="10">
        <f>IFERROR(__xludf.DUMMYFUNCTION("""COMPUTED_VALUE"""),38329.666666666664)</f>
        <v>38329.66667</v>
      </c>
      <c r="N241" s="2">
        <f>IFERROR(__xludf.DUMMYFUNCTION("""COMPUTED_VALUE"""),2109.55)</f>
        <v>2109.55</v>
      </c>
      <c r="S241" s="13"/>
    </row>
    <row r="242">
      <c r="A242" s="10">
        <f t="shared" si="8"/>
        <v>38224.66667</v>
      </c>
      <c r="B242" s="2" t="str">
        <f t="shared" si="2"/>
        <v/>
      </c>
      <c r="C242" s="2" t="str">
        <f t="shared" si="3"/>
        <v>SP500</v>
      </c>
      <c r="D242" s="2">
        <f t="shared" si="4"/>
        <v>1860.72</v>
      </c>
      <c r="E242" s="2">
        <f t="shared" si="5"/>
        <v>1860.72</v>
      </c>
      <c r="G242" s="10">
        <f t="shared" si="9"/>
        <v>38224.64583</v>
      </c>
      <c r="H242" s="6">
        <f t="shared" si="6"/>
        <v>803.97</v>
      </c>
      <c r="I242" s="2">
        <f t="shared" si="7"/>
        <v>803.97</v>
      </c>
      <c r="M242" s="10">
        <f>IFERROR(__xludf.DUMMYFUNCTION("""COMPUTED_VALUE"""),38330.666666666664)</f>
        <v>38330.66667</v>
      </c>
      <c r="N242" s="2">
        <f>IFERROR(__xludf.DUMMYFUNCTION("""COMPUTED_VALUE"""),2129.01)</f>
        <v>2129.01</v>
      </c>
      <c r="S242" s="13"/>
    </row>
    <row r="243">
      <c r="A243" s="10">
        <f t="shared" si="8"/>
        <v>38225.66667</v>
      </c>
      <c r="B243" s="2" t="str">
        <f t="shared" si="2"/>
        <v/>
      </c>
      <c r="C243" s="2" t="str">
        <f t="shared" si="3"/>
        <v>SP500</v>
      </c>
      <c r="D243" s="2">
        <f t="shared" si="4"/>
        <v>1852.92</v>
      </c>
      <c r="E243" s="2">
        <f t="shared" si="5"/>
        <v>1852.92</v>
      </c>
      <c r="G243" s="10">
        <f t="shared" si="9"/>
        <v>38225.64583</v>
      </c>
      <c r="H243" s="6">
        <f t="shared" si="6"/>
        <v>810.21</v>
      </c>
      <c r="I243" s="2">
        <f t="shared" si="7"/>
        <v>810.21</v>
      </c>
      <c r="M243" s="10">
        <f>IFERROR(__xludf.DUMMYFUNCTION("""COMPUTED_VALUE"""),38331.666666666664)</f>
        <v>38331.66667</v>
      </c>
      <c r="N243" s="2">
        <f>IFERROR(__xludf.DUMMYFUNCTION("""COMPUTED_VALUE"""),2128.07)</f>
        <v>2128.07</v>
      </c>
      <c r="S243" s="13"/>
    </row>
    <row r="244">
      <c r="A244" s="10">
        <f t="shared" si="8"/>
        <v>38226.66667</v>
      </c>
      <c r="B244" s="2" t="str">
        <f t="shared" si="2"/>
        <v/>
      </c>
      <c r="C244" s="2" t="str">
        <f t="shared" si="3"/>
        <v>SP500</v>
      </c>
      <c r="D244" s="2">
        <f t="shared" si="4"/>
        <v>1862.09</v>
      </c>
      <c r="E244" s="2">
        <f t="shared" si="5"/>
        <v>1862.09</v>
      </c>
      <c r="G244" s="10">
        <f t="shared" si="9"/>
        <v>38226.64583</v>
      </c>
      <c r="H244" s="6">
        <f t="shared" si="6"/>
        <v>810.3</v>
      </c>
      <c r="I244" s="2">
        <f t="shared" si="7"/>
        <v>810.3</v>
      </c>
      <c r="M244" s="10">
        <f>IFERROR(__xludf.DUMMYFUNCTION("""COMPUTED_VALUE"""),38334.666666666664)</f>
        <v>38334.66667</v>
      </c>
      <c r="N244" s="2">
        <f>IFERROR(__xludf.DUMMYFUNCTION("""COMPUTED_VALUE"""),2148.5)</f>
        <v>2148.5</v>
      </c>
      <c r="S244" s="13"/>
    </row>
    <row r="245">
      <c r="A245" s="10">
        <f t="shared" si="8"/>
        <v>38227.66667</v>
      </c>
      <c r="B245" s="2" t="str">
        <f t="shared" si="2"/>
        <v/>
      </c>
      <c r="C245" s="2" t="str">
        <f t="shared" si="3"/>
        <v>SP500</v>
      </c>
      <c r="D245" s="2" t="str">
        <f t="shared" si="4"/>
        <v/>
      </c>
      <c r="E245" s="2">
        <f t="shared" si="5"/>
        <v>1862.09</v>
      </c>
      <c r="G245" s="10">
        <f t="shared" si="9"/>
        <v>38227.64583</v>
      </c>
      <c r="H245" s="6" t="str">
        <f t="shared" si="6"/>
        <v/>
      </c>
      <c r="I245" s="2">
        <f t="shared" si="7"/>
        <v>810.3</v>
      </c>
      <c r="M245" s="10">
        <f>IFERROR(__xludf.DUMMYFUNCTION("""COMPUTED_VALUE"""),38335.666666666664)</f>
        <v>38335.66667</v>
      </c>
      <c r="N245" s="2">
        <f>IFERROR(__xludf.DUMMYFUNCTION("""COMPUTED_VALUE"""),2159.84)</f>
        <v>2159.84</v>
      </c>
      <c r="S245" s="13"/>
    </row>
    <row r="246">
      <c r="A246" s="10">
        <f t="shared" si="8"/>
        <v>38228.66667</v>
      </c>
      <c r="B246" s="2" t="str">
        <f t="shared" si="2"/>
        <v/>
      </c>
      <c r="C246" s="2" t="str">
        <f t="shared" si="3"/>
        <v>SP500</v>
      </c>
      <c r="D246" s="2" t="str">
        <f t="shared" si="4"/>
        <v/>
      </c>
      <c r="E246" s="2">
        <f t="shared" si="5"/>
        <v>1862.09</v>
      </c>
      <c r="G246" s="10">
        <f t="shared" si="9"/>
        <v>38228.64583</v>
      </c>
      <c r="H246" s="6" t="str">
        <f t="shared" si="6"/>
        <v/>
      </c>
      <c r="I246" s="2">
        <f t="shared" si="7"/>
        <v>810.3</v>
      </c>
      <c r="M246" s="10">
        <f>IFERROR(__xludf.DUMMYFUNCTION("""COMPUTED_VALUE"""),38336.666666666664)</f>
        <v>38336.66667</v>
      </c>
      <c r="N246" s="2">
        <f>IFERROR(__xludf.DUMMYFUNCTION("""COMPUTED_VALUE"""),2162.55)</f>
        <v>2162.55</v>
      </c>
      <c r="S246" s="13"/>
    </row>
    <row r="247">
      <c r="A247" s="10">
        <f t="shared" si="8"/>
        <v>38229.66667</v>
      </c>
      <c r="B247" s="2" t="str">
        <f t="shared" si="2"/>
        <v/>
      </c>
      <c r="C247" s="2" t="str">
        <f t="shared" si="3"/>
        <v>SP500</v>
      </c>
      <c r="D247" s="2">
        <f t="shared" si="4"/>
        <v>1836.49</v>
      </c>
      <c r="E247" s="2">
        <f t="shared" si="5"/>
        <v>1836.49</v>
      </c>
      <c r="G247" s="10">
        <f t="shared" si="9"/>
        <v>38229.64583</v>
      </c>
      <c r="H247" s="6">
        <f t="shared" si="6"/>
        <v>805.19</v>
      </c>
      <c r="I247" s="2">
        <f t="shared" si="7"/>
        <v>805.19</v>
      </c>
      <c r="M247" s="10">
        <f>IFERROR(__xludf.DUMMYFUNCTION("""COMPUTED_VALUE"""),38337.666666666664)</f>
        <v>38337.66667</v>
      </c>
      <c r="N247" s="2">
        <f>IFERROR(__xludf.DUMMYFUNCTION("""COMPUTED_VALUE"""),2146.15)</f>
        <v>2146.15</v>
      </c>
      <c r="S247" s="13"/>
    </row>
    <row r="248">
      <c r="A248" s="10">
        <f t="shared" si="8"/>
        <v>38230.66667</v>
      </c>
      <c r="B248" s="2" t="str">
        <f t="shared" si="2"/>
        <v/>
      </c>
      <c r="C248" s="2" t="str">
        <f t="shared" si="3"/>
        <v>SP500</v>
      </c>
      <c r="D248" s="2">
        <f t="shared" si="4"/>
        <v>1838.1</v>
      </c>
      <c r="E248" s="2">
        <f t="shared" si="5"/>
        <v>1838.1</v>
      </c>
      <c r="G248" s="10">
        <f t="shared" si="9"/>
        <v>38230.64583</v>
      </c>
      <c r="H248" s="6">
        <f t="shared" si="6"/>
        <v>803.57</v>
      </c>
      <c r="I248" s="2">
        <f t="shared" si="7"/>
        <v>803.57</v>
      </c>
      <c r="M248" s="10">
        <f>IFERROR(__xludf.DUMMYFUNCTION("""COMPUTED_VALUE"""),38338.666666666664)</f>
        <v>38338.66667</v>
      </c>
      <c r="N248" s="2">
        <f>IFERROR(__xludf.DUMMYFUNCTION("""COMPUTED_VALUE"""),2135.2)</f>
        <v>2135.2</v>
      </c>
      <c r="S248" s="13"/>
    </row>
    <row r="249">
      <c r="A249" s="10">
        <f t="shared" si="8"/>
        <v>38231.66667</v>
      </c>
      <c r="B249" s="2" t="str">
        <f t="shared" si="2"/>
        <v/>
      </c>
      <c r="C249" s="2" t="str">
        <f t="shared" si="3"/>
        <v>SP500</v>
      </c>
      <c r="D249" s="2">
        <f t="shared" si="4"/>
        <v>1850.41</v>
      </c>
      <c r="E249" s="2">
        <f t="shared" si="5"/>
        <v>1850.41</v>
      </c>
      <c r="G249" s="10">
        <f t="shared" si="9"/>
        <v>38231.64583</v>
      </c>
      <c r="H249" s="6">
        <f t="shared" si="6"/>
        <v>817.36</v>
      </c>
      <c r="I249" s="2">
        <f t="shared" si="7"/>
        <v>817.36</v>
      </c>
      <c r="M249" s="10">
        <f>IFERROR(__xludf.DUMMYFUNCTION("""COMPUTED_VALUE"""),38341.666666666664)</f>
        <v>38341.66667</v>
      </c>
      <c r="N249" s="2">
        <f>IFERROR(__xludf.DUMMYFUNCTION("""COMPUTED_VALUE"""),2127.85)</f>
        <v>2127.85</v>
      </c>
      <c r="S249" s="13"/>
    </row>
    <row r="250">
      <c r="A250" s="10">
        <f t="shared" si="8"/>
        <v>38232.66667</v>
      </c>
      <c r="B250" s="2" t="str">
        <f t="shared" si="2"/>
        <v/>
      </c>
      <c r="C250" s="2" t="str">
        <f t="shared" si="3"/>
        <v>SP500</v>
      </c>
      <c r="D250" s="2">
        <f t="shared" si="4"/>
        <v>1873.43</v>
      </c>
      <c r="E250" s="2">
        <f t="shared" si="5"/>
        <v>1873.43</v>
      </c>
      <c r="G250" s="10">
        <f t="shared" si="9"/>
        <v>38232.64583</v>
      </c>
      <c r="H250" s="6">
        <f t="shared" si="6"/>
        <v>823.83</v>
      </c>
      <c r="I250" s="2">
        <f t="shared" si="7"/>
        <v>823.83</v>
      </c>
      <c r="M250" s="10">
        <f>IFERROR(__xludf.DUMMYFUNCTION("""COMPUTED_VALUE"""),38342.666666666664)</f>
        <v>38342.66667</v>
      </c>
      <c r="N250" s="2">
        <f>IFERROR(__xludf.DUMMYFUNCTION("""COMPUTED_VALUE"""),2150.91)</f>
        <v>2150.91</v>
      </c>
      <c r="S250" s="13"/>
    </row>
    <row r="251">
      <c r="A251" s="10">
        <f t="shared" si="8"/>
        <v>38233.66667</v>
      </c>
      <c r="B251" s="2" t="str">
        <f t="shared" si="2"/>
        <v/>
      </c>
      <c r="C251" s="2" t="str">
        <f t="shared" si="3"/>
        <v>SP500</v>
      </c>
      <c r="D251" s="2">
        <f t="shared" si="4"/>
        <v>1844.48</v>
      </c>
      <c r="E251" s="2">
        <f t="shared" si="5"/>
        <v>1844.48</v>
      </c>
      <c r="G251" s="10">
        <f t="shared" si="9"/>
        <v>38233.64583</v>
      </c>
      <c r="H251" s="6">
        <f t="shared" si="6"/>
        <v>820.69</v>
      </c>
      <c r="I251" s="2">
        <f t="shared" si="7"/>
        <v>820.69</v>
      </c>
      <c r="M251" s="10">
        <f>IFERROR(__xludf.DUMMYFUNCTION("""COMPUTED_VALUE"""),38343.666666666664)</f>
        <v>38343.66667</v>
      </c>
      <c r="N251" s="2">
        <f>IFERROR(__xludf.DUMMYFUNCTION("""COMPUTED_VALUE"""),2157.03)</f>
        <v>2157.03</v>
      </c>
      <c r="S251" s="13"/>
    </row>
    <row r="252">
      <c r="A252" s="10">
        <f t="shared" si="8"/>
        <v>38234.66667</v>
      </c>
      <c r="B252" s="2" t="str">
        <f t="shared" si="2"/>
        <v/>
      </c>
      <c r="C252" s="2" t="str">
        <f t="shared" si="3"/>
        <v>SP500</v>
      </c>
      <c r="D252" s="2" t="str">
        <f t="shared" si="4"/>
        <v/>
      </c>
      <c r="E252" s="2">
        <f t="shared" si="5"/>
        <v>1844.48</v>
      </c>
      <c r="G252" s="10">
        <f t="shared" si="9"/>
        <v>38234.64583</v>
      </c>
      <c r="H252" s="6" t="str">
        <f t="shared" si="6"/>
        <v/>
      </c>
      <c r="I252" s="2">
        <f t="shared" si="7"/>
        <v>820.69</v>
      </c>
      <c r="M252" s="10">
        <f>IFERROR(__xludf.DUMMYFUNCTION("""COMPUTED_VALUE"""),38344.666666666664)</f>
        <v>38344.66667</v>
      </c>
      <c r="N252" s="2">
        <f>IFERROR(__xludf.DUMMYFUNCTION("""COMPUTED_VALUE"""),2160.62)</f>
        <v>2160.62</v>
      </c>
      <c r="S252" s="13"/>
    </row>
    <row r="253">
      <c r="A253" s="10">
        <f t="shared" si="8"/>
        <v>38235.66667</v>
      </c>
      <c r="B253" s="2" t="str">
        <f t="shared" si="2"/>
        <v/>
      </c>
      <c r="C253" s="2" t="str">
        <f t="shared" si="3"/>
        <v>SP500</v>
      </c>
      <c r="D253" s="2" t="str">
        <f t="shared" si="4"/>
        <v/>
      </c>
      <c r="E253" s="2">
        <f t="shared" si="5"/>
        <v>1844.48</v>
      </c>
      <c r="G253" s="10">
        <f t="shared" si="9"/>
        <v>38235.64583</v>
      </c>
      <c r="H253" s="6" t="str">
        <f t="shared" si="6"/>
        <v/>
      </c>
      <c r="I253" s="2">
        <f t="shared" si="7"/>
        <v>820.69</v>
      </c>
      <c r="M253" s="10">
        <f>IFERROR(__xludf.DUMMYFUNCTION("""COMPUTED_VALUE"""),38348.666666666664)</f>
        <v>38348.66667</v>
      </c>
      <c r="N253" s="2">
        <f>IFERROR(__xludf.DUMMYFUNCTION("""COMPUTED_VALUE"""),2154.22)</f>
        <v>2154.22</v>
      </c>
      <c r="S253" s="13"/>
    </row>
    <row r="254">
      <c r="A254" s="10">
        <f t="shared" si="8"/>
        <v>38236.66667</v>
      </c>
      <c r="B254" s="2" t="str">
        <f t="shared" si="2"/>
        <v/>
      </c>
      <c r="C254" s="2" t="str">
        <f t="shared" si="3"/>
        <v>SP500</v>
      </c>
      <c r="D254" s="2" t="str">
        <f t="shared" si="4"/>
        <v/>
      </c>
      <c r="E254" s="2">
        <f t="shared" si="5"/>
        <v>1844.48</v>
      </c>
      <c r="G254" s="10">
        <f t="shared" si="9"/>
        <v>38236.64583</v>
      </c>
      <c r="H254" s="6">
        <f t="shared" si="6"/>
        <v>824.21</v>
      </c>
      <c r="I254" s="2">
        <f t="shared" si="7"/>
        <v>824.21</v>
      </c>
      <c r="M254" s="10">
        <f>IFERROR(__xludf.DUMMYFUNCTION("""COMPUTED_VALUE"""),38349.666666666664)</f>
        <v>38349.66667</v>
      </c>
      <c r="N254" s="2">
        <f>IFERROR(__xludf.DUMMYFUNCTION("""COMPUTED_VALUE"""),2177.19)</f>
        <v>2177.19</v>
      </c>
      <c r="S254" s="13"/>
    </row>
    <row r="255">
      <c r="A255" s="10">
        <f t="shared" si="8"/>
        <v>38237.66667</v>
      </c>
      <c r="B255" s="2" t="str">
        <f t="shared" si="2"/>
        <v/>
      </c>
      <c r="C255" s="2" t="str">
        <f t="shared" si="3"/>
        <v>SP500</v>
      </c>
      <c r="D255" s="2">
        <f t="shared" si="4"/>
        <v>1858.56</v>
      </c>
      <c r="E255" s="2">
        <f t="shared" si="5"/>
        <v>1858.56</v>
      </c>
      <c r="G255" s="10">
        <f t="shared" si="9"/>
        <v>38237.64583</v>
      </c>
      <c r="H255" s="6">
        <f t="shared" si="6"/>
        <v>818.8</v>
      </c>
      <c r="I255" s="2">
        <f t="shared" si="7"/>
        <v>818.8</v>
      </c>
      <c r="M255" s="10">
        <f>IFERROR(__xludf.DUMMYFUNCTION("""COMPUTED_VALUE"""),38350.666666666664)</f>
        <v>38350.66667</v>
      </c>
      <c r="N255" s="2">
        <f>IFERROR(__xludf.DUMMYFUNCTION("""COMPUTED_VALUE"""),2177.0)</f>
        <v>2177</v>
      </c>
      <c r="S255" s="14"/>
    </row>
    <row r="256">
      <c r="A256" s="10">
        <f t="shared" si="8"/>
        <v>38238.66667</v>
      </c>
      <c r="B256" s="2" t="str">
        <f t="shared" si="2"/>
        <v/>
      </c>
      <c r="C256" s="2" t="str">
        <f t="shared" si="3"/>
        <v>SP500</v>
      </c>
      <c r="D256" s="2">
        <f t="shared" si="4"/>
        <v>1850.64</v>
      </c>
      <c r="E256" s="2">
        <f t="shared" si="5"/>
        <v>1850.64</v>
      </c>
      <c r="G256" s="10">
        <f t="shared" si="9"/>
        <v>38238.64583</v>
      </c>
      <c r="H256" s="6">
        <f t="shared" si="6"/>
        <v>815.85</v>
      </c>
      <c r="I256" s="2">
        <f t="shared" si="7"/>
        <v>815.85</v>
      </c>
      <c r="M256" s="10">
        <f>IFERROR(__xludf.DUMMYFUNCTION("""COMPUTED_VALUE"""),38351.666666666664)</f>
        <v>38351.66667</v>
      </c>
      <c r="N256" s="2">
        <f>IFERROR(__xludf.DUMMYFUNCTION("""COMPUTED_VALUE"""),2178.34)</f>
        <v>2178.34</v>
      </c>
      <c r="S256" s="15"/>
    </row>
    <row r="257">
      <c r="A257" s="10">
        <f t="shared" si="8"/>
        <v>38239.66667</v>
      </c>
      <c r="B257" s="2" t="str">
        <f t="shared" si="2"/>
        <v/>
      </c>
      <c r="C257" s="2" t="str">
        <f t="shared" si="3"/>
        <v>SP500</v>
      </c>
      <c r="D257" s="2">
        <f t="shared" si="4"/>
        <v>1869.65</v>
      </c>
      <c r="E257" s="2">
        <f t="shared" si="5"/>
        <v>1869.65</v>
      </c>
      <c r="G257" s="10">
        <f t="shared" si="9"/>
        <v>38239.64583</v>
      </c>
      <c r="H257" s="6">
        <f t="shared" si="6"/>
        <v>821.88</v>
      </c>
      <c r="I257" s="2">
        <f t="shared" si="7"/>
        <v>821.88</v>
      </c>
      <c r="M257" s="10">
        <f>IFERROR(__xludf.DUMMYFUNCTION("""COMPUTED_VALUE"""),38352.666666666664)</f>
        <v>38352.66667</v>
      </c>
      <c r="N257" s="2">
        <f>IFERROR(__xludf.DUMMYFUNCTION("""COMPUTED_VALUE"""),2175.44)</f>
        <v>2175.44</v>
      </c>
      <c r="S257" s="15"/>
    </row>
    <row r="258">
      <c r="A258" s="10">
        <f t="shared" si="8"/>
        <v>38240.66667</v>
      </c>
      <c r="B258" s="2" t="str">
        <f t="shared" si="2"/>
        <v/>
      </c>
      <c r="C258" s="2" t="str">
        <f t="shared" si="3"/>
        <v>SP500</v>
      </c>
      <c r="D258" s="2">
        <f t="shared" si="4"/>
        <v>1894.31</v>
      </c>
      <c r="E258" s="2">
        <f t="shared" si="5"/>
        <v>1894.31</v>
      </c>
      <c r="G258" s="10">
        <f t="shared" si="9"/>
        <v>38240.64583</v>
      </c>
      <c r="H258" s="6">
        <f t="shared" si="6"/>
        <v>836.34</v>
      </c>
      <c r="I258" s="2">
        <f t="shared" si="7"/>
        <v>836.34</v>
      </c>
      <c r="M258" s="10">
        <f>IFERROR(__xludf.DUMMYFUNCTION("""COMPUTED_VALUE"""),38355.666666666664)</f>
        <v>38355.66667</v>
      </c>
      <c r="N258" s="2">
        <f>IFERROR(__xludf.DUMMYFUNCTION("""COMPUTED_VALUE"""),2152.15)</f>
        <v>2152.15</v>
      </c>
      <c r="S258" s="15"/>
    </row>
    <row r="259">
      <c r="A259" s="10">
        <f t="shared" si="8"/>
        <v>38241.66667</v>
      </c>
      <c r="B259" s="2" t="str">
        <f t="shared" si="2"/>
        <v/>
      </c>
      <c r="C259" s="2" t="str">
        <f t="shared" si="3"/>
        <v>SP500</v>
      </c>
      <c r="D259" s="2" t="str">
        <f t="shared" si="4"/>
        <v/>
      </c>
      <c r="E259" s="2">
        <f t="shared" si="5"/>
        <v>1894.31</v>
      </c>
      <c r="G259" s="10">
        <f t="shared" si="9"/>
        <v>38241.64583</v>
      </c>
      <c r="H259" s="6" t="str">
        <f t="shared" si="6"/>
        <v/>
      </c>
      <c r="I259" s="2">
        <f t="shared" si="7"/>
        <v>836.34</v>
      </c>
      <c r="M259" s="10">
        <f>IFERROR(__xludf.DUMMYFUNCTION("""COMPUTED_VALUE"""),38356.666666666664)</f>
        <v>38356.66667</v>
      </c>
      <c r="N259" s="2">
        <f>IFERROR(__xludf.DUMMYFUNCTION("""COMPUTED_VALUE"""),2107.86)</f>
        <v>2107.86</v>
      </c>
      <c r="S259" s="15"/>
    </row>
    <row r="260">
      <c r="A260" s="10">
        <f t="shared" si="8"/>
        <v>38242.66667</v>
      </c>
      <c r="B260" s="2" t="str">
        <f t="shared" si="2"/>
        <v/>
      </c>
      <c r="C260" s="2" t="str">
        <f t="shared" si="3"/>
        <v>SP500</v>
      </c>
      <c r="D260" s="2" t="str">
        <f t="shared" si="4"/>
        <v/>
      </c>
      <c r="E260" s="2">
        <f t="shared" si="5"/>
        <v>1894.31</v>
      </c>
      <c r="G260" s="10">
        <f t="shared" si="9"/>
        <v>38242.64583</v>
      </c>
      <c r="H260" s="6" t="str">
        <f t="shared" si="6"/>
        <v/>
      </c>
      <c r="I260" s="2">
        <f t="shared" si="7"/>
        <v>836.34</v>
      </c>
      <c r="M260" s="10">
        <f>IFERROR(__xludf.DUMMYFUNCTION("""COMPUTED_VALUE"""),38357.666666666664)</f>
        <v>38357.66667</v>
      </c>
      <c r="N260" s="2">
        <f>IFERROR(__xludf.DUMMYFUNCTION("""COMPUTED_VALUE"""),2091.24)</f>
        <v>2091.24</v>
      </c>
      <c r="S260" s="15"/>
    </row>
    <row r="261">
      <c r="A261" s="10">
        <f t="shared" si="8"/>
        <v>38243.66667</v>
      </c>
      <c r="B261" s="2" t="str">
        <f t="shared" si="2"/>
        <v/>
      </c>
      <c r="C261" s="2" t="str">
        <f t="shared" si="3"/>
        <v>SP500</v>
      </c>
      <c r="D261" s="2">
        <f t="shared" si="4"/>
        <v>1910.38</v>
      </c>
      <c r="E261" s="2">
        <f t="shared" si="5"/>
        <v>1910.38</v>
      </c>
      <c r="G261" s="10">
        <f t="shared" si="9"/>
        <v>38243.64583</v>
      </c>
      <c r="H261" s="6">
        <f t="shared" si="6"/>
        <v>851.91</v>
      </c>
      <c r="I261" s="2">
        <f t="shared" si="7"/>
        <v>851.91</v>
      </c>
      <c r="M261" s="10">
        <f>IFERROR(__xludf.DUMMYFUNCTION("""COMPUTED_VALUE"""),38358.666666666664)</f>
        <v>38358.66667</v>
      </c>
      <c r="N261" s="2">
        <f>IFERROR(__xludf.DUMMYFUNCTION("""COMPUTED_VALUE"""),2090.0)</f>
        <v>2090</v>
      </c>
      <c r="S261" s="15"/>
    </row>
    <row r="262">
      <c r="A262" s="10">
        <f t="shared" si="8"/>
        <v>38244.66667</v>
      </c>
      <c r="B262" s="2" t="str">
        <f t="shared" si="2"/>
        <v/>
      </c>
      <c r="C262" s="2" t="str">
        <f t="shared" si="3"/>
        <v>SP500</v>
      </c>
      <c r="D262" s="2">
        <f t="shared" si="4"/>
        <v>1915.4</v>
      </c>
      <c r="E262" s="2">
        <f t="shared" si="5"/>
        <v>1915.4</v>
      </c>
      <c r="G262" s="10">
        <f t="shared" si="9"/>
        <v>38244.64583</v>
      </c>
      <c r="H262" s="6">
        <f t="shared" si="6"/>
        <v>851.42</v>
      </c>
      <c r="I262" s="2">
        <f t="shared" si="7"/>
        <v>851.42</v>
      </c>
      <c r="M262" s="10">
        <f>IFERROR(__xludf.DUMMYFUNCTION("""COMPUTED_VALUE"""),38359.666666666664)</f>
        <v>38359.66667</v>
      </c>
      <c r="N262" s="2">
        <f>IFERROR(__xludf.DUMMYFUNCTION("""COMPUTED_VALUE"""),2088.61)</f>
        <v>2088.61</v>
      </c>
      <c r="S262" s="15"/>
    </row>
    <row r="263">
      <c r="A263" s="10">
        <f t="shared" si="8"/>
        <v>38245.66667</v>
      </c>
      <c r="B263" s="2" t="str">
        <f t="shared" si="2"/>
        <v/>
      </c>
      <c r="C263" s="2" t="str">
        <f t="shared" si="3"/>
        <v>SP500</v>
      </c>
      <c r="D263" s="2">
        <f t="shared" si="4"/>
        <v>1896.52</v>
      </c>
      <c r="E263" s="2">
        <f t="shared" si="5"/>
        <v>1896.52</v>
      </c>
      <c r="G263" s="10">
        <f t="shared" si="9"/>
        <v>38245.64583</v>
      </c>
      <c r="H263" s="6">
        <f t="shared" si="6"/>
        <v>850.63</v>
      </c>
      <c r="I263" s="2">
        <f t="shared" si="7"/>
        <v>850.63</v>
      </c>
      <c r="M263" s="10">
        <f>IFERROR(__xludf.DUMMYFUNCTION("""COMPUTED_VALUE"""),38362.666666666664)</f>
        <v>38362.66667</v>
      </c>
      <c r="N263" s="2">
        <f>IFERROR(__xludf.DUMMYFUNCTION("""COMPUTED_VALUE"""),2097.04)</f>
        <v>2097.04</v>
      </c>
      <c r="S263" s="15"/>
    </row>
    <row r="264">
      <c r="A264" s="10">
        <f t="shared" si="8"/>
        <v>38246.66667</v>
      </c>
      <c r="B264" s="2" t="str">
        <f t="shared" si="2"/>
        <v/>
      </c>
      <c r="C264" s="2" t="str">
        <f t="shared" si="3"/>
        <v>SP500</v>
      </c>
      <c r="D264" s="2">
        <f t="shared" si="4"/>
        <v>1904.08</v>
      </c>
      <c r="E264" s="2">
        <f t="shared" si="5"/>
        <v>1904.08</v>
      </c>
      <c r="G264" s="10">
        <f t="shared" si="9"/>
        <v>38246.64583</v>
      </c>
      <c r="H264" s="6">
        <f t="shared" si="6"/>
        <v>855.38</v>
      </c>
      <c r="I264" s="2">
        <f t="shared" si="7"/>
        <v>855.38</v>
      </c>
      <c r="M264" s="10">
        <f>IFERROR(__xludf.DUMMYFUNCTION("""COMPUTED_VALUE"""),38363.666666666664)</f>
        <v>38363.66667</v>
      </c>
      <c r="N264" s="2">
        <f>IFERROR(__xludf.DUMMYFUNCTION("""COMPUTED_VALUE"""),2079.62)</f>
        <v>2079.62</v>
      </c>
      <c r="S264" s="15"/>
    </row>
    <row r="265">
      <c r="A265" s="10">
        <f t="shared" si="8"/>
        <v>38247.66667</v>
      </c>
      <c r="B265" s="2" t="str">
        <f t="shared" si="2"/>
        <v/>
      </c>
      <c r="C265" s="2" t="str">
        <f t="shared" si="3"/>
        <v>SP500</v>
      </c>
      <c r="D265" s="2">
        <f t="shared" si="4"/>
        <v>1910.09</v>
      </c>
      <c r="E265" s="2">
        <f t="shared" si="5"/>
        <v>1910.09</v>
      </c>
      <c r="G265" s="10">
        <f t="shared" si="9"/>
        <v>38247.64583</v>
      </c>
      <c r="H265" s="6">
        <f t="shared" si="6"/>
        <v>848.11</v>
      </c>
      <c r="I265" s="2">
        <f t="shared" si="7"/>
        <v>848.11</v>
      </c>
      <c r="M265" s="10">
        <f>IFERROR(__xludf.DUMMYFUNCTION("""COMPUTED_VALUE"""),38364.666666666664)</f>
        <v>38364.66667</v>
      </c>
      <c r="N265" s="2">
        <f>IFERROR(__xludf.DUMMYFUNCTION("""COMPUTED_VALUE"""),2092.53)</f>
        <v>2092.53</v>
      </c>
      <c r="S265" s="15"/>
    </row>
    <row r="266">
      <c r="A266" s="10">
        <f t="shared" si="8"/>
        <v>38248.66667</v>
      </c>
      <c r="B266" s="2" t="str">
        <f t="shared" si="2"/>
        <v/>
      </c>
      <c r="C266" s="2" t="str">
        <f t="shared" si="3"/>
        <v>SP500</v>
      </c>
      <c r="D266" s="2" t="str">
        <f t="shared" si="4"/>
        <v/>
      </c>
      <c r="E266" s="2">
        <f t="shared" si="5"/>
        <v>1910.09</v>
      </c>
      <c r="G266" s="10">
        <f t="shared" si="9"/>
        <v>38248.64583</v>
      </c>
      <c r="H266" s="6" t="str">
        <f t="shared" si="6"/>
        <v/>
      </c>
      <c r="I266" s="2">
        <f t="shared" si="7"/>
        <v>848.11</v>
      </c>
      <c r="M266" s="10">
        <f>IFERROR(__xludf.DUMMYFUNCTION("""COMPUTED_VALUE"""),38365.666666666664)</f>
        <v>38365.66667</v>
      </c>
      <c r="N266" s="2">
        <f>IFERROR(__xludf.DUMMYFUNCTION("""COMPUTED_VALUE"""),2070.56)</f>
        <v>2070.56</v>
      </c>
      <c r="S266" s="15"/>
    </row>
    <row r="267">
      <c r="A267" s="10">
        <f t="shared" si="8"/>
        <v>38249.66667</v>
      </c>
      <c r="B267" s="2" t="str">
        <f t="shared" si="2"/>
        <v/>
      </c>
      <c r="C267" s="2" t="str">
        <f t="shared" si="3"/>
        <v>SP500</v>
      </c>
      <c r="D267" s="2" t="str">
        <f t="shared" si="4"/>
        <v/>
      </c>
      <c r="E267" s="2">
        <f t="shared" si="5"/>
        <v>1910.09</v>
      </c>
      <c r="G267" s="10">
        <f t="shared" si="9"/>
        <v>38249.64583</v>
      </c>
      <c r="H267" s="6" t="str">
        <f t="shared" si="6"/>
        <v/>
      </c>
      <c r="I267" s="2">
        <f t="shared" si="7"/>
        <v>848.11</v>
      </c>
      <c r="M267" s="10">
        <f>IFERROR(__xludf.DUMMYFUNCTION("""COMPUTED_VALUE"""),38366.666666666664)</f>
        <v>38366.66667</v>
      </c>
      <c r="N267" s="2">
        <f>IFERROR(__xludf.DUMMYFUNCTION("""COMPUTED_VALUE"""),2087.91)</f>
        <v>2087.91</v>
      </c>
      <c r="S267" s="15"/>
    </row>
    <row r="268">
      <c r="A268" s="10">
        <f t="shared" si="8"/>
        <v>38250.66667</v>
      </c>
      <c r="B268" s="2" t="str">
        <f t="shared" si="2"/>
        <v/>
      </c>
      <c r="C268" s="2" t="str">
        <f t="shared" si="3"/>
        <v>SP500</v>
      </c>
      <c r="D268" s="2">
        <f t="shared" si="4"/>
        <v>1908.07</v>
      </c>
      <c r="E268" s="2">
        <f t="shared" si="5"/>
        <v>1908.07</v>
      </c>
      <c r="G268" s="10">
        <f t="shared" si="9"/>
        <v>38250.64583</v>
      </c>
      <c r="H268" s="6">
        <f t="shared" si="6"/>
        <v>856.87</v>
      </c>
      <c r="I268" s="2">
        <f t="shared" si="7"/>
        <v>856.87</v>
      </c>
      <c r="M268" s="10">
        <f>IFERROR(__xludf.DUMMYFUNCTION("""COMPUTED_VALUE"""),38370.666666666664)</f>
        <v>38370.66667</v>
      </c>
      <c r="N268" s="2">
        <f>IFERROR(__xludf.DUMMYFUNCTION("""COMPUTED_VALUE"""),2106.04)</f>
        <v>2106.04</v>
      </c>
      <c r="S268" s="15"/>
    </row>
    <row r="269">
      <c r="A269" s="10">
        <f t="shared" si="8"/>
        <v>38251.66667</v>
      </c>
      <c r="B269" s="2" t="str">
        <f t="shared" si="2"/>
        <v/>
      </c>
      <c r="C269" s="2" t="str">
        <f t="shared" si="3"/>
        <v>SP500</v>
      </c>
      <c r="D269" s="2">
        <f t="shared" si="4"/>
        <v>1921.18</v>
      </c>
      <c r="E269" s="2">
        <f t="shared" si="5"/>
        <v>1921.18</v>
      </c>
      <c r="G269" s="10">
        <f t="shared" si="9"/>
        <v>38251.64583</v>
      </c>
      <c r="H269" s="6">
        <f t="shared" si="6"/>
        <v>857.15</v>
      </c>
      <c r="I269" s="2">
        <f t="shared" si="7"/>
        <v>857.15</v>
      </c>
      <c r="M269" s="10">
        <f>IFERROR(__xludf.DUMMYFUNCTION("""COMPUTED_VALUE"""),38371.666666666664)</f>
        <v>38371.66667</v>
      </c>
      <c r="N269" s="2">
        <f>IFERROR(__xludf.DUMMYFUNCTION("""COMPUTED_VALUE"""),2073.59)</f>
        <v>2073.59</v>
      </c>
      <c r="S269" s="15"/>
    </row>
    <row r="270">
      <c r="A270" s="10">
        <f t="shared" si="8"/>
        <v>38252.66667</v>
      </c>
      <c r="B270" s="2" t="str">
        <f t="shared" si="2"/>
        <v/>
      </c>
      <c r="C270" s="2" t="str">
        <f t="shared" si="3"/>
        <v>SP500</v>
      </c>
      <c r="D270" s="2">
        <f t="shared" si="4"/>
        <v>1885.71</v>
      </c>
      <c r="E270" s="2">
        <f t="shared" si="5"/>
        <v>1885.71</v>
      </c>
      <c r="G270" s="10">
        <f t="shared" si="9"/>
        <v>38252.64583</v>
      </c>
      <c r="H270" s="6">
        <f t="shared" si="6"/>
        <v>835.1</v>
      </c>
      <c r="I270" s="2">
        <f t="shared" si="7"/>
        <v>835.1</v>
      </c>
      <c r="M270" s="10">
        <f>IFERROR(__xludf.DUMMYFUNCTION("""COMPUTED_VALUE"""),38372.666666666664)</f>
        <v>38372.66667</v>
      </c>
      <c r="N270" s="2">
        <f>IFERROR(__xludf.DUMMYFUNCTION("""COMPUTED_VALUE"""),2045.88)</f>
        <v>2045.88</v>
      </c>
      <c r="S270" s="15"/>
    </row>
    <row r="271">
      <c r="A271" s="10">
        <f t="shared" si="8"/>
        <v>38253.66667</v>
      </c>
      <c r="B271" s="2" t="str">
        <f t="shared" si="2"/>
        <v/>
      </c>
      <c r="C271" s="2" t="str">
        <f t="shared" si="3"/>
        <v>SP500</v>
      </c>
      <c r="D271" s="2">
        <f t="shared" si="4"/>
        <v>1886.43</v>
      </c>
      <c r="E271" s="2">
        <f t="shared" si="5"/>
        <v>1886.43</v>
      </c>
      <c r="G271" s="10">
        <f t="shared" si="9"/>
        <v>38253.64583</v>
      </c>
      <c r="H271" s="6">
        <f t="shared" si="6"/>
        <v>829.68</v>
      </c>
      <c r="I271" s="2">
        <f t="shared" si="7"/>
        <v>829.68</v>
      </c>
      <c r="M271" s="10">
        <f>IFERROR(__xludf.DUMMYFUNCTION("""COMPUTED_VALUE"""),38373.666666666664)</f>
        <v>38373.66667</v>
      </c>
      <c r="N271" s="2">
        <f>IFERROR(__xludf.DUMMYFUNCTION("""COMPUTED_VALUE"""),2034.27)</f>
        <v>2034.27</v>
      </c>
      <c r="S271" s="15"/>
    </row>
    <row r="272">
      <c r="A272" s="10">
        <f t="shared" si="8"/>
        <v>38254.66667</v>
      </c>
      <c r="B272" s="2" t="str">
        <f t="shared" si="2"/>
        <v/>
      </c>
      <c r="C272" s="2" t="str">
        <f t="shared" si="3"/>
        <v>SP500</v>
      </c>
      <c r="D272" s="2">
        <f t="shared" si="4"/>
        <v>1879.48</v>
      </c>
      <c r="E272" s="2">
        <f t="shared" si="5"/>
        <v>1879.48</v>
      </c>
      <c r="G272" s="10">
        <f t="shared" si="9"/>
        <v>38254.64583</v>
      </c>
      <c r="H272" s="6">
        <f t="shared" si="6"/>
        <v>832.1</v>
      </c>
      <c r="I272" s="2">
        <f t="shared" si="7"/>
        <v>832.1</v>
      </c>
      <c r="M272" s="10">
        <f>IFERROR(__xludf.DUMMYFUNCTION("""COMPUTED_VALUE"""),38376.666666666664)</f>
        <v>38376.66667</v>
      </c>
      <c r="N272" s="2">
        <f>IFERROR(__xludf.DUMMYFUNCTION("""COMPUTED_VALUE"""),2008.7)</f>
        <v>2008.7</v>
      </c>
      <c r="S272" s="15"/>
    </row>
    <row r="273">
      <c r="A273" s="10">
        <f t="shared" si="8"/>
        <v>38255.66667</v>
      </c>
      <c r="B273" s="2" t="str">
        <f t="shared" si="2"/>
        <v/>
      </c>
      <c r="C273" s="2" t="str">
        <f t="shared" si="3"/>
        <v>SP500</v>
      </c>
      <c r="D273" s="2" t="str">
        <f t="shared" si="4"/>
        <v/>
      </c>
      <c r="E273" s="2">
        <f t="shared" si="5"/>
        <v>1879.48</v>
      </c>
      <c r="G273" s="10">
        <f t="shared" si="9"/>
        <v>38255.64583</v>
      </c>
      <c r="H273" s="6" t="str">
        <f t="shared" si="6"/>
        <v/>
      </c>
      <c r="I273" s="2">
        <f t="shared" si="7"/>
        <v>832.1</v>
      </c>
      <c r="M273" s="10">
        <f>IFERROR(__xludf.DUMMYFUNCTION("""COMPUTED_VALUE"""),38377.666666666664)</f>
        <v>38377.66667</v>
      </c>
      <c r="N273" s="2">
        <f>IFERROR(__xludf.DUMMYFUNCTION("""COMPUTED_VALUE"""),2019.95)</f>
        <v>2019.95</v>
      </c>
      <c r="S273" s="15"/>
    </row>
    <row r="274">
      <c r="A274" s="10">
        <f t="shared" si="8"/>
        <v>38256.66667</v>
      </c>
      <c r="B274" s="2" t="str">
        <f t="shared" si="2"/>
        <v/>
      </c>
      <c r="C274" s="2" t="str">
        <f t="shared" si="3"/>
        <v>SP500</v>
      </c>
      <c r="D274" s="2" t="str">
        <f t="shared" si="4"/>
        <v/>
      </c>
      <c r="E274" s="2">
        <f t="shared" si="5"/>
        <v>1879.48</v>
      </c>
      <c r="G274" s="10">
        <f t="shared" si="9"/>
        <v>38256.64583</v>
      </c>
      <c r="H274" s="6" t="str">
        <f t="shared" si="6"/>
        <v/>
      </c>
      <c r="I274" s="2">
        <f t="shared" si="7"/>
        <v>832.1</v>
      </c>
      <c r="M274" s="10">
        <f>IFERROR(__xludf.DUMMYFUNCTION("""COMPUTED_VALUE"""),38378.666666666664)</f>
        <v>38378.66667</v>
      </c>
      <c r="N274" s="2">
        <f>IFERROR(__xludf.DUMMYFUNCTION("""COMPUTED_VALUE"""),2046.09)</f>
        <v>2046.09</v>
      </c>
      <c r="S274" s="15"/>
    </row>
    <row r="275">
      <c r="A275" s="10">
        <f t="shared" si="8"/>
        <v>38257.66667</v>
      </c>
      <c r="B275" s="2" t="str">
        <f t="shared" si="2"/>
        <v/>
      </c>
      <c r="C275" s="2" t="str">
        <f t="shared" si="3"/>
        <v>SP500</v>
      </c>
      <c r="D275" s="2">
        <f t="shared" si="4"/>
        <v>1859.88</v>
      </c>
      <c r="E275" s="2">
        <f t="shared" si="5"/>
        <v>1859.88</v>
      </c>
      <c r="G275" s="10">
        <f t="shared" si="9"/>
        <v>38257.64583</v>
      </c>
      <c r="H275" s="6" t="str">
        <f t="shared" si="6"/>
        <v/>
      </c>
      <c r="I275" s="2">
        <f t="shared" si="7"/>
        <v>832.1</v>
      </c>
      <c r="M275" s="10">
        <f>IFERROR(__xludf.DUMMYFUNCTION("""COMPUTED_VALUE"""),38379.666666666664)</f>
        <v>38379.66667</v>
      </c>
      <c r="N275" s="2">
        <f>IFERROR(__xludf.DUMMYFUNCTION("""COMPUTED_VALUE"""),2047.15)</f>
        <v>2047.15</v>
      </c>
      <c r="S275" s="15"/>
    </row>
    <row r="276">
      <c r="A276" s="10">
        <f t="shared" si="8"/>
        <v>38258.66667</v>
      </c>
      <c r="B276" s="2" t="str">
        <f t="shared" si="2"/>
        <v/>
      </c>
      <c r="C276" s="2" t="str">
        <f t="shared" si="3"/>
        <v>SP500</v>
      </c>
      <c r="D276" s="2">
        <f t="shared" si="4"/>
        <v>1869.87</v>
      </c>
      <c r="E276" s="2">
        <f t="shared" si="5"/>
        <v>1869.87</v>
      </c>
      <c r="G276" s="10">
        <f t="shared" si="9"/>
        <v>38258.64583</v>
      </c>
      <c r="H276" s="6" t="str">
        <f t="shared" si="6"/>
        <v/>
      </c>
      <c r="I276" s="2">
        <f t="shared" si="7"/>
        <v>832.1</v>
      </c>
      <c r="M276" s="10">
        <f>IFERROR(__xludf.DUMMYFUNCTION("""COMPUTED_VALUE"""),38380.666666666664)</f>
        <v>38380.66667</v>
      </c>
      <c r="N276" s="2">
        <f>IFERROR(__xludf.DUMMYFUNCTION("""COMPUTED_VALUE"""),2035.83)</f>
        <v>2035.83</v>
      </c>
      <c r="S276" s="15"/>
    </row>
    <row r="277">
      <c r="A277" s="10">
        <f t="shared" si="8"/>
        <v>38259.66667</v>
      </c>
      <c r="B277" s="2" t="str">
        <f t="shared" si="2"/>
        <v/>
      </c>
      <c r="C277" s="2" t="str">
        <f t="shared" si="3"/>
        <v>SP500</v>
      </c>
      <c r="D277" s="2">
        <f t="shared" si="4"/>
        <v>1893.94</v>
      </c>
      <c r="E277" s="2">
        <f t="shared" si="5"/>
        <v>1893.94</v>
      </c>
      <c r="G277" s="10">
        <f t="shared" si="9"/>
        <v>38259.64583</v>
      </c>
      <c r="H277" s="6" t="str">
        <f t="shared" si="6"/>
        <v/>
      </c>
      <c r="I277" s="2">
        <f t="shared" si="7"/>
        <v>832.1</v>
      </c>
      <c r="M277" s="10">
        <f>IFERROR(__xludf.DUMMYFUNCTION("""COMPUTED_VALUE"""),38383.666666666664)</f>
        <v>38383.66667</v>
      </c>
      <c r="N277" s="2">
        <f>IFERROR(__xludf.DUMMYFUNCTION("""COMPUTED_VALUE"""),2062.41)</f>
        <v>2062.41</v>
      </c>
      <c r="S277" s="15"/>
    </row>
    <row r="278">
      <c r="A278" s="10">
        <f t="shared" si="8"/>
        <v>38260.66667</v>
      </c>
      <c r="B278" s="2" t="str">
        <f t="shared" si="2"/>
        <v/>
      </c>
      <c r="C278" s="2" t="str">
        <f t="shared" si="3"/>
        <v>SP500</v>
      </c>
      <c r="D278" s="2">
        <f t="shared" si="4"/>
        <v>1896.84</v>
      </c>
      <c r="E278" s="2">
        <f t="shared" si="5"/>
        <v>1896.84</v>
      </c>
      <c r="G278" s="10">
        <f t="shared" si="9"/>
        <v>38260.64583</v>
      </c>
      <c r="H278" s="6">
        <f t="shared" si="6"/>
        <v>835.09</v>
      </c>
      <c r="I278" s="2">
        <f t="shared" si="7"/>
        <v>835.09</v>
      </c>
      <c r="M278" s="10">
        <f>IFERROR(__xludf.DUMMYFUNCTION("""COMPUTED_VALUE"""),38384.666666666664)</f>
        <v>38384.66667</v>
      </c>
      <c r="N278" s="2">
        <f>IFERROR(__xludf.DUMMYFUNCTION("""COMPUTED_VALUE"""),2068.7)</f>
        <v>2068.7</v>
      </c>
      <c r="S278" s="15"/>
    </row>
    <row r="279">
      <c r="A279" s="10">
        <f t="shared" si="8"/>
        <v>38261.66667</v>
      </c>
      <c r="B279" s="2" t="str">
        <f t="shared" si="2"/>
        <v/>
      </c>
      <c r="C279" s="2" t="str">
        <f t="shared" si="3"/>
        <v>SP500</v>
      </c>
      <c r="D279" s="2">
        <f t="shared" si="4"/>
        <v>1942.2</v>
      </c>
      <c r="E279" s="2">
        <f t="shared" si="5"/>
        <v>1942.2</v>
      </c>
      <c r="G279" s="10">
        <f t="shared" si="9"/>
        <v>38261.64583</v>
      </c>
      <c r="H279" s="6">
        <f t="shared" si="6"/>
        <v>846.01</v>
      </c>
      <c r="I279" s="2">
        <f t="shared" si="7"/>
        <v>846.01</v>
      </c>
      <c r="M279" s="10">
        <f>IFERROR(__xludf.DUMMYFUNCTION("""COMPUTED_VALUE"""),38385.666666666664)</f>
        <v>38385.66667</v>
      </c>
      <c r="N279" s="2">
        <f>IFERROR(__xludf.DUMMYFUNCTION("""COMPUTED_VALUE"""),2075.06)</f>
        <v>2075.06</v>
      </c>
      <c r="S279" s="15"/>
    </row>
    <row r="280">
      <c r="A280" s="10">
        <f t="shared" si="8"/>
        <v>38262.66667</v>
      </c>
      <c r="B280" s="2" t="str">
        <f t="shared" si="2"/>
        <v/>
      </c>
      <c r="C280" s="2" t="str">
        <f t="shared" si="3"/>
        <v>SP500</v>
      </c>
      <c r="D280" s="2" t="str">
        <f t="shared" si="4"/>
        <v/>
      </c>
      <c r="E280" s="2">
        <f t="shared" si="5"/>
        <v>1942.2</v>
      </c>
      <c r="G280" s="10">
        <f t="shared" si="9"/>
        <v>38262.64583</v>
      </c>
      <c r="H280" s="6" t="str">
        <f t="shared" si="6"/>
        <v/>
      </c>
      <c r="I280" s="2">
        <f t="shared" si="7"/>
        <v>846.01</v>
      </c>
      <c r="M280" s="10">
        <f>IFERROR(__xludf.DUMMYFUNCTION("""COMPUTED_VALUE"""),38386.666666666664)</f>
        <v>38386.66667</v>
      </c>
      <c r="N280" s="2">
        <f>IFERROR(__xludf.DUMMYFUNCTION("""COMPUTED_VALUE"""),2057.64)</f>
        <v>2057.64</v>
      </c>
      <c r="S280" s="15"/>
    </row>
    <row r="281">
      <c r="A281" s="10">
        <f t="shared" si="8"/>
        <v>38263.66667</v>
      </c>
      <c r="B281" s="2" t="str">
        <f t="shared" si="2"/>
        <v/>
      </c>
      <c r="C281" s="2" t="str">
        <f t="shared" si="3"/>
        <v>SP500</v>
      </c>
      <c r="D281" s="2" t="str">
        <f t="shared" si="4"/>
        <v/>
      </c>
      <c r="E281" s="2">
        <f t="shared" si="5"/>
        <v>1942.2</v>
      </c>
      <c r="G281" s="10">
        <f t="shared" si="9"/>
        <v>38263.64583</v>
      </c>
      <c r="H281" s="6" t="str">
        <f t="shared" si="6"/>
        <v/>
      </c>
      <c r="I281" s="2">
        <f t="shared" si="7"/>
        <v>846.01</v>
      </c>
      <c r="M281" s="10">
        <f>IFERROR(__xludf.DUMMYFUNCTION("""COMPUTED_VALUE"""),38387.666666666664)</f>
        <v>38387.66667</v>
      </c>
      <c r="N281" s="2">
        <f>IFERROR(__xludf.DUMMYFUNCTION("""COMPUTED_VALUE"""),2086.66)</f>
        <v>2086.66</v>
      </c>
      <c r="S281" s="15"/>
    </row>
    <row r="282">
      <c r="A282" s="10">
        <f t="shared" si="8"/>
        <v>38264.66667</v>
      </c>
      <c r="B282" s="2" t="str">
        <f t="shared" si="2"/>
        <v/>
      </c>
      <c r="C282" s="2" t="str">
        <f t="shared" si="3"/>
        <v>SP500</v>
      </c>
      <c r="D282" s="2">
        <f t="shared" si="4"/>
        <v>1952.4</v>
      </c>
      <c r="E282" s="2">
        <f t="shared" si="5"/>
        <v>1952.4</v>
      </c>
      <c r="G282" s="10">
        <f t="shared" si="9"/>
        <v>38264.64583</v>
      </c>
      <c r="H282" s="6">
        <f t="shared" si="6"/>
        <v>880.84</v>
      </c>
      <c r="I282" s="2">
        <f t="shared" si="7"/>
        <v>880.84</v>
      </c>
      <c r="M282" s="10">
        <f>IFERROR(__xludf.DUMMYFUNCTION("""COMPUTED_VALUE"""),38390.666666666664)</f>
        <v>38390.66667</v>
      </c>
      <c r="N282" s="2">
        <f>IFERROR(__xludf.DUMMYFUNCTION("""COMPUTED_VALUE"""),2082.03)</f>
        <v>2082.03</v>
      </c>
      <c r="S282" s="15"/>
    </row>
    <row r="283">
      <c r="A283" s="10">
        <f t="shared" si="8"/>
        <v>38265.66667</v>
      </c>
      <c r="B283" s="2" t="str">
        <f t="shared" si="2"/>
        <v/>
      </c>
      <c r="C283" s="2" t="str">
        <f t="shared" si="3"/>
        <v>SP500</v>
      </c>
      <c r="D283" s="2">
        <f t="shared" si="4"/>
        <v>1955.5</v>
      </c>
      <c r="E283" s="2">
        <f t="shared" si="5"/>
        <v>1955.5</v>
      </c>
      <c r="G283" s="10">
        <f t="shared" si="9"/>
        <v>38265.64583</v>
      </c>
      <c r="H283" s="6">
        <f t="shared" si="6"/>
        <v>884.84</v>
      </c>
      <c r="I283" s="2">
        <f t="shared" si="7"/>
        <v>884.84</v>
      </c>
      <c r="M283" s="10">
        <f>IFERROR(__xludf.DUMMYFUNCTION("""COMPUTED_VALUE"""),38391.666666666664)</f>
        <v>38391.66667</v>
      </c>
      <c r="N283" s="2">
        <f>IFERROR(__xludf.DUMMYFUNCTION("""COMPUTED_VALUE"""),2086.68)</f>
        <v>2086.68</v>
      </c>
      <c r="S283" s="15"/>
    </row>
    <row r="284">
      <c r="A284" s="10">
        <f t="shared" si="8"/>
        <v>38266.66667</v>
      </c>
      <c r="B284" s="2" t="str">
        <f t="shared" si="2"/>
        <v/>
      </c>
      <c r="C284" s="2" t="str">
        <f t="shared" si="3"/>
        <v>SP500</v>
      </c>
      <c r="D284" s="2">
        <f t="shared" si="4"/>
        <v>1971.03</v>
      </c>
      <c r="E284" s="2">
        <f t="shared" si="5"/>
        <v>1971.03</v>
      </c>
      <c r="G284" s="10">
        <f t="shared" si="9"/>
        <v>38266.64583</v>
      </c>
      <c r="H284" s="6">
        <f t="shared" si="6"/>
        <v>887.45</v>
      </c>
      <c r="I284" s="2">
        <f t="shared" si="7"/>
        <v>887.45</v>
      </c>
      <c r="M284" s="10">
        <f>IFERROR(__xludf.DUMMYFUNCTION("""COMPUTED_VALUE"""),38392.666666666664)</f>
        <v>38392.66667</v>
      </c>
      <c r="N284" s="2">
        <f>IFERROR(__xludf.DUMMYFUNCTION("""COMPUTED_VALUE"""),2052.55)</f>
        <v>2052.55</v>
      </c>
      <c r="S284" s="15"/>
    </row>
    <row r="285">
      <c r="A285" s="10">
        <f t="shared" si="8"/>
        <v>38267.66667</v>
      </c>
      <c r="B285" s="2" t="str">
        <f t="shared" si="2"/>
        <v/>
      </c>
      <c r="C285" s="2" t="str">
        <f t="shared" si="3"/>
        <v>SP500</v>
      </c>
      <c r="D285" s="2">
        <f t="shared" si="4"/>
        <v>1948.52</v>
      </c>
      <c r="E285" s="2">
        <f t="shared" si="5"/>
        <v>1948.52</v>
      </c>
      <c r="G285" s="10">
        <f t="shared" si="9"/>
        <v>38267.64583</v>
      </c>
      <c r="H285" s="6">
        <f t="shared" si="6"/>
        <v>885.33</v>
      </c>
      <c r="I285" s="2">
        <f t="shared" si="7"/>
        <v>885.33</v>
      </c>
      <c r="M285" s="10">
        <f>IFERROR(__xludf.DUMMYFUNCTION("""COMPUTED_VALUE"""),38393.666666666664)</f>
        <v>38393.66667</v>
      </c>
      <c r="N285" s="2">
        <f>IFERROR(__xludf.DUMMYFUNCTION("""COMPUTED_VALUE"""),2053.1)</f>
        <v>2053.1</v>
      </c>
      <c r="S285" s="15"/>
    </row>
    <row r="286">
      <c r="A286" s="10">
        <f t="shared" si="8"/>
        <v>38268.66667</v>
      </c>
      <c r="B286" s="2" t="str">
        <f t="shared" si="2"/>
        <v/>
      </c>
      <c r="C286" s="2" t="str">
        <f t="shared" si="3"/>
        <v>SP500</v>
      </c>
      <c r="D286" s="2">
        <f t="shared" si="4"/>
        <v>1919.97</v>
      </c>
      <c r="E286" s="2">
        <f t="shared" si="5"/>
        <v>1919.97</v>
      </c>
      <c r="G286" s="10">
        <f t="shared" si="9"/>
        <v>38268.64583</v>
      </c>
      <c r="H286" s="6">
        <f t="shared" si="6"/>
        <v>881.38</v>
      </c>
      <c r="I286" s="2">
        <f t="shared" si="7"/>
        <v>881.38</v>
      </c>
      <c r="M286" s="10">
        <f>IFERROR(__xludf.DUMMYFUNCTION("""COMPUTED_VALUE"""),38394.666666666664)</f>
        <v>38394.66667</v>
      </c>
      <c r="N286" s="2">
        <f>IFERROR(__xludf.DUMMYFUNCTION("""COMPUTED_VALUE"""),2076.66)</f>
        <v>2076.66</v>
      </c>
      <c r="S286" s="15"/>
    </row>
    <row r="287">
      <c r="A287" s="10">
        <f t="shared" si="8"/>
        <v>38269.66667</v>
      </c>
      <c r="B287" s="2" t="str">
        <f t="shared" si="2"/>
        <v/>
      </c>
      <c r="C287" s="2" t="str">
        <f t="shared" si="3"/>
        <v>SP500</v>
      </c>
      <c r="D287" s="2" t="str">
        <f t="shared" si="4"/>
        <v/>
      </c>
      <c r="E287" s="2">
        <f t="shared" si="5"/>
        <v>1919.97</v>
      </c>
      <c r="G287" s="10">
        <f t="shared" si="9"/>
        <v>38269.64583</v>
      </c>
      <c r="H287" s="6" t="str">
        <f t="shared" si="6"/>
        <v/>
      </c>
      <c r="I287" s="2">
        <f t="shared" si="7"/>
        <v>881.38</v>
      </c>
      <c r="M287" s="10">
        <f>IFERROR(__xludf.DUMMYFUNCTION("""COMPUTED_VALUE"""),38397.666666666664)</f>
        <v>38397.66667</v>
      </c>
      <c r="N287" s="2">
        <f>IFERROR(__xludf.DUMMYFUNCTION("""COMPUTED_VALUE"""),2082.91)</f>
        <v>2082.91</v>
      </c>
      <c r="S287" s="15"/>
    </row>
    <row r="288">
      <c r="A288" s="10">
        <f t="shared" si="8"/>
        <v>38270.66667</v>
      </c>
      <c r="B288" s="2" t="str">
        <f t="shared" si="2"/>
        <v/>
      </c>
      <c r="C288" s="2" t="str">
        <f t="shared" si="3"/>
        <v>SP500</v>
      </c>
      <c r="D288" s="2" t="str">
        <f t="shared" si="4"/>
        <v/>
      </c>
      <c r="E288" s="2">
        <f t="shared" si="5"/>
        <v>1919.97</v>
      </c>
      <c r="G288" s="10">
        <f t="shared" si="9"/>
        <v>38270.64583</v>
      </c>
      <c r="H288" s="6" t="str">
        <f t="shared" si="6"/>
        <v/>
      </c>
      <c r="I288" s="2">
        <f t="shared" si="7"/>
        <v>881.38</v>
      </c>
      <c r="M288" s="10">
        <f>IFERROR(__xludf.DUMMYFUNCTION("""COMPUTED_VALUE"""),38398.666666666664)</f>
        <v>38398.66667</v>
      </c>
      <c r="N288" s="2">
        <f>IFERROR(__xludf.DUMMYFUNCTION("""COMPUTED_VALUE"""),2089.21)</f>
        <v>2089.21</v>
      </c>
      <c r="S288" s="15"/>
    </row>
    <row r="289">
      <c r="A289" s="10">
        <f t="shared" si="8"/>
        <v>38271.66667</v>
      </c>
      <c r="B289" s="2" t="str">
        <f t="shared" si="2"/>
        <v/>
      </c>
      <c r="C289" s="2" t="str">
        <f t="shared" si="3"/>
        <v>SP500</v>
      </c>
      <c r="D289" s="2">
        <f t="shared" si="4"/>
        <v>1928.76</v>
      </c>
      <c r="E289" s="2">
        <f t="shared" si="5"/>
        <v>1928.76</v>
      </c>
      <c r="G289" s="10">
        <f t="shared" si="9"/>
        <v>38271.64583</v>
      </c>
      <c r="H289" s="6">
        <f t="shared" si="6"/>
        <v>881.11</v>
      </c>
      <c r="I289" s="2">
        <f t="shared" si="7"/>
        <v>881.11</v>
      </c>
      <c r="M289" s="10">
        <f>IFERROR(__xludf.DUMMYFUNCTION("""COMPUTED_VALUE"""),38399.666666666664)</f>
        <v>38399.66667</v>
      </c>
      <c r="N289" s="2">
        <f>IFERROR(__xludf.DUMMYFUNCTION("""COMPUTED_VALUE"""),2087.43)</f>
        <v>2087.43</v>
      </c>
      <c r="S289" s="15"/>
    </row>
    <row r="290">
      <c r="A290" s="10">
        <f t="shared" si="8"/>
        <v>38272.66667</v>
      </c>
      <c r="B290" s="2" t="str">
        <f t="shared" si="2"/>
        <v/>
      </c>
      <c r="C290" s="2" t="str">
        <f t="shared" si="3"/>
        <v>SP500</v>
      </c>
      <c r="D290" s="2">
        <f t="shared" si="4"/>
        <v>1925.17</v>
      </c>
      <c r="E290" s="2">
        <f t="shared" si="5"/>
        <v>1925.17</v>
      </c>
      <c r="G290" s="10">
        <f t="shared" si="9"/>
        <v>38272.64583</v>
      </c>
      <c r="H290" s="6">
        <f t="shared" si="6"/>
        <v>858.09</v>
      </c>
      <c r="I290" s="2">
        <f t="shared" si="7"/>
        <v>858.09</v>
      </c>
      <c r="M290" s="10">
        <f>IFERROR(__xludf.DUMMYFUNCTION("""COMPUTED_VALUE"""),38400.666666666664)</f>
        <v>38400.66667</v>
      </c>
      <c r="N290" s="2">
        <f>IFERROR(__xludf.DUMMYFUNCTION("""COMPUTED_VALUE"""),2061.34)</f>
        <v>2061.34</v>
      </c>
      <c r="S290" s="15"/>
    </row>
    <row r="291">
      <c r="A291" s="10">
        <f t="shared" si="8"/>
        <v>38273.66667</v>
      </c>
      <c r="B291" s="2" t="str">
        <f t="shared" si="2"/>
        <v/>
      </c>
      <c r="C291" s="2" t="str">
        <f t="shared" si="3"/>
        <v>SP500</v>
      </c>
      <c r="D291" s="2">
        <f t="shared" si="4"/>
        <v>1920.53</v>
      </c>
      <c r="E291" s="2">
        <f t="shared" si="5"/>
        <v>1920.53</v>
      </c>
      <c r="G291" s="10">
        <f t="shared" si="9"/>
        <v>38273.64583</v>
      </c>
      <c r="H291" s="6">
        <f t="shared" si="6"/>
        <v>856.18</v>
      </c>
      <c r="I291" s="2">
        <f t="shared" si="7"/>
        <v>856.18</v>
      </c>
      <c r="M291" s="10">
        <f>IFERROR(__xludf.DUMMYFUNCTION("""COMPUTED_VALUE"""),38401.666666666664)</f>
        <v>38401.66667</v>
      </c>
      <c r="N291" s="2">
        <f>IFERROR(__xludf.DUMMYFUNCTION("""COMPUTED_VALUE"""),2058.62)</f>
        <v>2058.62</v>
      </c>
      <c r="S291" s="15"/>
    </row>
    <row r="292">
      <c r="A292" s="10">
        <f t="shared" si="8"/>
        <v>38274.66667</v>
      </c>
      <c r="B292" s="2" t="str">
        <f t="shared" si="2"/>
        <v/>
      </c>
      <c r="C292" s="2" t="str">
        <f t="shared" si="3"/>
        <v>SP500</v>
      </c>
      <c r="D292" s="2">
        <f t="shared" si="4"/>
        <v>1903.02</v>
      </c>
      <c r="E292" s="2">
        <f t="shared" si="5"/>
        <v>1903.02</v>
      </c>
      <c r="G292" s="10">
        <f t="shared" si="9"/>
        <v>38274.64583</v>
      </c>
      <c r="H292" s="6">
        <f t="shared" si="6"/>
        <v>846.63</v>
      </c>
      <c r="I292" s="2">
        <f t="shared" si="7"/>
        <v>846.63</v>
      </c>
      <c r="M292" s="10">
        <f>IFERROR(__xludf.DUMMYFUNCTION("""COMPUTED_VALUE"""),38405.666666666664)</f>
        <v>38405.66667</v>
      </c>
      <c r="N292" s="2">
        <f>IFERROR(__xludf.DUMMYFUNCTION("""COMPUTED_VALUE"""),2030.32)</f>
        <v>2030.32</v>
      </c>
      <c r="S292" s="15"/>
    </row>
    <row r="293">
      <c r="A293" s="10">
        <f t="shared" si="8"/>
        <v>38275.66667</v>
      </c>
      <c r="B293" s="2" t="str">
        <f t="shared" si="2"/>
        <v/>
      </c>
      <c r="C293" s="2" t="str">
        <f t="shared" si="3"/>
        <v>SP500</v>
      </c>
      <c r="D293" s="2">
        <f t="shared" si="4"/>
        <v>1911.5</v>
      </c>
      <c r="E293" s="2">
        <f t="shared" si="5"/>
        <v>1911.5</v>
      </c>
      <c r="G293" s="10">
        <f t="shared" si="9"/>
        <v>38275.64583</v>
      </c>
      <c r="H293" s="6">
        <f t="shared" si="6"/>
        <v>841.94</v>
      </c>
      <c r="I293" s="2">
        <f t="shared" si="7"/>
        <v>841.94</v>
      </c>
      <c r="M293" s="10">
        <f>IFERROR(__xludf.DUMMYFUNCTION("""COMPUTED_VALUE"""),38406.666666666664)</f>
        <v>38406.66667</v>
      </c>
      <c r="N293" s="2">
        <f>IFERROR(__xludf.DUMMYFUNCTION("""COMPUTED_VALUE"""),2031.25)</f>
        <v>2031.25</v>
      </c>
      <c r="S293" s="15"/>
    </row>
    <row r="294">
      <c r="A294" s="10">
        <f t="shared" si="8"/>
        <v>38276.66667</v>
      </c>
      <c r="B294" s="2" t="str">
        <f t="shared" si="2"/>
        <v/>
      </c>
      <c r="C294" s="2" t="str">
        <f t="shared" si="3"/>
        <v>SP500</v>
      </c>
      <c r="D294" s="2" t="str">
        <f t="shared" si="4"/>
        <v/>
      </c>
      <c r="E294" s="2">
        <f t="shared" si="5"/>
        <v>1911.5</v>
      </c>
      <c r="G294" s="10">
        <f t="shared" si="9"/>
        <v>38276.64583</v>
      </c>
      <c r="H294" s="6" t="str">
        <f t="shared" si="6"/>
        <v/>
      </c>
      <c r="I294" s="2">
        <f t="shared" si="7"/>
        <v>841.94</v>
      </c>
      <c r="M294" s="10">
        <f>IFERROR(__xludf.DUMMYFUNCTION("""COMPUTED_VALUE"""),38407.666666666664)</f>
        <v>38407.66667</v>
      </c>
      <c r="N294" s="2">
        <f>IFERROR(__xludf.DUMMYFUNCTION("""COMPUTED_VALUE"""),2051.7)</f>
        <v>2051.7</v>
      </c>
      <c r="S294" s="15"/>
    </row>
    <row r="295">
      <c r="A295" s="10">
        <f t="shared" si="8"/>
        <v>38277.66667</v>
      </c>
      <c r="B295" s="2" t="str">
        <f t="shared" si="2"/>
        <v/>
      </c>
      <c r="C295" s="2" t="str">
        <f t="shared" si="3"/>
        <v>SP500</v>
      </c>
      <c r="D295" s="2" t="str">
        <f t="shared" si="4"/>
        <v/>
      </c>
      <c r="E295" s="2">
        <f t="shared" si="5"/>
        <v>1911.5</v>
      </c>
      <c r="G295" s="10">
        <f t="shared" si="9"/>
        <v>38277.64583</v>
      </c>
      <c r="H295" s="6" t="str">
        <f t="shared" si="6"/>
        <v/>
      </c>
      <c r="I295" s="2">
        <f t="shared" si="7"/>
        <v>841.94</v>
      </c>
      <c r="M295" s="10">
        <f>IFERROR(__xludf.DUMMYFUNCTION("""COMPUTED_VALUE"""),38408.666666666664)</f>
        <v>38408.66667</v>
      </c>
      <c r="N295" s="2">
        <f>IFERROR(__xludf.DUMMYFUNCTION("""COMPUTED_VALUE"""),2065.4)</f>
        <v>2065.4</v>
      </c>
      <c r="S295" s="15"/>
    </row>
    <row r="296">
      <c r="A296" s="10">
        <f t="shared" si="8"/>
        <v>38278.66667</v>
      </c>
      <c r="B296" s="2" t="str">
        <f t="shared" si="2"/>
        <v/>
      </c>
      <c r="C296" s="2" t="str">
        <f t="shared" si="3"/>
        <v>SP500</v>
      </c>
      <c r="D296" s="2">
        <f t="shared" si="4"/>
        <v>1936.52</v>
      </c>
      <c r="E296" s="2">
        <f t="shared" si="5"/>
        <v>1936.52</v>
      </c>
      <c r="G296" s="10">
        <f t="shared" si="9"/>
        <v>38278.64583</v>
      </c>
      <c r="H296" s="6">
        <f t="shared" si="6"/>
        <v>848.27</v>
      </c>
      <c r="I296" s="2">
        <f t="shared" si="7"/>
        <v>848.27</v>
      </c>
      <c r="M296" s="10">
        <f>IFERROR(__xludf.DUMMYFUNCTION("""COMPUTED_VALUE"""),38411.666666666664)</f>
        <v>38411.66667</v>
      </c>
      <c r="N296" s="2">
        <f>IFERROR(__xludf.DUMMYFUNCTION("""COMPUTED_VALUE"""),2051.72)</f>
        <v>2051.72</v>
      </c>
      <c r="S296" s="15"/>
    </row>
    <row r="297">
      <c r="A297" s="10">
        <f t="shared" si="8"/>
        <v>38279.66667</v>
      </c>
      <c r="B297" s="2" t="str">
        <f t="shared" si="2"/>
        <v/>
      </c>
      <c r="C297" s="2" t="str">
        <f t="shared" si="3"/>
        <v>SP500</v>
      </c>
      <c r="D297" s="2">
        <f t="shared" si="4"/>
        <v>1922.9</v>
      </c>
      <c r="E297" s="2">
        <f t="shared" si="5"/>
        <v>1922.9</v>
      </c>
      <c r="G297" s="10">
        <f t="shared" si="9"/>
        <v>38279.64583</v>
      </c>
      <c r="H297" s="6">
        <f t="shared" si="6"/>
        <v>855.77</v>
      </c>
      <c r="I297" s="2">
        <f t="shared" si="7"/>
        <v>855.77</v>
      </c>
      <c r="M297" s="10">
        <f>IFERROR(__xludf.DUMMYFUNCTION("""COMPUTED_VALUE"""),38412.666666666664)</f>
        <v>38412.66667</v>
      </c>
      <c r="N297" s="2">
        <f>IFERROR(__xludf.DUMMYFUNCTION("""COMPUTED_VALUE"""),2071.25)</f>
        <v>2071.25</v>
      </c>
      <c r="S297" s="15"/>
    </row>
    <row r="298">
      <c r="A298" s="10">
        <f t="shared" si="8"/>
        <v>38280.66667</v>
      </c>
      <c r="B298" s="2" t="str">
        <f t="shared" si="2"/>
        <v/>
      </c>
      <c r="C298" s="2" t="str">
        <f t="shared" si="3"/>
        <v>SP500</v>
      </c>
      <c r="D298" s="2">
        <f t="shared" si="4"/>
        <v>1932.97</v>
      </c>
      <c r="E298" s="2">
        <f t="shared" si="5"/>
        <v>1932.97</v>
      </c>
      <c r="G298" s="10">
        <f t="shared" si="9"/>
        <v>38280.64583</v>
      </c>
      <c r="H298" s="6">
        <f t="shared" si="6"/>
        <v>828.61</v>
      </c>
      <c r="I298" s="2">
        <f t="shared" si="7"/>
        <v>828.61</v>
      </c>
      <c r="M298" s="10">
        <f>IFERROR(__xludf.DUMMYFUNCTION("""COMPUTED_VALUE"""),38413.666666666664)</f>
        <v>38413.66667</v>
      </c>
      <c r="N298" s="2">
        <f>IFERROR(__xludf.DUMMYFUNCTION("""COMPUTED_VALUE"""),2067.5)</f>
        <v>2067.5</v>
      </c>
      <c r="S298" s="15"/>
    </row>
    <row r="299">
      <c r="A299" s="10">
        <f t="shared" si="8"/>
        <v>38281.66667</v>
      </c>
      <c r="B299" s="2" t="str">
        <f t="shared" si="2"/>
        <v/>
      </c>
      <c r="C299" s="2" t="str">
        <f t="shared" si="3"/>
        <v>SP500</v>
      </c>
      <c r="D299" s="2">
        <f t="shared" si="4"/>
        <v>1953.62</v>
      </c>
      <c r="E299" s="2">
        <f t="shared" si="5"/>
        <v>1953.62</v>
      </c>
      <c r="G299" s="10">
        <f t="shared" si="9"/>
        <v>38281.64583</v>
      </c>
      <c r="H299" s="6">
        <f t="shared" si="6"/>
        <v>820.63</v>
      </c>
      <c r="I299" s="2">
        <f t="shared" si="7"/>
        <v>820.63</v>
      </c>
      <c r="M299" s="10">
        <f>IFERROR(__xludf.DUMMYFUNCTION("""COMPUTED_VALUE"""),38414.666666666664)</f>
        <v>38414.66667</v>
      </c>
      <c r="N299" s="2">
        <f>IFERROR(__xludf.DUMMYFUNCTION("""COMPUTED_VALUE"""),2058.4)</f>
        <v>2058.4</v>
      </c>
      <c r="S299" s="15"/>
    </row>
    <row r="300">
      <c r="A300" s="10">
        <f t="shared" si="8"/>
        <v>38282.66667</v>
      </c>
      <c r="B300" s="2" t="str">
        <f t="shared" si="2"/>
        <v/>
      </c>
      <c r="C300" s="2" t="str">
        <f t="shared" si="3"/>
        <v>SP500</v>
      </c>
      <c r="D300" s="2">
        <f t="shared" si="4"/>
        <v>1915.14</v>
      </c>
      <c r="E300" s="2">
        <f t="shared" si="5"/>
        <v>1915.14</v>
      </c>
      <c r="G300" s="10">
        <f t="shared" si="9"/>
        <v>38282.64583</v>
      </c>
      <c r="H300" s="6">
        <f t="shared" si="6"/>
        <v>828.17</v>
      </c>
      <c r="I300" s="2">
        <f t="shared" si="7"/>
        <v>828.17</v>
      </c>
      <c r="M300" s="10">
        <f>IFERROR(__xludf.DUMMYFUNCTION("""COMPUTED_VALUE"""),38415.666666666664)</f>
        <v>38415.66667</v>
      </c>
      <c r="N300" s="2">
        <f>IFERROR(__xludf.DUMMYFUNCTION("""COMPUTED_VALUE"""),2070.61)</f>
        <v>2070.61</v>
      </c>
      <c r="S300" s="15"/>
    </row>
    <row r="301">
      <c r="A301" s="10">
        <f t="shared" si="8"/>
        <v>38283.66667</v>
      </c>
      <c r="B301" s="2" t="str">
        <f t="shared" si="2"/>
        <v/>
      </c>
      <c r="C301" s="2" t="str">
        <f t="shared" si="3"/>
        <v>SP500</v>
      </c>
      <c r="D301" s="2" t="str">
        <f t="shared" si="4"/>
        <v/>
      </c>
      <c r="E301" s="2">
        <f t="shared" si="5"/>
        <v>1915.14</v>
      </c>
      <c r="G301" s="10">
        <f t="shared" si="9"/>
        <v>38283.64583</v>
      </c>
      <c r="H301" s="6" t="str">
        <f t="shared" si="6"/>
        <v/>
      </c>
      <c r="I301" s="2">
        <f t="shared" si="7"/>
        <v>828.17</v>
      </c>
      <c r="M301" s="10">
        <f>IFERROR(__xludf.DUMMYFUNCTION("""COMPUTED_VALUE"""),38418.666666666664)</f>
        <v>38418.66667</v>
      </c>
      <c r="N301" s="2">
        <f>IFERROR(__xludf.DUMMYFUNCTION("""COMPUTED_VALUE"""),2090.21)</f>
        <v>2090.21</v>
      </c>
      <c r="S301" s="15"/>
    </row>
    <row r="302">
      <c r="A302" s="10">
        <f t="shared" si="8"/>
        <v>38284.66667</v>
      </c>
      <c r="B302" s="2" t="str">
        <f t="shared" si="2"/>
        <v/>
      </c>
      <c r="C302" s="2" t="str">
        <f t="shared" si="3"/>
        <v>SP500</v>
      </c>
      <c r="D302" s="2" t="str">
        <f t="shared" si="4"/>
        <v/>
      </c>
      <c r="E302" s="2">
        <f t="shared" si="5"/>
        <v>1915.14</v>
      </c>
      <c r="G302" s="10">
        <f t="shared" si="9"/>
        <v>38284.64583</v>
      </c>
      <c r="H302" s="6" t="str">
        <f t="shared" si="6"/>
        <v/>
      </c>
      <c r="I302" s="2">
        <f t="shared" si="7"/>
        <v>828.17</v>
      </c>
      <c r="M302" s="10">
        <f>IFERROR(__xludf.DUMMYFUNCTION("""COMPUTED_VALUE"""),38419.666666666664)</f>
        <v>38419.66667</v>
      </c>
      <c r="N302" s="2">
        <f>IFERROR(__xludf.DUMMYFUNCTION("""COMPUTED_VALUE"""),2073.55)</f>
        <v>2073.55</v>
      </c>
      <c r="S302" s="15"/>
    </row>
    <row r="303">
      <c r="A303" s="10">
        <f t="shared" si="8"/>
        <v>38285.66667</v>
      </c>
      <c r="B303" s="2" t="str">
        <f t="shared" si="2"/>
        <v/>
      </c>
      <c r="C303" s="2" t="str">
        <f t="shared" si="3"/>
        <v>SP500</v>
      </c>
      <c r="D303" s="2">
        <f t="shared" si="4"/>
        <v>1914.04</v>
      </c>
      <c r="E303" s="2">
        <f t="shared" si="5"/>
        <v>1914.04</v>
      </c>
      <c r="G303" s="10">
        <f t="shared" si="9"/>
        <v>38285.64583</v>
      </c>
      <c r="H303" s="6">
        <f t="shared" si="6"/>
        <v>808.14</v>
      </c>
      <c r="I303" s="2">
        <f t="shared" si="7"/>
        <v>808.14</v>
      </c>
      <c r="M303" s="10">
        <f>IFERROR(__xludf.DUMMYFUNCTION("""COMPUTED_VALUE"""),38420.666666666664)</f>
        <v>38420.66667</v>
      </c>
      <c r="N303" s="2">
        <f>IFERROR(__xludf.DUMMYFUNCTION("""COMPUTED_VALUE"""),2061.29)</f>
        <v>2061.29</v>
      </c>
      <c r="S303" s="15"/>
    </row>
    <row r="304">
      <c r="A304" s="10">
        <f t="shared" si="8"/>
        <v>38286.66667</v>
      </c>
      <c r="B304" s="2" t="str">
        <f t="shared" si="2"/>
        <v/>
      </c>
      <c r="C304" s="2" t="str">
        <f t="shared" si="3"/>
        <v>SP500</v>
      </c>
      <c r="D304" s="2">
        <f t="shared" si="4"/>
        <v>1928.79</v>
      </c>
      <c r="E304" s="2">
        <f t="shared" si="5"/>
        <v>1928.79</v>
      </c>
      <c r="G304" s="10">
        <f t="shared" si="9"/>
        <v>38286.64583</v>
      </c>
      <c r="H304" s="6">
        <f t="shared" si="6"/>
        <v>813.7</v>
      </c>
      <c r="I304" s="2">
        <f t="shared" si="7"/>
        <v>813.7</v>
      </c>
      <c r="M304" s="10">
        <f>IFERROR(__xludf.DUMMYFUNCTION("""COMPUTED_VALUE"""),38421.666666666664)</f>
        <v>38421.66667</v>
      </c>
      <c r="N304" s="2">
        <f>IFERROR(__xludf.DUMMYFUNCTION("""COMPUTED_VALUE"""),2059.72)</f>
        <v>2059.72</v>
      </c>
      <c r="S304" s="15"/>
    </row>
    <row r="305">
      <c r="A305" s="10">
        <f t="shared" si="8"/>
        <v>38287.66667</v>
      </c>
      <c r="B305" s="2" t="str">
        <f t="shared" si="2"/>
        <v/>
      </c>
      <c r="C305" s="2" t="str">
        <f t="shared" si="3"/>
        <v>SP500</v>
      </c>
      <c r="D305" s="2">
        <f t="shared" si="4"/>
        <v>1969.99</v>
      </c>
      <c r="E305" s="2">
        <f t="shared" si="5"/>
        <v>1969.99</v>
      </c>
      <c r="G305" s="10">
        <f t="shared" si="9"/>
        <v>38287.64583</v>
      </c>
      <c r="H305" s="6">
        <f t="shared" si="6"/>
        <v>809.91</v>
      </c>
      <c r="I305" s="2">
        <f t="shared" si="7"/>
        <v>809.91</v>
      </c>
      <c r="M305" s="10">
        <f>IFERROR(__xludf.DUMMYFUNCTION("""COMPUTED_VALUE"""),38422.666666666664)</f>
        <v>38422.66667</v>
      </c>
      <c r="N305" s="2">
        <f>IFERROR(__xludf.DUMMYFUNCTION("""COMPUTED_VALUE"""),2041.6)</f>
        <v>2041.6</v>
      </c>
      <c r="S305" s="15"/>
    </row>
    <row r="306">
      <c r="A306" s="10">
        <f t="shared" si="8"/>
        <v>38288.66667</v>
      </c>
      <c r="B306" s="2" t="str">
        <f t="shared" si="2"/>
        <v/>
      </c>
      <c r="C306" s="2" t="str">
        <f t="shared" si="3"/>
        <v>SP500</v>
      </c>
      <c r="D306" s="2">
        <f t="shared" si="4"/>
        <v>1975.74</v>
      </c>
      <c r="E306" s="2">
        <f t="shared" si="5"/>
        <v>1975.74</v>
      </c>
      <c r="G306" s="10">
        <f t="shared" si="9"/>
        <v>38288.64583</v>
      </c>
      <c r="H306" s="6">
        <f t="shared" si="6"/>
        <v>833.54</v>
      </c>
      <c r="I306" s="2">
        <f t="shared" si="7"/>
        <v>833.54</v>
      </c>
      <c r="M306" s="10">
        <f>IFERROR(__xludf.DUMMYFUNCTION("""COMPUTED_VALUE"""),38425.666666666664)</f>
        <v>38425.66667</v>
      </c>
      <c r="N306" s="2">
        <f>IFERROR(__xludf.DUMMYFUNCTION("""COMPUTED_VALUE"""),2051.04)</f>
        <v>2051.04</v>
      </c>
      <c r="S306" s="15"/>
    </row>
    <row r="307">
      <c r="A307" s="10">
        <f t="shared" si="8"/>
        <v>38289.66667</v>
      </c>
      <c r="B307" s="2" t="str">
        <f t="shared" si="2"/>
        <v/>
      </c>
      <c r="C307" s="2" t="str">
        <f t="shared" si="3"/>
        <v>SP500</v>
      </c>
      <c r="D307" s="2">
        <f t="shared" si="4"/>
        <v>1974.99</v>
      </c>
      <c r="E307" s="2">
        <f t="shared" si="5"/>
        <v>1974.99</v>
      </c>
      <c r="G307" s="10">
        <f t="shared" si="9"/>
        <v>38289.64583</v>
      </c>
      <c r="H307" s="6">
        <f t="shared" si="6"/>
        <v>834.84</v>
      </c>
      <c r="I307" s="2">
        <f t="shared" si="7"/>
        <v>834.84</v>
      </c>
      <c r="M307" s="10">
        <f>IFERROR(__xludf.DUMMYFUNCTION("""COMPUTED_VALUE"""),38426.666666666664)</f>
        <v>38426.66667</v>
      </c>
      <c r="N307" s="2">
        <f>IFERROR(__xludf.DUMMYFUNCTION("""COMPUTED_VALUE"""),2034.98)</f>
        <v>2034.98</v>
      </c>
      <c r="S307" s="15"/>
    </row>
    <row r="308">
      <c r="A308" s="10">
        <f t="shared" si="8"/>
        <v>38290.66667</v>
      </c>
      <c r="B308" s="2" t="str">
        <f t="shared" si="2"/>
        <v/>
      </c>
      <c r="C308" s="2" t="str">
        <f t="shared" si="3"/>
        <v>SP500</v>
      </c>
      <c r="D308" s="2" t="str">
        <f t="shared" si="4"/>
        <v/>
      </c>
      <c r="E308" s="2">
        <f t="shared" si="5"/>
        <v>1974.99</v>
      </c>
      <c r="G308" s="10">
        <f t="shared" si="9"/>
        <v>38290.64583</v>
      </c>
      <c r="H308" s="6" t="str">
        <f t="shared" si="6"/>
        <v/>
      </c>
      <c r="I308" s="2">
        <f t="shared" si="7"/>
        <v>834.84</v>
      </c>
      <c r="M308" s="10">
        <f>IFERROR(__xludf.DUMMYFUNCTION("""COMPUTED_VALUE"""),38427.666666666664)</f>
        <v>38427.66667</v>
      </c>
      <c r="N308" s="2">
        <f>IFERROR(__xludf.DUMMYFUNCTION("""COMPUTED_VALUE"""),2015.75)</f>
        <v>2015.75</v>
      </c>
      <c r="S308" s="15"/>
    </row>
    <row r="309">
      <c r="A309" s="10">
        <f t="shared" si="8"/>
        <v>38291.66667</v>
      </c>
      <c r="B309" s="2" t="str">
        <f t="shared" si="2"/>
        <v/>
      </c>
      <c r="C309" s="2" t="str">
        <f t="shared" si="3"/>
        <v>SP500</v>
      </c>
      <c r="D309" s="2" t="str">
        <f t="shared" si="4"/>
        <v/>
      </c>
      <c r="E309" s="2">
        <f t="shared" si="5"/>
        <v>1974.99</v>
      </c>
      <c r="G309" s="10">
        <f t="shared" si="9"/>
        <v>38291.64583</v>
      </c>
      <c r="H309" s="6" t="str">
        <f t="shared" si="6"/>
        <v/>
      </c>
      <c r="I309" s="2">
        <f t="shared" si="7"/>
        <v>834.84</v>
      </c>
      <c r="M309" s="10">
        <f>IFERROR(__xludf.DUMMYFUNCTION("""COMPUTED_VALUE"""),38428.666666666664)</f>
        <v>38428.66667</v>
      </c>
      <c r="N309" s="2">
        <f>IFERROR(__xludf.DUMMYFUNCTION("""COMPUTED_VALUE"""),2016.42)</f>
        <v>2016.42</v>
      </c>
      <c r="S309" s="15"/>
    </row>
    <row r="310">
      <c r="A310" s="10">
        <f t="shared" si="8"/>
        <v>38292.66667</v>
      </c>
      <c r="B310" s="2" t="str">
        <f t="shared" si="2"/>
        <v/>
      </c>
      <c r="C310" s="2" t="str">
        <f t="shared" si="3"/>
        <v>SP500</v>
      </c>
      <c r="D310" s="2">
        <f t="shared" si="4"/>
        <v>1979.87</v>
      </c>
      <c r="E310" s="2">
        <f t="shared" si="5"/>
        <v>1979.87</v>
      </c>
      <c r="G310" s="10">
        <f t="shared" si="9"/>
        <v>38292.64583</v>
      </c>
      <c r="H310" s="6">
        <f t="shared" si="6"/>
        <v>835.66</v>
      </c>
      <c r="I310" s="2">
        <f t="shared" si="7"/>
        <v>835.66</v>
      </c>
      <c r="M310" s="10">
        <f>IFERROR(__xludf.DUMMYFUNCTION("""COMPUTED_VALUE"""),38429.666666666664)</f>
        <v>38429.66667</v>
      </c>
      <c r="N310" s="2">
        <f>IFERROR(__xludf.DUMMYFUNCTION("""COMPUTED_VALUE"""),2007.79)</f>
        <v>2007.79</v>
      </c>
      <c r="S310" s="15"/>
    </row>
    <row r="311">
      <c r="A311" s="10">
        <f t="shared" si="8"/>
        <v>38293.66667</v>
      </c>
      <c r="B311" s="2" t="str">
        <f t="shared" si="2"/>
        <v/>
      </c>
      <c r="C311" s="2" t="str">
        <f t="shared" si="3"/>
        <v>SP500</v>
      </c>
      <c r="D311" s="2">
        <f t="shared" si="4"/>
        <v>1984.79</v>
      </c>
      <c r="E311" s="2">
        <f t="shared" si="5"/>
        <v>1984.79</v>
      </c>
      <c r="G311" s="10">
        <f t="shared" si="9"/>
        <v>38293.64583</v>
      </c>
      <c r="H311" s="6">
        <f t="shared" si="6"/>
        <v>846.67</v>
      </c>
      <c r="I311" s="2">
        <f t="shared" si="7"/>
        <v>846.67</v>
      </c>
      <c r="M311" s="10">
        <f>IFERROR(__xludf.DUMMYFUNCTION("""COMPUTED_VALUE"""),38432.666666666664)</f>
        <v>38432.66667</v>
      </c>
      <c r="N311" s="2">
        <f>IFERROR(__xludf.DUMMYFUNCTION("""COMPUTED_VALUE"""),2007.51)</f>
        <v>2007.51</v>
      </c>
      <c r="S311" s="15"/>
    </row>
    <row r="312">
      <c r="A312" s="10">
        <f t="shared" si="8"/>
        <v>38294.66667</v>
      </c>
      <c r="B312" s="2" t="str">
        <f t="shared" si="2"/>
        <v/>
      </c>
      <c r="C312" s="2" t="str">
        <f t="shared" si="3"/>
        <v>SP500</v>
      </c>
      <c r="D312" s="2">
        <f t="shared" si="4"/>
        <v>2004.33</v>
      </c>
      <c r="E312" s="2">
        <f t="shared" si="5"/>
        <v>2004.33</v>
      </c>
      <c r="G312" s="10">
        <f t="shared" si="9"/>
        <v>38294.64583</v>
      </c>
      <c r="H312" s="6">
        <f t="shared" si="6"/>
        <v>861.05</v>
      </c>
      <c r="I312" s="2">
        <f t="shared" si="7"/>
        <v>861.05</v>
      </c>
      <c r="M312" s="10">
        <f>IFERROR(__xludf.DUMMYFUNCTION("""COMPUTED_VALUE"""),38433.666666666664)</f>
        <v>38433.66667</v>
      </c>
      <c r="N312" s="2">
        <f>IFERROR(__xludf.DUMMYFUNCTION("""COMPUTED_VALUE"""),1989.34)</f>
        <v>1989.34</v>
      </c>
      <c r="S312" s="15"/>
    </row>
    <row r="313">
      <c r="A313" s="10">
        <f t="shared" si="8"/>
        <v>38295.66667</v>
      </c>
      <c r="B313" s="2" t="str">
        <f t="shared" si="2"/>
        <v/>
      </c>
      <c r="C313" s="2" t="str">
        <f t="shared" si="3"/>
        <v>SP500</v>
      </c>
      <c r="D313" s="2">
        <f t="shared" si="4"/>
        <v>2023.63</v>
      </c>
      <c r="E313" s="2">
        <f t="shared" si="5"/>
        <v>2023.63</v>
      </c>
      <c r="G313" s="10">
        <f t="shared" si="9"/>
        <v>38295.64583</v>
      </c>
      <c r="H313" s="6">
        <f t="shared" si="6"/>
        <v>851.2</v>
      </c>
      <c r="I313" s="2">
        <f t="shared" si="7"/>
        <v>851.2</v>
      </c>
      <c r="M313" s="10">
        <f>IFERROR(__xludf.DUMMYFUNCTION("""COMPUTED_VALUE"""),38434.666666666664)</f>
        <v>38434.66667</v>
      </c>
      <c r="N313" s="2">
        <f>IFERROR(__xludf.DUMMYFUNCTION("""COMPUTED_VALUE"""),1990.22)</f>
        <v>1990.22</v>
      </c>
      <c r="S313" s="15"/>
    </row>
    <row r="314">
      <c r="A314" s="10">
        <f t="shared" si="8"/>
        <v>38296.66667</v>
      </c>
      <c r="B314" s="2" t="str">
        <f t="shared" si="2"/>
        <v/>
      </c>
      <c r="C314" s="2" t="str">
        <f t="shared" si="3"/>
        <v>SP500</v>
      </c>
      <c r="D314" s="2">
        <f t="shared" si="4"/>
        <v>2038.94</v>
      </c>
      <c r="E314" s="2">
        <f t="shared" si="5"/>
        <v>2038.94</v>
      </c>
      <c r="G314" s="10">
        <f t="shared" si="9"/>
        <v>38296.64583</v>
      </c>
      <c r="H314" s="6">
        <f t="shared" si="6"/>
        <v>860.68</v>
      </c>
      <c r="I314" s="2">
        <f t="shared" si="7"/>
        <v>860.68</v>
      </c>
      <c r="M314" s="10">
        <f>IFERROR(__xludf.DUMMYFUNCTION("""COMPUTED_VALUE"""),38435.666666666664)</f>
        <v>38435.66667</v>
      </c>
      <c r="N314" s="2">
        <f>IFERROR(__xludf.DUMMYFUNCTION("""COMPUTED_VALUE"""),1991.06)</f>
        <v>1991.06</v>
      </c>
      <c r="S314" s="15"/>
    </row>
    <row r="315">
      <c r="A315" s="10">
        <f t="shared" si="8"/>
        <v>38297.66667</v>
      </c>
      <c r="B315" s="2" t="str">
        <f t="shared" si="2"/>
        <v/>
      </c>
      <c r="C315" s="2" t="str">
        <f t="shared" si="3"/>
        <v>SP500</v>
      </c>
      <c r="D315" s="2" t="str">
        <f t="shared" si="4"/>
        <v/>
      </c>
      <c r="E315" s="2">
        <f t="shared" si="5"/>
        <v>2038.94</v>
      </c>
      <c r="G315" s="10">
        <f t="shared" si="9"/>
        <v>38297.64583</v>
      </c>
      <c r="H315" s="6" t="str">
        <f t="shared" si="6"/>
        <v/>
      </c>
      <c r="I315" s="2">
        <f t="shared" si="7"/>
        <v>860.68</v>
      </c>
      <c r="M315" s="10">
        <f>IFERROR(__xludf.DUMMYFUNCTION("""COMPUTED_VALUE"""),38436.666666666664)</f>
        <v>38436.66667</v>
      </c>
      <c r="N315" s="2">
        <f>IFERROR(__xludf.DUMMYFUNCTION("""COMPUTED_VALUE"""),1991.06)</f>
        <v>1991.06</v>
      </c>
      <c r="S315" s="15"/>
    </row>
    <row r="316">
      <c r="A316" s="10">
        <f t="shared" si="8"/>
        <v>38298.66667</v>
      </c>
      <c r="B316" s="2" t="str">
        <f t="shared" si="2"/>
        <v/>
      </c>
      <c r="C316" s="2" t="str">
        <f t="shared" si="3"/>
        <v>SP500</v>
      </c>
      <c r="D316" s="2" t="str">
        <f t="shared" si="4"/>
        <v/>
      </c>
      <c r="E316" s="2">
        <f t="shared" si="5"/>
        <v>2038.94</v>
      </c>
      <c r="G316" s="10">
        <f t="shared" si="9"/>
        <v>38298.64583</v>
      </c>
      <c r="H316" s="6" t="str">
        <f t="shared" si="6"/>
        <v/>
      </c>
      <c r="I316" s="2">
        <f t="shared" si="7"/>
        <v>860.68</v>
      </c>
      <c r="M316" s="10">
        <f>IFERROR(__xludf.DUMMYFUNCTION("""COMPUTED_VALUE"""),38439.666666666664)</f>
        <v>38439.66667</v>
      </c>
      <c r="N316" s="2">
        <f>IFERROR(__xludf.DUMMYFUNCTION("""COMPUTED_VALUE"""),1992.52)</f>
        <v>1992.52</v>
      </c>
      <c r="S316" s="15"/>
    </row>
    <row r="317">
      <c r="A317" s="10">
        <f t="shared" si="8"/>
        <v>38299.66667</v>
      </c>
      <c r="B317" s="2" t="str">
        <f t="shared" si="2"/>
        <v/>
      </c>
      <c r="C317" s="2" t="str">
        <f t="shared" si="3"/>
        <v>SP500</v>
      </c>
      <c r="D317" s="2">
        <f t="shared" si="4"/>
        <v>2039.25</v>
      </c>
      <c r="E317" s="2">
        <f t="shared" si="5"/>
        <v>2039.25</v>
      </c>
      <c r="G317" s="10">
        <f t="shared" si="9"/>
        <v>38299.64583</v>
      </c>
      <c r="H317" s="6">
        <f t="shared" si="6"/>
        <v>846.11</v>
      </c>
      <c r="I317" s="2">
        <f t="shared" si="7"/>
        <v>846.11</v>
      </c>
      <c r="M317" s="10">
        <f>IFERROR(__xludf.DUMMYFUNCTION("""COMPUTED_VALUE"""),38440.666666666664)</f>
        <v>38440.66667</v>
      </c>
      <c r="N317" s="2">
        <f>IFERROR(__xludf.DUMMYFUNCTION("""COMPUTED_VALUE"""),1973.88)</f>
        <v>1973.88</v>
      </c>
      <c r="S317" s="15"/>
    </row>
    <row r="318">
      <c r="A318" s="10">
        <f t="shared" si="8"/>
        <v>38300.66667</v>
      </c>
      <c r="B318" s="2" t="str">
        <f t="shared" si="2"/>
        <v/>
      </c>
      <c r="C318" s="2" t="str">
        <f t="shared" si="3"/>
        <v>SP500</v>
      </c>
      <c r="D318" s="2">
        <f t="shared" si="4"/>
        <v>2043.33</v>
      </c>
      <c r="E318" s="2">
        <f t="shared" si="5"/>
        <v>2043.33</v>
      </c>
      <c r="G318" s="10">
        <f t="shared" si="9"/>
        <v>38300.64583</v>
      </c>
      <c r="H318" s="6">
        <f t="shared" si="6"/>
        <v>844.15</v>
      </c>
      <c r="I318" s="2">
        <f t="shared" si="7"/>
        <v>844.15</v>
      </c>
      <c r="M318" s="10">
        <f>IFERROR(__xludf.DUMMYFUNCTION("""COMPUTED_VALUE"""),38441.666666666664)</f>
        <v>38441.66667</v>
      </c>
      <c r="N318" s="2">
        <f>IFERROR(__xludf.DUMMYFUNCTION("""COMPUTED_VALUE"""),2005.67)</f>
        <v>2005.67</v>
      </c>
      <c r="S318" s="15"/>
    </row>
    <row r="319">
      <c r="A319" s="10">
        <f t="shared" si="8"/>
        <v>38301.66667</v>
      </c>
      <c r="B319" s="2" t="str">
        <f t="shared" si="2"/>
        <v/>
      </c>
      <c r="C319" s="2" t="str">
        <f t="shared" si="3"/>
        <v>SP500</v>
      </c>
      <c r="D319" s="2">
        <f t="shared" si="4"/>
        <v>2034.56</v>
      </c>
      <c r="E319" s="2">
        <f t="shared" si="5"/>
        <v>2034.56</v>
      </c>
      <c r="G319" s="10">
        <f t="shared" si="9"/>
        <v>38301.64583</v>
      </c>
      <c r="H319" s="6">
        <f t="shared" si="6"/>
        <v>860.54</v>
      </c>
      <c r="I319" s="2">
        <f t="shared" si="7"/>
        <v>860.54</v>
      </c>
      <c r="M319" s="10">
        <f>IFERROR(__xludf.DUMMYFUNCTION("""COMPUTED_VALUE"""),38442.666666666664)</f>
        <v>38442.66667</v>
      </c>
      <c r="N319" s="2">
        <f>IFERROR(__xludf.DUMMYFUNCTION("""COMPUTED_VALUE"""),1999.23)</f>
        <v>1999.23</v>
      </c>
      <c r="S319" s="15"/>
    </row>
    <row r="320">
      <c r="A320" s="10">
        <f t="shared" si="8"/>
        <v>38302.66667</v>
      </c>
      <c r="B320" s="2" t="str">
        <f t="shared" si="2"/>
        <v/>
      </c>
      <c r="C320" s="2" t="str">
        <f t="shared" si="3"/>
        <v>SP500</v>
      </c>
      <c r="D320" s="2">
        <f t="shared" si="4"/>
        <v>2061.27</v>
      </c>
      <c r="E320" s="2">
        <f t="shared" si="5"/>
        <v>2061.27</v>
      </c>
      <c r="G320" s="10">
        <f t="shared" si="9"/>
        <v>38302.64583</v>
      </c>
      <c r="H320" s="6">
        <f t="shared" si="6"/>
        <v>861.26</v>
      </c>
      <c r="I320" s="2">
        <f t="shared" si="7"/>
        <v>861.26</v>
      </c>
      <c r="M320" s="10">
        <f>IFERROR(__xludf.DUMMYFUNCTION("""COMPUTED_VALUE"""),38443.666666666664)</f>
        <v>38443.66667</v>
      </c>
      <c r="N320" s="2">
        <f>IFERROR(__xludf.DUMMYFUNCTION("""COMPUTED_VALUE"""),1984.81)</f>
        <v>1984.81</v>
      </c>
      <c r="S320" s="15"/>
    </row>
    <row r="321">
      <c r="A321" s="10">
        <f t="shared" si="8"/>
        <v>38303.66667</v>
      </c>
      <c r="B321" s="2" t="str">
        <f t="shared" si="2"/>
        <v/>
      </c>
      <c r="C321" s="2" t="str">
        <f t="shared" si="3"/>
        <v>SP500</v>
      </c>
      <c r="D321" s="2">
        <f t="shared" si="4"/>
        <v>2085.34</v>
      </c>
      <c r="E321" s="2">
        <f t="shared" si="5"/>
        <v>2085.34</v>
      </c>
      <c r="G321" s="10">
        <f t="shared" si="9"/>
        <v>38303.64583</v>
      </c>
      <c r="H321" s="6">
        <f t="shared" si="6"/>
        <v>876.67</v>
      </c>
      <c r="I321" s="2">
        <f t="shared" si="7"/>
        <v>876.67</v>
      </c>
      <c r="M321" s="10">
        <f>IFERROR(__xludf.DUMMYFUNCTION("""COMPUTED_VALUE"""),38446.666666666664)</f>
        <v>38446.66667</v>
      </c>
      <c r="N321" s="2">
        <f>IFERROR(__xludf.DUMMYFUNCTION("""COMPUTED_VALUE"""),1991.07)</f>
        <v>1991.07</v>
      </c>
      <c r="S321" s="15"/>
    </row>
    <row r="322">
      <c r="A322" s="10">
        <f t="shared" si="8"/>
        <v>38304.66667</v>
      </c>
      <c r="B322" s="2" t="str">
        <f t="shared" si="2"/>
        <v/>
      </c>
      <c r="C322" s="2" t="str">
        <f t="shared" si="3"/>
        <v>SP500</v>
      </c>
      <c r="D322" s="2" t="str">
        <f t="shared" si="4"/>
        <v/>
      </c>
      <c r="E322" s="2">
        <f t="shared" si="5"/>
        <v>2085.34</v>
      </c>
      <c r="G322" s="10">
        <f t="shared" si="9"/>
        <v>38304.64583</v>
      </c>
      <c r="H322" s="6" t="str">
        <f t="shared" si="6"/>
        <v/>
      </c>
      <c r="I322" s="2">
        <f t="shared" si="7"/>
        <v>876.67</v>
      </c>
      <c r="M322" s="10">
        <f>IFERROR(__xludf.DUMMYFUNCTION("""COMPUTED_VALUE"""),38447.666666666664)</f>
        <v>38447.66667</v>
      </c>
      <c r="N322" s="2">
        <f>IFERROR(__xludf.DUMMYFUNCTION("""COMPUTED_VALUE"""),1999.32)</f>
        <v>1999.32</v>
      </c>
      <c r="S322" s="15"/>
    </row>
    <row r="323">
      <c r="A323" s="10">
        <f t="shared" si="8"/>
        <v>38305.66667</v>
      </c>
      <c r="B323" s="2" t="str">
        <f t="shared" si="2"/>
        <v/>
      </c>
      <c r="C323" s="2" t="str">
        <f t="shared" si="3"/>
        <v>SP500</v>
      </c>
      <c r="D323" s="2" t="str">
        <f t="shared" si="4"/>
        <v/>
      </c>
      <c r="E323" s="2">
        <f t="shared" si="5"/>
        <v>2085.34</v>
      </c>
      <c r="G323" s="10">
        <f t="shared" si="9"/>
        <v>38305.64583</v>
      </c>
      <c r="H323" s="6" t="str">
        <f t="shared" si="6"/>
        <v/>
      </c>
      <c r="I323" s="2">
        <f t="shared" si="7"/>
        <v>876.67</v>
      </c>
      <c r="M323" s="10">
        <f>IFERROR(__xludf.DUMMYFUNCTION("""COMPUTED_VALUE"""),38448.666666666664)</f>
        <v>38448.66667</v>
      </c>
      <c r="N323" s="2">
        <f>IFERROR(__xludf.DUMMYFUNCTION("""COMPUTED_VALUE"""),1999.14)</f>
        <v>1999.14</v>
      </c>
      <c r="S323" s="15"/>
    </row>
    <row r="324">
      <c r="A324" s="10">
        <f t="shared" si="8"/>
        <v>38306.66667</v>
      </c>
      <c r="B324" s="2" t="str">
        <f t="shared" si="2"/>
        <v/>
      </c>
      <c r="C324" s="2" t="str">
        <f t="shared" si="3"/>
        <v>SP500</v>
      </c>
      <c r="D324" s="2">
        <f t="shared" si="4"/>
        <v>2094.09</v>
      </c>
      <c r="E324" s="2">
        <f t="shared" si="5"/>
        <v>2094.09</v>
      </c>
      <c r="G324" s="10">
        <f t="shared" si="9"/>
        <v>38306.64583</v>
      </c>
      <c r="H324" s="6">
        <f t="shared" si="6"/>
        <v>882.33</v>
      </c>
      <c r="I324" s="2">
        <f t="shared" si="7"/>
        <v>882.33</v>
      </c>
      <c r="M324" s="10">
        <f>IFERROR(__xludf.DUMMYFUNCTION("""COMPUTED_VALUE"""),38449.666666666664)</f>
        <v>38449.66667</v>
      </c>
      <c r="N324" s="2">
        <f>IFERROR(__xludf.DUMMYFUNCTION("""COMPUTED_VALUE"""),2018.79)</f>
        <v>2018.79</v>
      </c>
      <c r="S324" s="15"/>
    </row>
    <row r="325">
      <c r="A325" s="10">
        <f t="shared" si="8"/>
        <v>38307.66667</v>
      </c>
      <c r="B325" s="2" t="str">
        <f t="shared" si="2"/>
        <v/>
      </c>
      <c r="C325" s="2" t="str">
        <f t="shared" si="3"/>
        <v>SP500</v>
      </c>
      <c r="D325" s="2">
        <f t="shared" si="4"/>
        <v>2078.62</v>
      </c>
      <c r="E325" s="2">
        <f t="shared" si="5"/>
        <v>2078.62</v>
      </c>
      <c r="G325" s="10">
        <f t="shared" si="9"/>
        <v>38307.64583</v>
      </c>
      <c r="H325" s="6">
        <f t="shared" si="6"/>
        <v>876.61</v>
      </c>
      <c r="I325" s="2">
        <f t="shared" si="7"/>
        <v>876.61</v>
      </c>
      <c r="M325" s="10">
        <f>IFERROR(__xludf.DUMMYFUNCTION("""COMPUTED_VALUE"""),38450.666666666664)</f>
        <v>38450.66667</v>
      </c>
      <c r="N325" s="2">
        <f>IFERROR(__xludf.DUMMYFUNCTION("""COMPUTED_VALUE"""),1999.35)</f>
        <v>1999.35</v>
      </c>
      <c r="S325" s="15"/>
    </row>
    <row r="326">
      <c r="A326" s="10">
        <f t="shared" si="8"/>
        <v>38308.66667</v>
      </c>
      <c r="B326" s="2" t="str">
        <f t="shared" si="2"/>
        <v/>
      </c>
      <c r="C326" s="2" t="str">
        <f t="shared" si="3"/>
        <v>SP500</v>
      </c>
      <c r="D326" s="2">
        <f t="shared" si="4"/>
        <v>2099.68</v>
      </c>
      <c r="E326" s="2">
        <f t="shared" si="5"/>
        <v>2099.68</v>
      </c>
      <c r="G326" s="10">
        <f t="shared" si="9"/>
        <v>38308.64583</v>
      </c>
      <c r="H326" s="6">
        <f t="shared" si="6"/>
        <v>885.42</v>
      </c>
      <c r="I326" s="2">
        <f t="shared" si="7"/>
        <v>885.42</v>
      </c>
      <c r="M326" s="10">
        <f>IFERROR(__xludf.DUMMYFUNCTION("""COMPUTED_VALUE"""),38453.666666666664)</f>
        <v>38453.66667</v>
      </c>
      <c r="N326" s="2">
        <f>IFERROR(__xludf.DUMMYFUNCTION("""COMPUTED_VALUE"""),1992.12)</f>
        <v>1992.12</v>
      </c>
      <c r="S326" s="15"/>
    </row>
    <row r="327">
      <c r="A327" s="10">
        <f t="shared" si="8"/>
        <v>38309.66667</v>
      </c>
      <c r="B327" s="2" t="str">
        <f t="shared" si="2"/>
        <v/>
      </c>
      <c r="C327" s="2" t="str">
        <f t="shared" si="3"/>
        <v>SP500</v>
      </c>
      <c r="D327" s="2">
        <f t="shared" si="4"/>
        <v>2104.28</v>
      </c>
      <c r="E327" s="2">
        <f t="shared" si="5"/>
        <v>2104.28</v>
      </c>
      <c r="G327" s="10">
        <f t="shared" si="9"/>
        <v>38309.64583</v>
      </c>
      <c r="H327" s="6">
        <f t="shared" si="6"/>
        <v>875.84</v>
      </c>
      <c r="I327" s="2">
        <f t="shared" si="7"/>
        <v>875.84</v>
      </c>
      <c r="M327" s="10">
        <f>IFERROR(__xludf.DUMMYFUNCTION("""COMPUTED_VALUE"""),38454.666666666664)</f>
        <v>38454.66667</v>
      </c>
      <c r="N327" s="2">
        <f>IFERROR(__xludf.DUMMYFUNCTION("""COMPUTED_VALUE"""),2005.4)</f>
        <v>2005.4</v>
      </c>
      <c r="S327" s="15"/>
    </row>
    <row r="328">
      <c r="A328" s="10">
        <f t="shared" si="8"/>
        <v>38310.66667</v>
      </c>
      <c r="B328" s="2" t="str">
        <f t="shared" si="2"/>
        <v/>
      </c>
      <c r="C328" s="2" t="str">
        <f t="shared" si="3"/>
        <v>SP500</v>
      </c>
      <c r="D328" s="2">
        <f t="shared" si="4"/>
        <v>2070.63</v>
      </c>
      <c r="E328" s="2">
        <f t="shared" si="5"/>
        <v>2070.63</v>
      </c>
      <c r="G328" s="10">
        <f t="shared" si="9"/>
        <v>38310.64583</v>
      </c>
      <c r="H328" s="6">
        <f t="shared" si="6"/>
        <v>867.03</v>
      </c>
      <c r="I328" s="2">
        <f t="shared" si="7"/>
        <v>867.03</v>
      </c>
      <c r="M328" s="10">
        <f>IFERROR(__xludf.DUMMYFUNCTION("""COMPUTED_VALUE"""),38455.666666666664)</f>
        <v>38455.66667</v>
      </c>
      <c r="N328" s="2">
        <f>IFERROR(__xludf.DUMMYFUNCTION("""COMPUTED_VALUE"""),1974.37)</f>
        <v>1974.37</v>
      </c>
      <c r="S328" s="15"/>
    </row>
    <row r="329">
      <c r="A329" s="10">
        <f t="shared" si="8"/>
        <v>38311.66667</v>
      </c>
      <c r="B329" s="2" t="str">
        <f t="shared" si="2"/>
        <v/>
      </c>
      <c r="C329" s="2" t="str">
        <f t="shared" si="3"/>
        <v>SP500</v>
      </c>
      <c r="D329" s="2" t="str">
        <f t="shared" si="4"/>
        <v/>
      </c>
      <c r="E329" s="2">
        <f t="shared" si="5"/>
        <v>2070.63</v>
      </c>
      <c r="G329" s="10">
        <f t="shared" si="9"/>
        <v>38311.64583</v>
      </c>
      <c r="H329" s="6" t="str">
        <f t="shared" si="6"/>
        <v/>
      </c>
      <c r="I329" s="2">
        <f t="shared" si="7"/>
        <v>867.03</v>
      </c>
      <c r="M329" s="10">
        <f>IFERROR(__xludf.DUMMYFUNCTION("""COMPUTED_VALUE"""),38456.666666666664)</f>
        <v>38456.66667</v>
      </c>
      <c r="N329" s="2">
        <f>IFERROR(__xludf.DUMMYFUNCTION("""COMPUTED_VALUE"""),1946.71)</f>
        <v>1946.71</v>
      </c>
      <c r="S329" s="15"/>
    </row>
    <row r="330">
      <c r="A330" s="10">
        <f t="shared" si="8"/>
        <v>38312.66667</v>
      </c>
      <c r="B330" s="2" t="str">
        <f t="shared" si="2"/>
        <v/>
      </c>
      <c r="C330" s="2" t="str">
        <f t="shared" si="3"/>
        <v>SP500</v>
      </c>
      <c r="D330" s="2" t="str">
        <f t="shared" si="4"/>
        <v/>
      </c>
      <c r="E330" s="2">
        <f t="shared" si="5"/>
        <v>2070.63</v>
      </c>
      <c r="G330" s="10">
        <f t="shared" si="9"/>
        <v>38312.64583</v>
      </c>
      <c r="H330" s="6" t="str">
        <f t="shared" si="6"/>
        <v/>
      </c>
      <c r="I330" s="2">
        <f t="shared" si="7"/>
        <v>867.03</v>
      </c>
      <c r="M330" s="10">
        <f>IFERROR(__xludf.DUMMYFUNCTION("""COMPUTED_VALUE"""),38457.666666666664)</f>
        <v>38457.66667</v>
      </c>
      <c r="N330" s="2">
        <f>IFERROR(__xludf.DUMMYFUNCTION("""COMPUTED_VALUE"""),1908.15)</f>
        <v>1908.15</v>
      </c>
      <c r="S330" s="15"/>
    </row>
    <row r="331">
      <c r="A331" s="10">
        <f t="shared" si="8"/>
        <v>38313.66667</v>
      </c>
      <c r="B331" s="2" t="str">
        <f t="shared" si="2"/>
        <v/>
      </c>
      <c r="C331" s="2" t="str">
        <f t="shared" si="3"/>
        <v>SP500</v>
      </c>
      <c r="D331" s="2">
        <f t="shared" si="4"/>
        <v>2085.19</v>
      </c>
      <c r="E331" s="2">
        <f t="shared" si="5"/>
        <v>2085.19</v>
      </c>
      <c r="G331" s="10">
        <f t="shared" si="9"/>
        <v>38313.64583</v>
      </c>
      <c r="H331" s="6">
        <f t="shared" si="6"/>
        <v>849.99</v>
      </c>
      <c r="I331" s="2">
        <f t="shared" si="7"/>
        <v>849.99</v>
      </c>
      <c r="M331" s="10">
        <f>IFERROR(__xludf.DUMMYFUNCTION("""COMPUTED_VALUE"""),38460.666666666664)</f>
        <v>38460.66667</v>
      </c>
      <c r="N331" s="2">
        <f>IFERROR(__xludf.DUMMYFUNCTION("""COMPUTED_VALUE"""),1912.92)</f>
        <v>1912.92</v>
      </c>
      <c r="S331" s="15"/>
    </row>
    <row r="332">
      <c r="A332" s="10">
        <f t="shared" si="8"/>
        <v>38314.66667</v>
      </c>
      <c r="B332" s="2" t="str">
        <f t="shared" si="2"/>
        <v/>
      </c>
      <c r="C332" s="2" t="str">
        <f t="shared" si="3"/>
        <v>SP500</v>
      </c>
      <c r="D332" s="2">
        <f t="shared" si="4"/>
        <v>2084.28</v>
      </c>
      <c r="E332" s="2">
        <f t="shared" si="5"/>
        <v>2084.28</v>
      </c>
      <c r="G332" s="10">
        <f t="shared" si="9"/>
        <v>38314.64583</v>
      </c>
      <c r="H332" s="6">
        <f t="shared" si="6"/>
        <v>860.4</v>
      </c>
      <c r="I332" s="2">
        <f t="shared" si="7"/>
        <v>860.4</v>
      </c>
      <c r="M332" s="10">
        <f>IFERROR(__xludf.DUMMYFUNCTION("""COMPUTED_VALUE"""),38461.666666666664)</f>
        <v>38461.66667</v>
      </c>
      <c r="N332" s="2">
        <f>IFERROR(__xludf.DUMMYFUNCTION("""COMPUTED_VALUE"""),1932.36)</f>
        <v>1932.36</v>
      </c>
      <c r="S332" s="15"/>
    </row>
    <row r="333">
      <c r="A333" s="10">
        <f t="shared" si="8"/>
        <v>38315.66667</v>
      </c>
      <c r="B333" s="2" t="str">
        <f t="shared" si="2"/>
        <v/>
      </c>
      <c r="C333" s="2" t="str">
        <f t="shared" si="3"/>
        <v>SP500</v>
      </c>
      <c r="D333" s="2">
        <f t="shared" si="4"/>
        <v>2102.54</v>
      </c>
      <c r="E333" s="2">
        <f t="shared" si="5"/>
        <v>2102.54</v>
      </c>
      <c r="G333" s="10">
        <f t="shared" si="9"/>
        <v>38315.64583</v>
      </c>
      <c r="H333" s="6">
        <f t="shared" si="6"/>
        <v>872.56</v>
      </c>
      <c r="I333" s="2">
        <f t="shared" si="7"/>
        <v>872.56</v>
      </c>
      <c r="M333" s="10">
        <f>IFERROR(__xludf.DUMMYFUNCTION("""COMPUTED_VALUE"""),38462.666666666664)</f>
        <v>38462.66667</v>
      </c>
      <c r="N333" s="2">
        <f>IFERROR(__xludf.DUMMYFUNCTION("""COMPUTED_VALUE"""),1913.76)</f>
        <v>1913.76</v>
      </c>
      <c r="S333" s="15"/>
    </row>
    <row r="334">
      <c r="A334" s="10">
        <f t="shared" si="8"/>
        <v>38316.66667</v>
      </c>
      <c r="B334" s="2" t="str">
        <f t="shared" si="2"/>
        <v/>
      </c>
      <c r="C334" s="2" t="str">
        <f t="shared" si="3"/>
        <v>SP500</v>
      </c>
      <c r="D334" s="2" t="str">
        <f t="shared" si="4"/>
        <v/>
      </c>
      <c r="E334" s="2">
        <f t="shared" si="5"/>
        <v>2102.54</v>
      </c>
      <c r="G334" s="10">
        <f t="shared" si="9"/>
        <v>38316.64583</v>
      </c>
      <c r="H334" s="6">
        <f t="shared" si="6"/>
        <v>872.49</v>
      </c>
      <c r="I334" s="2">
        <f t="shared" si="7"/>
        <v>872.49</v>
      </c>
      <c r="M334" s="10">
        <f>IFERROR(__xludf.DUMMYFUNCTION("""COMPUTED_VALUE"""),38463.666666666664)</f>
        <v>38463.66667</v>
      </c>
      <c r="N334" s="2">
        <f>IFERROR(__xludf.DUMMYFUNCTION("""COMPUTED_VALUE"""),1962.41)</f>
        <v>1962.41</v>
      </c>
      <c r="S334" s="15"/>
    </row>
    <row r="335">
      <c r="A335" s="10">
        <f t="shared" si="8"/>
        <v>38317.66667</v>
      </c>
      <c r="B335" s="2" t="str">
        <f t="shared" si="2"/>
        <v/>
      </c>
      <c r="C335" s="2" t="str">
        <f t="shared" si="3"/>
        <v>SP500</v>
      </c>
      <c r="D335" s="2">
        <f t="shared" si="4"/>
        <v>2101.97</v>
      </c>
      <c r="E335" s="2">
        <f t="shared" si="5"/>
        <v>2101.97</v>
      </c>
      <c r="G335" s="10">
        <f t="shared" si="9"/>
        <v>38317.64583</v>
      </c>
      <c r="H335" s="6">
        <f t="shared" si="6"/>
        <v>858.12</v>
      </c>
      <c r="I335" s="2">
        <f t="shared" si="7"/>
        <v>858.12</v>
      </c>
      <c r="M335" s="10">
        <f>IFERROR(__xludf.DUMMYFUNCTION("""COMPUTED_VALUE"""),38464.666666666664)</f>
        <v>38464.66667</v>
      </c>
      <c r="N335" s="2">
        <f>IFERROR(__xludf.DUMMYFUNCTION("""COMPUTED_VALUE"""),1932.19)</f>
        <v>1932.19</v>
      </c>
      <c r="S335" s="15"/>
    </row>
    <row r="336">
      <c r="A336" s="10">
        <f t="shared" si="8"/>
        <v>38318.66667</v>
      </c>
      <c r="B336" s="2" t="str">
        <f t="shared" si="2"/>
        <v/>
      </c>
      <c r="C336" s="2" t="str">
        <f t="shared" si="3"/>
        <v>SP500</v>
      </c>
      <c r="D336" s="2" t="str">
        <f t="shared" si="4"/>
        <v/>
      </c>
      <c r="E336" s="2">
        <f t="shared" si="5"/>
        <v>2101.97</v>
      </c>
      <c r="G336" s="10">
        <f t="shared" si="9"/>
        <v>38318.64583</v>
      </c>
      <c r="H336" s="6" t="str">
        <f t="shared" si="6"/>
        <v/>
      </c>
      <c r="I336" s="2">
        <f t="shared" si="7"/>
        <v>858.12</v>
      </c>
      <c r="M336" s="10">
        <f>IFERROR(__xludf.DUMMYFUNCTION("""COMPUTED_VALUE"""),38467.666666666664)</f>
        <v>38467.66667</v>
      </c>
      <c r="N336" s="2">
        <f>IFERROR(__xludf.DUMMYFUNCTION("""COMPUTED_VALUE"""),1950.78)</f>
        <v>1950.78</v>
      </c>
      <c r="S336" s="15"/>
    </row>
    <row r="337">
      <c r="A337" s="10">
        <f t="shared" si="8"/>
        <v>38319.66667</v>
      </c>
      <c r="B337" s="2" t="str">
        <f t="shared" si="2"/>
        <v/>
      </c>
      <c r="C337" s="2" t="str">
        <f t="shared" si="3"/>
        <v>SP500</v>
      </c>
      <c r="D337" s="2" t="str">
        <f t="shared" si="4"/>
        <v/>
      </c>
      <c r="E337" s="2">
        <f t="shared" si="5"/>
        <v>2101.97</v>
      </c>
      <c r="G337" s="10">
        <f t="shared" si="9"/>
        <v>38319.64583</v>
      </c>
      <c r="H337" s="6" t="str">
        <f t="shared" si="6"/>
        <v/>
      </c>
      <c r="I337" s="2">
        <f t="shared" si="7"/>
        <v>858.12</v>
      </c>
      <c r="M337" s="10">
        <f>IFERROR(__xludf.DUMMYFUNCTION("""COMPUTED_VALUE"""),38468.666666666664)</f>
        <v>38468.66667</v>
      </c>
      <c r="N337" s="2">
        <f>IFERROR(__xludf.DUMMYFUNCTION("""COMPUTED_VALUE"""),1927.44)</f>
        <v>1927.44</v>
      </c>
      <c r="S337" s="15"/>
    </row>
    <row r="338">
      <c r="A338" s="10">
        <f t="shared" si="8"/>
        <v>38320.66667</v>
      </c>
      <c r="B338" s="2" t="str">
        <f t="shared" si="2"/>
        <v/>
      </c>
      <c r="C338" s="2" t="str">
        <f t="shared" si="3"/>
        <v>SP500</v>
      </c>
      <c r="D338" s="2">
        <f t="shared" si="4"/>
        <v>2106.87</v>
      </c>
      <c r="E338" s="2">
        <f t="shared" si="5"/>
        <v>2106.87</v>
      </c>
      <c r="G338" s="10">
        <f t="shared" si="9"/>
        <v>38320.64583</v>
      </c>
      <c r="H338" s="6">
        <f t="shared" si="6"/>
        <v>865.4</v>
      </c>
      <c r="I338" s="2">
        <f t="shared" si="7"/>
        <v>865.4</v>
      </c>
      <c r="M338" s="10">
        <f>IFERROR(__xludf.DUMMYFUNCTION("""COMPUTED_VALUE"""),38469.666666666664)</f>
        <v>38469.66667</v>
      </c>
      <c r="N338" s="2">
        <f>IFERROR(__xludf.DUMMYFUNCTION("""COMPUTED_VALUE"""),1930.43)</f>
        <v>1930.43</v>
      </c>
      <c r="S338" s="15"/>
    </row>
    <row r="339">
      <c r="A339" s="10">
        <f t="shared" si="8"/>
        <v>38321.66667</v>
      </c>
      <c r="B339" s="2" t="str">
        <f t="shared" si="2"/>
        <v/>
      </c>
      <c r="C339" s="2" t="str">
        <f t="shared" si="3"/>
        <v>SP500</v>
      </c>
      <c r="D339" s="2">
        <f t="shared" si="4"/>
        <v>2096.81</v>
      </c>
      <c r="E339" s="2">
        <f t="shared" si="5"/>
        <v>2096.81</v>
      </c>
      <c r="G339" s="10">
        <f t="shared" si="9"/>
        <v>38321.64583</v>
      </c>
      <c r="H339" s="6">
        <f t="shared" si="6"/>
        <v>878.06</v>
      </c>
      <c r="I339" s="2">
        <f t="shared" si="7"/>
        <v>878.06</v>
      </c>
      <c r="M339" s="10">
        <f>IFERROR(__xludf.DUMMYFUNCTION("""COMPUTED_VALUE"""),38470.666666666664)</f>
        <v>38470.66667</v>
      </c>
      <c r="N339" s="2">
        <f>IFERROR(__xludf.DUMMYFUNCTION("""COMPUTED_VALUE"""),1904.18)</f>
        <v>1904.18</v>
      </c>
      <c r="S339" s="15"/>
    </row>
    <row r="340">
      <c r="A340" s="10">
        <f t="shared" si="8"/>
        <v>38322.66667</v>
      </c>
      <c r="B340" s="2" t="str">
        <f t="shared" si="2"/>
        <v/>
      </c>
      <c r="C340" s="2" t="str">
        <f t="shared" si="3"/>
        <v>SP500</v>
      </c>
      <c r="D340" s="2">
        <f t="shared" si="4"/>
        <v>2138.23</v>
      </c>
      <c r="E340" s="2">
        <f t="shared" si="5"/>
        <v>2138.23</v>
      </c>
      <c r="G340" s="10">
        <f t="shared" si="9"/>
        <v>38322.64583</v>
      </c>
      <c r="H340" s="6">
        <f t="shared" si="6"/>
        <v>876.8</v>
      </c>
      <c r="I340" s="2">
        <f t="shared" si="7"/>
        <v>876.8</v>
      </c>
      <c r="M340" s="10">
        <f>IFERROR(__xludf.DUMMYFUNCTION("""COMPUTED_VALUE"""),38471.666666666664)</f>
        <v>38471.66667</v>
      </c>
      <c r="N340" s="2">
        <f>IFERROR(__xludf.DUMMYFUNCTION("""COMPUTED_VALUE"""),1921.65)</f>
        <v>1921.65</v>
      </c>
      <c r="S340" s="15"/>
    </row>
    <row r="341">
      <c r="A341" s="10">
        <f t="shared" si="8"/>
        <v>38323.66667</v>
      </c>
      <c r="B341" s="2" t="str">
        <f t="shared" si="2"/>
        <v/>
      </c>
      <c r="C341" s="2" t="str">
        <f t="shared" si="3"/>
        <v>SP500</v>
      </c>
      <c r="D341" s="2">
        <f t="shared" si="4"/>
        <v>2153.29</v>
      </c>
      <c r="E341" s="2">
        <f t="shared" si="5"/>
        <v>2153.29</v>
      </c>
      <c r="G341" s="10">
        <f t="shared" si="9"/>
        <v>38323.64583</v>
      </c>
      <c r="H341" s="6">
        <f t="shared" si="6"/>
        <v>884.1</v>
      </c>
      <c r="I341" s="2">
        <f t="shared" si="7"/>
        <v>884.1</v>
      </c>
      <c r="M341" s="10">
        <f>IFERROR(__xludf.DUMMYFUNCTION("""COMPUTED_VALUE"""),38474.666666666664)</f>
        <v>38474.66667</v>
      </c>
      <c r="N341" s="2">
        <f>IFERROR(__xludf.DUMMYFUNCTION("""COMPUTED_VALUE"""),1928.65)</f>
        <v>1928.65</v>
      </c>
      <c r="S341" s="15"/>
    </row>
    <row r="342">
      <c r="A342" s="10">
        <f t="shared" si="8"/>
        <v>38324.66667</v>
      </c>
      <c r="B342" s="2" t="str">
        <f t="shared" si="2"/>
        <v/>
      </c>
      <c r="C342" s="2" t="str">
        <f t="shared" si="3"/>
        <v>SP500</v>
      </c>
      <c r="D342" s="2">
        <f t="shared" si="4"/>
        <v>2145.43</v>
      </c>
      <c r="E342" s="2">
        <f t="shared" si="5"/>
        <v>2145.43</v>
      </c>
      <c r="G342" s="10">
        <f t="shared" si="9"/>
        <v>38324.64583</v>
      </c>
      <c r="H342" s="6">
        <f t="shared" si="6"/>
        <v>882.55</v>
      </c>
      <c r="I342" s="2">
        <f t="shared" si="7"/>
        <v>882.55</v>
      </c>
      <c r="M342" s="10">
        <f>IFERROR(__xludf.DUMMYFUNCTION("""COMPUTED_VALUE"""),38475.666666666664)</f>
        <v>38475.66667</v>
      </c>
      <c r="N342" s="2">
        <f>IFERROR(__xludf.DUMMYFUNCTION("""COMPUTED_VALUE"""),1933.07)</f>
        <v>1933.07</v>
      </c>
      <c r="S342" s="15"/>
    </row>
    <row r="343">
      <c r="A343" s="10">
        <f t="shared" si="8"/>
        <v>38325.66667</v>
      </c>
      <c r="B343" s="2" t="str">
        <f t="shared" si="2"/>
        <v/>
      </c>
      <c r="C343" s="2" t="str">
        <f t="shared" si="3"/>
        <v>SP500</v>
      </c>
      <c r="D343" s="2" t="str">
        <f t="shared" si="4"/>
        <v/>
      </c>
      <c r="E343" s="2">
        <f t="shared" si="5"/>
        <v>2145.43</v>
      </c>
      <c r="G343" s="10">
        <f t="shared" si="9"/>
        <v>38325.64583</v>
      </c>
      <c r="H343" s="6" t="str">
        <f t="shared" si="6"/>
        <v/>
      </c>
      <c r="I343" s="2">
        <f t="shared" si="7"/>
        <v>882.55</v>
      </c>
      <c r="M343" s="10">
        <f>IFERROR(__xludf.DUMMYFUNCTION("""COMPUTED_VALUE"""),38476.666666666664)</f>
        <v>38476.66667</v>
      </c>
      <c r="N343" s="2">
        <f>IFERROR(__xludf.DUMMYFUNCTION("""COMPUTED_VALUE"""),1962.23)</f>
        <v>1962.23</v>
      </c>
      <c r="S343" s="15"/>
    </row>
    <row r="344">
      <c r="A344" s="10">
        <f t="shared" si="8"/>
        <v>38326.66667</v>
      </c>
      <c r="B344" s="2" t="str">
        <f t="shared" si="2"/>
        <v/>
      </c>
      <c r="C344" s="2" t="str">
        <f t="shared" si="3"/>
        <v>SP500</v>
      </c>
      <c r="D344" s="2" t="str">
        <f t="shared" si="4"/>
        <v/>
      </c>
      <c r="E344" s="2">
        <f t="shared" si="5"/>
        <v>2145.43</v>
      </c>
      <c r="G344" s="10">
        <f t="shared" si="9"/>
        <v>38326.64583</v>
      </c>
      <c r="H344" s="6" t="str">
        <f t="shared" si="6"/>
        <v/>
      </c>
      <c r="I344" s="2">
        <f t="shared" si="7"/>
        <v>882.55</v>
      </c>
      <c r="M344" s="10">
        <f>IFERROR(__xludf.DUMMYFUNCTION("""COMPUTED_VALUE"""),38477.666666666664)</f>
        <v>38477.66667</v>
      </c>
      <c r="N344" s="2">
        <f>IFERROR(__xludf.DUMMYFUNCTION("""COMPUTED_VALUE"""),1961.8)</f>
        <v>1961.8</v>
      </c>
      <c r="S344" s="15"/>
    </row>
    <row r="345">
      <c r="A345" s="10">
        <f t="shared" si="8"/>
        <v>38327.66667</v>
      </c>
      <c r="B345" s="2" t="str">
        <f t="shared" si="2"/>
        <v/>
      </c>
      <c r="C345" s="2" t="str">
        <f t="shared" si="3"/>
        <v>SP500</v>
      </c>
      <c r="D345" s="2">
        <f t="shared" si="4"/>
        <v>2154.13</v>
      </c>
      <c r="E345" s="2">
        <f t="shared" si="5"/>
        <v>2154.13</v>
      </c>
      <c r="G345" s="10">
        <f t="shared" si="9"/>
        <v>38327.64583</v>
      </c>
      <c r="H345" s="6">
        <f t="shared" si="6"/>
        <v>870.75</v>
      </c>
      <c r="I345" s="2">
        <f t="shared" si="7"/>
        <v>870.75</v>
      </c>
      <c r="M345" s="10">
        <f>IFERROR(__xludf.DUMMYFUNCTION("""COMPUTED_VALUE"""),38478.666666666664)</f>
        <v>38478.66667</v>
      </c>
      <c r="N345" s="2">
        <f>IFERROR(__xludf.DUMMYFUNCTION("""COMPUTED_VALUE"""),1967.35)</f>
        <v>1967.35</v>
      </c>
      <c r="S345" s="15"/>
    </row>
    <row r="346">
      <c r="A346" s="10">
        <f t="shared" si="8"/>
        <v>38328.66667</v>
      </c>
      <c r="B346" s="2" t="str">
        <f t="shared" si="2"/>
        <v/>
      </c>
      <c r="C346" s="2" t="str">
        <f t="shared" si="3"/>
        <v>SP500</v>
      </c>
      <c r="D346" s="2">
        <f t="shared" si="4"/>
        <v>2118.14</v>
      </c>
      <c r="E346" s="2">
        <f t="shared" si="5"/>
        <v>2118.14</v>
      </c>
      <c r="G346" s="10">
        <f t="shared" si="9"/>
        <v>38328.64583</v>
      </c>
      <c r="H346" s="6">
        <f t="shared" si="6"/>
        <v>861.07</v>
      </c>
      <c r="I346" s="2">
        <f t="shared" si="7"/>
        <v>861.07</v>
      </c>
      <c r="M346" s="10">
        <f>IFERROR(__xludf.DUMMYFUNCTION("""COMPUTED_VALUE"""),38481.666666666664)</f>
        <v>38481.66667</v>
      </c>
      <c r="N346" s="2">
        <f>IFERROR(__xludf.DUMMYFUNCTION("""COMPUTED_VALUE"""),1979.67)</f>
        <v>1979.67</v>
      </c>
      <c r="S346" s="15"/>
    </row>
    <row r="347">
      <c r="A347" s="10">
        <f t="shared" si="8"/>
        <v>38329.66667</v>
      </c>
      <c r="B347" s="2" t="str">
        <f t="shared" si="2"/>
        <v/>
      </c>
      <c r="C347" s="2" t="str">
        <f t="shared" si="3"/>
        <v>SP500</v>
      </c>
      <c r="D347" s="2">
        <f t="shared" si="4"/>
        <v>2109.55</v>
      </c>
      <c r="E347" s="2">
        <f t="shared" si="5"/>
        <v>2109.55</v>
      </c>
      <c r="G347" s="10">
        <f t="shared" si="9"/>
        <v>38329.64583</v>
      </c>
      <c r="H347" s="6">
        <f t="shared" si="6"/>
        <v>871.74</v>
      </c>
      <c r="I347" s="2">
        <f t="shared" si="7"/>
        <v>871.74</v>
      </c>
      <c r="M347" s="10">
        <f>IFERROR(__xludf.DUMMYFUNCTION("""COMPUTED_VALUE"""),38482.666666666664)</f>
        <v>38482.66667</v>
      </c>
      <c r="N347" s="2">
        <f>IFERROR(__xludf.DUMMYFUNCTION("""COMPUTED_VALUE"""),1962.77)</f>
        <v>1962.77</v>
      </c>
      <c r="S347" s="15"/>
    </row>
    <row r="348">
      <c r="A348" s="10">
        <f t="shared" si="8"/>
        <v>38330.66667</v>
      </c>
      <c r="B348" s="2" t="str">
        <f t="shared" si="2"/>
        <v/>
      </c>
      <c r="C348" s="2" t="str">
        <f t="shared" si="3"/>
        <v>SP500</v>
      </c>
      <c r="D348" s="2">
        <f t="shared" si="4"/>
        <v>2129.01</v>
      </c>
      <c r="E348" s="2">
        <f t="shared" si="5"/>
        <v>2129.01</v>
      </c>
      <c r="G348" s="10">
        <f t="shared" si="9"/>
        <v>38330.64583</v>
      </c>
      <c r="H348" s="6">
        <f t="shared" si="6"/>
        <v>861.31</v>
      </c>
      <c r="I348" s="2">
        <f t="shared" si="7"/>
        <v>861.31</v>
      </c>
      <c r="M348" s="10">
        <f>IFERROR(__xludf.DUMMYFUNCTION("""COMPUTED_VALUE"""),38483.666666666664)</f>
        <v>38483.66667</v>
      </c>
      <c r="N348" s="2">
        <f>IFERROR(__xludf.DUMMYFUNCTION("""COMPUTED_VALUE"""),1971.55)</f>
        <v>1971.55</v>
      </c>
      <c r="S348" s="15"/>
    </row>
    <row r="349">
      <c r="A349" s="10">
        <f t="shared" si="8"/>
        <v>38331.66667</v>
      </c>
      <c r="B349" s="2" t="str">
        <f t="shared" si="2"/>
        <v/>
      </c>
      <c r="C349" s="2" t="str">
        <f t="shared" si="3"/>
        <v>SP500</v>
      </c>
      <c r="D349" s="2">
        <f t="shared" si="4"/>
        <v>2128.07</v>
      </c>
      <c r="E349" s="2">
        <f t="shared" si="5"/>
        <v>2128.07</v>
      </c>
      <c r="G349" s="10">
        <f t="shared" si="9"/>
        <v>38331.64583</v>
      </c>
      <c r="H349" s="6">
        <f t="shared" si="6"/>
        <v>844.85</v>
      </c>
      <c r="I349" s="2">
        <f t="shared" si="7"/>
        <v>844.85</v>
      </c>
      <c r="M349" s="10">
        <f>IFERROR(__xludf.DUMMYFUNCTION("""COMPUTED_VALUE"""),38484.666666666664)</f>
        <v>38484.66667</v>
      </c>
      <c r="N349" s="2">
        <f>IFERROR(__xludf.DUMMYFUNCTION("""COMPUTED_VALUE"""),1963.88)</f>
        <v>1963.88</v>
      </c>
      <c r="S349" s="15"/>
    </row>
    <row r="350">
      <c r="A350" s="10">
        <f t="shared" si="8"/>
        <v>38332.66667</v>
      </c>
      <c r="B350" s="2" t="str">
        <f t="shared" si="2"/>
        <v/>
      </c>
      <c r="C350" s="2" t="str">
        <f t="shared" si="3"/>
        <v>SP500</v>
      </c>
      <c r="D350" s="2" t="str">
        <f t="shared" si="4"/>
        <v/>
      </c>
      <c r="E350" s="2">
        <f t="shared" si="5"/>
        <v>2128.07</v>
      </c>
      <c r="G350" s="10">
        <f t="shared" si="9"/>
        <v>38332.64583</v>
      </c>
      <c r="H350" s="6" t="str">
        <f t="shared" si="6"/>
        <v/>
      </c>
      <c r="I350" s="2">
        <f t="shared" si="7"/>
        <v>844.85</v>
      </c>
      <c r="M350" s="10">
        <f>IFERROR(__xludf.DUMMYFUNCTION("""COMPUTED_VALUE"""),38485.666666666664)</f>
        <v>38485.66667</v>
      </c>
      <c r="N350" s="2">
        <f>IFERROR(__xludf.DUMMYFUNCTION("""COMPUTED_VALUE"""),1976.78)</f>
        <v>1976.78</v>
      </c>
      <c r="S350" s="15"/>
    </row>
    <row r="351">
      <c r="A351" s="10">
        <f t="shared" si="8"/>
        <v>38333.66667</v>
      </c>
      <c r="B351" s="2" t="str">
        <f t="shared" si="2"/>
        <v/>
      </c>
      <c r="C351" s="2" t="str">
        <f t="shared" si="3"/>
        <v>SP500</v>
      </c>
      <c r="D351" s="2" t="str">
        <f t="shared" si="4"/>
        <v/>
      </c>
      <c r="E351" s="2">
        <f t="shared" si="5"/>
        <v>2128.07</v>
      </c>
      <c r="G351" s="10">
        <f t="shared" si="9"/>
        <v>38333.64583</v>
      </c>
      <c r="H351" s="6" t="str">
        <f t="shared" si="6"/>
        <v/>
      </c>
      <c r="I351" s="2">
        <f t="shared" si="7"/>
        <v>844.85</v>
      </c>
      <c r="M351" s="10">
        <f>IFERROR(__xludf.DUMMYFUNCTION("""COMPUTED_VALUE"""),38488.666666666664)</f>
        <v>38488.66667</v>
      </c>
      <c r="N351" s="2">
        <f>IFERROR(__xludf.DUMMYFUNCTION("""COMPUTED_VALUE"""),1994.43)</f>
        <v>1994.43</v>
      </c>
      <c r="S351" s="15"/>
    </row>
    <row r="352">
      <c r="A352" s="10">
        <f t="shared" si="8"/>
        <v>38334.66667</v>
      </c>
      <c r="B352" s="2" t="str">
        <f t="shared" si="2"/>
        <v/>
      </c>
      <c r="C352" s="2" t="str">
        <f t="shared" si="3"/>
        <v>SP500</v>
      </c>
      <c r="D352" s="2">
        <f t="shared" si="4"/>
        <v>2148.5</v>
      </c>
      <c r="E352" s="2">
        <f t="shared" si="5"/>
        <v>2148.5</v>
      </c>
      <c r="G352" s="10">
        <f t="shared" si="9"/>
        <v>38334.64583</v>
      </c>
      <c r="H352" s="6">
        <f t="shared" si="6"/>
        <v>844.2</v>
      </c>
      <c r="I352" s="2">
        <f t="shared" si="7"/>
        <v>844.2</v>
      </c>
      <c r="M352" s="10">
        <f>IFERROR(__xludf.DUMMYFUNCTION("""COMPUTED_VALUE"""),38489.666666666664)</f>
        <v>38489.66667</v>
      </c>
      <c r="N352" s="2">
        <f>IFERROR(__xludf.DUMMYFUNCTION("""COMPUTED_VALUE"""),2004.15)</f>
        <v>2004.15</v>
      </c>
      <c r="S352" s="15"/>
    </row>
    <row r="353">
      <c r="A353" s="10">
        <f t="shared" si="8"/>
        <v>38335.66667</v>
      </c>
      <c r="B353" s="2" t="str">
        <f t="shared" si="2"/>
        <v/>
      </c>
      <c r="C353" s="2" t="str">
        <f t="shared" si="3"/>
        <v>SP500</v>
      </c>
      <c r="D353" s="2">
        <f t="shared" si="4"/>
        <v>2159.84</v>
      </c>
      <c r="E353" s="2">
        <f t="shared" si="5"/>
        <v>2159.84</v>
      </c>
      <c r="G353" s="10">
        <f t="shared" si="9"/>
        <v>38335.64583</v>
      </c>
      <c r="H353" s="6">
        <f t="shared" si="6"/>
        <v>849.4</v>
      </c>
      <c r="I353" s="2">
        <f t="shared" si="7"/>
        <v>849.4</v>
      </c>
      <c r="M353" s="10">
        <f>IFERROR(__xludf.DUMMYFUNCTION("""COMPUTED_VALUE"""),38490.666666666664)</f>
        <v>38490.66667</v>
      </c>
      <c r="N353" s="2">
        <f>IFERROR(__xludf.DUMMYFUNCTION("""COMPUTED_VALUE"""),2030.65)</f>
        <v>2030.65</v>
      </c>
      <c r="S353" s="15"/>
    </row>
    <row r="354">
      <c r="A354" s="10">
        <f t="shared" si="8"/>
        <v>38336.66667</v>
      </c>
      <c r="B354" s="2" t="str">
        <f t="shared" si="2"/>
        <v/>
      </c>
      <c r="C354" s="2" t="str">
        <f t="shared" si="3"/>
        <v>SP500</v>
      </c>
      <c r="D354" s="2">
        <f t="shared" si="4"/>
        <v>2162.55</v>
      </c>
      <c r="E354" s="2">
        <f t="shared" si="5"/>
        <v>2162.55</v>
      </c>
      <c r="G354" s="10">
        <f t="shared" si="9"/>
        <v>38336.64583</v>
      </c>
      <c r="H354" s="6">
        <f t="shared" si="6"/>
        <v>868.84</v>
      </c>
      <c r="I354" s="2">
        <f t="shared" si="7"/>
        <v>868.84</v>
      </c>
      <c r="M354" s="10">
        <f>IFERROR(__xludf.DUMMYFUNCTION("""COMPUTED_VALUE"""),38491.666666666664)</f>
        <v>38491.66667</v>
      </c>
      <c r="N354" s="2">
        <f>IFERROR(__xludf.DUMMYFUNCTION("""COMPUTED_VALUE"""),2042.58)</f>
        <v>2042.58</v>
      </c>
      <c r="S354" s="15"/>
    </row>
    <row r="355">
      <c r="A355" s="10">
        <f t="shared" si="8"/>
        <v>38337.66667</v>
      </c>
      <c r="B355" s="2" t="str">
        <f t="shared" si="2"/>
        <v/>
      </c>
      <c r="C355" s="2" t="str">
        <f t="shared" si="3"/>
        <v>SP500</v>
      </c>
      <c r="D355" s="2">
        <f t="shared" si="4"/>
        <v>2146.15</v>
      </c>
      <c r="E355" s="2">
        <f t="shared" si="5"/>
        <v>2146.15</v>
      </c>
      <c r="G355" s="10">
        <f t="shared" si="9"/>
        <v>38337.64583</v>
      </c>
      <c r="H355" s="6">
        <f t="shared" si="6"/>
        <v>873.7</v>
      </c>
      <c r="I355" s="2">
        <f t="shared" si="7"/>
        <v>873.7</v>
      </c>
      <c r="M355" s="10">
        <f>IFERROR(__xludf.DUMMYFUNCTION("""COMPUTED_VALUE"""),38492.666666666664)</f>
        <v>38492.66667</v>
      </c>
      <c r="N355" s="2">
        <f>IFERROR(__xludf.DUMMYFUNCTION("""COMPUTED_VALUE"""),2046.42)</f>
        <v>2046.42</v>
      </c>
      <c r="S355" s="15"/>
    </row>
    <row r="356">
      <c r="A356" s="10">
        <f t="shared" si="8"/>
        <v>38338.66667</v>
      </c>
      <c r="B356" s="2" t="str">
        <f t="shared" si="2"/>
        <v/>
      </c>
      <c r="C356" s="2" t="str">
        <f t="shared" si="3"/>
        <v>SP500</v>
      </c>
      <c r="D356" s="2">
        <f t="shared" si="4"/>
        <v>2135.2</v>
      </c>
      <c r="E356" s="2">
        <f t="shared" si="5"/>
        <v>2135.2</v>
      </c>
      <c r="G356" s="10">
        <f t="shared" si="9"/>
        <v>38338.64583</v>
      </c>
      <c r="H356" s="6">
        <f t="shared" si="6"/>
        <v>875.13</v>
      </c>
      <c r="I356" s="2">
        <f t="shared" si="7"/>
        <v>875.13</v>
      </c>
      <c r="M356" s="10">
        <f>IFERROR(__xludf.DUMMYFUNCTION("""COMPUTED_VALUE"""),38495.666666666664)</f>
        <v>38495.66667</v>
      </c>
      <c r="N356" s="2">
        <f>IFERROR(__xludf.DUMMYFUNCTION("""COMPUTED_VALUE"""),2056.65)</f>
        <v>2056.65</v>
      </c>
      <c r="S356" s="15"/>
    </row>
    <row r="357">
      <c r="A357" s="10">
        <f t="shared" si="8"/>
        <v>38339.66667</v>
      </c>
      <c r="B357" s="2" t="str">
        <f t="shared" si="2"/>
        <v/>
      </c>
      <c r="C357" s="2" t="str">
        <f t="shared" si="3"/>
        <v>SP500</v>
      </c>
      <c r="D357" s="2" t="str">
        <f t="shared" si="4"/>
        <v/>
      </c>
      <c r="E357" s="2">
        <f t="shared" si="5"/>
        <v>2135.2</v>
      </c>
      <c r="G357" s="10">
        <f t="shared" si="9"/>
        <v>38339.64583</v>
      </c>
      <c r="H357" s="6" t="str">
        <f t="shared" si="6"/>
        <v/>
      </c>
      <c r="I357" s="2">
        <f t="shared" si="7"/>
        <v>875.13</v>
      </c>
      <c r="M357" s="10">
        <f>IFERROR(__xludf.DUMMYFUNCTION("""COMPUTED_VALUE"""),38496.666666666664)</f>
        <v>38496.66667</v>
      </c>
      <c r="N357" s="2">
        <f>IFERROR(__xludf.DUMMYFUNCTION("""COMPUTED_VALUE"""),2061.62)</f>
        <v>2061.62</v>
      </c>
      <c r="S357" s="15"/>
    </row>
    <row r="358">
      <c r="A358" s="10">
        <f t="shared" si="8"/>
        <v>38340.66667</v>
      </c>
      <c r="B358" s="2" t="str">
        <f t="shared" si="2"/>
        <v/>
      </c>
      <c r="C358" s="2" t="str">
        <f t="shared" si="3"/>
        <v>SP500</v>
      </c>
      <c r="D358" s="2" t="str">
        <f t="shared" si="4"/>
        <v/>
      </c>
      <c r="E358" s="2">
        <f t="shared" si="5"/>
        <v>2135.2</v>
      </c>
      <c r="G358" s="10">
        <f t="shared" si="9"/>
        <v>38340.64583</v>
      </c>
      <c r="H358" s="6" t="str">
        <f t="shared" si="6"/>
        <v/>
      </c>
      <c r="I358" s="2">
        <f t="shared" si="7"/>
        <v>875.13</v>
      </c>
      <c r="M358" s="10">
        <f>IFERROR(__xludf.DUMMYFUNCTION("""COMPUTED_VALUE"""),38497.666666666664)</f>
        <v>38497.66667</v>
      </c>
      <c r="N358" s="2">
        <f>IFERROR(__xludf.DUMMYFUNCTION("""COMPUTED_VALUE"""),2050.12)</f>
        <v>2050.12</v>
      </c>
      <c r="S358" s="15"/>
    </row>
    <row r="359">
      <c r="A359" s="10">
        <f t="shared" si="8"/>
        <v>38341.66667</v>
      </c>
      <c r="B359" s="2" t="str">
        <f t="shared" si="2"/>
        <v/>
      </c>
      <c r="C359" s="2" t="str">
        <f t="shared" si="3"/>
        <v>SP500</v>
      </c>
      <c r="D359" s="2">
        <f t="shared" si="4"/>
        <v>2127.85</v>
      </c>
      <c r="E359" s="2">
        <f t="shared" si="5"/>
        <v>2127.85</v>
      </c>
      <c r="G359" s="10">
        <f t="shared" si="9"/>
        <v>38341.64583</v>
      </c>
      <c r="H359" s="6">
        <f t="shared" si="6"/>
        <v>884.31</v>
      </c>
      <c r="I359" s="2">
        <f t="shared" si="7"/>
        <v>884.31</v>
      </c>
      <c r="M359" s="10">
        <f>IFERROR(__xludf.DUMMYFUNCTION("""COMPUTED_VALUE"""),38498.666666666664)</f>
        <v>38498.66667</v>
      </c>
      <c r="N359" s="2">
        <f>IFERROR(__xludf.DUMMYFUNCTION("""COMPUTED_VALUE"""),2071.24)</f>
        <v>2071.24</v>
      </c>
      <c r="S359" s="15"/>
    </row>
    <row r="360">
      <c r="A360" s="10">
        <f t="shared" si="8"/>
        <v>38342.66667</v>
      </c>
      <c r="B360" s="2" t="str">
        <f t="shared" si="2"/>
        <v/>
      </c>
      <c r="C360" s="2" t="str">
        <f t="shared" si="3"/>
        <v>SP500</v>
      </c>
      <c r="D360" s="2">
        <f t="shared" si="4"/>
        <v>2150.91</v>
      </c>
      <c r="E360" s="2">
        <f t="shared" si="5"/>
        <v>2150.91</v>
      </c>
      <c r="G360" s="10">
        <f t="shared" si="9"/>
        <v>38342.64583</v>
      </c>
      <c r="H360" s="6">
        <f t="shared" si="6"/>
        <v>882.82</v>
      </c>
      <c r="I360" s="2">
        <f t="shared" si="7"/>
        <v>882.82</v>
      </c>
      <c r="M360" s="10">
        <f>IFERROR(__xludf.DUMMYFUNCTION("""COMPUTED_VALUE"""),38499.666666666664)</f>
        <v>38499.66667</v>
      </c>
      <c r="N360" s="2">
        <f>IFERROR(__xludf.DUMMYFUNCTION("""COMPUTED_VALUE"""),2075.73)</f>
        <v>2075.73</v>
      </c>
      <c r="S360" s="15"/>
    </row>
    <row r="361">
      <c r="A361" s="10">
        <f t="shared" si="8"/>
        <v>38343.66667</v>
      </c>
      <c r="B361" s="2" t="str">
        <f t="shared" si="2"/>
        <v/>
      </c>
      <c r="C361" s="2" t="str">
        <f t="shared" si="3"/>
        <v>SP500</v>
      </c>
      <c r="D361" s="2">
        <f t="shared" si="4"/>
        <v>2157.03</v>
      </c>
      <c r="E361" s="2">
        <f t="shared" si="5"/>
        <v>2157.03</v>
      </c>
      <c r="G361" s="10">
        <f t="shared" si="9"/>
        <v>38343.64583</v>
      </c>
      <c r="H361" s="6">
        <f t="shared" si="6"/>
        <v>883.38</v>
      </c>
      <c r="I361" s="2">
        <f t="shared" si="7"/>
        <v>883.38</v>
      </c>
      <c r="M361" s="10">
        <f>IFERROR(__xludf.DUMMYFUNCTION("""COMPUTED_VALUE"""),38503.666666666664)</f>
        <v>38503.66667</v>
      </c>
      <c r="N361" s="2">
        <f>IFERROR(__xludf.DUMMYFUNCTION("""COMPUTED_VALUE"""),2068.22)</f>
        <v>2068.22</v>
      </c>
      <c r="S361" s="15"/>
    </row>
    <row r="362">
      <c r="A362" s="10">
        <f t="shared" si="8"/>
        <v>38344.66667</v>
      </c>
      <c r="B362" s="2" t="str">
        <f t="shared" si="2"/>
        <v/>
      </c>
      <c r="C362" s="2" t="str">
        <f t="shared" si="3"/>
        <v>SP500</v>
      </c>
      <c r="D362" s="2">
        <f t="shared" si="4"/>
        <v>2160.62</v>
      </c>
      <c r="E362" s="2">
        <f t="shared" si="5"/>
        <v>2160.62</v>
      </c>
      <c r="G362" s="10">
        <f t="shared" si="9"/>
        <v>38344.64583</v>
      </c>
      <c r="H362" s="6">
        <f t="shared" si="6"/>
        <v>876.88</v>
      </c>
      <c r="I362" s="2">
        <f t="shared" si="7"/>
        <v>876.88</v>
      </c>
      <c r="M362" s="10">
        <f>IFERROR(__xludf.DUMMYFUNCTION("""COMPUTED_VALUE"""),38504.666666666664)</f>
        <v>38504.66667</v>
      </c>
      <c r="N362" s="2">
        <f>IFERROR(__xludf.DUMMYFUNCTION("""COMPUTED_VALUE"""),2087.86)</f>
        <v>2087.86</v>
      </c>
      <c r="S362" s="15"/>
    </row>
    <row r="363">
      <c r="A363" s="10">
        <f t="shared" si="8"/>
        <v>38345.66667</v>
      </c>
      <c r="B363" s="2" t="str">
        <f t="shared" si="2"/>
        <v/>
      </c>
      <c r="C363" s="2" t="str">
        <f t="shared" si="3"/>
        <v>SP500</v>
      </c>
      <c r="D363" s="2" t="str">
        <f t="shared" si="4"/>
        <v/>
      </c>
      <c r="E363" s="2">
        <f t="shared" si="5"/>
        <v>2160.62</v>
      </c>
      <c r="G363" s="10">
        <f t="shared" si="9"/>
        <v>38345.64583</v>
      </c>
      <c r="H363" s="6">
        <f t="shared" si="6"/>
        <v>879.92</v>
      </c>
      <c r="I363" s="2">
        <f t="shared" si="7"/>
        <v>879.92</v>
      </c>
      <c r="M363" s="10">
        <f>IFERROR(__xludf.DUMMYFUNCTION("""COMPUTED_VALUE"""),38505.666666666664)</f>
        <v>38505.66667</v>
      </c>
      <c r="N363" s="2">
        <f>IFERROR(__xludf.DUMMYFUNCTION("""COMPUTED_VALUE"""),2097.8)</f>
        <v>2097.8</v>
      </c>
      <c r="S363" s="15"/>
    </row>
    <row r="364">
      <c r="A364" s="10">
        <f t="shared" si="8"/>
        <v>38346.66667</v>
      </c>
      <c r="B364" s="2" t="str">
        <f t="shared" si="2"/>
        <v/>
      </c>
      <c r="C364" s="2" t="str">
        <f t="shared" si="3"/>
        <v>SP500</v>
      </c>
      <c r="D364" s="2" t="str">
        <f t="shared" si="4"/>
        <v/>
      </c>
      <c r="E364" s="2">
        <f t="shared" si="5"/>
        <v>2160.62</v>
      </c>
      <c r="G364" s="10">
        <f t="shared" si="9"/>
        <v>38346.64583</v>
      </c>
      <c r="H364" s="6" t="str">
        <f t="shared" si="6"/>
        <v/>
      </c>
      <c r="I364" s="2">
        <f t="shared" si="7"/>
        <v>879.92</v>
      </c>
      <c r="M364" s="10">
        <f>IFERROR(__xludf.DUMMYFUNCTION("""COMPUTED_VALUE"""),38506.666666666664)</f>
        <v>38506.66667</v>
      </c>
      <c r="N364" s="2">
        <f>IFERROR(__xludf.DUMMYFUNCTION("""COMPUTED_VALUE"""),2071.43)</f>
        <v>2071.43</v>
      </c>
      <c r="S364" s="15"/>
    </row>
    <row r="365">
      <c r="A365" s="10">
        <f t="shared" si="8"/>
        <v>38347.66667</v>
      </c>
      <c r="B365" s="2" t="str">
        <f t="shared" si="2"/>
        <v/>
      </c>
      <c r="C365" s="2" t="str">
        <f t="shared" si="3"/>
        <v>SP500</v>
      </c>
      <c r="D365" s="2" t="str">
        <f t="shared" si="4"/>
        <v/>
      </c>
      <c r="E365" s="2">
        <f t="shared" si="5"/>
        <v>2160.62</v>
      </c>
      <c r="G365" s="10">
        <f t="shared" si="9"/>
        <v>38347.64583</v>
      </c>
      <c r="H365" s="6" t="str">
        <f t="shared" si="6"/>
        <v/>
      </c>
      <c r="I365" s="2">
        <f t="shared" si="7"/>
        <v>879.92</v>
      </c>
      <c r="M365" s="10">
        <f>IFERROR(__xludf.DUMMYFUNCTION("""COMPUTED_VALUE"""),38509.666666666664)</f>
        <v>38509.66667</v>
      </c>
      <c r="N365" s="2">
        <f>IFERROR(__xludf.DUMMYFUNCTION("""COMPUTED_VALUE"""),2075.76)</f>
        <v>2075.76</v>
      </c>
      <c r="S365" s="15"/>
    </row>
    <row r="366">
      <c r="A366" s="10">
        <f t="shared" si="8"/>
        <v>38348.66667</v>
      </c>
      <c r="B366" s="2" t="str">
        <f t="shared" si="2"/>
        <v/>
      </c>
      <c r="C366" s="2" t="str">
        <f t="shared" si="3"/>
        <v>SP500</v>
      </c>
      <c r="D366" s="2">
        <f t="shared" si="4"/>
        <v>2154.22</v>
      </c>
      <c r="E366" s="2">
        <f t="shared" si="5"/>
        <v>2154.22</v>
      </c>
      <c r="G366" s="10">
        <f t="shared" si="9"/>
        <v>38348.64583</v>
      </c>
      <c r="H366" s="6">
        <f t="shared" si="6"/>
        <v>876.98</v>
      </c>
      <c r="I366" s="2">
        <f t="shared" si="7"/>
        <v>876.98</v>
      </c>
      <c r="M366" s="10">
        <f>IFERROR(__xludf.DUMMYFUNCTION("""COMPUTED_VALUE"""),38510.666666666664)</f>
        <v>38510.66667</v>
      </c>
      <c r="N366" s="2">
        <f>IFERROR(__xludf.DUMMYFUNCTION("""COMPUTED_VALUE"""),2067.16)</f>
        <v>2067.16</v>
      </c>
      <c r="S366" s="15"/>
    </row>
    <row r="367">
      <c r="A367" s="10">
        <f t="shared" si="8"/>
        <v>38349.66667</v>
      </c>
      <c r="B367" s="2" t="str">
        <f t="shared" si="2"/>
        <v/>
      </c>
      <c r="C367" s="2" t="str">
        <f t="shared" si="3"/>
        <v>SP500</v>
      </c>
      <c r="D367" s="2">
        <f t="shared" si="4"/>
        <v>2177.19</v>
      </c>
      <c r="E367" s="2">
        <f t="shared" si="5"/>
        <v>2177.19</v>
      </c>
      <c r="G367" s="10">
        <f t="shared" si="9"/>
        <v>38349.64583</v>
      </c>
      <c r="H367" s="6">
        <f t="shared" si="6"/>
        <v>878.43</v>
      </c>
      <c r="I367" s="2">
        <f t="shared" si="7"/>
        <v>878.43</v>
      </c>
      <c r="M367" s="10">
        <f>IFERROR(__xludf.DUMMYFUNCTION("""COMPUTED_VALUE"""),38511.666666666664)</f>
        <v>38511.66667</v>
      </c>
      <c r="N367" s="2">
        <f>IFERROR(__xludf.DUMMYFUNCTION("""COMPUTED_VALUE"""),2060.18)</f>
        <v>2060.18</v>
      </c>
      <c r="S367" s="15"/>
    </row>
    <row r="368">
      <c r="A368" s="10">
        <f t="shared" si="8"/>
        <v>38350.66667</v>
      </c>
      <c r="B368" s="2" t="str">
        <f t="shared" si="2"/>
        <v/>
      </c>
      <c r="C368" s="2" t="str">
        <f t="shared" si="3"/>
        <v>SP500</v>
      </c>
      <c r="D368" s="2">
        <f t="shared" si="4"/>
        <v>2177</v>
      </c>
      <c r="E368" s="2">
        <f t="shared" si="5"/>
        <v>2177</v>
      </c>
      <c r="G368" s="10">
        <f t="shared" si="9"/>
        <v>38350.64583</v>
      </c>
      <c r="H368" s="6">
        <f t="shared" si="6"/>
        <v>884.27</v>
      </c>
      <c r="I368" s="2">
        <f t="shared" si="7"/>
        <v>884.27</v>
      </c>
      <c r="M368" s="10">
        <f>IFERROR(__xludf.DUMMYFUNCTION("""COMPUTED_VALUE"""),38512.666666666664)</f>
        <v>38512.66667</v>
      </c>
      <c r="N368" s="2">
        <f>IFERROR(__xludf.DUMMYFUNCTION("""COMPUTED_VALUE"""),2076.91)</f>
        <v>2076.91</v>
      </c>
      <c r="S368" s="15"/>
    </row>
    <row r="369">
      <c r="A369" s="10">
        <f t="shared" si="8"/>
        <v>38351.66667</v>
      </c>
      <c r="B369" s="2" t="str">
        <f t="shared" si="2"/>
        <v/>
      </c>
      <c r="C369" s="2" t="str">
        <f t="shared" si="3"/>
        <v>SP500</v>
      </c>
      <c r="D369" s="2">
        <f t="shared" si="4"/>
        <v>2178.34</v>
      </c>
      <c r="E369" s="2">
        <f t="shared" si="5"/>
        <v>2178.34</v>
      </c>
      <c r="G369" s="10">
        <f t="shared" si="9"/>
        <v>38351.64583</v>
      </c>
      <c r="H369" s="6">
        <f t="shared" si="6"/>
        <v>895.92</v>
      </c>
      <c r="I369" s="2">
        <f t="shared" si="7"/>
        <v>895.92</v>
      </c>
      <c r="M369" s="10">
        <f>IFERROR(__xludf.DUMMYFUNCTION("""COMPUTED_VALUE"""),38513.666666666664)</f>
        <v>38513.66667</v>
      </c>
      <c r="N369" s="2">
        <f>IFERROR(__xludf.DUMMYFUNCTION("""COMPUTED_VALUE"""),2063.0)</f>
        <v>2063</v>
      </c>
      <c r="S369" s="15"/>
    </row>
    <row r="370">
      <c r="A370" s="10">
        <f t="shared" si="8"/>
        <v>38352.66667</v>
      </c>
      <c r="B370" s="2" t="str">
        <f t="shared" si="2"/>
        <v/>
      </c>
      <c r="C370" s="2" t="str">
        <f t="shared" si="3"/>
        <v>SP500</v>
      </c>
      <c r="D370" s="2">
        <f t="shared" si="4"/>
        <v>2175.44</v>
      </c>
      <c r="E370" s="2">
        <f t="shared" si="5"/>
        <v>2175.44</v>
      </c>
      <c r="G370" s="10">
        <f t="shared" si="9"/>
        <v>38352.64583</v>
      </c>
      <c r="H370" s="6" t="str">
        <f t="shared" si="6"/>
        <v/>
      </c>
      <c r="I370" s="2">
        <f t="shared" si="7"/>
        <v>895.92</v>
      </c>
      <c r="M370" s="10">
        <f>IFERROR(__xludf.DUMMYFUNCTION("""COMPUTED_VALUE"""),38516.666666666664)</f>
        <v>38516.66667</v>
      </c>
      <c r="N370" s="2">
        <f>IFERROR(__xludf.DUMMYFUNCTION("""COMPUTED_VALUE"""),2068.96)</f>
        <v>2068.96</v>
      </c>
      <c r="S370" s="15"/>
    </row>
    <row r="371">
      <c r="A371" s="10">
        <f t="shared" si="8"/>
        <v>38353.66667</v>
      </c>
      <c r="B371" s="2" t="str">
        <f t="shared" si="2"/>
        <v/>
      </c>
      <c r="C371" s="2" t="str">
        <f t="shared" si="3"/>
        <v>SP500</v>
      </c>
      <c r="D371" s="2" t="str">
        <f t="shared" si="4"/>
        <v/>
      </c>
      <c r="E371" s="2">
        <f t="shared" si="5"/>
        <v>2175.44</v>
      </c>
      <c r="G371" s="10">
        <f t="shared" si="9"/>
        <v>38353.64583</v>
      </c>
      <c r="H371" s="6" t="str">
        <f t="shared" si="6"/>
        <v/>
      </c>
      <c r="I371" s="2">
        <f t="shared" si="7"/>
        <v>895.92</v>
      </c>
      <c r="M371" s="10">
        <f>IFERROR(__xludf.DUMMYFUNCTION("""COMPUTED_VALUE"""),38517.666666666664)</f>
        <v>38517.66667</v>
      </c>
      <c r="N371" s="2">
        <f>IFERROR(__xludf.DUMMYFUNCTION("""COMPUTED_VALUE"""),2069.04)</f>
        <v>2069.04</v>
      </c>
      <c r="S371" s="15"/>
    </row>
    <row r="372">
      <c r="A372" s="10">
        <f t="shared" si="8"/>
        <v>38354.66667</v>
      </c>
      <c r="B372" s="2" t="str">
        <f t="shared" si="2"/>
        <v/>
      </c>
      <c r="C372" s="2" t="str">
        <f t="shared" si="3"/>
        <v>SP500</v>
      </c>
      <c r="D372" s="2" t="str">
        <f t="shared" si="4"/>
        <v/>
      </c>
      <c r="E372" s="2">
        <f t="shared" si="5"/>
        <v>2175.44</v>
      </c>
      <c r="G372" s="10">
        <f t="shared" si="9"/>
        <v>38354.64583</v>
      </c>
      <c r="H372" s="6" t="str">
        <f t="shared" si="6"/>
        <v/>
      </c>
      <c r="I372" s="2">
        <f t="shared" si="7"/>
        <v>895.92</v>
      </c>
      <c r="M372" s="10">
        <f>IFERROR(__xludf.DUMMYFUNCTION("""COMPUTED_VALUE"""),38518.666666666664)</f>
        <v>38518.66667</v>
      </c>
      <c r="N372" s="2">
        <f>IFERROR(__xludf.DUMMYFUNCTION("""COMPUTED_VALUE"""),2074.92)</f>
        <v>2074.92</v>
      </c>
      <c r="S372" s="15"/>
    </row>
    <row r="373">
      <c r="A373" s="10">
        <f t="shared" si="8"/>
        <v>38355.66667</v>
      </c>
      <c r="B373" s="2" t="str">
        <f t="shared" si="2"/>
        <v/>
      </c>
      <c r="C373" s="2" t="str">
        <f t="shared" si="3"/>
        <v>SP500</v>
      </c>
      <c r="D373" s="2">
        <f t="shared" si="4"/>
        <v>2152.15</v>
      </c>
      <c r="E373" s="2">
        <f t="shared" si="5"/>
        <v>2152.15</v>
      </c>
      <c r="G373" s="10">
        <f t="shared" si="9"/>
        <v>38355.64583</v>
      </c>
      <c r="H373" s="6">
        <f t="shared" si="6"/>
        <v>893.71</v>
      </c>
      <c r="I373" s="2">
        <f t="shared" si="7"/>
        <v>893.71</v>
      </c>
      <c r="M373" s="10">
        <f>IFERROR(__xludf.DUMMYFUNCTION("""COMPUTED_VALUE"""),38519.666666666664)</f>
        <v>38519.66667</v>
      </c>
      <c r="N373" s="2">
        <f>IFERROR(__xludf.DUMMYFUNCTION("""COMPUTED_VALUE"""),2089.15)</f>
        <v>2089.15</v>
      </c>
      <c r="S373" s="15"/>
    </row>
    <row r="374">
      <c r="A374" s="10">
        <f t="shared" si="8"/>
        <v>38356.66667</v>
      </c>
      <c r="B374" s="2" t="str">
        <f t="shared" si="2"/>
        <v/>
      </c>
      <c r="C374" s="2" t="str">
        <f t="shared" si="3"/>
        <v>SP500</v>
      </c>
      <c r="D374" s="2">
        <f t="shared" si="4"/>
        <v>2107.86</v>
      </c>
      <c r="E374" s="2">
        <f t="shared" si="5"/>
        <v>2107.86</v>
      </c>
      <c r="G374" s="10">
        <f t="shared" si="9"/>
        <v>38356.64583</v>
      </c>
      <c r="H374" s="6">
        <f t="shared" si="6"/>
        <v>886.9</v>
      </c>
      <c r="I374" s="2">
        <f t="shared" si="7"/>
        <v>886.9</v>
      </c>
      <c r="M374" s="10">
        <f>IFERROR(__xludf.DUMMYFUNCTION("""COMPUTED_VALUE"""),38520.666666666664)</f>
        <v>38520.66667</v>
      </c>
      <c r="N374" s="2">
        <f>IFERROR(__xludf.DUMMYFUNCTION("""COMPUTED_VALUE"""),2090.11)</f>
        <v>2090.11</v>
      </c>
      <c r="S374" s="15"/>
    </row>
    <row r="375">
      <c r="A375" s="10">
        <f t="shared" si="8"/>
        <v>38357.66667</v>
      </c>
      <c r="B375" s="2" t="str">
        <f t="shared" si="2"/>
        <v/>
      </c>
      <c r="C375" s="2" t="str">
        <f t="shared" si="3"/>
        <v>SP500</v>
      </c>
      <c r="D375" s="2">
        <f t="shared" si="4"/>
        <v>2091.24</v>
      </c>
      <c r="E375" s="2">
        <f t="shared" si="5"/>
        <v>2091.24</v>
      </c>
      <c r="G375" s="10">
        <f t="shared" si="9"/>
        <v>38357.64583</v>
      </c>
      <c r="H375" s="6">
        <f t="shared" si="6"/>
        <v>885.19</v>
      </c>
      <c r="I375" s="2">
        <f t="shared" si="7"/>
        <v>885.19</v>
      </c>
      <c r="M375" s="10">
        <f>IFERROR(__xludf.DUMMYFUNCTION("""COMPUTED_VALUE"""),38523.666666666664)</f>
        <v>38523.66667</v>
      </c>
      <c r="N375" s="2">
        <f>IFERROR(__xludf.DUMMYFUNCTION("""COMPUTED_VALUE"""),2088.13)</f>
        <v>2088.13</v>
      </c>
      <c r="S375" s="15"/>
    </row>
    <row r="376">
      <c r="A376" s="10">
        <f t="shared" si="8"/>
        <v>38358.66667</v>
      </c>
      <c r="B376" s="2" t="str">
        <f t="shared" si="2"/>
        <v/>
      </c>
      <c r="C376" s="2" t="str">
        <f t="shared" si="3"/>
        <v>SP500</v>
      </c>
      <c r="D376" s="2">
        <f t="shared" si="4"/>
        <v>2090</v>
      </c>
      <c r="E376" s="2">
        <f t="shared" si="5"/>
        <v>2090</v>
      </c>
      <c r="G376" s="10">
        <f t="shared" si="9"/>
        <v>38358.64583</v>
      </c>
      <c r="H376" s="6">
        <f t="shared" si="6"/>
        <v>871.28</v>
      </c>
      <c r="I376" s="2">
        <f t="shared" si="7"/>
        <v>871.28</v>
      </c>
      <c r="M376" s="10">
        <f>IFERROR(__xludf.DUMMYFUNCTION("""COMPUTED_VALUE"""),38524.666666666664)</f>
        <v>38524.66667</v>
      </c>
      <c r="N376" s="2">
        <f>IFERROR(__xludf.DUMMYFUNCTION("""COMPUTED_VALUE"""),2091.07)</f>
        <v>2091.07</v>
      </c>
      <c r="S376" s="15"/>
    </row>
    <row r="377">
      <c r="A377" s="10">
        <f t="shared" si="8"/>
        <v>38359.66667</v>
      </c>
      <c r="B377" s="2" t="str">
        <f t="shared" si="2"/>
        <v/>
      </c>
      <c r="C377" s="2" t="str">
        <f t="shared" si="3"/>
        <v>SP500</v>
      </c>
      <c r="D377" s="2">
        <f t="shared" si="4"/>
        <v>2088.61</v>
      </c>
      <c r="E377" s="2">
        <f t="shared" si="5"/>
        <v>2088.61</v>
      </c>
      <c r="G377" s="10">
        <f t="shared" si="9"/>
        <v>38359.64583</v>
      </c>
      <c r="H377" s="6">
        <f t="shared" si="6"/>
        <v>870.84</v>
      </c>
      <c r="I377" s="2">
        <f t="shared" si="7"/>
        <v>870.84</v>
      </c>
      <c r="M377" s="10">
        <f>IFERROR(__xludf.DUMMYFUNCTION("""COMPUTED_VALUE"""),38525.666666666664)</f>
        <v>38525.66667</v>
      </c>
      <c r="N377" s="2">
        <f>IFERROR(__xludf.DUMMYFUNCTION("""COMPUTED_VALUE"""),2092.03)</f>
        <v>2092.03</v>
      </c>
      <c r="S377" s="15"/>
    </row>
    <row r="378">
      <c r="A378" s="10">
        <f t="shared" si="8"/>
        <v>38360.66667</v>
      </c>
      <c r="B378" s="2" t="str">
        <f t="shared" si="2"/>
        <v/>
      </c>
      <c r="C378" s="2" t="str">
        <f t="shared" si="3"/>
        <v>SP500</v>
      </c>
      <c r="D378" s="2" t="str">
        <f t="shared" si="4"/>
        <v/>
      </c>
      <c r="E378" s="2">
        <f t="shared" si="5"/>
        <v>2088.61</v>
      </c>
      <c r="G378" s="10">
        <f t="shared" si="9"/>
        <v>38360.64583</v>
      </c>
      <c r="H378" s="6" t="str">
        <f t="shared" si="6"/>
        <v/>
      </c>
      <c r="I378" s="2">
        <f t="shared" si="7"/>
        <v>870.84</v>
      </c>
      <c r="M378" s="10">
        <f>IFERROR(__xludf.DUMMYFUNCTION("""COMPUTED_VALUE"""),38526.666666666664)</f>
        <v>38526.66667</v>
      </c>
      <c r="N378" s="2">
        <f>IFERROR(__xludf.DUMMYFUNCTION("""COMPUTED_VALUE"""),2070.66)</f>
        <v>2070.66</v>
      </c>
      <c r="S378" s="15"/>
    </row>
    <row r="379">
      <c r="A379" s="10">
        <f t="shared" si="8"/>
        <v>38361.66667</v>
      </c>
      <c r="B379" s="2" t="str">
        <f t="shared" si="2"/>
        <v/>
      </c>
      <c r="C379" s="2" t="str">
        <f t="shared" si="3"/>
        <v>SP500</v>
      </c>
      <c r="D379" s="2" t="str">
        <f t="shared" si="4"/>
        <v/>
      </c>
      <c r="E379" s="2">
        <f t="shared" si="5"/>
        <v>2088.61</v>
      </c>
      <c r="G379" s="10">
        <f t="shared" si="9"/>
        <v>38361.64583</v>
      </c>
      <c r="H379" s="6" t="str">
        <f t="shared" si="6"/>
        <v/>
      </c>
      <c r="I379" s="2">
        <f t="shared" si="7"/>
        <v>870.84</v>
      </c>
      <c r="M379" s="10">
        <f>IFERROR(__xludf.DUMMYFUNCTION("""COMPUTED_VALUE"""),38527.666666666664)</f>
        <v>38527.66667</v>
      </c>
      <c r="N379" s="2">
        <f>IFERROR(__xludf.DUMMYFUNCTION("""COMPUTED_VALUE"""),2053.27)</f>
        <v>2053.27</v>
      </c>
      <c r="S379" s="15"/>
    </row>
    <row r="380">
      <c r="A380" s="10">
        <f t="shared" si="8"/>
        <v>38362.66667</v>
      </c>
      <c r="B380" s="2" t="str">
        <f t="shared" si="2"/>
        <v/>
      </c>
      <c r="C380" s="2" t="str">
        <f t="shared" si="3"/>
        <v>SP500</v>
      </c>
      <c r="D380" s="2">
        <f t="shared" si="4"/>
        <v>2097.04</v>
      </c>
      <c r="E380" s="2">
        <f t="shared" si="5"/>
        <v>2097.04</v>
      </c>
      <c r="G380" s="10">
        <f t="shared" si="9"/>
        <v>38362.64583</v>
      </c>
      <c r="H380" s="6">
        <f t="shared" si="6"/>
        <v>874.18</v>
      </c>
      <c r="I380" s="2">
        <f t="shared" si="7"/>
        <v>874.18</v>
      </c>
      <c r="M380" s="10">
        <f>IFERROR(__xludf.DUMMYFUNCTION("""COMPUTED_VALUE"""),38530.666666666664)</f>
        <v>38530.66667</v>
      </c>
      <c r="N380" s="2">
        <f>IFERROR(__xludf.DUMMYFUNCTION("""COMPUTED_VALUE"""),2045.2)</f>
        <v>2045.2</v>
      </c>
      <c r="S380" s="15"/>
    </row>
    <row r="381">
      <c r="A381" s="10">
        <f t="shared" si="8"/>
        <v>38363.66667</v>
      </c>
      <c r="B381" s="2" t="str">
        <f t="shared" si="2"/>
        <v/>
      </c>
      <c r="C381" s="2" t="str">
        <f t="shared" si="3"/>
        <v>SP500</v>
      </c>
      <c r="D381" s="2">
        <f t="shared" si="4"/>
        <v>2079.62</v>
      </c>
      <c r="E381" s="2">
        <f t="shared" si="5"/>
        <v>2079.62</v>
      </c>
      <c r="G381" s="10">
        <f t="shared" si="9"/>
        <v>38363.64583</v>
      </c>
      <c r="H381" s="6">
        <f t="shared" si="6"/>
        <v>884.29</v>
      </c>
      <c r="I381" s="2">
        <f t="shared" si="7"/>
        <v>884.29</v>
      </c>
      <c r="M381" s="10">
        <f>IFERROR(__xludf.DUMMYFUNCTION("""COMPUTED_VALUE"""),38531.666666666664)</f>
        <v>38531.66667</v>
      </c>
      <c r="N381" s="2">
        <f>IFERROR(__xludf.DUMMYFUNCTION("""COMPUTED_VALUE"""),2069.89)</f>
        <v>2069.89</v>
      </c>
      <c r="S381" s="15"/>
    </row>
    <row r="382">
      <c r="A382" s="10">
        <f t="shared" si="8"/>
        <v>38364.66667</v>
      </c>
      <c r="B382" s="2" t="str">
        <f t="shared" si="2"/>
        <v/>
      </c>
      <c r="C382" s="2" t="str">
        <f t="shared" si="3"/>
        <v>SP500</v>
      </c>
      <c r="D382" s="2">
        <f t="shared" si="4"/>
        <v>2092.53</v>
      </c>
      <c r="E382" s="2">
        <f t="shared" si="5"/>
        <v>2092.53</v>
      </c>
      <c r="G382" s="10">
        <f t="shared" si="9"/>
        <v>38364.64583</v>
      </c>
      <c r="H382" s="6">
        <f t="shared" si="6"/>
        <v>880.03</v>
      </c>
      <c r="I382" s="2">
        <f t="shared" si="7"/>
        <v>880.03</v>
      </c>
      <c r="M382" s="10">
        <f>IFERROR(__xludf.DUMMYFUNCTION("""COMPUTED_VALUE"""),38532.666666666664)</f>
        <v>38532.66667</v>
      </c>
      <c r="N382" s="2">
        <f>IFERROR(__xludf.DUMMYFUNCTION("""COMPUTED_VALUE"""),2068.89)</f>
        <v>2068.89</v>
      </c>
      <c r="S382" s="15"/>
    </row>
    <row r="383">
      <c r="A383" s="10">
        <f t="shared" si="8"/>
        <v>38365.66667</v>
      </c>
      <c r="B383" s="2" t="str">
        <f t="shared" si="2"/>
        <v/>
      </c>
      <c r="C383" s="2" t="str">
        <f t="shared" si="3"/>
        <v>SP500</v>
      </c>
      <c r="D383" s="2">
        <f t="shared" si="4"/>
        <v>2070.56</v>
      </c>
      <c r="E383" s="2">
        <f t="shared" si="5"/>
        <v>2070.56</v>
      </c>
      <c r="G383" s="10">
        <f t="shared" si="9"/>
        <v>38365.64583</v>
      </c>
      <c r="H383" s="6">
        <f t="shared" si="6"/>
        <v>885.54</v>
      </c>
      <c r="I383" s="2">
        <f t="shared" si="7"/>
        <v>885.54</v>
      </c>
      <c r="M383" s="10">
        <f>IFERROR(__xludf.DUMMYFUNCTION("""COMPUTED_VALUE"""),38533.666666666664)</f>
        <v>38533.66667</v>
      </c>
      <c r="N383" s="2">
        <f>IFERROR(__xludf.DUMMYFUNCTION("""COMPUTED_VALUE"""),2056.96)</f>
        <v>2056.96</v>
      </c>
      <c r="S383" s="15"/>
    </row>
    <row r="384">
      <c r="A384" s="10">
        <f t="shared" si="8"/>
        <v>38366.66667</v>
      </c>
      <c r="B384" s="2" t="str">
        <f t="shared" si="2"/>
        <v/>
      </c>
      <c r="C384" s="2" t="str">
        <f t="shared" si="3"/>
        <v>SP500</v>
      </c>
      <c r="D384" s="2">
        <f t="shared" si="4"/>
        <v>2087.91</v>
      </c>
      <c r="E384" s="2">
        <f t="shared" si="5"/>
        <v>2087.91</v>
      </c>
      <c r="G384" s="10">
        <f t="shared" si="9"/>
        <v>38366.64583</v>
      </c>
      <c r="H384" s="6">
        <f t="shared" si="6"/>
        <v>905.1</v>
      </c>
      <c r="I384" s="2">
        <f t="shared" si="7"/>
        <v>905.1</v>
      </c>
      <c r="M384" s="10">
        <f>IFERROR(__xludf.DUMMYFUNCTION("""COMPUTED_VALUE"""),38534.666666666664)</f>
        <v>38534.66667</v>
      </c>
      <c r="N384" s="2">
        <f>IFERROR(__xludf.DUMMYFUNCTION("""COMPUTED_VALUE"""),2057.37)</f>
        <v>2057.37</v>
      </c>
      <c r="S384" s="15"/>
    </row>
    <row r="385">
      <c r="A385" s="10">
        <f t="shared" si="8"/>
        <v>38367.66667</v>
      </c>
      <c r="B385" s="2" t="str">
        <f t="shared" si="2"/>
        <v/>
      </c>
      <c r="C385" s="2" t="str">
        <f t="shared" si="3"/>
        <v>SP500</v>
      </c>
      <c r="D385" s="2" t="str">
        <f t="shared" si="4"/>
        <v/>
      </c>
      <c r="E385" s="2">
        <f t="shared" si="5"/>
        <v>2087.91</v>
      </c>
      <c r="G385" s="10">
        <f t="shared" si="9"/>
        <v>38367.64583</v>
      </c>
      <c r="H385" s="6" t="str">
        <f t="shared" si="6"/>
        <v/>
      </c>
      <c r="I385" s="2">
        <f t="shared" si="7"/>
        <v>905.1</v>
      </c>
      <c r="M385" s="10">
        <f>IFERROR(__xludf.DUMMYFUNCTION("""COMPUTED_VALUE"""),38538.666666666664)</f>
        <v>38538.66667</v>
      </c>
      <c r="N385" s="2">
        <f>IFERROR(__xludf.DUMMYFUNCTION("""COMPUTED_VALUE"""),2078.75)</f>
        <v>2078.75</v>
      </c>
      <c r="S385" s="15"/>
    </row>
    <row r="386">
      <c r="A386" s="10">
        <f t="shared" si="8"/>
        <v>38368.66667</v>
      </c>
      <c r="B386" s="2" t="str">
        <f t="shared" si="2"/>
        <v/>
      </c>
      <c r="C386" s="2" t="str">
        <f t="shared" si="3"/>
        <v>SP500</v>
      </c>
      <c r="D386" s="2" t="str">
        <f t="shared" si="4"/>
        <v/>
      </c>
      <c r="E386" s="2">
        <f t="shared" si="5"/>
        <v>2087.91</v>
      </c>
      <c r="G386" s="10">
        <f t="shared" si="9"/>
        <v>38368.64583</v>
      </c>
      <c r="H386" s="6" t="str">
        <f t="shared" si="6"/>
        <v/>
      </c>
      <c r="I386" s="2">
        <f t="shared" si="7"/>
        <v>905.1</v>
      </c>
      <c r="M386" s="10">
        <f>IFERROR(__xludf.DUMMYFUNCTION("""COMPUTED_VALUE"""),38539.666666666664)</f>
        <v>38539.66667</v>
      </c>
      <c r="N386" s="2">
        <f>IFERROR(__xludf.DUMMYFUNCTION("""COMPUTED_VALUE"""),2068.65)</f>
        <v>2068.65</v>
      </c>
      <c r="S386" s="15"/>
    </row>
    <row r="387">
      <c r="A387" s="10">
        <f t="shared" si="8"/>
        <v>38369.66667</v>
      </c>
      <c r="B387" s="2" t="str">
        <f t="shared" si="2"/>
        <v/>
      </c>
      <c r="C387" s="2" t="str">
        <f t="shared" si="3"/>
        <v>SP500</v>
      </c>
      <c r="D387" s="2" t="str">
        <f t="shared" si="4"/>
        <v/>
      </c>
      <c r="E387" s="2">
        <f t="shared" si="5"/>
        <v>2087.91</v>
      </c>
      <c r="G387" s="10">
        <f t="shared" si="9"/>
        <v>38369.64583</v>
      </c>
      <c r="H387" s="6">
        <f t="shared" si="6"/>
        <v>923.08</v>
      </c>
      <c r="I387" s="2">
        <f t="shared" si="7"/>
        <v>923.08</v>
      </c>
      <c r="M387" s="10">
        <f>IFERROR(__xludf.DUMMYFUNCTION("""COMPUTED_VALUE"""),38540.666666666664)</f>
        <v>38540.66667</v>
      </c>
      <c r="N387" s="2">
        <f>IFERROR(__xludf.DUMMYFUNCTION("""COMPUTED_VALUE"""),2075.66)</f>
        <v>2075.66</v>
      </c>
      <c r="S387" s="15"/>
    </row>
    <row r="388">
      <c r="A388" s="10">
        <f t="shared" si="8"/>
        <v>38370.66667</v>
      </c>
      <c r="B388" s="2" t="str">
        <f t="shared" si="2"/>
        <v/>
      </c>
      <c r="C388" s="2" t="str">
        <f t="shared" si="3"/>
        <v>SP500</v>
      </c>
      <c r="D388" s="2">
        <f t="shared" si="4"/>
        <v>2106.04</v>
      </c>
      <c r="E388" s="2">
        <f t="shared" si="5"/>
        <v>2106.04</v>
      </c>
      <c r="G388" s="10">
        <f t="shared" si="9"/>
        <v>38370.64583</v>
      </c>
      <c r="H388" s="6">
        <f t="shared" si="6"/>
        <v>920.57</v>
      </c>
      <c r="I388" s="2">
        <f t="shared" si="7"/>
        <v>920.57</v>
      </c>
      <c r="M388" s="10">
        <f>IFERROR(__xludf.DUMMYFUNCTION("""COMPUTED_VALUE"""),38541.666666666664)</f>
        <v>38541.66667</v>
      </c>
      <c r="N388" s="2">
        <f>IFERROR(__xludf.DUMMYFUNCTION("""COMPUTED_VALUE"""),2112.88)</f>
        <v>2112.88</v>
      </c>
      <c r="S388" s="15"/>
    </row>
    <row r="389">
      <c r="A389" s="10">
        <f t="shared" si="8"/>
        <v>38371.66667</v>
      </c>
      <c r="B389" s="2" t="str">
        <f t="shared" si="2"/>
        <v/>
      </c>
      <c r="C389" s="2" t="str">
        <f t="shared" si="3"/>
        <v>SP500</v>
      </c>
      <c r="D389" s="2">
        <f t="shared" si="4"/>
        <v>2073.59</v>
      </c>
      <c r="E389" s="2">
        <f t="shared" si="5"/>
        <v>2073.59</v>
      </c>
      <c r="G389" s="10">
        <f t="shared" si="9"/>
        <v>38371.64583</v>
      </c>
      <c r="H389" s="6">
        <f t="shared" si="6"/>
        <v>916.27</v>
      </c>
      <c r="I389" s="2">
        <f t="shared" si="7"/>
        <v>916.27</v>
      </c>
      <c r="M389" s="10">
        <f>IFERROR(__xludf.DUMMYFUNCTION("""COMPUTED_VALUE"""),38544.666666666664)</f>
        <v>38544.66667</v>
      </c>
      <c r="N389" s="2">
        <f>IFERROR(__xludf.DUMMYFUNCTION("""COMPUTED_VALUE"""),2135.43)</f>
        <v>2135.43</v>
      </c>
      <c r="S389" s="15"/>
    </row>
    <row r="390">
      <c r="A390" s="10">
        <f t="shared" si="8"/>
        <v>38372.66667</v>
      </c>
      <c r="B390" s="2" t="str">
        <f t="shared" si="2"/>
        <v/>
      </c>
      <c r="C390" s="2" t="str">
        <f t="shared" si="3"/>
        <v>SP500</v>
      </c>
      <c r="D390" s="2">
        <f t="shared" si="4"/>
        <v>2045.88</v>
      </c>
      <c r="E390" s="2">
        <f t="shared" si="5"/>
        <v>2045.88</v>
      </c>
      <c r="G390" s="10">
        <f t="shared" si="9"/>
        <v>38372.64583</v>
      </c>
      <c r="H390" s="6">
        <f t="shared" si="6"/>
        <v>909.37</v>
      </c>
      <c r="I390" s="2">
        <f t="shared" si="7"/>
        <v>909.37</v>
      </c>
      <c r="M390" s="10">
        <f>IFERROR(__xludf.DUMMYFUNCTION("""COMPUTED_VALUE"""),38545.666666666664)</f>
        <v>38545.66667</v>
      </c>
      <c r="N390" s="2">
        <f>IFERROR(__xludf.DUMMYFUNCTION("""COMPUTED_VALUE"""),2143.15)</f>
        <v>2143.15</v>
      </c>
      <c r="S390" s="15"/>
    </row>
    <row r="391">
      <c r="A391" s="10">
        <f t="shared" si="8"/>
        <v>38373.66667</v>
      </c>
      <c r="B391" s="2" t="str">
        <f t="shared" si="2"/>
        <v/>
      </c>
      <c r="C391" s="2" t="str">
        <f t="shared" si="3"/>
        <v>SP500</v>
      </c>
      <c r="D391" s="2">
        <f t="shared" si="4"/>
        <v>2034.27</v>
      </c>
      <c r="E391" s="2">
        <f t="shared" si="5"/>
        <v>2034.27</v>
      </c>
      <c r="G391" s="10">
        <f t="shared" si="9"/>
        <v>38373.64583</v>
      </c>
      <c r="H391" s="6">
        <f t="shared" si="6"/>
        <v>919.61</v>
      </c>
      <c r="I391" s="2">
        <f t="shared" si="7"/>
        <v>919.61</v>
      </c>
      <c r="M391" s="10">
        <f>IFERROR(__xludf.DUMMYFUNCTION("""COMPUTED_VALUE"""),38546.666666666664)</f>
        <v>38546.66667</v>
      </c>
      <c r="N391" s="2">
        <f>IFERROR(__xludf.DUMMYFUNCTION("""COMPUTED_VALUE"""),2144.11)</f>
        <v>2144.11</v>
      </c>
      <c r="S391" s="15"/>
    </row>
    <row r="392">
      <c r="A392" s="10">
        <f t="shared" si="8"/>
        <v>38374.66667</v>
      </c>
      <c r="B392" s="2" t="str">
        <f t="shared" si="2"/>
        <v/>
      </c>
      <c r="C392" s="2" t="str">
        <f t="shared" si="3"/>
        <v>SP500</v>
      </c>
      <c r="D392" s="2" t="str">
        <f t="shared" si="4"/>
        <v/>
      </c>
      <c r="E392" s="2">
        <f t="shared" si="5"/>
        <v>2034.27</v>
      </c>
      <c r="G392" s="10">
        <f t="shared" si="9"/>
        <v>38374.64583</v>
      </c>
      <c r="H392" s="6" t="str">
        <f t="shared" si="6"/>
        <v/>
      </c>
      <c r="I392" s="2">
        <f t="shared" si="7"/>
        <v>919.61</v>
      </c>
      <c r="M392" s="10">
        <f>IFERROR(__xludf.DUMMYFUNCTION("""COMPUTED_VALUE"""),38547.666666666664)</f>
        <v>38547.66667</v>
      </c>
      <c r="N392" s="2">
        <f>IFERROR(__xludf.DUMMYFUNCTION("""COMPUTED_VALUE"""),2152.82)</f>
        <v>2152.82</v>
      </c>
      <c r="S392" s="15"/>
    </row>
    <row r="393">
      <c r="A393" s="10">
        <f t="shared" si="8"/>
        <v>38375.66667</v>
      </c>
      <c r="B393" s="2" t="str">
        <f t="shared" si="2"/>
        <v/>
      </c>
      <c r="C393" s="2" t="str">
        <f t="shared" si="3"/>
        <v>SP500</v>
      </c>
      <c r="D393" s="2" t="str">
        <f t="shared" si="4"/>
        <v/>
      </c>
      <c r="E393" s="2">
        <f t="shared" si="5"/>
        <v>2034.27</v>
      </c>
      <c r="G393" s="10">
        <f t="shared" si="9"/>
        <v>38375.64583</v>
      </c>
      <c r="H393" s="6" t="str">
        <f t="shared" si="6"/>
        <v/>
      </c>
      <c r="I393" s="2">
        <f t="shared" si="7"/>
        <v>919.61</v>
      </c>
      <c r="M393" s="10">
        <f>IFERROR(__xludf.DUMMYFUNCTION("""COMPUTED_VALUE"""),38548.666666666664)</f>
        <v>38548.66667</v>
      </c>
      <c r="N393" s="2">
        <f>IFERROR(__xludf.DUMMYFUNCTION("""COMPUTED_VALUE"""),2156.78)</f>
        <v>2156.78</v>
      </c>
      <c r="S393" s="15"/>
    </row>
    <row r="394">
      <c r="A394" s="10">
        <f t="shared" si="8"/>
        <v>38376.66667</v>
      </c>
      <c r="B394" s="2" t="str">
        <f t="shared" si="2"/>
        <v/>
      </c>
      <c r="C394" s="2" t="str">
        <f t="shared" si="3"/>
        <v>SP500</v>
      </c>
      <c r="D394" s="2">
        <f t="shared" si="4"/>
        <v>2008.7</v>
      </c>
      <c r="E394" s="2">
        <f t="shared" si="5"/>
        <v>2008.7</v>
      </c>
      <c r="G394" s="10">
        <f t="shared" si="9"/>
        <v>38376.64583</v>
      </c>
      <c r="H394" s="6">
        <f t="shared" si="6"/>
        <v>923.11</v>
      </c>
      <c r="I394" s="2">
        <f t="shared" si="7"/>
        <v>923.11</v>
      </c>
      <c r="M394" s="10">
        <f>IFERROR(__xludf.DUMMYFUNCTION("""COMPUTED_VALUE"""),38551.666666666664)</f>
        <v>38551.66667</v>
      </c>
      <c r="N394" s="2">
        <f>IFERROR(__xludf.DUMMYFUNCTION("""COMPUTED_VALUE"""),2144.87)</f>
        <v>2144.87</v>
      </c>
      <c r="S394" s="15"/>
    </row>
    <row r="395">
      <c r="A395" s="10">
        <f t="shared" si="8"/>
        <v>38377.66667</v>
      </c>
      <c r="B395" s="2" t="str">
        <f t="shared" si="2"/>
        <v/>
      </c>
      <c r="C395" s="2" t="str">
        <f t="shared" si="3"/>
        <v>SP500</v>
      </c>
      <c r="D395" s="2">
        <f t="shared" si="4"/>
        <v>2019.95</v>
      </c>
      <c r="E395" s="2">
        <f t="shared" si="5"/>
        <v>2019.95</v>
      </c>
      <c r="G395" s="10">
        <f t="shared" si="9"/>
        <v>38377.64583</v>
      </c>
      <c r="H395" s="6">
        <f t="shared" si="6"/>
        <v>915.1</v>
      </c>
      <c r="I395" s="2">
        <f t="shared" si="7"/>
        <v>915.1</v>
      </c>
      <c r="M395" s="10">
        <f>IFERROR(__xludf.DUMMYFUNCTION("""COMPUTED_VALUE"""),38552.666666666664)</f>
        <v>38552.66667</v>
      </c>
      <c r="N395" s="2">
        <f>IFERROR(__xludf.DUMMYFUNCTION("""COMPUTED_VALUE"""),2173.18)</f>
        <v>2173.18</v>
      </c>
      <c r="S395" s="15"/>
    </row>
    <row r="396">
      <c r="A396" s="10">
        <f t="shared" si="8"/>
        <v>38378.66667</v>
      </c>
      <c r="B396" s="2" t="str">
        <f t="shared" si="2"/>
        <v/>
      </c>
      <c r="C396" s="2" t="str">
        <f t="shared" si="3"/>
        <v>SP500</v>
      </c>
      <c r="D396" s="2">
        <f t="shared" si="4"/>
        <v>2046.09</v>
      </c>
      <c r="E396" s="2">
        <f t="shared" si="5"/>
        <v>2046.09</v>
      </c>
      <c r="G396" s="10">
        <f t="shared" si="9"/>
        <v>38378.64583</v>
      </c>
      <c r="H396" s="6">
        <f t="shared" si="6"/>
        <v>927</v>
      </c>
      <c r="I396" s="2">
        <f t="shared" si="7"/>
        <v>927</v>
      </c>
      <c r="M396" s="10">
        <f>IFERROR(__xludf.DUMMYFUNCTION("""COMPUTED_VALUE"""),38553.666666666664)</f>
        <v>38553.66667</v>
      </c>
      <c r="N396" s="2">
        <f>IFERROR(__xludf.DUMMYFUNCTION("""COMPUTED_VALUE"""),2188.57)</f>
        <v>2188.57</v>
      </c>
      <c r="S396" s="15"/>
    </row>
    <row r="397">
      <c r="A397" s="10">
        <f t="shared" si="8"/>
        <v>38379.66667</v>
      </c>
      <c r="B397" s="2" t="str">
        <f t="shared" si="2"/>
        <v/>
      </c>
      <c r="C397" s="2" t="str">
        <f t="shared" si="3"/>
        <v>SP500</v>
      </c>
      <c r="D397" s="2">
        <f t="shared" si="4"/>
        <v>2047.15</v>
      </c>
      <c r="E397" s="2">
        <f t="shared" si="5"/>
        <v>2047.15</v>
      </c>
      <c r="G397" s="10">
        <f t="shared" si="9"/>
        <v>38379.64583</v>
      </c>
      <c r="H397" s="6">
        <f t="shared" si="6"/>
        <v>924.87</v>
      </c>
      <c r="I397" s="2">
        <f t="shared" si="7"/>
        <v>924.87</v>
      </c>
      <c r="M397" s="10">
        <f>IFERROR(__xludf.DUMMYFUNCTION("""COMPUTED_VALUE"""),38554.666666666664)</f>
        <v>38554.66667</v>
      </c>
      <c r="N397" s="2">
        <f>IFERROR(__xludf.DUMMYFUNCTION("""COMPUTED_VALUE"""),2178.6)</f>
        <v>2178.6</v>
      </c>
      <c r="S397" s="15"/>
    </row>
    <row r="398">
      <c r="A398" s="10">
        <f t="shared" si="8"/>
        <v>38380.66667</v>
      </c>
      <c r="B398" s="2" t="str">
        <f t="shared" si="2"/>
        <v/>
      </c>
      <c r="C398" s="2" t="str">
        <f t="shared" si="3"/>
        <v>SP500</v>
      </c>
      <c r="D398" s="2">
        <f t="shared" si="4"/>
        <v>2035.83</v>
      </c>
      <c r="E398" s="2">
        <f t="shared" si="5"/>
        <v>2035.83</v>
      </c>
      <c r="G398" s="10">
        <f t="shared" si="9"/>
        <v>38380.64583</v>
      </c>
      <c r="H398" s="6">
        <f t="shared" si="6"/>
        <v>921.59</v>
      </c>
      <c r="I398" s="2">
        <f t="shared" si="7"/>
        <v>921.59</v>
      </c>
      <c r="M398" s="10">
        <f>IFERROR(__xludf.DUMMYFUNCTION("""COMPUTED_VALUE"""),38555.666666666664)</f>
        <v>38555.66667</v>
      </c>
      <c r="N398" s="2">
        <f>IFERROR(__xludf.DUMMYFUNCTION("""COMPUTED_VALUE"""),2179.74)</f>
        <v>2179.74</v>
      </c>
      <c r="S398" s="15"/>
    </row>
    <row r="399">
      <c r="A399" s="10">
        <f t="shared" si="8"/>
        <v>38381.66667</v>
      </c>
      <c r="B399" s="2" t="str">
        <f t="shared" si="2"/>
        <v/>
      </c>
      <c r="C399" s="2" t="str">
        <f t="shared" si="3"/>
        <v>SP500</v>
      </c>
      <c r="D399" s="2" t="str">
        <f t="shared" si="4"/>
        <v/>
      </c>
      <c r="E399" s="2">
        <f t="shared" si="5"/>
        <v>2035.83</v>
      </c>
      <c r="G399" s="10">
        <f t="shared" si="9"/>
        <v>38381.64583</v>
      </c>
      <c r="H399" s="6" t="str">
        <f t="shared" si="6"/>
        <v/>
      </c>
      <c r="I399" s="2">
        <f t="shared" si="7"/>
        <v>921.59</v>
      </c>
      <c r="M399" s="10">
        <f>IFERROR(__xludf.DUMMYFUNCTION("""COMPUTED_VALUE"""),38558.666666666664)</f>
        <v>38558.66667</v>
      </c>
      <c r="N399" s="2">
        <f>IFERROR(__xludf.DUMMYFUNCTION("""COMPUTED_VALUE"""),2166.74)</f>
        <v>2166.74</v>
      </c>
      <c r="S399" s="15"/>
    </row>
    <row r="400">
      <c r="A400" s="10">
        <f t="shared" si="8"/>
        <v>38382.66667</v>
      </c>
      <c r="B400" s="2" t="str">
        <f t="shared" si="2"/>
        <v/>
      </c>
      <c r="C400" s="2" t="str">
        <f t="shared" si="3"/>
        <v>SP500</v>
      </c>
      <c r="D400" s="2" t="str">
        <f t="shared" si="4"/>
        <v/>
      </c>
      <c r="E400" s="2">
        <f t="shared" si="5"/>
        <v>2035.83</v>
      </c>
      <c r="G400" s="10">
        <f t="shared" si="9"/>
        <v>38382.64583</v>
      </c>
      <c r="H400" s="6" t="str">
        <f t="shared" si="6"/>
        <v/>
      </c>
      <c r="I400" s="2">
        <f t="shared" si="7"/>
        <v>921.59</v>
      </c>
      <c r="M400" s="10">
        <f>IFERROR(__xludf.DUMMYFUNCTION("""COMPUTED_VALUE"""),38559.666666666664)</f>
        <v>38559.66667</v>
      </c>
      <c r="N400" s="2">
        <f>IFERROR(__xludf.DUMMYFUNCTION("""COMPUTED_VALUE"""),2175.99)</f>
        <v>2175.99</v>
      </c>
      <c r="S400" s="15"/>
    </row>
    <row r="401">
      <c r="A401" s="10">
        <f t="shared" si="8"/>
        <v>38383.66667</v>
      </c>
      <c r="B401" s="2" t="str">
        <f t="shared" si="2"/>
        <v/>
      </c>
      <c r="C401" s="2" t="str">
        <f t="shared" si="3"/>
        <v>SP500</v>
      </c>
      <c r="D401" s="2">
        <f t="shared" si="4"/>
        <v>2062.41</v>
      </c>
      <c r="E401" s="2">
        <f t="shared" si="5"/>
        <v>2062.41</v>
      </c>
      <c r="G401" s="10">
        <f t="shared" si="9"/>
        <v>38383.64583</v>
      </c>
      <c r="H401" s="6">
        <f t="shared" si="6"/>
        <v>932.7</v>
      </c>
      <c r="I401" s="2">
        <f t="shared" si="7"/>
        <v>932.7</v>
      </c>
      <c r="M401" s="10">
        <f>IFERROR(__xludf.DUMMYFUNCTION("""COMPUTED_VALUE"""),38560.666666666664)</f>
        <v>38560.66667</v>
      </c>
      <c r="N401" s="2">
        <f>IFERROR(__xludf.DUMMYFUNCTION("""COMPUTED_VALUE"""),2186.22)</f>
        <v>2186.22</v>
      </c>
      <c r="S401" s="15"/>
    </row>
    <row r="402">
      <c r="A402" s="10">
        <f t="shared" si="8"/>
        <v>38384.66667</v>
      </c>
      <c r="B402" s="2" t="str">
        <f t="shared" si="2"/>
        <v/>
      </c>
      <c r="C402" s="2" t="str">
        <f t="shared" si="3"/>
        <v>SP500</v>
      </c>
      <c r="D402" s="2">
        <f t="shared" si="4"/>
        <v>2068.7</v>
      </c>
      <c r="E402" s="2">
        <f t="shared" si="5"/>
        <v>2068.7</v>
      </c>
      <c r="G402" s="10">
        <f t="shared" si="9"/>
        <v>38384.64583</v>
      </c>
      <c r="H402" s="6">
        <f t="shared" si="6"/>
        <v>923.69</v>
      </c>
      <c r="I402" s="2">
        <f t="shared" si="7"/>
        <v>923.69</v>
      </c>
      <c r="M402" s="10">
        <f>IFERROR(__xludf.DUMMYFUNCTION("""COMPUTED_VALUE"""),38561.666666666664)</f>
        <v>38561.66667</v>
      </c>
      <c r="N402" s="2">
        <f>IFERROR(__xludf.DUMMYFUNCTION("""COMPUTED_VALUE"""),2198.44)</f>
        <v>2198.44</v>
      </c>
      <c r="S402" s="15"/>
    </row>
    <row r="403">
      <c r="A403" s="10">
        <f t="shared" si="8"/>
        <v>38385.66667</v>
      </c>
      <c r="B403" s="2" t="str">
        <f t="shared" si="2"/>
        <v/>
      </c>
      <c r="C403" s="2" t="str">
        <f t="shared" si="3"/>
        <v>SP500</v>
      </c>
      <c r="D403" s="2">
        <f t="shared" si="4"/>
        <v>2075.06</v>
      </c>
      <c r="E403" s="2">
        <f t="shared" si="5"/>
        <v>2075.06</v>
      </c>
      <c r="G403" s="10">
        <f t="shared" si="9"/>
        <v>38385.64583</v>
      </c>
      <c r="H403" s="6">
        <f t="shared" si="6"/>
        <v>921.44</v>
      </c>
      <c r="I403" s="2">
        <f t="shared" si="7"/>
        <v>921.44</v>
      </c>
      <c r="M403" s="10">
        <f>IFERROR(__xludf.DUMMYFUNCTION("""COMPUTED_VALUE"""),38562.666666666664)</f>
        <v>38562.66667</v>
      </c>
      <c r="N403" s="2">
        <f>IFERROR(__xludf.DUMMYFUNCTION("""COMPUTED_VALUE"""),2184.83)</f>
        <v>2184.83</v>
      </c>
      <c r="S403" s="15"/>
    </row>
    <row r="404">
      <c r="A404" s="10">
        <f t="shared" si="8"/>
        <v>38386.66667</v>
      </c>
      <c r="B404" s="2" t="str">
        <f t="shared" si="2"/>
        <v/>
      </c>
      <c r="C404" s="2" t="str">
        <f t="shared" si="3"/>
        <v>SP500</v>
      </c>
      <c r="D404" s="2">
        <f t="shared" si="4"/>
        <v>2057.64</v>
      </c>
      <c r="E404" s="2">
        <f t="shared" si="5"/>
        <v>2057.64</v>
      </c>
      <c r="G404" s="10">
        <f t="shared" si="9"/>
        <v>38386.64583</v>
      </c>
      <c r="H404" s="6">
        <f t="shared" si="6"/>
        <v>928.79</v>
      </c>
      <c r="I404" s="2">
        <f t="shared" si="7"/>
        <v>928.79</v>
      </c>
      <c r="M404" s="10">
        <f>IFERROR(__xludf.DUMMYFUNCTION("""COMPUTED_VALUE"""),38565.666666666664)</f>
        <v>38565.66667</v>
      </c>
      <c r="N404" s="2">
        <f>IFERROR(__xludf.DUMMYFUNCTION("""COMPUTED_VALUE"""),2195.38)</f>
        <v>2195.38</v>
      </c>
      <c r="S404" s="15"/>
    </row>
    <row r="405">
      <c r="A405" s="10">
        <f t="shared" si="8"/>
        <v>38387.66667</v>
      </c>
      <c r="B405" s="2" t="str">
        <f t="shared" si="2"/>
        <v/>
      </c>
      <c r="C405" s="2" t="str">
        <f t="shared" si="3"/>
        <v>SP500</v>
      </c>
      <c r="D405" s="2">
        <f t="shared" si="4"/>
        <v>2086.66</v>
      </c>
      <c r="E405" s="2">
        <f t="shared" si="5"/>
        <v>2086.66</v>
      </c>
      <c r="G405" s="10">
        <f t="shared" si="9"/>
        <v>38387.64583</v>
      </c>
      <c r="H405" s="6">
        <f t="shared" si="6"/>
        <v>933.55</v>
      </c>
      <c r="I405" s="2">
        <f t="shared" si="7"/>
        <v>933.55</v>
      </c>
      <c r="M405" s="10">
        <f>IFERROR(__xludf.DUMMYFUNCTION("""COMPUTED_VALUE"""),38566.666666666664)</f>
        <v>38566.66667</v>
      </c>
      <c r="N405" s="2">
        <f>IFERROR(__xludf.DUMMYFUNCTION("""COMPUTED_VALUE"""),2218.15)</f>
        <v>2218.15</v>
      </c>
      <c r="S405" s="15"/>
    </row>
    <row r="406">
      <c r="A406" s="10">
        <f t="shared" si="8"/>
        <v>38388.66667</v>
      </c>
      <c r="B406" s="2" t="str">
        <f t="shared" si="2"/>
        <v/>
      </c>
      <c r="C406" s="2" t="str">
        <f t="shared" si="3"/>
        <v>SP500</v>
      </c>
      <c r="D406" s="2" t="str">
        <f t="shared" si="4"/>
        <v/>
      </c>
      <c r="E406" s="2">
        <f t="shared" si="5"/>
        <v>2086.66</v>
      </c>
      <c r="G406" s="10">
        <f t="shared" si="9"/>
        <v>38388.64583</v>
      </c>
      <c r="H406" s="6" t="str">
        <f t="shared" si="6"/>
        <v/>
      </c>
      <c r="I406" s="2">
        <f t="shared" si="7"/>
        <v>933.55</v>
      </c>
      <c r="M406" s="10">
        <f>IFERROR(__xludf.DUMMYFUNCTION("""COMPUTED_VALUE"""),38567.666666666664)</f>
        <v>38567.66667</v>
      </c>
      <c r="N406" s="2">
        <f>IFERROR(__xludf.DUMMYFUNCTION("""COMPUTED_VALUE"""),2216.81)</f>
        <v>2216.81</v>
      </c>
      <c r="S406" s="15"/>
    </row>
    <row r="407">
      <c r="A407" s="10">
        <f t="shared" si="8"/>
        <v>38389.66667</v>
      </c>
      <c r="B407" s="2" t="str">
        <f t="shared" si="2"/>
        <v/>
      </c>
      <c r="C407" s="2" t="str">
        <f t="shared" si="3"/>
        <v>SP500</v>
      </c>
      <c r="D407" s="2" t="str">
        <f t="shared" si="4"/>
        <v/>
      </c>
      <c r="E407" s="2">
        <f t="shared" si="5"/>
        <v>2086.66</v>
      </c>
      <c r="G407" s="10">
        <f t="shared" si="9"/>
        <v>38389.64583</v>
      </c>
      <c r="H407" s="6" t="str">
        <f t="shared" si="6"/>
        <v/>
      </c>
      <c r="I407" s="2">
        <f t="shared" si="7"/>
        <v>933.55</v>
      </c>
      <c r="M407" s="10">
        <f>IFERROR(__xludf.DUMMYFUNCTION("""COMPUTED_VALUE"""),38568.666666666664)</f>
        <v>38568.66667</v>
      </c>
      <c r="N407" s="2">
        <f>IFERROR(__xludf.DUMMYFUNCTION("""COMPUTED_VALUE"""),2191.32)</f>
        <v>2191.32</v>
      </c>
      <c r="S407" s="15"/>
    </row>
    <row r="408">
      <c r="A408" s="10">
        <f t="shared" si="8"/>
        <v>38390.66667</v>
      </c>
      <c r="B408" s="2" t="str">
        <f t="shared" si="2"/>
        <v/>
      </c>
      <c r="C408" s="2" t="str">
        <f t="shared" si="3"/>
        <v>SP500</v>
      </c>
      <c r="D408" s="2">
        <f t="shared" si="4"/>
        <v>2082.03</v>
      </c>
      <c r="E408" s="2">
        <f t="shared" si="5"/>
        <v>2082.03</v>
      </c>
      <c r="G408" s="10">
        <f t="shared" si="9"/>
        <v>38390.64583</v>
      </c>
      <c r="H408" s="6">
        <f t="shared" si="6"/>
        <v>949.19</v>
      </c>
      <c r="I408" s="2">
        <f t="shared" si="7"/>
        <v>949.19</v>
      </c>
      <c r="M408" s="10">
        <f>IFERROR(__xludf.DUMMYFUNCTION("""COMPUTED_VALUE"""),38569.666666666664)</f>
        <v>38569.66667</v>
      </c>
      <c r="N408" s="2">
        <f>IFERROR(__xludf.DUMMYFUNCTION("""COMPUTED_VALUE"""),2177.91)</f>
        <v>2177.91</v>
      </c>
      <c r="S408" s="15"/>
    </row>
    <row r="409">
      <c r="A409" s="10">
        <f t="shared" si="8"/>
        <v>38391.66667</v>
      </c>
      <c r="B409" s="2" t="str">
        <f t="shared" si="2"/>
        <v/>
      </c>
      <c r="C409" s="2" t="str">
        <f t="shared" si="3"/>
        <v>SP500</v>
      </c>
      <c r="D409" s="2">
        <f t="shared" si="4"/>
        <v>2086.68</v>
      </c>
      <c r="E409" s="2">
        <f t="shared" si="5"/>
        <v>2086.68</v>
      </c>
      <c r="G409" s="10">
        <f t="shared" si="9"/>
        <v>38391.64583</v>
      </c>
      <c r="H409" s="6" t="str">
        <f t="shared" si="6"/>
        <v/>
      </c>
      <c r="I409" s="2">
        <f t="shared" si="7"/>
        <v>949.19</v>
      </c>
      <c r="M409" s="10">
        <f>IFERROR(__xludf.DUMMYFUNCTION("""COMPUTED_VALUE"""),38572.666666666664)</f>
        <v>38572.66667</v>
      </c>
      <c r="N409" s="2">
        <f>IFERROR(__xludf.DUMMYFUNCTION("""COMPUTED_VALUE"""),2164.39)</f>
        <v>2164.39</v>
      </c>
      <c r="S409" s="15"/>
    </row>
    <row r="410">
      <c r="A410" s="10">
        <f t="shared" si="8"/>
        <v>38392.66667</v>
      </c>
      <c r="B410" s="2" t="str">
        <f t="shared" si="2"/>
        <v/>
      </c>
      <c r="C410" s="2" t="str">
        <f t="shared" si="3"/>
        <v>SP500</v>
      </c>
      <c r="D410" s="2">
        <f t="shared" si="4"/>
        <v>2052.55</v>
      </c>
      <c r="E410" s="2">
        <f t="shared" si="5"/>
        <v>2052.55</v>
      </c>
      <c r="G410" s="10">
        <f t="shared" si="9"/>
        <v>38392.64583</v>
      </c>
      <c r="H410" s="6" t="str">
        <f t="shared" si="6"/>
        <v/>
      </c>
      <c r="I410" s="2">
        <f t="shared" si="7"/>
        <v>949.19</v>
      </c>
      <c r="M410" s="10">
        <f>IFERROR(__xludf.DUMMYFUNCTION("""COMPUTED_VALUE"""),38573.666666666664)</f>
        <v>38573.66667</v>
      </c>
      <c r="N410" s="2">
        <f>IFERROR(__xludf.DUMMYFUNCTION("""COMPUTED_VALUE"""),2174.19)</f>
        <v>2174.19</v>
      </c>
      <c r="S410" s="15"/>
    </row>
    <row r="411">
      <c r="A411" s="10">
        <f t="shared" si="8"/>
        <v>38393.66667</v>
      </c>
      <c r="B411" s="2" t="str">
        <f t="shared" si="2"/>
        <v/>
      </c>
      <c r="C411" s="2" t="str">
        <f t="shared" si="3"/>
        <v>SP500</v>
      </c>
      <c r="D411" s="2">
        <f t="shared" si="4"/>
        <v>2053.1</v>
      </c>
      <c r="E411" s="2">
        <f t="shared" si="5"/>
        <v>2053.1</v>
      </c>
      <c r="G411" s="10">
        <f t="shared" si="9"/>
        <v>38393.64583</v>
      </c>
      <c r="H411" s="6" t="str">
        <f t="shared" si="6"/>
        <v/>
      </c>
      <c r="I411" s="2">
        <f t="shared" si="7"/>
        <v>949.19</v>
      </c>
      <c r="M411" s="10">
        <f>IFERROR(__xludf.DUMMYFUNCTION("""COMPUTED_VALUE"""),38574.666666666664)</f>
        <v>38574.66667</v>
      </c>
      <c r="N411" s="2">
        <f>IFERROR(__xludf.DUMMYFUNCTION("""COMPUTED_VALUE"""),2157.81)</f>
        <v>2157.81</v>
      </c>
      <c r="S411" s="15"/>
    </row>
    <row r="412">
      <c r="A412" s="10">
        <f t="shared" si="8"/>
        <v>38394.66667</v>
      </c>
      <c r="B412" s="2" t="str">
        <f t="shared" si="2"/>
        <v/>
      </c>
      <c r="C412" s="2" t="str">
        <f t="shared" si="3"/>
        <v>SP500</v>
      </c>
      <c r="D412" s="2">
        <f t="shared" si="4"/>
        <v>2076.66</v>
      </c>
      <c r="E412" s="2">
        <f t="shared" si="5"/>
        <v>2076.66</v>
      </c>
      <c r="G412" s="10">
        <f t="shared" si="9"/>
        <v>38394.64583</v>
      </c>
      <c r="H412" s="6">
        <f t="shared" si="6"/>
        <v>947.23</v>
      </c>
      <c r="I412" s="2">
        <f t="shared" si="7"/>
        <v>947.23</v>
      </c>
      <c r="M412" s="10">
        <f>IFERROR(__xludf.DUMMYFUNCTION("""COMPUTED_VALUE"""),38575.666666666664)</f>
        <v>38575.66667</v>
      </c>
      <c r="N412" s="2">
        <f>IFERROR(__xludf.DUMMYFUNCTION("""COMPUTED_VALUE"""),2174.55)</f>
        <v>2174.55</v>
      </c>
      <c r="S412" s="15"/>
    </row>
    <row r="413">
      <c r="A413" s="10">
        <f t="shared" si="8"/>
        <v>38395.66667</v>
      </c>
      <c r="B413" s="2" t="str">
        <f t="shared" si="2"/>
        <v/>
      </c>
      <c r="C413" s="2" t="str">
        <f t="shared" si="3"/>
        <v>SP500</v>
      </c>
      <c r="D413" s="2" t="str">
        <f t="shared" si="4"/>
        <v/>
      </c>
      <c r="E413" s="2">
        <f t="shared" si="5"/>
        <v>2076.66</v>
      </c>
      <c r="G413" s="10">
        <f t="shared" si="9"/>
        <v>38395.64583</v>
      </c>
      <c r="H413" s="6" t="str">
        <f t="shared" si="6"/>
        <v/>
      </c>
      <c r="I413" s="2">
        <f t="shared" si="7"/>
        <v>947.23</v>
      </c>
      <c r="M413" s="10">
        <f>IFERROR(__xludf.DUMMYFUNCTION("""COMPUTED_VALUE"""),38576.666666666664)</f>
        <v>38576.66667</v>
      </c>
      <c r="N413" s="2">
        <f>IFERROR(__xludf.DUMMYFUNCTION("""COMPUTED_VALUE"""),2156.9)</f>
        <v>2156.9</v>
      </c>
      <c r="S413" s="15"/>
    </row>
    <row r="414">
      <c r="A414" s="10">
        <f t="shared" si="8"/>
        <v>38396.66667</v>
      </c>
      <c r="B414" s="2" t="str">
        <f t="shared" si="2"/>
        <v/>
      </c>
      <c r="C414" s="2" t="str">
        <f t="shared" si="3"/>
        <v>SP500</v>
      </c>
      <c r="D414" s="2" t="str">
        <f t="shared" si="4"/>
        <v/>
      </c>
      <c r="E414" s="2">
        <f t="shared" si="5"/>
        <v>2076.66</v>
      </c>
      <c r="G414" s="10">
        <f t="shared" si="9"/>
        <v>38396.64583</v>
      </c>
      <c r="H414" s="6" t="str">
        <f t="shared" si="6"/>
        <v/>
      </c>
      <c r="I414" s="2">
        <f t="shared" si="7"/>
        <v>947.23</v>
      </c>
      <c r="M414" s="10">
        <f>IFERROR(__xludf.DUMMYFUNCTION("""COMPUTED_VALUE"""),38579.666666666664)</f>
        <v>38579.66667</v>
      </c>
      <c r="N414" s="2">
        <f>IFERROR(__xludf.DUMMYFUNCTION("""COMPUTED_VALUE"""),2167.04)</f>
        <v>2167.04</v>
      </c>
      <c r="S414" s="15"/>
    </row>
    <row r="415">
      <c r="A415" s="10">
        <f t="shared" si="8"/>
        <v>38397.66667</v>
      </c>
      <c r="B415" s="2" t="str">
        <f t="shared" si="2"/>
        <v/>
      </c>
      <c r="C415" s="2" t="str">
        <f t="shared" si="3"/>
        <v>SP500</v>
      </c>
      <c r="D415" s="2">
        <f t="shared" si="4"/>
        <v>2082.91</v>
      </c>
      <c r="E415" s="2">
        <f t="shared" si="5"/>
        <v>2082.91</v>
      </c>
      <c r="G415" s="10">
        <f t="shared" si="9"/>
        <v>38397.64583</v>
      </c>
      <c r="H415" s="6">
        <f t="shared" si="6"/>
        <v>964.79</v>
      </c>
      <c r="I415" s="2">
        <f t="shared" si="7"/>
        <v>964.79</v>
      </c>
      <c r="M415" s="10">
        <f>IFERROR(__xludf.DUMMYFUNCTION("""COMPUTED_VALUE"""),38580.666666666664)</f>
        <v>38580.66667</v>
      </c>
      <c r="N415" s="2">
        <f>IFERROR(__xludf.DUMMYFUNCTION("""COMPUTED_VALUE"""),2137.06)</f>
        <v>2137.06</v>
      </c>
      <c r="S415" s="15"/>
    </row>
    <row r="416">
      <c r="A416" s="10">
        <f t="shared" si="8"/>
        <v>38398.66667</v>
      </c>
      <c r="B416" s="2" t="str">
        <f t="shared" si="2"/>
        <v/>
      </c>
      <c r="C416" s="2" t="str">
        <f t="shared" si="3"/>
        <v>SP500</v>
      </c>
      <c r="D416" s="2">
        <f t="shared" si="4"/>
        <v>2089.21</v>
      </c>
      <c r="E416" s="2">
        <f t="shared" si="5"/>
        <v>2089.21</v>
      </c>
      <c r="G416" s="10">
        <f t="shared" si="9"/>
        <v>38398.64583</v>
      </c>
      <c r="H416" s="6">
        <f t="shared" si="6"/>
        <v>968.88</v>
      </c>
      <c r="I416" s="2">
        <f t="shared" si="7"/>
        <v>968.88</v>
      </c>
      <c r="M416" s="10">
        <f>IFERROR(__xludf.DUMMYFUNCTION("""COMPUTED_VALUE"""),38581.666666666664)</f>
        <v>38581.66667</v>
      </c>
      <c r="N416" s="2">
        <f>IFERROR(__xludf.DUMMYFUNCTION("""COMPUTED_VALUE"""),2145.15)</f>
        <v>2145.15</v>
      </c>
      <c r="S416" s="15"/>
    </row>
    <row r="417">
      <c r="A417" s="10">
        <f t="shared" si="8"/>
        <v>38399.66667</v>
      </c>
      <c r="B417" s="2" t="str">
        <f t="shared" si="2"/>
        <v/>
      </c>
      <c r="C417" s="2" t="str">
        <f t="shared" si="3"/>
        <v>SP500</v>
      </c>
      <c r="D417" s="2">
        <f t="shared" si="4"/>
        <v>2087.43</v>
      </c>
      <c r="E417" s="2">
        <f t="shared" si="5"/>
        <v>2087.43</v>
      </c>
      <c r="G417" s="10">
        <f t="shared" si="9"/>
        <v>38399.64583</v>
      </c>
      <c r="H417" s="6">
        <f t="shared" si="6"/>
        <v>971.56</v>
      </c>
      <c r="I417" s="2">
        <f t="shared" si="7"/>
        <v>971.56</v>
      </c>
      <c r="M417" s="10">
        <f>IFERROR(__xludf.DUMMYFUNCTION("""COMPUTED_VALUE"""),38582.666666666664)</f>
        <v>38582.66667</v>
      </c>
      <c r="N417" s="2">
        <f>IFERROR(__xludf.DUMMYFUNCTION("""COMPUTED_VALUE"""),2136.08)</f>
        <v>2136.08</v>
      </c>
      <c r="S417" s="15"/>
    </row>
    <row r="418">
      <c r="A418" s="10">
        <f t="shared" si="8"/>
        <v>38400.66667</v>
      </c>
      <c r="B418" s="2" t="str">
        <f t="shared" si="2"/>
        <v/>
      </c>
      <c r="C418" s="2" t="str">
        <f t="shared" si="3"/>
        <v>SP500</v>
      </c>
      <c r="D418" s="2">
        <f t="shared" si="4"/>
        <v>2061.34</v>
      </c>
      <c r="E418" s="2">
        <f t="shared" si="5"/>
        <v>2061.34</v>
      </c>
      <c r="G418" s="10">
        <f t="shared" si="9"/>
        <v>38400.64583</v>
      </c>
      <c r="H418" s="6">
        <f t="shared" si="6"/>
        <v>972.56</v>
      </c>
      <c r="I418" s="2">
        <f t="shared" si="7"/>
        <v>972.56</v>
      </c>
      <c r="M418" s="10">
        <f>IFERROR(__xludf.DUMMYFUNCTION("""COMPUTED_VALUE"""),38583.666666666664)</f>
        <v>38583.66667</v>
      </c>
      <c r="N418" s="2">
        <f>IFERROR(__xludf.DUMMYFUNCTION("""COMPUTED_VALUE"""),2135.56)</f>
        <v>2135.56</v>
      </c>
      <c r="S418" s="15"/>
    </row>
    <row r="419">
      <c r="A419" s="10">
        <f t="shared" si="8"/>
        <v>38401.66667</v>
      </c>
      <c r="B419" s="2" t="str">
        <f t="shared" si="2"/>
        <v/>
      </c>
      <c r="C419" s="2" t="str">
        <f t="shared" si="3"/>
        <v>SP500</v>
      </c>
      <c r="D419" s="2">
        <f t="shared" si="4"/>
        <v>2058.62</v>
      </c>
      <c r="E419" s="2">
        <f t="shared" si="5"/>
        <v>2058.62</v>
      </c>
      <c r="G419" s="10">
        <f t="shared" si="9"/>
        <v>38401.64583</v>
      </c>
      <c r="H419" s="6">
        <f t="shared" si="6"/>
        <v>984.1</v>
      </c>
      <c r="I419" s="2">
        <f t="shared" si="7"/>
        <v>984.1</v>
      </c>
      <c r="M419" s="10">
        <f>IFERROR(__xludf.DUMMYFUNCTION("""COMPUTED_VALUE"""),38586.666666666664)</f>
        <v>38586.66667</v>
      </c>
      <c r="N419" s="2">
        <f>IFERROR(__xludf.DUMMYFUNCTION("""COMPUTED_VALUE"""),2141.41)</f>
        <v>2141.41</v>
      </c>
      <c r="S419" s="15"/>
    </row>
    <row r="420">
      <c r="A420" s="10">
        <f t="shared" si="8"/>
        <v>38402.66667</v>
      </c>
      <c r="B420" s="2" t="str">
        <f t="shared" si="2"/>
        <v/>
      </c>
      <c r="C420" s="2" t="str">
        <f t="shared" si="3"/>
        <v>SP500</v>
      </c>
      <c r="D420" s="2" t="str">
        <f t="shared" si="4"/>
        <v/>
      </c>
      <c r="E420" s="2">
        <f t="shared" si="5"/>
        <v>2058.62</v>
      </c>
      <c r="G420" s="10">
        <f t="shared" si="9"/>
        <v>38402.64583</v>
      </c>
      <c r="H420" s="6" t="str">
        <f t="shared" si="6"/>
        <v/>
      </c>
      <c r="I420" s="2">
        <f t="shared" si="7"/>
        <v>984.1</v>
      </c>
      <c r="M420" s="10">
        <f>IFERROR(__xludf.DUMMYFUNCTION("""COMPUTED_VALUE"""),38587.666666666664)</f>
        <v>38587.66667</v>
      </c>
      <c r="N420" s="2">
        <f>IFERROR(__xludf.DUMMYFUNCTION("""COMPUTED_VALUE"""),2137.25)</f>
        <v>2137.25</v>
      </c>
      <c r="S420" s="15"/>
    </row>
    <row r="421">
      <c r="A421" s="10">
        <f t="shared" si="8"/>
        <v>38403.66667</v>
      </c>
      <c r="B421" s="2" t="str">
        <f t="shared" si="2"/>
        <v/>
      </c>
      <c r="C421" s="2" t="str">
        <f t="shared" si="3"/>
        <v>SP500</v>
      </c>
      <c r="D421" s="2" t="str">
        <f t="shared" si="4"/>
        <v/>
      </c>
      <c r="E421" s="2">
        <f t="shared" si="5"/>
        <v>2058.62</v>
      </c>
      <c r="G421" s="10">
        <f t="shared" si="9"/>
        <v>38403.64583</v>
      </c>
      <c r="H421" s="6" t="str">
        <f t="shared" si="6"/>
        <v/>
      </c>
      <c r="I421" s="2">
        <f t="shared" si="7"/>
        <v>984.1</v>
      </c>
      <c r="M421" s="10">
        <f>IFERROR(__xludf.DUMMYFUNCTION("""COMPUTED_VALUE"""),38588.666666666664)</f>
        <v>38588.66667</v>
      </c>
      <c r="N421" s="2">
        <f>IFERROR(__xludf.DUMMYFUNCTION("""COMPUTED_VALUE"""),2128.91)</f>
        <v>2128.91</v>
      </c>
      <c r="S421" s="15"/>
    </row>
    <row r="422">
      <c r="A422" s="10">
        <f t="shared" si="8"/>
        <v>38404.66667</v>
      </c>
      <c r="B422" s="2" t="str">
        <f t="shared" si="2"/>
        <v/>
      </c>
      <c r="C422" s="2" t="str">
        <f t="shared" si="3"/>
        <v>SP500</v>
      </c>
      <c r="D422" s="2" t="str">
        <f t="shared" si="4"/>
        <v/>
      </c>
      <c r="E422" s="2">
        <f t="shared" si="5"/>
        <v>2058.62</v>
      </c>
      <c r="G422" s="10">
        <f t="shared" si="9"/>
        <v>38404.64583</v>
      </c>
      <c r="H422" s="6">
        <f t="shared" si="6"/>
        <v>988.71</v>
      </c>
      <c r="I422" s="2">
        <f t="shared" si="7"/>
        <v>988.71</v>
      </c>
      <c r="M422" s="10">
        <f>IFERROR(__xludf.DUMMYFUNCTION("""COMPUTED_VALUE"""),38589.666666666664)</f>
        <v>38589.66667</v>
      </c>
      <c r="N422" s="2">
        <f>IFERROR(__xludf.DUMMYFUNCTION("""COMPUTED_VALUE"""),2134.37)</f>
        <v>2134.37</v>
      </c>
      <c r="S422" s="15"/>
    </row>
    <row r="423">
      <c r="A423" s="10">
        <f t="shared" si="8"/>
        <v>38405.66667</v>
      </c>
      <c r="B423" s="2" t="str">
        <f t="shared" si="2"/>
        <v/>
      </c>
      <c r="C423" s="2" t="str">
        <f t="shared" si="3"/>
        <v>SP500</v>
      </c>
      <c r="D423" s="2">
        <f t="shared" si="4"/>
        <v>2030.32</v>
      </c>
      <c r="E423" s="2">
        <f t="shared" si="5"/>
        <v>2030.32</v>
      </c>
      <c r="G423" s="10">
        <f t="shared" si="9"/>
        <v>38405.64583</v>
      </c>
      <c r="H423" s="6">
        <f t="shared" si="6"/>
        <v>977.8</v>
      </c>
      <c r="I423" s="2">
        <f t="shared" si="7"/>
        <v>977.8</v>
      </c>
      <c r="M423" s="10">
        <f>IFERROR(__xludf.DUMMYFUNCTION("""COMPUTED_VALUE"""),38590.666666666664)</f>
        <v>38590.66667</v>
      </c>
      <c r="N423" s="2">
        <f>IFERROR(__xludf.DUMMYFUNCTION("""COMPUTED_VALUE"""),2120.77)</f>
        <v>2120.77</v>
      </c>
      <c r="S423" s="15"/>
    </row>
    <row r="424">
      <c r="A424" s="10">
        <f t="shared" si="8"/>
        <v>38406.66667</v>
      </c>
      <c r="B424" s="2" t="str">
        <f t="shared" si="2"/>
        <v/>
      </c>
      <c r="C424" s="2" t="str">
        <f t="shared" si="3"/>
        <v>SP500</v>
      </c>
      <c r="D424" s="2">
        <f t="shared" si="4"/>
        <v>2031.25</v>
      </c>
      <c r="E424" s="2">
        <f t="shared" si="5"/>
        <v>2031.25</v>
      </c>
      <c r="G424" s="10">
        <f t="shared" si="9"/>
        <v>38406.64583</v>
      </c>
      <c r="H424" s="6">
        <f t="shared" si="6"/>
        <v>968.43</v>
      </c>
      <c r="I424" s="2">
        <f t="shared" si="7"/>
        <v>968.43</v>
      </c>
      <c r="M424" s="10">
        <f>IFERROR(__xludf.DUMMYFUNCTION("""COMPUTED_VALUE"""),38593.666666666664)</f>
        <v>38593.66667</v>
      </c>
      <c r="N424" s="2">
        <f>IFERROR(__xludf.DUMMYFUNCTION("""COMPUTED_VALUE"""),2137.65)</f>
        <v>2137.65</v>
      </c>
      <c r="S424" s="15"/>
    </row>
    <row r="425">
      <c r="A425" s="10">
        <f t="shared" si="8"/>
        <v>38407.66667</v>
      </c>
      <c r="B425" s="2" t="str">
        <f t="shared" si="2"/>
        <v/>
      </c>
      <c r="C425" s="2" t="str">
        <f t="shared" si="3"/>
        <v>SP500</v>
      </c>
      <c r="D425" s="2">
        <f t="shared" si="4"/>
        <v>2051.7</v>
      </c>
      <c r="E425" s="2">
        <f t="shared" si="5"/>
        <v>2051.7</v>
      </c>
      <c r="G425" s="10">
        <f t="shared" si="9"/>
        <v>38407.64583</v>
      </c>
      <c r="H425" s="6">
        <f t="shared" si="6"/>
        <v>987.1</v>
      </c>
      <c r="I425" s="2">
        <f t="shared" si="7"/>
        <v>987.1</v>
      </c>
      <c r="M425" s="10">
        <f>IFERROR(__xludf.DUMMYFUNCTION("""COMPUTED_VALUE"""),38594.666666666664)</f>
        <v>38594.66667</v>
      </c>
      <c r="N425" s="2">
        <f>IFERROR(__xludf.DUMMYFUNCTION("""COMPUTED_VALUE"""),2129.76)</f>
        <v>2129.76</v>
      </c>
      <c r="S425" s="15"/>
    </row>
    <row r="426">
      <c r="A426" s="10">
        <f t="shared" si="8"/>
        <v>38408.66667</v>
      </c>
      <c r="B426" s="2" t="str">
        <f t="shared" si="2"/>
        <v/>
      </c>
      <c r="C426" s="2" t="str">
        <f t="shared" si="3"/>
        <v>SP500</v>
      </c>
      <c r="D426" s="2">
        <f t="shared" si="4"/>
        <v>2065.4</v>
      </c>
      <c r="E426" s="2">
        <f t="shared" si="5"/>
        <v>2065.4</v>
      </c>
      <c r="G426" s="10">
        <f t="shared" si="9"/>
        <v>38408.64583</v>
      </c>
      <c r="H426" s="6">
        <f t="shared" si="6"/>
        <v>996.95</v>
      </c>
      <c r="I426" s="2">
        <f t="shared" si="7"/>
        <v>996.95</v>
      </c>
      <c r="M426" s="10">
        <f>IFERROR(__xludf.DUMMYFUNCTION("""COMPUTED_VALUE"""),38595.666666666664)</f>
        <v>38595.66667</v>
      </c>
      <c r="N426" s="2">
        <f>IFERROR(__xludf.DUMMYFUNCTION("""COMPUTED_VALUE"""),2152.09)</f>
        <v>2152.09</v>
      </c>
      <c r="S426" s="15"/>
    </row>
    <row r="427">
      <c r="A427" s="10">
        <f t="shared" si="8"/>
        <v>38409.66667</v>
      </c>
      <c r="B427" s="2" t="str">
        <f t="shared" si="2"/>
        <v/>
      </c>
      <c r="C427" s="2" t="str">
        <f t="shared" si="3"/>
        <v>SP500</v>
      </c>
      <c r="D427" s="2" t="str">
        <f t="shared" si="4"/>
        <v/>
      </c>
      <c r="E427" s="2">
        <f t="shared" si="5"/>
        <v>2065.4</v>
      </c>
      <c r="G427" s="10">
        <f t="shared" si="9"/>
        <v>38409.64583</v>
      </c>
      <c r="H427" s="6" t="str">
        <f t="shared" si="6"/>
        <v/>
      </c>
      <c r="I427" s="2">
        <f t="shared" si="7"/>
        <v>996.95</v>
      </c>
      <c r="M427" s="10">
        <f>IFERROR(__xludf.DUMMYFUNCTION("""COMPUTED_VALUE"""),38596.666666666664)</f>
        <v>38596.66667</v>
      </c>
      <c r="N427" s="2">
        <f>IFERROR(__xludf.DUMMYFUNCTION("""COMPUTED_VALUE"""),2147.9)</f>
        <v>2147.9</v>
      </c>
      <c r="S427" s="15"/>
    </row>
    <row r="428">
      <c r="A428" s="10">
        <f t="shared" si="8"/>
        <v>38410.66667</v>
      </c>
      <c r="B428" s="2" t="str">
        <f t="shared" si="2"/>
        <v/>
      </c>
      <c r="C428" s="2" t="str">
        <f t="shared" si="3"/>
        <v>SP500</v>
      </c>
      <c r="D428" s="2" t="str">
        <f t="shared" si="4"/>
        <v/>
      </c>
      <c r="E428" s="2">
        <f t="shared" si="5"/>
        <v>2065.4</v>
      </c>
      <c r="G428" s="10">
        <f t="shared" si="9"/>
        <v>38410.64583</v>
      </c>
      <c r="H428" s="6" t="str">
        <f t="shared" si="6"/>
        <v/>
      </c>
      <c r="I428" s="2">
        <f t="shared" si="7"/>
        <v>996.95</v>
      </c>
      <c r="M428" s="10">
        <f>IFERROR(__xludf.DUMMYFUNCTION("""COMPUTED_VALUE"""),38597.666666666664)</f>
        <v>38597.66667</v>
      </c>
      <c r="N428" s="2">
        <f>IFERROR(__xludf.DUMMYFUNCTION("""COMPUTED_VALUE"""),2141.07)</f>
        <v>2141.07</v>
      </c>
      <c r="S428" s="15"/>
    </row>
    <row r="429">
      <c r="A429" s="10">
        <f t="shared" si="8"/>
        <v>38411.66667</v>
      </c>
      <c r="B429" s="2" t="str">
        <f t="shared" si="2"/>
        <v/>
      </c>
      <c r="C429" s="2" t="str">
        <f t="shared" si="3"/>
        <v>SP500</v>
      </c>
      <c r="D429" s="2">
        <f t="shared" si="4"/>
        <v>2051.72</v>
      </c>
      <c r="E429" s="2">
        <f t="shared" si="5"/>
        <v>2051.72</v>
      </c>
      <c r="G429" s="10">
        <f t="shared" si="9"/>
        <v>38411.64583</v>
      </c>
      <c r="H429" s="6">
        <f t="shared" si="6"/>
        <v>1011.36</v>
      </c>
      <c r="I429" s="2">
        <f t="shared" si="7"/>
        <v>1011.36</v>
      </c>
      <c r="M429" s="10">
        <f>IFERROR(__xludf.DUMMYFUNCTION("""COMPUTED_VALUE"""),38601.666666666664)</f>
        <v>38601.66667</v>
      </c>
      <c r="N429" s="2">
        <f>IFERROR(__xludf.DUMMYFUNCTION("""COMPUTED_VALUE"""),2166.86)</f>
        <v>2166.86</v>
      </c>
      <c r="S429" s="15"/>
    </row>
    <row r="430">
      <c r="A430" s="10">
        <f t="shared" si="8"/>
        <v>38412.66667</v>
      </c>
      <c r="B430" s="2" t="str">
        <f t="shared" si="2"/>
        <v/>
      </c>
      <c r="C430" s="2" t="str">
        <f t="shared" si="3"/>
        <v>SP500</v>
      </c>
      <c r="D430" s="2">
        <f t="shared" si="4"/>
        <v>2071.25</v>
      </c>
      <c r="E430" s="2">
        <f t="shared" si="5"/>
        <v>2071.25</v>
      </c>
      <c r="G430" s="10">
        <f t="shared" si="9"/>
        <v>38412.64583</v>
      </c>
      <c r="H430" s="6" t="str">
        <f t="shared" si="6"/>
        <v/>
      </c>
      <c r="I430" s="2">
        <f t="shared" si="7"/>
        <v>1011.36</v>
      </c>
      <c r="M430" s="10">
        <f>IFERROR(__xludf.DUMMYFUNCTION("""COMPUTED_VALUE"""),38602.666666666664)</f>
        <v>38602.66667</v>
      </c>
      <c r="N430" s="2">
        <f>IFERROR(__xludf.DUMMYFUNCTION("""COMPUTED_VALUE"""),2172.03)</f>
        <v>2172.03</v>
      </c>
      <c r="S430" s="15"/>
    </row>
    <row r="431">
      <c r="A431" s="10">
        <f t="shared" si="8"/>
        <v>38413.66667</v>
      </c>
      <c r="B431" s="2" t="str">
        <f t="shared" si="2"/>
        <v/>
      </c>
      <c r="C431" s="2" t="str">
        <f t="shared" si="3"/>
        <v>SP500</v>
      </c>
      <c r="D431" s="2">
        <f t="shared" si="4"/>
        <v>2067.5</v>
      </c>
      <c r="E431" s="2">
        <f t="shared" si="5"/>
        <v>2067.5</v>
      </c>
      <c r="G431" s="10">
        <f t="shared" si="9"/>
        <v>38413.64583</v>
      </c>
      <c r="H431" s="6">
        <f t="shared" si="6"/>
        <v>1007.48</v>
      </c>
      <c r="I431" s="2">
        <f t="shared" si="7"/>
        <v>1007.48</v>
      </c>
      <c r="M431" s="10">
        <f>IFERROR(__xludf.DUMMYFUNCTION("""COMPUTED_VALUE"""),38603.666666666664)</f>
        <v>38603.66667</v>
      </c>
      <c r="N431" s="2">
        <f>IFERROR(__xludf.DUMMYFUNCTION("""COMPUTED_VALUE"""),2166.03)</f>
        <v>2166.03</v>
      </c>
      <c r="S431" s="15"/>
    </row>
    <row r="432">
      <c r="A432" s="10">
        <f t="shared" si="8"/>
        <v>38414.66667</v>
      </c>
      <c r="B432" s="2" t="str">
        <f t="shared" si="2"/>
        <v/>
      </c>
      <c r="C432" s="2" t="str">
        <f t="shared" si="3"/>
        <v>SP500</v>
      </c>
      <c r="D432" s="2">
        <f t="shared" si="4"/>
        <v>2058.4</v>
      </c>
      <c r="E432" s="2">
        <f t="shared" si="5"/>
        <v>2058.4</v>
      </c>
      <c r="G432" s="10">
        <f t="shared" si="9"/>
        <v>38414.64583</v>
      </c>
      <c r="H432" s="6">
        <f t="shared" si="6"/>
        <v>1010.92</v>
      </c>
      <c r="I432" s="2">
        <f t="shared" si="7"/>
        <v>1010.92</v>
      </c>
      <c r="M432" s="10">
        <f>IFERROR(__xludf.DUMMYFUNCTION("""COMPUTED_VALUE"""),38604.666666666664)</f>
        <v>38604.66667</v>
      </c>
      <c r="N432" s="2">
        <f>IFERROR(__xludf.DUMMYFUNCTION("""COMPUTED_VALUE"""),2175.51)</f>
        <v>2175.51</v>
      </c>
      <c r="S432" s="15"/>
    </row>
    <row r="433">
      <c r="A433" s="10">
        <f t="shared" si="8"/>
        <v>38415.66667</v>
      </c>
      <c r="B433" s="2" t="str">
        <f t="shared" si="2"/>
        <v/>
      </c>
      <c r="C433" s="2" t="str">
        <f t="shared" si="3"/>
        <v>SP500</v>
      </c>
      <c r="D433" s="2">
        <f t="shared" si="4"/>
        <v>2070.61</v>
      </c>
      <c r="E433" s="2">
        <f t="shared" si="5"/>
        <v>2070.61</v>
      </c>
      <c r="G433" s="10">
        <f t="shared" si="9"/>
        <v>38415.64583</v>
      </c>
      <c r="H433" s="6">
        <f t="shared" si="6"/>
        <v>1012.96</v>
      </c>
      <c r="I433" s="2">
        <f t="shared" si="7"/>
        <v>1012.96</v>
      </c>
      <c r="M433" s="10">
        <f>IFERROR(__xludf.DUMMYFUNCTION("""COMPUTED_VALUE"""),38607.666666666664)</f>
        <v>38607.66667</v>
      </c>
      <c r="N433" s="2">
        <f>IFERROR(__xludf.DUMMYFUNCTION("""COMPUTED_VALUE"""),2182.83)</f>
        <v>2182.83</v>
      </c>
      <c r="S433" s="15"/>
    </row>
    <row r="434">
      <c r="A434" s="10">
        <f t="shared" si="8"/>
        <v>38416.66667</v>
      </c>
      <c r="B434" s="2" t="str">
        <f t="shared" si="2"/>
        <v/>
      </c>
      <c r="C434" s="2" t="str">
        <f t="shared" si="3"/>
        <v>SP500</v>
      </c>
      <c r="D434" s="2" t="str">
        <f t="shared" si="4"/>
        <v/>
      </c>
      <c r="E434" s="2">
        <f t="shared" si="5"/>
        <v>2070.61</v>
      </c>
      <c r="G434" s="10">
        <f t="shared" si="9"/>
        <v>38416.64583</v>
      </c>
      <c r="H434" s="6" t="str">
        <f t="shared" si="6"/>
        <v/>
      </c>
      <c r="I434" s="2">
        <f t="shared" si="7"/>
        <v>1012.96</v>
      </c>
      <c r="M434" s="10">
        <f>IFERROR(__xludf.DUMMYFUNCTION("""COMPUTED_VALUE"""),38608.666666666664)</f>
        <v>38608.66667</v>
      </c>
      <c r="N434" s="2">
        <f>IFERROR(__xludf.DUMMYFUNCTION("""COMPUTED_VALUE"""),2171.75)</f>
        <v>2171.75</v>
      </c>
      <c r="S434" s="15"/>
    </row>
    <row r="435">
      <c r="A435" s="10">
        <f t="shared" si="8"/>
        <v>38417.66667</v>
      </c>
      <c r="B435" s="2" t="str">
        <f t="shared" si="2"/>
        <v/>
      </c>
      <c r="C435" s="2" t="str">
        <f t="shared" si="3"/>
        <v>SP500</v>
      </c>
      <c r="D435" s="2" t="str">
        <f t="shared" si="4"/>
        <v/>
      </c>
      <c r="E435" s="2">
        <f t="shared" si="5"/>
        <v>2070.61</v>
      </c>
      <c r="G435" s="10">
        <f t="shared" si="9"/>
        <v>38417.64583</v>
      </c>
      <c r="H435" s="6" t="str">
        <f t="shared" si="6"/>
        <v/>
      </c>
      <c r="I435" s="2">
        <f t="shared" si="7"/>
        <v>1012.96</v>
      </c>
      <c r="M435" s="10">
        <f>IFERROR(__xludf.DUMMYFUNCTION("""COMPUTED_VALUE"""),38609.666666666664)</f>
        <v>38609.66667</v>
      </c>
      <c r="N435" s="2">
        <f>IFERROR(__xludf.DUMMYFUNCTION("""COMPUTED_VALUE"""),2149.33)</f>
        <v>2149.33</v>
      </c>
      <c r="S435" s="15"/>
    </row>
    <row r="436">
      <c r="A436" s="10">
        <f t="shared" si="8"/>
        <v>38418.66667</v>
      </c>
      <c r="B436" s="2" t="str">
        <f t="shared" si="2"/>
        <v/>
      </c>
      <c r="C436" s="2" t="str">
        <f t="shared" si="3"/>
        <v>SP500</v>
      </c>
      <c r="D436" s="2">
        <f t="shared" si="4"/>
        <v>2090.21</v>
      </c>
      <c r="E436" s="2">
        <f t="shared" si="5"/>
        <v>2090.21</v>
      </c>
      <c r="G436" s="10">
        <f t="shared" si="9"/>
        <v>38418.64583</v>
      </c>
      <c r="H436" s="6">
        <f t="shared" si="6"/>
        <v>1007.5</v>
      </c>
      <c r="I436" s="2">
        <f t="shared" si="7"/>
        <v>1007.5</v>
      </c>
      <c r="M436" s="10">
        <f>IFERROR(__xludf.DUMMYFUNCTION("""COMPUTED_VALUE"""),38610.666666666664)</f>
        <v>38610.66667</v>
      </c>
      <c r="N436" s="2">
        <f>IFERROR(__xludf.DUMMYFUNCTION("""COMPUTED_VALUE"""),2146.15)</f>
        <v>2146.15</v>
      </c>
      <c r="S436" s="15"/>
    </row>
    <row r="437">
      <c r="A437" s="10">
        <f t="shared" si="8"/>
        <v>38419.66667</v>
      </c>
      <c r="B437" s="2" t="str">
        <f t="shared" si="2"/>
        <v/>
      </c>
      <c r="C437" s="2" t="str">
        <f t="shared" si="3"/>
        <v>SP500</v>
      </c>
      <c r="D437" s="2">
        <f t="shared" si="4"/>
        <v>2073.55</v>
      </c>
      <c r="E437" s="2">
        <f t="shared" si="5"/>
        <v>2073.55</v>
      </c>
      <c r="G437" s="10">
        <f t="shared" si="9"/>
        <v>38419.64583</v>
      </c>
      <c r="H437" s="6">
        <f t="shared" si="6"/>
        <v>1000.28</v>
      </c>
      <c r="I437" s="2">
        <f t="shared" si="7"/>
        <v>1000.28</v>
      </c>
      <c r="M437" s="10">
        <f>IFERROR(__xludf.DUMMYFUNCTION("""COMPUTED_VALUE"""),38611.666666666664)</f>
        <v>38611.66667</v>
      </c>
      <c r="N437" s="2">
        <f>IFERROR(__xludf.DUMMYFUNCTION("""COMPUTED_VALUE"""),2160.35)</f>
        <v>2160.35</v>
      </c>
      <c r="S437" s="15"/>
    </row>
    <row r="438">
      <c r="A438" s="10">
        <f t="shared" si="8"/>
        <v>38420.66667</v>
      </c>
      <c r="B438" s="2" t="str">
        <f t="shared" si="2"/>
        <v/>
      </c>
      <c r="C438" s="2" t="str">
        <f t="shared" si="3"/>
        <v>SP500</v>
      </c>
      <c r="D438" s="2">
        <f t="shared" si="4"/>
        <v>2061.29</v>
      </c>
      <c r="E438" s="2">
        <f t="shared" si="5"/>
        <v>2061.29</v>
      </c>
      <c r="G438" s="10">
        <f t="shared" si="9"/>
        <v>38420.64583</v>
      </c>
      <c r="H438" s="6">
        <f t="shared" si="6"/>
        <v>1008.79</v>
      </c>
      <c r="I438" s="2">
        <f t="shared" si="7"/>
        <v>1008.79</v>
      </c>
      <c r="M438" s="10">
        <f>IFERROR(__xludf.DUMMYFUNCTION("""COMPUTED_VALUE"""),38614.666666666664)</f>
        <v>38614.66667</v>
      </c>
      <c r="N438" s="2">
        <f>IFERROR(__xludf.DUMMYFUNCTION("""COMPUTED_VALUE"""),2145.26)</f>
        <v>2145.26</v>
      </c>
      <c r="S438" s="15"/>
    </row>
    <row r="439">
      <c r="A439" s="10">
        <f t="shared" si="8"/>
        <v>38421.66667</v>
      </c>
      <c r="B439" s="2" t="str">
        <f t="shared" si="2"/>
        <v/>
      </c>
      <c r="C439" s="2" t="str">
        <f t="shared" si="3"/>
        <v>SP500</v>
      </c>
      <c r="D439" s="2">
        <f t="shared" si="4"/>
        <v>2059.72</v>
      </c>
      <c r="E439" s="2">
        <f t="shared" si="5"/>
        <v>2059.72</v>
      </c>
      <c r="G439" s="10">
        <f t="shared" si="9"/>
        <v>38421.64583</v>
      </c>
      <c r="H439" s="6">
        <f t="shared" si="6"/>
        <v>998.66</v>
      </c>
      <c r="I439" s="2">
        <f t="shared" si="7"/>
        <v>998.66</v>
      </c>
      <c r="M439" s="10">
        <f>IFERROR(__xludf.DUMMYFUNCTION("""COMPUTED_VALUE"""),38615.666666666664)</f>
        <v>38615.66667</v>
      </c>
      <c r="N439" s="2">
        <f>IFERROR(__xludf.DUMMYFUNCTION("""COMPUTED_VALUE"""),2131.33)</f>
        <v>2131.33</v>
      </c>
      <c r="S439" s="15"/>
    </row>
    <row r="440">
      <c r="A440" s="10">
        <f t="shared" si="8"/>
        <v>38422.66667</v>
      </c>
      <c r="B440" s="2" t="str">
        <f t="shared" si="2"/>
        <v/>
      </c>
      <c r="C440" s="2" t="str">
        <f t="shared" si="3"/>
        <v>SP500</v>
      </c>
      <c r="D440" s="2">
        <f t="shared" si="4"/>
        <v>2041.6</v>
      </c>
      <c r="E440" s="2">
        <f t="shared" si="5"/>
        <v>2041.6</v>
      </c>
      <c r="G440" s="10">
        <f t="shared" si="9"/>
        <v>38422.64583</v>
      </c>
      <c r="H440" s="6">
        <f t="shared" si="6"/>
        <v>1022.79</v>
      </c>
      <c r="I440" s="2">
        <f t="shared" si="7"/>
        <v>1022.79</v>
      </c>
      <c r="M440" s="10">
        <f>IFERROR(__xludf.DUMMYFUNCTION("""COMPUTED_VALUE"""),38616.666666666664)</f>
        <v>38616.66667</v>
      </c>
      <c r="N440" s="2">
        <f>IFERROR(__xludf.DUMMYFUNCTION("""COMPUTED_VALUE"""),2106.64)</f>
        <v>2106.64</v>
      </c>
      <c r="S440" s="15"/>
    </row>
    <row r="441">
      <c r="A441" s="10">
        <f t="shared" si="8"/>
        <v>38423.66667</v>
      </c>
      <c r="B441" s="2" t="str">
        <f t="shared" si="2"/>
        <v/>
      </c>
      <c r="C441" s="2" t="str">
        <f t="shared" si="3"/>
        <v>SP500</v>
      </c>
      <c r="D441" s="2" t="str">
        <f t="shared" si="4"/>
        <v/>
      </c>
      <c r="E441" s="2">
        <f t="shared" si="5"/>
        <v>2041.6</v>
      </c>
      <c r="G441" s="10">
        <f t="shared" si="9"/>
        <v>38423.64583</v>
      </c>
      <c r="H441" s="6" t="str">
        <f t="shared" si="6"/>
        <v/>
      </c>
      <c r="I441" s="2">
        <f t="shared" si="7"/>
        <v>1022.79</v>
      </c>
      <c r="M441" s="10">
        <f>IFERROR(__xludf.DUMMYFUNCTION("""COMPUTED_VALUE"""),38617.666666666664)</f>
        <v>38617.66667</v>
      </c>
      <c r="N441" s="2">
        <f>IFERROR(__xludf.DUMMYFUNCTION("""COMPUTED_VALUE"""),2110.78)</f>
        <v>2110.78</v>
      </c>
      <c r="S441" s="15"/>
    </row>
    <row r="442">
      <c r="A442" s="10">
        <f t="shared" si="8"/>
        <v>38424.66667</v>
      </c>
      <c r="B442" s="2" t="str">
        <f t="shared" si="2"/>
        <v/>
      </c>
      <c r="C442" s="2" t="str">
        <f t="shared" si="3"/>
        <v>SP500</v>
      </c>
      <c r="D442" s="2" t="str">
        <f t="shared" si="4"/>
        <v/>
      </c>
      <c r="E442" s="2">
        <f t="shared" si="5"/>
        <v>2041.6</v>
      </c>
      <c r="G442" s="10">
        <f t="shared" si="9"/>
        <v>38424.64583</v>
      </c>
      <c r="H442" s="6" t="str">
        <f t="shared" si="6"/>
        <v/>
      </c>
      <c r="I442" s="2">
        <f t="shared" si="7"/>
        <v>1022.79</v>
      </c>
      <c r="M442" s="10">
        <f>IFERROR(__xludf.DUMMYFUNCTION("""COMPUTED_VALUE"""),38618.666666666664)</f>
        <v>38618.66667</v>
      </c>
      <c r="N442" s="2">
        <f>IFERROR(__xludf.DUMMYFUNCTION("""COMPUTED_VALUE"""),2116.84)</f>
        <v>2116.84</v>
      </c>
      <c r="S442" s="15"/>
    </row>
    <row r="443">
      <c r="A443" s="10">
        <f t="shared" si="8"/>
        <v>38425.66667</v>
      </c>
      <c r="B443" s="2" t="str">
        <f t="shared" si="2"/>
        <v/>
      </c>
      <c r="C443" s="2" t="str">
        <f t="shared" si="3"/>
        <v>SP500</v>
      </c>
      <c r="D443" s="2">
        <f t="shared" si="4"/>
        <v>2051.04</v>
      </c>
      <c r="E443" s="2">
        <f t="shared" si="5"/>
        <v>2051.04</v>
      </c>
      <c r="G443" s="10">
        <f t="shared" si="9"/>
        <v>38425.64583</v>
      </c>
      <c r="H443" s="6">
        <f t="shared" si="6"/>
        <v>1019.69</v>
      </c>
      <c r="I443" s="2">
        <f t="shared" si="7"/>
        <v>1019.69</v>
      </c>
      <c r="M443" s="10">
        <f>IFERROR(__xludf.DUMMYFUNCTION("""COMPUTED_VALUE"""),38621.666666666664)</f>
        <v>38621.66667</v>
      </c>
      <c r="N443" s="2">
        <f>IFERROR(__xludf.DUMMYFUNCTION("""COMPUTED_VALUE"""),2121.46)</f>
        <v>2121.46</v>
      </c>
      <c r="S443" s="15"/>
    </row>
    <row r="444">
      <c r="A444" s="10">
        <f t="shared" si="8"/>
        <v>38426.66667</v>
      </c>
      <c r="B444" s="2" t="str">
        <f t="shared" si="2"/>
        <v/>
      </c>
      <c r="C444" s="2" t="str">
        <f t="shared" si="3"/>
        <v>SP500</v>
      </c>
      <c r="D444" s="2">
        <f t="shared" si="4"/>
        <v>2034.98</v>
      </c>
      <c r="E444" s="2">
        <f t="shared" si="5"/>
        <v>2034.98</v>
      </c>
      <c r="G444" s="10">
        <f t="shared" si="9"/>
        <v>38426.64583</v>
      </c>
      <c r="H444" s="6">
        <f t="shared" si="6"/>
        <v>993.13</v>
      </c>
      <c r="I444" s="2">
        <f t="shared" si="7"/>
        <v>993.13</v>
      </c>
      <c r="M444" s="10">
        <f>IFERROR(__xludf.DUMMYFUNCTION("""COMPUTED_VALUE"""),38622.666666666664)</f>
        <v>38622.66667</v>
      </c>
      <c r="N444" s="2">
        <f>IFERROR(__xludf.DUMMYFUNCTION("""COMPUTED_VALUE"""),2116.42)</f>
        <v>2116.42</v>
      </c>
      <c r="S444" s="15"/>
    </row>
    <row r="445">
      <c r="A445" s="10">
        <f t="shared" si="8"/>
        <v>38427.66667</v>
      </c>
      <c r="B445" s="2" t="str">
        <f t="shared" si="2"/>
        <v/>
      </c>
      <c r="C445" s="2" t="str">
        <f t="shared" si="3"/>
        <v>SP500</v>
      </c>
      <c r="D445" s="2">
        <f t="shared" si="4"/>
        <v>2015.75</v>
      </c>
      <c r="E445" s="2">
        <f t="shared" si="5"/>
        <v>2015.75</v>
      </c>
      <c r="G445" s="10">
        <f t="shared" si="9"/>
        <v>38427.64583</v>
      </c>
      <c r="H445" s="6">
        <f t="shared" si="6"/>
        <v>993.13</v>
      </c>
      <c r="I445" s="2">
        <f t="shared" si="7"/>
        <v>993.13</v>
      </c>
      <c r="M445" s="10">
        <f>IFERROR(__xludf.DUMMYFUNCTION("""COMPUTED_VALUE"""),38623.666666666664)</f>
        <v>38623.66667</v>
      </c>
      <c r="N445" s="2">
        <f>IFERROR(__xludf.DUMMYFUNCTION("""COMPUTED_VALUE"""),2115.4)</f>
        <v>2115.4</v>
      </c>
      <c r="S445" s="15"/>
    </row>
    <row r="446">
      <c r="A446" s="10">
        <f t="shared" si="8"/>
        <v>38428.66667</v>
      </c>
      <c r="B446" s="2" t="str">
        <f t="shared" si="2"/>
        <v/>
      </c>
      <c r="C446" s="2" t="str">
        <f t="shared" si="3"/>
        <v>SP500</v>
      </c>
      <c r="D446" s="2">
        <f t="shared" si="4"/>
        <v>2016.42</v>
      </c>
      <c r="E446" s="2">
        <f t="shared" si="5"/>
        <v>2016.42</v>
      </c>
      <c r="G446" s="10">
        <f t="shared" si="9"/>
        <v>38428.64583</v>
      </c>
      <c r="H446" s="6">
        <f t="shared" si="6"/>
        <v>980.05</v>
      </c>
      <c r="I446" s="2">
        <f t="shared" si="7"/>
        <v>980.05</v>
      </c>
      <c r="M446" s="10">
        <f>IFERROR(__xludf.DUMMYFUNCTION("""COMPUTED_VALUE"""),38624.666666666664)</f>
        <v>38624.66667</v>
      </c>
      <c r="N446" s="2">
        <f>IFERROR(__xludf.DUMMYFUNCTION("""COMPUTED_VALUE"""),2141.22)</f>
        <v>2141.22</v>
      </c>
      <c r="S446" s="15"/>
    </row>
    <row r="447">
      <c r="A447" s="10">
        <f t="shared" si="8"/>
        <v>38429.66667</v>
      </c>
      <c r="B447" s="2" t="str">
        <f t="shared" si="2"/>
        <v/>
      </c>
      <c r="C447" s="2" t="str">
        <f t="shared" si="3"/>
        <v>SP500</v>
      </c>
      <c r="D447" s="2">
        <f t="shared" si="4"/>
        <v>2007.79</v>
      </c>
      <c r="E447" s="2">
        <f t="shared" si="5"/>
        <v>2007.79</v>
      </c>
      <c r="G447" s="10">
        <f t="shared" si="9"/>
        <v>38429.64583</v>
      </c>
      <c r="H447" s="6">
        <f t="shared" si="6"/>
        <v>979.72</v>
      </c>
      <c r="I447" s="2">
        <f t="shared" si="7"/>
        <v>979.72</v>
      </c>
      <c r="M447" s="10">
        <f>IFERROR(__xludf.DUMMYFUNCTION("""COMPUTED_VALUE"""),38625.666666666664)</f>
        <v>38625.66667</v>
      </c>
      <c r="N447" s="2">
        <f>IFERROR(__xludf.DUMMYFUNCTION("""COMPUTED_VALUE"""),2151.69)</f>
        <v>2151.69</v>
      </c>
      <c r="S447" s="15"/>
    </row>
    <row r="448">
      <c r="A448" s="10">
        <f t="shared" si="8"/>
        <v>38430.66667</v>
      </c>
      <c r="B448" s="2" t="str">
        <f t="shared" si="2"/>
        <v/>
      </c>
      <c r="C448" s="2" t="str">
        <f t="shared" si="3"/>
        <v>SP500</v>
      </c>
      <c r="D448" s="2" t="str">
        <f t="shared" si="4"/>
        <v/>
      </c>
      <c r="E448" s="2">
        <f t="shared" si="5"/>
        <v>2007.79</v>
      </c>
      <c r="G448" s="10">
        <f t="shared" si="9"/>
        <v>38430.64583</v>
      </c>
      <c r="H448" s="6" t="str">
        <f t="shared" si="6"/>
        <v/>
      </c>
      <c r="I448" s="2">
        <f t="shared" si="7"/>
        <v>979.72</v>
      </c>
      <c r="M448" s="10">
        <f>IFERROR(__xludf.DUMMYFUNCTION("""COMPUTED_VALUE"""),38628.666666666664)</f>
        <v>38628.66667</v>
      </c>
      <c r="N448" s="2">
        <f>IFERROR(__xludf.DUMMYFUNCTION("""COMPUTED_VALUE"""),2155.43)</f>
        <v>2155.43</v>
      </c>
      <c r="S448" s="15"/>
    </row>
    <row r="449">
      <c r="A449" s="10">
        <f t="shared" si="8"/>
        <v>38431.66667</v>
      </c>
      <c r="B449" s="2" t="str">
        <f t="shared" si="2"/>
        <v/>
      </c>
      <c r="C449" s="2" t="str">
        <f t="shared" si="3"/>
        <v>SP500</v>
      </c>
      <c r="D449" s="2" t="str">
        <f t="shared" si="4"/>
        <v/>
      </c>
      <c r="E449" s="2">
        <f t="shared" si="5"/>
        <v>2007.79</v>
      </c>
      <c r="G449" s="10">
        <f t="shared" si="9"/>
        <v>38431.64583</v>
      </c>
      <c r="H449" s="6" t="str">
        <f t="shared" si="6"/>
        <v/>
      </c>
      <c r="I449" s="2">
        <f t="shared" si="7"/>
        <v>979.72</v>
      </c>
      <c r="M449" s="10">
        <f>IFERROR(__xludf.DUMMYFUNCTION("""COMPUTED_VALUE"""),38629.666666666664)</f>
        <v>38629.66667</v>
      </c>
      <c r="N449" s="2">
        <f>IFERROR(__xludf.DUMMYFUNCTION("""COMPUTED_VALUE"""),2139.36)</f>
        <v>2139.36</v>
      </c>
      <c r="S449" s="15"/>
    </row>
    <row r="450">
      <c r="A450" s="10">
        <f t="shared" si="8"/>
        <v>38432.66667</v>
      </c>
      <c r="B450" s="2" t="str">
        <f t="shared" si="2"/>
        <v/>
      </c>
      <c r="C450" s="2" t="str">
        <f t="shared" si="3"/>
        <v>SP500</v>
      </c>
      <c r="D450" s="2">
        <f t="shared" si="4"/>
        <v>2007.51</v>
      </c>
      <c r="E450" s="2">
        <f t="shared" si="5"/>
        <v>2007.51</v>
      </c>
      <c r="G450" s="10">
        <f t="shared" si="9"/>
        <v>38432.64583</v>
      </c>
      <c r="H450" s="6">
        <f t="shared" si="6"/>
        <v>979.27</v>
      </c>
      <c r="I450" s="2">
        <f t="shared" si="7"/>
        <v>979.27</v>
      </c>
      <c r="M450" s="10">
        <f>IFERROR(__xludf.DUMMYFUNCTION("""COMPUTED_VALUE"""),38630.666666666664)</f>
        <v>38630.66667</v>
      </c>
      <c r="N450" s="2">
        <f>IFERROR(__xludf.DUMMYFUNCTION("""COMPUTED_VALUE"""),2103.02)</f>
        <v>2103.02</v>
      </c>
      <c r="S450" s="15"/>
    </row>
    <row r="451">
      <c r="A451" s="10">
        <f t="shared" si="8"/>
        <v>38433.66667</v>
      </c>
      <c r="B451" s="2" t="str">
        <f t="shared" si="2"/>
        <v/>
      </c>
      <c r="C451" s="2" t="str">
        <f t="shared" si="3"/>
        <v>SP500</v>
      </c>
      <c r="D451" s="2">
        <f t="shared" si="4"/>
        <v>1989.34</v>
      </c>
      <c r="E451" s="2">
        <f t="shared" si="5"/>
        <v>1989.34</v>
      </c>
      <c r="G451" s="10">
        <f t="shared" si="9"/>
        <v>38433.64583</v>
      </c>
      <c r="H451" s="6">
        <f t="shared" si="6"/>
        <v>980.41</v>
      </c>
      <c r="I451" s="2">
        <f t="shared" si="7"/>
        <v>980.41</v>
      </c>
      <c r="M451" s="10">
        <f>IFERROR(__xludf.DUMMYFUNCTION("""COMPUTED_VALUE"""),38631.666666666664)</f>
        <v>38631.66667</v>
      </c>
      <c r="N451" s="2">
        <f>IFERROR(__xludf.DUMMYFUNCTION("""COMPUTED_VALUE"""),2084.08)</f>
        <v>2084.08</v>
      </c>
      <c r="S451" s="15"/>
    </row>
    <row r="452">
      <c r="A452" s="10">
        <f t="shared" si="8"/>
        <v>38434.66667</v>
      </c>
      <c r="B452" s="2" t="str">
        <f t="shared" si="2"/>
        <v/>
      </c>
      <c r="C452" s="2" t="str">
        <f t="shared" si="3"/>
        <v>SP500</v>
      </c>
      <c r="D452" s="2">
        <f t="shared" si="4"/>
        <v>1990.22</v>
      </c>
      <c r="E452" s="2">
        <f t="shared" si="5"/>
        <v>1990.22</v>
      </c>
      <c r="G452" s="10">
        <f t="shared" si="9"/>
        <v>38434.64583</v>
      </c>
      <c r="H452" s="6">
        <f t="shared" si="6"/>
        <v>966.81</v>
      </c>
      <c r="I452" s="2">
        <f t="shared" si="7"/>
        <v>966.81</v>
      </c>
      <c r="M452" s="10">
        <f>IFERROR(__xludf.DUMMYFUNCTION("""COMPUTED_VALUE"""),38632.666666666664)</f>
        <v>38632.66667</v>
      </c>
      <c r="N452" s="2">
        <f>IFERROR(__xludf.DUMMYFUNCTION("""COMPUTED_VALUE"""),2090.35)</f>
        <v>2090.35</v>
      </c>
      <c r="S452" s="15"/>
    </row>
    <row r="453">
      <c r="A453" s="10">
        <f t="shared" si="8"/>
        <v>38435.66667</v>
      </c>
      <c r="B453" s="2" t="str">
        <f t="shared" si="2"/>
        <v/>
      </c>
      <c r="C453" s="2" t="str">
        <f t="shared" si="3"/>
        <v>SP500</v>
      </c>
      <c r="D453" s="2">
        <f t="shared" si="4"/>
        <v>1991.06</v>
      </c>
      <c r="E453" s="2">
        <f t="shared" si="5"/>
        <v>1991.06</v>
      </c>
      <c r="G453" s="10">
        <f t="shared" si="9"/>
        <v>38435.64583</v>
      </c>
      <c r="H453" s="6">
        <f t="shared" si="6"/>
        <v>956.33</v>
      </c>
      <c r="I453" s="2">
        <f t="shared" si="7"/>
        <v>956.33</v>
      </c>
      <c r="M453" s="10">
        <f>IFERROR(__xludf.DUMMYFUNCTION("""COMPUTED_VALUE"""),38635.666666666664)</f>
        <v>38635.66667</v>
      </c>
      <c r="N453" s="2">
        <f>IFERROR(__xludf.DUMMYFUNCTION("""COMPUTED_VALUE"""),2078.92)</f>
        <v>2078.92</v>
      </c>
      <c r="S453" s="15"/>
    </row>
    <row r="454">
      <c r="A454" s="10">
        <f t="shared" si="8"/>
        <v>38436.66667</v>
      </c>
      <c r="B454" s="2" t="str">
        <f t="shared" si="2"/>
        <v/>
      </c>
      <c r="C454" s="2" t="str">
        <f t="shared" si="3"/>
        <v>SP500</v>
      </c>
      <c r="D454" s="2">
        <f t="shared" si="4"/>
        <v>1991.06</v>
      </c>
      <c r="E454" s="2">
        <f t="shared" si="5"/>
        <v>1991.06</v>
      </c>
      <c r="G454" s="10">
        <f t="shared" si="9"/>
        <v>38436.64583</v>
      </c>
      <c r="H454" s="6">
        <f t="shared" si="6"/>
        <v>965.3</v>
      </c>
      <c r="I454" s="2">
        <f t="shared" si="7"/>
        <v>965.3</v>
      </c>
      <c r="M454" s="10">
        <f>IFERROR(__xludf.DUMMYFUNCTION("""COMPUTED_VALUE"""),38636.666666666664)</f>
        <v>38636.66667</v>
      </c>
      <c r="N454" s="2">
        <f>IFERROR(__xludf.DUMMYFUNCTION("""COMPUTED_VALUE"""),2061.09)</f>
        <v>2061.09</v>
      </c>
      <c r="S454" s="15"/>
    </row>
    <row r="455">
      <c r="A455" s="10">
        <f t="shared" si="8"/>
        <v>38437.66667</v>
      </c>
      <c r="B455" s="2" t="str">
        <f t="shared" si="2"/>
        <v/>
      </c>
      <c r="C455" s="2" t="str">
        <f t="shared" si="3"/>
        <v>SP500</v>
      </c>
      <c r="D455" s="2" t="str">
        <f t="shared" si="4"/>
        <v/>
      </c>
      <c r="E455" s="2">
        <f t="shared" si="5"/>
        <v>1991.06</v>
      </c>
      <c r="G455" s="10">
        <f t="shared" si="9"/>
        <v>38437.64583</v>
      </c>
      <c r="H455" s="6" t="str">
        <f t="shared" si="6"/>
        <v/>
      </c>
      <c r="I455" s="2">
        <f t="shared" si="7"/>
        <v>965.3</v>
      </c>
      <c r="M455" s="10">
        <f>IFERROR(__xludf.DUMMYFUNCTION("""COMPUTED_VALUE"""),38637.666666666664)</f>
        <v>38637.66667</v>
      </c>
      <c r="N455" s="2">
        <f>IFERROR(__xludf.DUMMYFUNCTION("""COMPUTED_VALUE"""),2037.47)</f>
        <v>2037.47</v>
      </c>
      <c r="S455" s="15"/>
    </row>
    <row r="456">
      <c r="A456" s="10">
        <f t="shared" si="8"/>
        <v>38438.66667</v>
      </c>
      <c r="B456" s="2" t="str">
        <f t="shared" si="2"/>
        <v/>
      </c>
      <c r="C456" s="2" t="str">
        <f t="shared" si="3"/>
        <v>SP500</v>
      </c>
      <c r="D456" s="2" t="str">
        <f t="shared" si="4"/>
        <v/>
      </c>
      <c r="E456" s="2">
        <f t="shared" si="5"/>
        <v>1991.06</v>
      </c>
      <c r="G456" s="10">
        <f t="shared" si="9"/>
        <v>38438.64583</v>
      </c>
      <c r="H456" s="6" t="str">
        <f t="shared" si="6"/>
        <v/>
      </c>
      <c r="I456" s="2">
        <f t="shared" si="7"/>
        <v>965.3</v>
      </c>
      <c r="M456" s="10">
        <f>IFERROR(__xludf.DUMMYFUNCTION("""COMPUTED_VALUE"""),38638.666666666664)</f>
        <v>38638.66667</v>
      </c>
      <c r="N456" s="2">
        <f>IFERROR(__xludf.DUMMYFUNCTION("""COMPUTED_VALUE"""),2047.22)</f>
        <v>2047.22</v>
      </c>
      <c r="S456" s="15"/>
    </row>
    <row r="457">
      <c r="A457" s="10">
        <f t="shared" si="8"/>
        <v>38439.66667</v>
      </c>
      <c r="B457" s="2" t="str">
        <f t="shared" si="2"/>
        <v/>
      </c>
      <c r="C457" s="2" t="str">
        <f t="shared" si="3"/>
        <v>SP500</v>
      </c>
      <c r="D457" s="2">
        <f t="shared" si="4"/>
        <v>1992.52</v>
      </c>
      <c r="E457" s="2">
        <f t="shared" si="5"/>
        <v>1992.52</v>
      </c>
      <c r="G457" s="10">
        <f t="shared" si="9"/>
        <v>38439.64583</v>
      </c>
      <c r="H457" s="6">
        <f t="shared" si="6"/>
        <v>977.7</v>
      </c>
      <c r="I457" s="2">
        <f t="shared" si="7"/>
        <v>977.7</v>
      </c>
      <c r="M457" s="10">
        <f>IFERROR(__xludf.DUMMYFUNCTION("""COMPUTED_VALUE"""),38639.666666666664)</f>
        <v>38639.66667</v>
      </c>
      <c r="N457" s="2">
        <f>IFERROR(__xludf.DUMMYFUNCTION("""COMPUTED_VALUE"""),2064.83)</f>
        <v>2064.83</v>
      </c>
      <c r="S457" s="15"/>
    </row>
    <row r="458">
      <c r="A458" s="10">
        <f t="shared" si="8"/>
        <v>38440.66667</v>
      </c>
      <c r="B458" s="2" t="str">
        <f t="shared" si="2"/>
        <v/>
      </c>
      <c r="C458" s="2" t="str">
        <f t="shared" si="3"/>
        <v>SP500</v>
      </c>
      <c r="D458" s="2">
        <f t="shared" si="4"/>
        <v>1973.88</v>
      </c>
      <c r="E458" s="2">
        <f t="shared" si="5"/>
        <v>1973.88</v>
      </c>
      <c r="G458" s="10">
        <f t="shared" si="9"/>
        <v>38440.64583</v>
      </c>
      <c r="H458" s="6">
        <f t="shared" si="6"/>
        <v>958.96</v>
      </c>
      <c r="I458" s="2">
        <f t="shared" si="7"/>
        <v>958.96</v>
      </c>
      <c r="M458" s="10">
        <f>IFERROR(__xludf.DUMMYFUNCTION("""COMPUTED_VALUE"""),38642.666666666664)</f>
        <v>38642.66667</v>
      </c>
      <c r="N458" s="2">
        <f>IFERROR(__xludf.DUMMYFUNCTION("""COMPUTED_VALUE"""),2070.3)</f>
        <v>2070.3</v>
      </c>
      <c r="S458" s="15"/>
    </row>
    <row r="459">
      <c r="A459" s="10">
        <f t="shared" si="8"/>
        <v>38441.66667</v>
      </c>
      <c r="B459" s="2" t="str">
        <f t="shared" si="2"/>
        <v/>
      </c>
      <c r="C459" s="2" t="str">
        <f t="shared" si="3"/>
        <v>SP500</v>
      </c>
      <c r="D459" s="2">
        <f t="shared" si="4"/>
        <v>2005.67</v>
      </c>
      <c r="E459" s="2">
        <f t="shared" si="5"/>
        <v>2005.67</v>
      </c>
      <c r="G459" s="10">
        <f t="shared" si="9"/>
        <v>38441.64583</v>
      </c>
      <c r="H459" s="6">
        <f t="shared" si="6"/>
        <v>955.45</v>
      </c>
      <c r="I459" s="2">
        <f t="shared" si="7"/>
        <v>955.45</v>
      </c>
      <c r="M459" s="10">
        <f>IFERROR(__xludf.DUMMYFUNCTION("""COMPUTED_VALUE"""),38643.666666666664)</f>
        <v>38643.66667</v>
      </c>
      <c r="N459" s="2">
        <f>IFERROR(__xludf.DUMMYFUNCTION("""COMPUTED_VALUE"""),2056.0)</f>
        <v>2056</v>
      </c>
      <c r="S459" s="15"/>
    </row>
    <row r="460">
      <c r="A460" s="10">
        <f t="shared" si="8"/>
        <v>38442.66667</v>
      </c>
      <c r="B460" s="2" t="str">
        <f t="shared" si="2"/>
        <v/>
      </c>
      <c r="C460" s="2" t="str">
        <f t="shared" si="3"/>
        <v>SP500</v>
      </c>
      <c r="D460" s="2">
        <f t="shared" si="4"/>
        <v>1999.23</v>
      </c>
      <c r="E460" s="2">
        <f t="shared" si="5"/>
        <v>1999.23</v>
      </c>
      <c r="G460" s="10">
        <f t="shared" si="9"/>
        <v>38442.64583</v>
      </c>
      <c r="H460" s="6">
        <f t="shared" si="6"/>
        <v>965.68</v>
      </c>
      <c r="I460" s="2">
        <f t="shared" si="7"/>
        <v>965.68</v>
      </c>
      <c r="M460" s="10">
        <f>IFERROR(__xludf.DUMMYFUNCTION("""COMPUTED_VALUE"""),38644.666666666664)</f>
        <v>38644.66667</v>
      </c>
      <c r="N460" s="2">
        <f>IFERROR(__xludf.DUMMYFUNCTION("""COMPUTED_VALUE"""),2091.24)</f>
        <v>2091.24</v>
      </c>
      <c r="S460" s="15"/>
    </row>
    <row r="461">
      <c r="A461" s="10">
        <f t="shared" si="8"/>
        <v>38443.66667</v>
      </c>
      <c r="B461" s="2" t="str">
        <f t="shared" si="2"/>
        <v/>
      </c>
      <c r="C461" s="2" t="str">
        <f t="shared" si="3"/>
        <v>SP500</v>
      </c>
      <c r="D461" s="2">
        <f t="shared" si="4"/>
        <v>1984.81</v>
      </c>
      <c r="E461" s="2">
        <f t="shared" si="5"/>
        <v>1984.81</v>
      </c>
      <c r="G461" s="10">
        <f t="shared" si="9"/>
        <v>38443.64583</v>
      </c>
      <c r="H461" s="6">
        <f t="shared" si="6"/>
        <v>981.9</v>
      </c>
      <c r="I461" s="2">
        <f t="shared" si="7"/>
        <v>981.9</v>
      </c>
      <c r="M461" s="10">
        <f>IFERROR(__xludf.DUMMYFUNCTION("""COMPUTED_VALUE"""),38645.666666666664)</f>
        <v>38645.66667</v>
      </c>
      <c r="N461" s="2">
        <f>IFERROR(__xludf.DUMMYFUNCTION("""COMPUTED_VALUE"""),2068.11)</f>
        <v>2068.11</v>
      </c>
      <c r="S461" s="15"/>
    </row>
    <row r="462">
      <c r="A462" s="10">
        <f t="shared" si="8"/>
        <v>38444.66667</v>
      </c>
      <c r="B462" s="2" t="str">
        <f t="shared" si="2"/>
        <v/>
      </c>
      <c r="C462" s="2" t="str">
        <f t="shared" si="3"/>
        <v>SP500</v>
      </c>
      <c r="D462" s="2" t="str">
        <f t="shared" si="4"/>
        <v/>
      </c>
      <c r="E462" s="2">
        <f t="shared" si="5"/>
        <v>1984.81</v>
      </c>
      <c r="G462" s="10">
        <f t="shared" si="9"/>
        <v>38444.64583</v>
      </c>
      <c r="H462" s="6" t="str">
        <f t="shared" si="6"/>
        <v/>
      </c>
      <c r="I462" s="2">
        <f t="shared" si="7"/>
        <v>981.9</v>
      </c>
      <c r="M462" s="10">
        <f>IFERROR(__xludf.DUMMYFUNCTION("""COMPUTED_VALUE"""),38646.666666666664)</f>
        <v>38646.66667</v>
      </c>
      <c r="N462" s="2">
        <f>IFERROR(__xludf.DUMMYFUNCTION("""COMPUTED_VALUE"""),2082.21)</f>
        <v>2082.21</v>
      </c>
      <c r="S462" s="15"/>
    </row>
    <row r="463">
      <c r="A463" s="10">
        <f t="shared" si="8"/>
        <v>38445.66667</v>
      </c>
      <c r="B463" s="2" t="str">
        <f t="shared" si="2"/>
        <v/>
      </c>
      <c r="C463" s="2" t="str">
        <f t="shared" si="3"/>
        <v>SP500</v>
      </c>
      <c r="D463" s="2" t="str">
        <f t="shared" si="4"/>
        <v/>
      </c>
      <c r="E463" s="2">
        <f t="shared" si="5"/>
        <v>1984.81</v>
      </c>
      <c r="G463" s="10">
        <f t="shared" si="9"/>
        <v>38445.64583</v>
      </c>
      <c r="H463" s="6" t="str">
        <f t="shared" si="6"/>
        <v/>
      </c>
      <c r="I463" s="2">
        <f t="shared" si="7"/>
        <v>981.9</v>
      </c>
      <c r="M463" s="10">
        <f>IFERROR(__xludf.DUMMYFUNCTION("""COMPUTED_VALUE"""),38649.666666666664)</f>
        <v>38649.66667</v>
      </c>
      <c r="N463" s="2">
        <f>IFERROR(__xludf.DUMMYFUNCTION("""COMPUTED_VALUE"""),2115.83)</f>
        <v>2115.83</v>
      </c>
      <c r="S463" s="15"/>
    </row>
    <row r="464">
      <c r="A464" s="10">
        <f t="shared" si="8"/>
        <v>38446.66667</v>
      </c>
      <c r="B464" s="2" t="str">
        <f t="shared" si="2"/>
        <v/>
      </c>
      <c r="C464" s="2" t="str">
        <f t="shared" si="3"/>
        <v>SP500</v>
      </c>
      <c r="D464" s="2">
        <f t="shared" si="4"/>
        <v>1991.07</v>
      </c>
      <c r="E464" s="2">
        <f t="shared" si="5"/>
        <v>1991.07</v>
      </c>
      <c r="G464" s="10">
        <f t="shared" si="9"/>
        <v>38446.64583</v>
      </c>
      <c r="H464" s="6">
        <f t="shared" si="6"/>
        <v>982.5</v>
      </c>
      <c r="I464" s="2">
        <f t="shared" si="7"/>
        <v>982.5</v>
      </c>
      <c r="M464" s="10">
        <f>IFERROR(__xludf.DUMMYFUNCTION("""COMPUTED_VALUE"""),38650.666666666664)</f>
        <v>38650.66667</v>
      </c>
      <c r="N464" s="2">
        <f>IFERROR(__xludf.DUMMYFUNCTION("""COMPUTED_VALUE"""),2109.45)</f>
        <v>2109.45</v>
      </c>
      <c r="S464" s="15"/>
    </row>
    <row r="465">
      <c r="A465" s="10">
        <f t="shared" si="8"/>
        <v>38447.66667</v>
      </c>
      <c r="B465" s="2" t="str">
        <f t="shared" si="2"/>
        <v/>
      </c>
      <c r="C465" s="2" t="str">
        <f t="shared" si="3"/>
        <v>SP500</v>
      </c>
      <c r="D465" s="2">
        <f t="shared" si="4"/>
        <v>1999.32</v>
      </c>
      <c r="E465" s="2">
        <f t="shared" si="5"/>
        <v>1999.32</v>
      </c>
      <c r="G465" s="10">
        <f t="shared" si="9"/>
        <v>38447.64583</v>
      </c>
      <c r="H465" s="6" t="str">
        <f t="shared" si="6"/>
        <v/>
      </c>
      <c r="I465" s="2">
        <f t="shared" si="7"/>
        <v>982.5</v>
      </c>
      <c r="M465" s="10">
        <f>IFERROR(__xludf.DUMMYFUNCTION("""COMPUTED_VALUE"""),38651.666666666664)</f>
        <v>38651.66667</v>
      </c>
      <c r="N465" s="2">
        <f>IFERROR(__xludf.DUMMYFUNCTION("""COMPUTED_VALUE"""),2100.05)</f>
        <v>2100.05</v>
      </c>
      <c r="S465" s="15"/>
    </row>
    <row r="466">
      <c r="A466" s="10">
        <f t="shared" si="8"/>
        <v>38448.66667</v>
      </c>
      <c r="B466" s="2" t="str">
        <f t="shared" si="2"/>
        <v/>
      </c>
      <c r="C466" s="2" t="str">
        <f t="shared" si="3"/>
        <v>SP500</v>
      </c>
      <c r="D466" s="2">
        <f t="shared" si="4"/>
        <v>1999.14</v>
      </c>
      <c r="E466" s="2">
        <f t="shared" si="5"/>
        <v>1999.14</v>
      </c>
      <c r="G466" s="10">
        <f t="shared" si="9"/>
        <v>38448.64583</v>
      </c>
      <c r="H466" s="6">
        <f t="shared" si="6"/>
        <v>988</v>
      </c>
      <c r="I466" s="2">
        <f t="shared" si="7"/>
        <v>988</v>
      </c>
      <c r="M466" s="10">
        <f>IFERROR(__xludf.DUMMYFUNCTION("""COMPUTED_VALUE"""),38652.666666666664)</f>
        <v>38652.66667</v>
      </c>
      <c r="N466" s="2">
        <f>IFERROR(__xludf.DUMMYFUNCTION("""COMPUTED_VALUE"""),2063.81)</f>
        <v>2063.81</v>
      </c>
      <c r="S466" s="15"/>
    </row>
    <row r="467">
      <c r="A467" s="10">
        <f t="shared" si="8"/>
        <v>38449.66667</v>
      </c>
      <c r="B467" s="2" t="str">
        <f t="shared" si="2"/>
        <v/>
      </c>
      <c r="C467" s="2" t="str">
        <f t="shared" si="3"/>
        <v>SP500</v>
      </c>
      <c r="D467" s="2">
        <f t="shared" si="4"/>
        <v>2018.79</v>
      </c>
      <c r="E467" s="2">
        <f t="shared" si="5"/>
        <v>2018.79</v>
      </c>
      <c r="G467" s="10">
        <f t="shared" si="9"/>
        <v>38449.64583</v>
      </c>
      <c r="H467" s="6">
        <f t="shared" si="6"/>
        <v>988.9</v>
      </c>
      <c r="I467" s="2">
        <f t="shared" si="7"/>
        <v>988.9</v>
      </c>
      <c r="M467" s="10">
        <f>IFERROR(__xludf.DUMMYFUNCTION("""COMPUTED_VALUE"""),38653.666666666664)</f>
        <v>38653.66667</v>
      </c>
      <c r="N467" s="2">
        <f>IFERROR(__xludf.DUMMYFUNCTION("""COMPUTED_VALUE"""),2089.88)</f>
        <v>2089.88</v>
      </c>
      <c r="S467" s="15"/>
    </row>
    <row r="468">
      <c r="A468" s="10">
        <f t="shared" si="8"/>
        <v>38450.66667</v>
      </c>
      <c r="B468" s="2" t="str">
        <f t="shared" si="2"/>
        <v/>
      </c>
      <c r="C468" s="2" t="str">
        <f t="shared" si="3"/>
        <v>SP500</v>
      </c>
      <c r="D468" s="2">
        <f t="shared" si="4"/>
        <v>1999.35</v>
      </c>
      <c r="E468" s="2">
        <f t="shared" si="5"/>
        <v>1999.35</v>
      </c>
      <c r="G468" s="10">
        <f t="shared" si="9"/>
        <v>38450.64583</v>
      </c>
      <c r="H468" s="6">
        <f t="shared" si="6"/>
        <v>992.17</v>
      </c>
      <c r="I468" s="2">
        <f t="shared" si="7"/>
        <v>992.17</v>
      </c>
      <c r="M468" s="10">
        <f>IFERROR(__xludf.DUMMYFUNCTION("""COMPUTED_VALUE"""),38656.666666666664)</f>
        <v>38656.66667</v>
      </c>
      <c r="N468" s="2">
        <f>IFERROR(__xludf.DUMMYFUNCTION("""COMPUTED_VALUE"""),2120.3)</f>
        <v>2120.3</v>
      </c>
      <c r="S468" s="15"/>
    </row>
    <row r="469">
      <c r="A469" s="10">
        <f t="shared" si="8"/>
        <v>38451.66667</v>
      </c>
      <c r="B469" s="2" t="str">
        <f t="shared" si="2"/>
        <v/>
      </c>
      <c r="C469" s="2" t="str">
        <f t="shared" si="3"/>
        <v>SP500</v>
      </c>
      <c r="D469" s="2" t="str">
        <f t="shared" si="4"/>
        <v/>
      </c>
      <c r="E469" s="2">
        <f t="shared" si="5"/>
        <v>1999.35</v>
      </c>
      <c r="G469" s="10">
        <f t="shared" si="9"/>
        <v>38451.64583</v>
      </c>
      <c r="H469" s="6" t="str">
        <f t="shared" si="6"/>
        <v/>
      </c>
      <c r="I469" s="2">
        <f t="shared" si="7"/>
        <v>992.17</v>
      </c>
      <c r="M469" s="10">
        <f>IFERROR(__xludf.DUMMYFUNCTION("""COMPUTED_VALUE"""),38657.666666666664)</f>
        <v>38657.66667</v>
      </c>
      <c r="N469" s="2">
        <f>IFERROR(__xludf.DUMMYFUNCTION("""COMPUTED_VALUE"""),2114.05)</f>
        <v>2114.05</v>
      </c>
      <c r="S469" s="15"/>
    </row>
    <row r="470">
      <c r="A470" s="10">
        <f t="shared" si="8"/>
        <v>38452.66667</v>
      </c>
      <c r="B470" s="2" t="str">
        <f t="shared" si="2"/>
        <v/>
      </c>
      <c r="C470" s="2" t="str">
        <f t="shared" si="3"/>
        <v>SP500</v>
      </c>
      <c r="D470" s="2" t="str">
        <f t="shared" si="4"/>
        <v/>
      </c>
      <c r="E470" s="2">
        <f t="shared" si="5"/>
        <v>1999.35</v>
      </c>
      <c r="G470" s="10">
        <f t="shared" si="9"/>
        <v>38452.64583</v>
      </c>
      <c r="H470" s="6" t="str">
        <f t="shared" si="6"/>
        <v/>
      </c>
      <c r="I470" s="2">
        <f t="shared" si="7"/>
        <v>992.17</v>
      </c>
      <c r="M470" s="10">
        <f>IFERROR(__xludf.DUMMYFUNCTION("""COMPUTED_VALUE"""),38658.666666666664)</f>
        <v>38658.66667</v>
      </c>
      <c r="N470" s="2">
        <f>IFERROR(__xludf.DUMMYFUNCTION("""COMPUTED_VALUE"""),2144.31)</f>
        <v>2144.31</v>
      </c>
      <c r="S470" s="15"/>
    </row>
    <row r="471">
      <c r="A471" s="10">
        <f t="shared" si="8"/>
        <v>38453.66667</v>
      </c>
      <c r="B471" s="2" t="str">
        <f t="shared" si="2"/>
        <v/>
      </c>
      <c r="C471" s="2" t="str">
        <f t="shared" si="3"/>
        <v>SP500</v>
      </c>
      <c r="D471" s="2">
        <f t="shared" si="4"/>
        <v>1992.12</v>
      </c>
      <c r="E471" s="2">
        <f t="shared" si="5"/>
        <v>1992.12</v>
      </c>
      <c r="G471" s="10">
        <f t="shared" si="9"/>
        <v>38453.64583</v>
      </c>
      <c r="H471" s="6">
        <f t="shared" si="6"/>
        <v>985.94</v>
      </c>
      <c r="I471" s="2">
        <f t="shared" si="7"/>
        <v>985.94</v>
      </c>
      <c r="M471" s="10">
        <f>IFERROR(__xludf.DUMMYFUNCTION("""COMPUTED_VALUE"""),38659.666666666664)</f>
        <v>38659.66667</v>
      </c>
      <c r="N471" s="2">
        <f>IFERROR(__xludf.DUMMYFUNCTION("""COMPUTED_VALUE"""),2160.22)</f>
        <v>2160.22</v>
      </c>
      <c r="S471" s="15"/>
    </row>
    <row r="472">
      <c r="A472" s="10">
        <f t="shared" si="8"/>
        <v>38454.66667</v>
      </c>
      <c r="B472" s="2" t="str">
        <f t="shared" si="2"/>
        <v/>
      </c>
      <c r="C472" s="2" t="str">
        <f t="shared" si="3"/>
        <v>SP500</v>
      </c>
      <c r="D472" s="2">
        <f t="shared" si="4"/>
        <v>2005.4</v>
      </c>
      <c r="E472" s="2">
        <f t="shared" si="5"/>
        <v>2005.4</v>
      </c>
      <c r="G472" s="10">
        <f t="shared" si="9"/>
        <v>38454.64583</v>
      </c>
      <c r="H472" s="6">
        <f t="shared" si="6"/>
        <v>981.79</v>
      </c>
      <c r="I472" s="2">
        <f t="shared" si="7"/>
        <v>981.79</v>
      </c>
      <c r="M472" s="10">
        <f>IFERROR(__xludf.DUMMYFUNCTION("""COMPUTED_VALUE"""),38660.666666666664)</f>
        <v>38660.66667</v>
      </c>
      <c r="N472" s="2">
        <f>IFERROR(__xludf.DUMMYFUNCTION("""COMPUTED_VALUE"""),2169.43)</f>
        <v>2169.43</v>
      </c>
      <c r="S472" s="15"/>
    </row>
    <row r="473">
      <c r="A473" s="10">
        <f t="shared" si="8"/>
        <v>38455.66667</v>
      </c>
      <c r="B473" s="2" t="str">
        <f t="shared" si="2"/>
        <v/>
      </c>
      <c r="C473" s="2" t="str">
        <f t="shared" si="3"/>
        <v>SP500</v>
      </c>
      <c r="D473" s="2">
        <f t="shared" si="4"/>
        <v>1974.37</v>
      </c>
      <c r="E473" s="2">
        <f t="shared" si="5"/>
        <v>1974.37</v>
      </c>
      <c r="G473" s="10">
        <f t="shared" si="9"/>
        <v>38455.64583</v>
      </c>
      <c r="H473" s="6">
        <f t="shared" si="6"/>
        <v>981.31</v>
      </c>
      <c r="I473" s="2">
        <f t="shared" si="7"/>
        <v>981.31</v>
      </c>
      <c r="M473" s="10">
        <f>IFERROR(__xludf.DUMMYFUNCTION("""COMPUTED_VALUE"""),38663.666666666664)</f>
        <v>38663.66667</v>
      </c>
      <c r="N473" s="2">
        <f>IFERROR(__xludf.DUMMYFUNCTION("""COMPUTED_VALUE"""),2178.24)</f>
        <v>2178.24</v>
      </c>
      <c r="S473" s="15"/>
    </row>
    <row r="474">
      <c r="A474" s="10">
        <f t="shared" si="8"/>
        <v>38456.66667</v>
      </c>
      <c r="B474" s="2" t="str">
        <f t="shared" si="2"/>
        <v/>
      </c>
      <c r="C474" s="2" t="str">
        <f t="shared" si="3"/>
        <v>SP500</v>
      </c>
      <c r="D474" s="2">
        <f t="shared" si="4"/>
        <v>1946.71</v>
      </c>
      <c r="E474" s="2">
        <f t="shared" si="5"/>
        <v>1946.71</v>
      </c>
      <c r="G474" s="10">
        <f t="shared" si="9"/>
        <v>38456.64583</v>
      </c>
      <c r="H474" s="6">
        <f t="shared" si="6"/>
        <v>953.92</v>
      </c>
      <c r="I474" s="2">
        <f t="shared" si="7"/>
        <v>953.92</v>
      </c>
      <c r="M474" s="10">
        <f>IFERROR(__xludf.DUMMYFUNCTION("""COMPUTED_VALUE"""),38664.666666666664)</f>
        <v>38664.66667</v>
      </c>
      <c r="N474" s="2">
        <f>IFERROR(__xludf.DUMMYFUNCTION("""COMPUTED_VALUE"""),2172.07)</f>
        <v>2172.07</v>
      </c>
      <c r="S474" s="15"/>
    </row>
    <row r="475">
      <c r="A475" s="10">
        <f t="shared" si="8"/>
        <v>38457.66667</v>
      </c>
      <c r="B475" s="2" t="str">
        <f t="shared" si="2"/>
        <v/>
      </c>
      <c r="C475" s="2" t="str">
        <f t="shared" si="3"/>
        <v>SP500</v>
      </c>
      <c r="D475" s="2">
        <f t="shared" si="4"/>
        <v>1908.15</v>
      </c>
      <c r="E475" s="2">
        <f t="shared" si="5"/>
        <v>1908.15</v>
      </c>
      <c r="G475" s="10">
        <f t="shared" si="9"/>
        <v>38457.64583</v>
      </c>
      <c r="H475" s="6">
        <f t="shared" si="6"/>
        <v>947.22</v>
      </c>
      <c r="I475" s="2">
        <f t="shared" si="7"/>
        <v>947.22</v>
      </c>
      <c r="M475" s="10">
        <f>IFERROR(__xludf.DUMMYFUNCTION("""COMPUTED_VALUE"""),38665.666666666664)</f>
        <v>38665.66667</v>
      </c>
      <c r="N475" s="2">
        <f>IFERROR(__xludf.DUMMYFUNCTION("""COMPUTED_VALUE"""),2175.81)</f>
        <v>2175.81</v>
      </c>
      <c r="S475" s="15"/>
    </row>
    <row r="476">
      <c r="A476" s="10">
        <f t="shared" si="8"/>
        <v>38458.66667</v>
      </c>
      <c r="B476" s="2" t="str">
        <f t="shared" si="2"/>
        <v/>
      </c>
      <c r="C476" s="2" t="str">
        <f t="shared" si="3"/>
        <v>SP500</v>
      </c>
      <c r="D476" s="2" t="str">
        <f t="shared" si="4"/>
        <v/>
      </c>
      <c r="E476" s="2">
        <f t="shared" si="5"/>
        <v>1908.15</v>
      </c>
      <c r="G476" s="10">
        <f t="shared" si="9"/>
        <v>38458.64583</v>
      </c>
      <c r="H476" s="6" t="str">
        <f t="shared" si="6"/>
        <v/>
      </c>
      <c r="I476" s="2">
        <f t="shared" si="7"/>
        <v>947.22</v>
      </c>
      <c r="M476" s="10">
        <f>IFERROR(__xludf.DUMMYFUNCTION("""COMPUTED_VALUE"""),38666.666666666664)</f>
        <v>38666.66667</v>
      </c>
      <c r="N476" s="2">
        <f>IFERROR(__xludf.DUMMYFUNCTION("""COMPUTED_VALUE"""),2196.68)</f>
        <v>2196.68</v>
      </c>
      <c r="S476" s="15"/>
    </row>
    <row r="477">
      <c r="A477" s="10">
        <f t="shared" si="8"/>
        <v>38459.66667</v>
      </c>
      <c r="B477" s="2" t="str">
        <f t="shared" si="2"/>
        <v/>
      </c>
      <c r="C477" s="2" t="str">
        <f t="shared" si="3"/>
        <v>SP500</v>
      </c>
      <c r="D477" s="2" t="str">
        <f t="shared" si="4"/>
        <v/>
      </c>
      <c r="E477" s="2">
        <f t="shared" si="5"/>
        <v>1908.15</v>
      </c>
      <c r="G477" s="10">
        <f t="shared" si="9"/>
        <v>38459.64583</v>
      </c>
      <c r="H477" s="6" t="str">
        <f t="shared" si="6"/>
        <v/>
      </c>
      <c r="I477" s="2">
        <f t="shared" si="7"/>
        <v>947.22</v>
      </c>
      <c r="M477" s="10">
        <f>IFERROR(__xludf.DUMMYFUNCTION("""COMPUTED_VALUE"""),38667.666666666664)</f>
        <v>38667.66667</v>
      </c>
      <c r="N477" s="2">
        <f>IFERROR(__xludf.DUMMYFUNCTION("""COMPUTED_VALUE"""),2202.47)</f>
        <v>2202.47</v>
      </c>
      <c r="S477" s="15"/>
    </row>
    <row r="478">
      <c r="A478" s="10">
        <f t="shared" si="8"/>
        <v>38460.66667</v>
      </c>
      <c r="B478" s="2" t="str">
        <f t="shared" si="2"/>
        <v/>
      </c>
      <c r="C478" s="2" t="str">
        <f t="shared" si="3"/>
        <v>SP500</v>
      </c>
      <c r="D478" s="2">
        <f t="shared" si="4"/>
        <v>1912.92</v>
      </c>
      <c r="E478" s="2">
        <f t="shared" si="5"/>
        <v>1912.92</v>
      </c>
      <c r="G478" s="10">
        <f t="shared" si="9"/>
        <v>38460.64583</v>
      </c>
      <c r="H478" s="6">
        <f t="shared" si="6"/>
        <v>925</v>
      </c>
      <c r="I478" s="2">
        <f t="shared" si="7"/>
        <v>925</v>
      </c>
      <c r="M478" s="10">
        <f>IFERROR(__xludf.DUMMYFUNCTION("""COMPUTED_VALUE"""),38670.666666666664)</f>
        <v>38670.66667</v>
      </c>
      <c r="N478" s="2">
        <f>IFERROR(__xludf.DUMMYFUNCTION("""COMPUTED_VALUE"""),2200.95)</f>
        <v>2200.95</v>
      </c>
      <c r="S478" s="15"/>
    </row>
    <row r="479">
      <c r="A479" s="10">
        <f t="shared" si="8"/>
        <v>38461.66667</v>
      </c>
      <c r="B479" s="2" t="str">
        <f t="shared" si="2"/>
        <v/>
      </c>
      <c r="C479" s="2" t="str">
        <f t="shared" si="3"/>
        <v>SP500</v>
      </c>
      <c r="D479" s="2">
        <f t="shared" si="4"/>
        <v>1932.36</v>
      </c>
      <c r="E479" s="2">
        <f t="shared" si="5"/>
        <v>1932.36</v>
      </c>
      <c r="G479" s="10">
        <f t="shared" si="9"/>
        <v>38461.64583</v>
      </c>
      <c r="H479" s="6">
        <f t="shared" si="6"/>
        <v>932.45</v>
      </c>
      <c r="I479" s="2">
        <f t="shared" si="7"/>
        <v>932.45</v>
      </c>
      <c r="M479" s="10">
        <f>IFERROR(__xludf.DUMMYFUNCTION("""COMPUTED_VALUE"""),38671.666666666664)</f>
        <v>38671.66667</v>
      </c>
      <c r="N479" s="2">
        <f>IFERROR(__xludf.DUMMYFUNCTION("""COMPUTED_VALUE"""),2186.74)</f>
        <v>2186.74</v>
      </c>
      <c r="S479" s="15"/>
    </row>
    <row r="480">
      <c r="A480" s="10">
        <f t="shared" si="8"/>
        <v>38462.66667</v>
      </c>
      <c r="B480" s="2" t="str">
        <f t="shared" si="2"/>
        <v/>
      </c>
      <c r="C480" s="2" t="str">
        <f t="shared" si="3"/>
        <v>SP500</v>
      </c>
      <c r="D480" s="2">
        <f t="shared" si="4"/>
        <v>1913.76</v>
      </c>
      <c r="E480" s="2">
        <f t="shared" si="5"/>
        <v>1913.76</v>
      </c>
      <c r="G480" s="10">
        <f t="shared" si="9"/>
        <v>38462.64583</v>
      </c>
      <c r="H480" s="6">
        <f t="shared" si="6"/>
        <v>937.36</v>
      </c>
      <c r="I480" s="2">
        <f t="shared" si="7"/>
        <v>937.36</v>
      </c>
      <c r="M480" s="10">
        <f>IFERROR(__xludf.DUMMYFUNCTION("""COMPUTED_VALUE"""),38672.666666666664)</f>
        <v>38672.66667</v>
      </c>
      <c r="N480" s="2">
        <f>IFERROR(__xludf.DUMMYFUNCTION("""COMPUTED_VALUE"""),2187.93)</f>
        <v>2187.93</v>
      </c>
      <c r="S480" s="15"/>
    </row>
    <row r="481">
      <c r="A481" s="10">
        <f t="shared" si="8"/>
        <v>38463.66667</v>
      </c>
      <c r="B481" s="2" t="str">
        <f t="shared" si="2"/>
        <v/>
      </c>
      <c r="C481" s="2" t="str">
        <f t="shared" si="3"/>
        <v>SP500</v>
      </c>
      <c r="D481" s="2">
        <f t="shared" si="4"/>
        <v>1962.41</v>
      </c>
      <c r="E481" s="2">
        <f t="shared" si="5"/>
        <v>1962.41</v>
      </c>
      <c r="G481" s="10">
        <f t="shared" si="9"/>
        <v>38463.64583</v>
      </c>
      <c r="H481" s="6">
        <f t="shared" si="6"/>
        <v>939.14</v>
      </c>
      <c r="I481" s="2">
        <f t="shared" si="7"/>
        <v>939.14</v>
      </c>
      <c r="M481" s="10">
        <f>IFERROR(__xludf.DUMMYFUNCTION("""COMPUTED_VALUE"""),38673.666666666664)</f>
        <v>38673.66667</v>
      </c>
      <c r="N481" s="2">
        <f>IFERROR(__xludf.DUMMYFUNCTION("""COMPUTED_VALUE"""),2220.46)</f>
        <v>2220.46</v>
      </c>
      <c r="S481" s="15"/>
    </row>
    <row r="482">
      <c r="A482" s="10">
        <f t="shared" si="8"/>
        <v>38464.66667</v>
      </c>
      <c r="B482" s="2" t="str">
        <f t="shared" si="2"/>
        <v/>
      </c>
      <c r="C482" s="2" t="str">
        <f t="shared" si="3"/>
        <v>SP500</v>
      </c>
      <c r="D482" s="2">
        <f t="shared" si="4"/>
        <v>1932.19</v>
      </c>
      <c r="E482" s="2">
        <f t="shared" si="5"/>
        <v>1932.19</v>
      </c>
      <c r="G482" s="10">
        <f t="shared" si="9"/>
        <v>38464.64583</v>
      </c>
      <c r="H482" s="6">
        <f t="shared" si="6"/>
        <v>940.79</v>
      </c>
      <c r="I482" s="2">
        <f t="shared" si="7"/>
        <v>940.79</v>
      </c>
      <c r="M482" s="10">
        <f>IFERROR(__xludf.DUMMYFUNCTION("""COMPUTED_VALUE"""),38674.666666666664)</f>
        <v>38674.66667</v>
      </c>
      <c r="N482" s="2">
        <f>IFERROR(__xludf.DUMMYFUNCTION("""COMPUTED_VALUE"""),2227.07)</f>
        <v>2227.07</v>
      </c>
      <c r="S482" s="15"/>
    </row>
    <row r="483">
      <c r="A483" s="10">
        <f t="shared" si="8"/>
        <v>38465.66667</v>
      </c>
      <c r="B483" s="2" t="str">
        <f t="shared" si="2"/>
        <v/>
      </c>
      <c r="C483" s="2" t="str">
        <f t="shared" si="3"/>
        <v>SP500</v>
      </c>
      <c r="D483" s="2" t="str">
        <f t="shared" si="4"/>
        <v/>
      </c>
      <c r="E483" s="2">
        <f t="shared" si="5"/>
        <v>1932.19</v>
      </c>
      <c r="G483" s="10">
        <f t="shared" si="9"/>
        <v>38465.64583</v>
      </c>
      <c r="H483" s="6" t="str">
        <f t="shared" si="6"/>
        <v/>
      </c>
      <c r="I483" s="2">
        <f t="shared" si="7"/>
        <v>940.79</v>
      </c>
      <c r="M483" s="10">
        <f>IFERROR(__xludf.DUMMYFUNCTION("""COMPUTED_VALUE"""),38677.666666666664)</f>
        <v>38677.66667</v>
      </c>
      <c r="N483" s="2">
        <f>IFERROR(__xludf.DUMMYFUNCTION("""COMPUTED_VALUE"""),2241.67)</f>
        <v>2241.67</v>
      </c>
      <c r="S483" s="15"/>
    </row>
    <row r="484">
      <c r="A484" s="10">
        <f t="shared" si="8"/>
        <v>38466.66667</v>
      </c>
      <c r="B484" s="2" t="str">
        <f t="shared" si="2"/>
        <v/>
      </c>
      <c r="C484" s="2" t="str">
        <f t="shared" si="3"/>
        <v>SP500</v>
      </c>
      <c r="D484" s="2" t="str">
        <f t="shared" si="4"/>
        <v/>
      </c>
      <c r="E484" s="2">
        <f t="shared" si="5"/>
        <v>1932.19</v>
      </c>
      <c r="G484" s="10">
        <f t="shared" si="9"/>
        <v>38466.64583</v>
      </c>
      <c r="H484" s="6" t="str">
        <f t="shared" si="6"/>
        <v/>
      </c>
      <c r="I484" s="2">
        <f t="shared" si="7"/>
        <v>940.79</v>
      </c>
      <c r="M484" s="10">
        <f>IFERROR(__xludf.DUMMYFUNCTION("""COMPUTED_VALUE"""),38678.666666666664)</f>
        <v>38678.66667</v>
      </c>
      <c r="N484" s="2">
        <f>IFERROR(__xludf.DUMMYFUNCTION("""COMPUTED_VALUE"""),2253.56)</f>
        <v>2253.56</v>
      </c>
      <c r="S484" s="15"/>
    </row>
    <row r="485">
      <c r="A485" s="10">
        <f t="shared" si="8"/>
        <v>38467.66667</v>
      </c>
      <c r="B485" s="2" t="str">
        <f t="shared" si="2"/>
        <v/>
      </c>
      <c r="C485" s="2" t="str">
        <f t="shared" si="3"/>
        <v>SP500</v>
      </c>
      <c r="D485" s="2">
        <f t="shared" si="4"/>
        <v>1950.78</v>
      </c>
      <c r="E485" s="2">
        <f t="shared" si="5"/>
        <v>1950.78</v>
      </c>
      <c r="G485" s="10">
        <f t="shared" si="9"/>
        <v>38467.64583</v>
      </c>
      <c r="H485" s="6">
        <f t="shared" si="6"/>
        <v>946.17</v>
      </c>
      <c r="I485" s="2">
        <f t="shared" si="7"/>
        <v>946.17</v>
      </c>
      <c r="M485" s="10">
        <f>IFERROR(__xludf.DUMMYFUNCTION("""COMPUTED_VALUE"""),38679.666666666664)</f>
        <v>38679.66667</v>
      </c>
      <c r="N485" s="2">
        <f>IFERROR(__xludf.DUMMYFUNCTION("""COMPUTED_VALUE"""),2259.98)</f>
        <v>2259.98</v>
      </c>
      <c r="S485" s="15"/>
    </row>
    <row r="486">
      <c r="A486" s="10">
        <f t="shared" si="8"/>
        <v>38468.66667</v>
      </c>
      <c r="B486" s="2" t="str">
        <f t="shared" si="2"/>
        <v/>
      </c>
      <c r="C486" s="2" t="str">
        <f t="shared" si="3"/>
        <v>SP500</v>
      </c>
      <c r="D486" s="2">
        <f t="shared" si="4"/>
        <v>1927.44</v>
      </c>
      <c r="E486" s="2">
        <f t="shared" si="5"/>
        <v>1927.44</v>
      </c>
      <c r="G486" s="10">
        <f t="shared" si="9"/>
        <v>38468.64583</v>
      </c>
      <c r="H486" s="6">
        <f t="shared" si="6"/>
        <v>944.46</v>
      </c>
      <c r="I486" s="2">
        <f t="shared" si="7"/>
        <v>944.46</v>
      </c>
      <c r="M486" s="10">
        <f>IFERROR(__xludf.DUMMYFUNCTION("""COMPUTED_VALUE"""),38681.666666666664)</f>
        <v>38681.66667</v>
      </c>
      <c r="N486" s="2">
        <f>IFERROR(__xludf.DUMMYFUNCTION("""COMPUTED_VALUE"""),2263.01)</f>
        <v>2263.01</v>
      </c>
      <c r="S486" s="15"/>
    </row>
    <row r="487">
      <c r="A487" s="10">
        <f t="shared" si="8"/>
        <v>38469.66667</v>
      </c>
      <c r="B487" s="2" t="str">
        <f t="shared" si="2"/>
        <v/>
      </c>
      <c r="C487" s="2" t="str">
        <f t="shared" si="3"/>
        <v>SP500</v>
      </c>
      <c r="D487" s="2">
        <f t="shared" si="4"/>
        <v>1930.43</v>
      </c>
      <c r="E487" s="2">
        <f t="shared" si="5"/>
        <v>1930.43</v>
      </c>
      <c r="G487" s="10">
        <f t="shared" si="9"/>
        <v>38469.64583</v>
      </c>
      <c r="H487" s="6">
        <f t="shared" si="6"/>
        <v>930.16</v>
      </c>
      <c r="I487" s="2">
        <f t="shared" si="7"/>
        <v>930.16</v>
      </c>
      <c r="M487" s="10">
        <f>IFERROR(__xludf.DUMMYFUNCTION("""COMPUTED_VALUE"""),38684.666666666664)</f>
        <v>38684.66667</v>
      </c>
      <c r="N487" s="2">
        <f>IFERROR(__xludf.DUMMYFUNCTION("""COMPUTED_VALUE"""),2239.37)</f>
        <v>2239.37</v>
      </c>
      <c r="S487" s="15"/>
    </row>
    <row r="488">
      <c r="A488" s="10">
        <f t="shared" si="8"/>
        <v>38470.66667</v>
      </c>
      <c r="B488" s="2" t="str">
        <f t="shared" si="2"/>
        <v/>
      </c>
      <c r="C488" s="2" t="str">
        <f t="shared" si="3"/>
        <v>SP500</v>
      </c>
      <c r="D488" s="2">
        <f t="shared" si="4"/>
        <v>1904.18</v>
      </c>
      <c r="E488" s="2">
        <f t="shared" si="5"/>
        <v>1904.18</v>
      </c>
      <c r="G488" s="10">
        <f t="shared" si="9"/>
        <v>38470.64583</v>
      </c>
      <c r="H488" s="6">
        <f t="shared" si="6"/>
        <v>917.73</v>
      </c>
      <c r="I488" s="2">
        <f t="shared" si="7"/>
        <v>917.73</v>
      </c>
      <c r="M488" s="10">
        <f>IFERROR(__xludf.DUMMYFUNCTION("""COMPUTED_VALUE"""),38685.666666666664)</f>
        <v>38685.66667</v>
      </c>
      <c r="N488" s="2">
        <f>IFERROR(__xludf.DUMMYFUNCTION("""COMPUTED_VALUE"""),2232.71)</f>
        <v>2232.71</v>
      </c>
      <c r="S488" s="15"/>
    </row>
    <row r="489">
      <c r="A489" s="10">
        <f t="shared" si="8"/>
        <v>38471.66667</v>
      </c>
      <c r="B489" s="2" t="str">
        <f t="shared" si="2"/>
        <v/>
      </c>
      <c r="C489" s="2" t="str">
        <f t="shared" si="3"/>
        <v>SP500</v>
      </c>
      <c r="D489" s="2">
        <f t="shared" si="4"/>
        <v>1921.65</v>
      </c>
      <c r="E489" s="2">
        <f t="shared" si="5"/>
        <v>1921.65</v>
      </c>
      <c r="G489" s="10">
        <f t="shared" si="9"/>
        <v>38471.64583</v>
      </c>
      <c r="H489" s="6">
        <f t="shared" si="6"/>
        <v>911.3</v>
      </c>
      <c r="I489" s="2">
        <f t="shared" si="7"/>
        <v>911.3</v>
      </c>
      <c r="M489" s="10">
        <f>IFERROR(__xludf.DUMMYFUNCTION("""COMPUTED_VALUE"""),38686.666666666664)</f>
        <v>38686.66667</v>
      </c>
      <c r="N489" s="2">
        <f>IFERROR(__xludf.DUMMYFUNCTION("""COMPUTED_VALUE"""),2232.82)</f>
        <v>2232.82</v>
      </c>
      <c r="S489" s="15"/>
    </row>
    <row r="490">
      <c r="A490" s="10">
        <f t="shared" si="8"/>
        <v>38472.66667</v>
      </c>
      <c r="B490" s="2" t="str">
        <f t="shared" si="2"/>
        <v/>
      </c>
      <c r="C490" s="2" t="str">
        <f t="shared" si="3"/>
        <v>SP500</v>
      </c>
      <c r="D490" s="2" t="str">
        <f t="shared" si="4"/>
        <v/>
      </c>
      <c r="E490" s="2">
        <f t="shared" si="5"/>
        <v>1921.65</v>
      </c>
      <c r="G490" s="10">
        <f t="shared" si="9"/>
        <v>38472.64583</v>
      </c>
      <c r="H490" s="6" t="str">
        <f t="shared" si="6"/>
        <v/>
      </c>
      <c r="I490" s="2">
        <f t="shared" si="7"/>
        <v>911.3</v>
      </c>
      <c r="M490" s="10">
        <f>IFERROR(__xludf.DUMMYFUNCTION("""COMPUTED_VALUE"""),38687.666666666664)</f>
        <v>38687.66667</v>
      </c>
      <c r="N490" s="2">
        <f>IFERROR(__xludf.DUMMYFUNCTION("""COMPUTED_VALUE"""),2267.17)</f>
        <v>2267.17</v>
      </c>
      <c r="S490" s="15"/>
    </row>
    <row r="491">
      <c r="A491" s="10">
        <f t="shared" si="8"/>
        <v>38473.66667</v>
      </c>
      <c r="B491" s="2" t="str">
        <f t="shared" si="2"/>
        <v/>
      </c>
      <c r="C491" s="2" t="str">
        <f t="shared" si="3"/>
        <v>SP500</v>
      </c>
      <c r="D491" s="2" t="str">
        <f t="shared" si="4"/>
        <v/>
      </c>
      <c r="E491" s="2">
        <f t="shared" si="5"/>
        <v>1921.65</v>
      </c>
      <c r="G491" s="10">
        <f t="shared" si="9"/>
        <v>38473.64583</v>
      </c>
      <c r="H491" s="6" t="str">
        <f t="shared" si="6"/>
        <v/>
      </c>
      <c r="I491" s="2">
        <f t="shared" si="7"/>
        <v>911.3</v>
      </c>
      <c r="M491" s="10">
        <f>IFERROR(__xludf.DUMMYFUNCTION("""COMPUTED_VALUE"""),38688.666666666664)</f>
        <v>38688.66667</v>
      </c>
      <c r="N491" s="2">
        <f>IFERROR(__xludf.DUMMYFUNCTION("""COMPUTED_VALUE"""),2273.37)</f>
        <v>2273.37</v>
      </c>
      <c r="S491" s="15"/>
    </row>
    <row r="492">
      <c r="A492" s="10">
        <f t="shared" si="8"/>
        <v>38474.66667</v>
      </c>
      <c r="B492" s="2" t="str">
        <f t="shared" si="2"/>
        <v/>
      </c>
      <c r="C492" s="2" t="str">
        <f t="shared" si="3"/>
        <v>SP500</v>
      </c>
      <c r="D492" s="2">
        <f t="shared" si="4"/>
        <v>1928.65</v>
      </c>
      <c r="E492" s="2">
        <f t="shared" si="5"/>
        <v>1928.65</v>
      </c>
      <c r="G492" s="10">
        <f t="shared" si="9"/>
        <v>38474.64583</v>
      </c>
      <c r="H492" s="6">
        <f t="shared" si="6"/>
        <v>918.42</v>
      </c>
      <c r="I492" s="2">
        <f t="shared" si="7"/>
        <v>918.42</v>
      </c>
      <c r="M492" s="10">
        <f>IFERROR(__xludf.DUMMYFUNCTION("""COMPUTED_VALUE"""),38691.666666666664)</f>
        <v>38691.66667</v>
      </c>
      <c r="N492" s="2">
        <f>IFERROR(__xludf.DUMMYFUNCTION("""COMPUTED_VALUE"""),2257.64)</f>
        <v>2257.64</v>
      </c>
      <c r="S492" s="15"/>
    </row>
    <row r="493">
      <c r="A493" s="10">
        <f t="shared" si="8"/>
        <v>38475.66667</v>
      </c>
      <c r="B493" s="2" t="str">
        <f t="shared" si="2"/>
        <v/>
      </c>
      <c r="C493" s="2" t="str">
        <f t="shared" si="3"/>
        <v>SP500</v>
      </c>
      <c r="D493" s="2">
        <f t="shared" si="4"/>
        <v>1933.07</v>
      </c>
      <c r="E493" s="2">
        <f t="shared" si="5"/>
        <v>1933.07</v>
      </c>
      <c r="G493" s="10">
        <f t="shared" si="9"/>
        <v>38475.64583</v>
      </c>
      <c r="H493" s="6">
        <f t="shared" si="6"/>
        <v>913.82</v>
      </c>
      <c r="I493" s="2">
        <f t="shared" si="7"/>
        <v>913.82</v>
      </c>
      <c r="M493" s="10">
        <f>IFERROR(__xludf.DUMMYFUNCTION("""COMPUTED_VALUE"""),38692.666666666664)</f>
        <v>38692.66667</v>
      </c>
      <c r="N493" s="2">
        <f>IFERROR(__xludf.DUMMYFUNCTION("""COMPUTED_VALUE"""),2260.76)</f>
        <v>2260.76</v>
      </c>
      <c r="S493" s="15"/>
    </row>
    <row r="494">
      <c r="A494" s="10">
        <f t="shared" si="8"/>
        <v>38476.66667</v>
      </c>
      <c r="B494" s="2" t="str">
        <f t="shared" si="2"/>
        <v/>
      </c>
      <c r="C494" s="2" t="str">
        <f t="shared" si="3"/>
        <v>SP500</v>
      </c>
      <c r="D494" s="2">
        <f t="shared" si="4"/>
        <v>1962.23</v>
      </c>
      <c r="E494" s="2">
        <f t="shared" si="5"/>
        <v>1962.23</v>
      </c>
      <c r="G494" s="10">
        <f t="shared" si="9"/>
        <v>38476.64583</v>
      </c>
      <c r="H494" s="6">
        <f t="shared" si="6"/>
        <v>929.35</v>
      </c>
      <c r="I494" s="2">
        <f t="shared" si="7"/>
        <v>929.35</v>
      </c>
      <c r="M494" s="10">
        <f>IFERROR(__xludf.DUMMYFUNCTION("""COMPUTED_VALUE"""),38693.666666666664)</f>
        <v>38693.66667</v>
      </c>
      <c r="N494" s="2">
        <f>IFERROR(__xludf.DUMMYFUNCTION("""COMPUTED_VALUE"""),2252.01)</f>
        <v>2252.01</v>
      </c>
      <c r="S494" s="15"/>
    </row>
    <row r="495">
      <c r="A495" s="10">
        <f t="shared" si="8"/>
        <v>38477.66667</v>
      </c>
      <c r="B495" s="2" t="str">
        <f t="shared" si="2"/>
        <v/>
      </c>
      <c r="C495" s="2" t="str">
        <f t="shared" si="3"/>
        <v>SP500</v>
      </c>
      <c r="D495" s="2">
        <f t="shared" si="4"/>
        <v>1961.8</v>
      </c>
      <c r="E495" s="2">
        <f t="shared" si="5"/>
        <v>1961.8</v>
      </c>
      <c r="G495" s="10">
        <f t="shared" si="9"/>
        <v>38477.64583</v>
      </c>
      <c r="H495" s="6" t="str">
        <f t="shared" si="6"/>
        <v/>
      </c>
      <c r="I495" s="2">
        <f t="shared" si="7"/>
        <v>929.35</v>
      </c>
      <c r="M495" s="10">
        <f>IFERROR(__xludf.DUMMYFUNCTION("""COMPUTED_VALUE"""),38694.666666666664)</f>
        <v>38694.66667</v>
      </c>
      <c r="N495" s="2">
        <f>IFERROR(__xludf.DUMMYFUNCTION("""COMPUTED_VALUE"""),2246.46)</f>
        <v>2246.46</v>
      </c>
      <c r="S495" s="15"/>
    </row>
    <row r="496">
      <c r="A496" s="10">
        <f t="shared" si="8"/>
        <v>38478.66667</v>
      </c>
      <c r="B496" s="2" t="str">
        <f t="shared" si="2"/>
        <v/>
      </c>
      <c r="C496" s="2" t="str">
        <f t="shared" si="3"/>
        <v>SP500</v>
      </c>
      <c r="D496" s="2">
        <f t="shared" si="4"/>
        <v>1967.35</v>
      </c>
      <c r="E496" s="2">
        <f t="shared" si="5"/>
        <v>1967.35</v>
      </c>
      <c r="G496" s="10">
        <f t="shared" si="9"/>
        <v>38478.64583</v>
      </c>
      <c r="H496" s="6">
        <f t="shared" si="6"/>
        <v>940.85</v>
      </c>
      <c r="I496" s="2">
        <f t="shared" si="7"/>
        <v>940.85</v>
      </c>
      <c r="M496" s="10">
        <f>IFERROR(__xludf.DUMMYFUNCTION("""COMPUTED_VALUE"""),38695.666666666664)</f>
        <v>38695.66667</v>
      </c>
      <c r="N496" s="2">
        <f>IFERROR(__xludf.DUMMYFUNCTION("""COMPUTED_VALUE"""),2256.73)</f>
        <v>2256.73</v>
      </c>
      <c r="S496" s="15"/>
    </row>
    <row r="497">
      <c r="A497" s="10">
        <f t="shared" si="8"/>
        <v>38479.66667</v>
      </c>
      <c r="B497" s="2" t="str">
        <f t="shared" si="2"/>
        <v/>
      </c>
      <c r="C497" s="2" t="str">
        <f t="shared" si="3"/>
        <v>SP500</v>
      </c>
      <c r="D497" s="2" t="str">
        <f t="shared" si="4"/>
        <v/>
      </c>
      <c r="E497" s="2">
        <f t="shared" si="5"/>
        <v>1967.35</v>
      </c>
      <c r="G497" s="10">
        <f t="shared" si="9"/>
        <v>38479.64583</v>
      </c>
      <c r="H497" s="6" t="str">
        <f t="shared" si="6"/>
        <v/>
      </c>
      <c r="I497" s="2">
        <f t="shared" si="7"/>
        <v>940.85</v>
      </c>
      <c r="M497" s="10">
        <f>IFERROR(__xludf.DUMMYFUNCTION("""COMPUTED_VALUE"""),38698.666666666664)</f>
        <v>38698.66667</v>
      </c>
      <c r="N497" s="2">
        <f>IFERROR(__xludf.DUMMYFUNCTION("""COMPUTED_VALUE"""),2260.95)</f>
        <v>2260.95</v>
      </c>
      <c r="S497" s="15"/>
    </row>
    <row r="498">
      <c r="A498" s="10">
        <f t="shared" si="8"/>
        <v>38480.66667</v>
      </c>
      <c r="B498" s="2" t="str">
        <f t="shared" si="2"/>
        <v/>
      </c>
      <c r="C498" s="2" t="str">
        <f t="shared" si="3"/>
        <v>SP500</v>
      </c>
      <c r="D498" s="2" t="str">
        <f t="shared" si="4"/>
        <v/>
      </c>
      <c r="E498" s="2">
        <f t="shared" si="5"/>
        <v>1967.35</v>
      </c>
      <c r="G498" s="10">
        <f t="shared" si="9"/>
        <v>38480.64583</v>
      </c>
      <c r="H498" s="6" t="str">
        <f t="shared" si="6"/>
        <v/>
      </c>
      <c r="I498" s="2">
        <f t="shared" si="7"/>
        <v>940.85</v>
      </c>
      <c r="M498" s="10">
        <f>IFERROR(__xludf.DUMMYFUNCTION("""COMPUTED_VALUE"""),38699.666666666664)</f>
        <v>38699.66667</v>
      </c>
      <c r="N498" s="2">
        <f>IFERROR(__xludf.DUMMYFUNCTION("""COMPUTED_VALUE"""),2265.0)</f>
        <v>2265</v>
      </c>
      <c r="S498" s="15"/>
    </row>
    <row r="499">
      <c r="A499" s="10">
        <f t="shared" si="8"/>
        <v>38481.66667</v>
      </c>
      <c r="B499" s="2" t="str">
        <f t="shared" si="2"/>
        <v/>
      </c>
      <c r="C499" s="2" t="str">
        <f t="shared" si="3"/>
        <v>SP500</v>
      </c>
      <c r="D499" s="2">
        <f t="shared" si="4"/>
        <v>1979.67</v>
      </c>
      <c r="E499" s="2">
        <f t="shared" si="5"/>
        <v>1979.67</v>
      </c>
      <c r="G499" s="10">
        <f t="shared" si="9"/>
        <v>38481.64583</v>
      </c>
      <c r="H499" s="6">
        <f t="shared" si="6"/>
        <v>935.2</v>
      </c>
      <c r="I499" s="2">
        <f t="shared" si="7"/>
        <v>935.2</v>
      </c>
      <c r="M499" s="10">
        <f>IFERROR(__xludf.DUMMYFUNCTION("""COMPUTED_VALUE"""),38700.666666666664)</f>
        <v>38700.66667</v>
      </c>
      <c r="N499" s="2">
        <f>IFERROR(__xludf.DUMMYFUNCTION("""COMPUTED_VALUE"""),2262.59)</f>
        <v>2262.59</v>
      </c>
      <c r="S499" s="15"/>
    </row>
    <row r="500">
      <c r="A500" s="10">
        <f t="shared" si="8"/>
        <v>38482.66667</v>
      </c>
      <c r="B500" s="2" t="str">
        <f t="shared" si="2"/>
        <v/>
      </c>
      <c r="C500" s="2" t="str">
        <f t="shared" si="3"/>
        <v>SP500</v>
      </c>
      <c r="D500" s="2">
        <f t="shared" si="4"/>
        <v>1962.77</v>
      </c>
      <c r="E500" s="2">
        <f t="shared" si="5"/>
        <v>1962.77</v>
      </c>
      <c r="G500" s="10">
        <f t="shared" si="9"/>
        <v>38482.64583</v>
      </c>
      <c r="H500" s="6">
        <f t="shared" si="6"/>
        <v>934.28</v>
      </c>
      <c r="I500" s="2">
        <f t="shared" si="7"/>
        <v>934.28</v>
      </c>
      <c r="M500" s="10">
        <f>IFERROR(__xludf.DUMMYFUNCTION("""COMPUTED_VALUE"""),38701.666666666664)</f>
        <v>38701.66667</v>
      </c>
      <c r="N500" s="2">
        <f>IFERROR(__xludf.DUMMYFUNCTION("""COMPUTED_VALUE"""),2260.63)</f>
        <v>2260.63</v>
      </c>
      <c r="S500" s="15"/>
    </row>
    <row r="501">
      <c r="A501" s="10">
        <f t="shared" si="8"/>
        <v>38483.66667</v>
      </c>
      <c r="B501" s="2" t="str">
        <f t="shared" si="2"/>
        <v/>
      </c>
      <c r="C501" s="2" t="str">
        <f t="shared" si="3"/>
        <v>SP500</v>
      </c>
      <c r="D501" s="2">
        <f t="shared" si="4"/>
        <v>1971.55</v>
      </c>
      <c r="E501" s="2">
        <f t="shared" si="5"/>
        <v>1971.55</v>
      </c>
      <c r="G501" s="10">
        <f t="shared" si="9"/>
        <v>38483.64583</v>
      </c>
      <c r="H501" s="6">
        <f t="shared" si="6"/>
        <v>923.38</v>
      </c>
      <c r="I501" s="2">
        <f t="shared" si="7"/>
        <v>923.38</v>
      </c>
      <c r="M501" s="10">
        <f>IFERROR(__xludf.DUMMYFUNCTION("""COMPUTED_VALUE"""),38702.666666666664)</f>
        <v>38702.66667</v>
      </c>
      <c r="N501" s="2">
        <f>IFERROR(__xludf.DUMMYFUNCTION("""COMPUTED_VALUE"""),2252.48)</f>
        <v>2252.48</v>
      </c>
      <c r="S501" s="15"/>
    </row>
    <row r="502">
      <c r="A502" s="10">
        <f t="shared" si="8"/>
        <v>38484.66667</v>
      </c>
      <c r="B502" s="2" t="str">
        <f t="shared" si="2"/>
        <v/>
      </c>
      <c r="C502" s="2" t="str">
        <f t="shared" si="3"/>
        <v>SP500</v>
      </c>
      <c r="D502" s="2">
        <f t="shared" si="4"/>
        <v>1963.88</v>
      </c>
      <c r="E502" s="2">
        <f t="shared" si="5"/>
        <v>1963.88</v>
      </c>
      <c r="G502" s="10">
        <f t="shared" si="9"/>
        <v>38484.64583</v>
      </c>
      <c r="H502" s="6">
        <f t="shared" si="6"/>
        <v>921.21</v>
      </c>
      <c r="I502" s="2">
        <f t="shared" si="7"/>
        <v>921.21</v>
      </c>
      <c r="M502" s="10">
        <f>IFERROR(__xludf.DUMMYFUNCTION("""COMPUTED_VALUE"""),38705.666666666664)</f>
        <v>38705.66667</v>
      </c>
      <c r="N502" s="2">
        <f>IFERROR(__xludf.DUMMYFUNCTION("""COMPUTED_VALUE"""),2222.74)</f>
        <v>2222.74</v>
      </c>
      <c r="S502" s="15"/>
    </row>
    <row r="503">
      <c r="A503" s="10">
        <f t="shared" si="8"/>
        <v>38485.66667</v>
      </c>
      <c r="B503" s="2" t="str">
        <f t="shared" si="2"/>
        <v/>
      </c>
      <c r="C503" s="2" t="str">
        <f t="shared" si="3"/>
        <v>SP500</v>
      </c>
      <c r="D503" s="2">
        <f t="shared" si="4"/>
        <v>1976.78</v>
      </c>
      <c r="E503" s="2">
        <f t="shared" si="5"/>
        <v>1976.78</v>
      </c>
      <c r="G503" s="10">
        <f t="shared" si="9"/>
        <v>38485.64583</v>
      </c>
      <c r="H503" s="6">
        <f t="shared" si="6"/>
        <v>923.19</v>
      </c>
      <c r="I503" s="2">
        <f t="shared" si="7"/>
        <v>923.19</v>
      </c>
      <c r="M503" s="10">
        <f>IFERROR(__xludf.DUMMYFUNCTION("""COMPUTED_VALUE"""),38706.666666666664)</f>
        <v>38706.66667</v>
      </c>
      <c r="N503" s="2">
        <f>IFERROR(__xludf.DUMMYFUNCTION("""COMPUTED_VALUE"""),2222.42)</f>
        <v>2222.42</v>
      </c>
      <c r="S503" s="15"/>
    </row>
    <row r="504">
      <c r="A504" s="10">
        <f t="shared" si="8"/>
        <v>38486.66667</v>
      </c>
      <c r="B504" s="2" t="str">
        <f t="shared" si="2"/>
        <v/>
      </c>
      <c r="C504" s="2" t="str">
        <f t="shared" si="3"/>
        <v>SP500</v>
      </c>
      <c r="D504" s="2" t="str">
        <f t="shared" si="4"/>
        <v/>
      </c>
      <c r="E504" s="2">
        <f t="shared" si="5"/>
        <v>1976.78</v>
      </c>
      <c r="G504" s="10">
        <f t="shared" si="9"/>
        <v>38486.64583</v>
      </c>
      <c r="H504" s="6" t="str">
        <f t="shared" si="6"/>
        <v/>
      </c>
      <c r="I504" s="2">
        <f t="shared" si="7"/>
        <v>923.19</v>
      </c>
      <c r="M504" s="10">
        <f>IFERROR(__xludf.DUMMYFUNCTION("""COMPUTED_VALUE"""),38707.666666666664)</f>
        <v>38707.66667</v>
      </c>
      <c r="N504" s="2">
        <f>IFERROR(__xludf.DUMMYFUNCTION("""COMPUTED_VALUE"""),2231.66)</f>
        <v>2231.66</v>
      </c>
      <c r="S504" s="15"/>
    </row>
    <row r="505">
      <c r="A505" s="10">
        <f t="shared" si="8"/>
        <v>38487.66667</v>
      </c>
      <c r="B505" s="2" t="str">
        <f t="shared" si="2"/>
        <v/>
      </c>
      <c r="C505" s="2" t="str">
        <f t="shared" si="3"/>
        <v>SP500</v>
      </c>
      <c r="D505" s="2" t="str">
        <f t="shared" si="4"/>
        <v/>
      </c>
      <c r="E505" s="2">
        <f t="shared" si="5"/>
        <v>1976.78</v>
      </c>
      <c r="G505" s="10">
        <f t="shared" si="9"/>
        <v>38487.64583</v>
      </c>
      <c r="H505" s="6" t="str">
        <f t="shared" si="6"/>
        <v/>
      </c>
      <c r="I505" s="2">
        <f t="shared" si="7"/>
        <v>923.19</v>
      </c>
      <c r="M505" s="10">
        <f>IFERROR(__xludf.DUMMYFUNCTION("""COMPUTED_VALUE"""),38708.666666666664)</f>
        <v>38708.66667</v>
      </c>
      <c r="N505" s="2">
        <f>IFERROR(__xludf.DUMMYFUNCTION("""COMPUTED_VALUE"""),2246.49)</f>
        <v>2246.49</v>
      </c>
      <c r="S505" s="15"/>
    </row>
    <row r="506">
      <c r="A506" s="10">
        <f t="shared" si="8"/>
        <v>38488.66667</v>
      </c>
      <c r="B506" s="2" t="str">
        <f t="shared" si="2"/>
        <v/>
      </c>
      <c r="C506" s="2" t="str">
        <f t="shared" si="3"/>
        <v>SP500</v>
      </c>
      <c r="D506" s="2">
        <f t="shared" si="4"/>
        <v>1994.43</v>
      </c>
      <c r="E506" s="2">
        <f t="shared" si="5"/>
        <v>1994.43</v>
      </c>
      <c r="G506" s="10">
        <f t="shared" si="9"/>
        <v>38488.64583</v>
      </c>
      <c r="H506" s="6">
        <f t="shared" si="6"/>
        <v>929.04</v>
      </c>
      <c r="I506" s="2">
        <f t="shared" si="7"/>
        <v>929.04</v>
      </c>
      <c r="M506" s="10">
        <f>IFERROR(__xludf.DUMMYFUNCTION("""COMPUTED_VALUE"""),38709.666666666664)</f>
        <v>38709.66667</v>
      </c>
      <c r="N506" s="2">
        <f>IFERROR(__xludf.DUMMYFUNCTION("""COMPUTED_VALUE"""),2249.42)</f>
        <v>2249.42</v>
      </c>
      <c r="S506" s="15"/>
    </row>
    <row r="507">
      <c r="A507" s="10">
        <f t="shared" si="8"/>
        <v>38489.66667</v>
      </c>
      <c r="B507" s="2" t="str">
        <f t="shared" si="2"/>
        <v/>
      </c>
      <c r="C507" s="2" t="str">
        <f t="shared" si="3"/>
        <v>SP500</v>
      </c>
      <c r="D507" s="2">
        <f t="shared" si="4"/>
        <v>2004.15</v>
      </c>
      <c r="E507" s="2">
        <f t="shared" si="5"/>
        <v>2004.15</v>
      </c>
      <c r="G507" s="10">
        <f t="shared" si="9"/>
        <v>38489.64583</v>
      </c>
      <c r="H507" s="6">
        <f t="shared" si="6"/>
        <v>927.16</v>
      </c>
      <c r="I507" s="2">
        <f t="shared" si="7"/>
        <v>927.16</v>
      </c>
      <c r="M507" s="10">
        <f>IFERROR(__xludf.DUMMYFUNCTION("""COMPUTED_VALUE"""),38713.666666666664)</f>
        <v>38713.66667</v>
      </c>
      <c r="N507" s="2">
        <f>IFERROR(__xludf.DUMMYFUNCTION("""COMPUTED_VALUE"""),2226.89)</f>
        <v>2226.89</v>
      </c>
      <c r="S507" s="15"/>
    </row>
    <row r="508">
      <c r="A508" s="10">
        <f t="shared" si="8"/>
        <v>38490.66667</v>
      </c>
      <c r="B508" s="2" t="str">
        <f t="shared" si="2"/>
        <v/>
      </c>
      <c r="C508" s="2" t="str">
        <f t="shared" si="3"/>
        <v>SP500</v>
      </c>
      <c r="D508" s="2">
        <f t="shared" si="4"/>
        <v>2030.65</v>
      </c>
      <c r="E508" s="2">
        <f t="shared" si="5"/>
        <v>2030.65</v>
      </c>
      <c r="G508" s="10">
        <f t="shared" si="9"/>
        <v>38490.64583</v>
      </c>
      <c r="H508" s="6">
        <f t="shared" si="6"/>
        <v>930.36</v>
      </c>
      <c r="I508" s="2">
        <f t="shared" si="7"/>
        <v>930.36</v>
      </c>
      <c r="M508" s="10">
        <f>IFERROR(__xludf.DUMMYFUNCTION("""COMPUTED_VALUE"""),38714.666666666664)</f>
        <v>38714.66667</v>
      </c>
      <c r="N508" s="2">
        <f>IFERROR(__xludf.DUMMYFUNCTION("""COMPUTED_VALUE"""),2228.94)</f>
        <v>2228.94</v>
      </c>
      <c r="S508" s="15"/>
    </row>
    <row r="509">
      <c r="A509" s="10">
        <f t="shared" si="8"/>
        <v>38491.66667</v>
      </c>
      <c r="B509" s="2" t="str">
        <f t="shared" si="2"/>
        <v/>
      </c>
      <c r="C509" s="2" t="str">
        <f t="shared" si="3"/>
        <v>SP500</v>
      </c>
      <c r="D509" s="2">
        <f t="shared" si="4"/>
        <v>2042.58</v>
      </c>
      <c r="E509" s="2">
        <f t="shared" si="5"/>
        <v>2042.58</v>
      </c>
      <c r="G509" s="10">
        <f t="shared" si="9"/>
        <v>38491.64583</v>
      </c>
      <c r="H509" s="6">
        <f t="shared" si="6"/>
        <v>952.09</v>
      </c>
      <c r="I509" s="2">
        <f t="shared" si="7"/>
        <v>952.09</v>
      </c>
      <c r="M509" s="10">
        <f>IFERROR(__xludf.DUMMYFUNCTION("""COMPUTED_VALUE"""),38715.666666666664)</f>
        <v>38715.66667</v>
      </c>
      <c r="N509" s="2">
        <f>IFERROR(__xludf.DUMMYFUNCTION("""COMPUTED_VALUE"""),2218.16)</f>
        <v>2218.16</v>
      </c>
      <c r="S509" s="15"/>
    </row>
    <row r="510">
      <c r="A510" s="10">
        <f t="shared" si="8"/>
        <v>38492.66667</v>
      </c>
      <c r="B510" s="2" t="str">
        <f t="shared" si="2"/>
        <v/>
      </c>
      <c r="C510" s="2" t="str">
        <f t="shared" si="3"/>
        <v>SP500</v>
      </c>
      <c r="D510" s="2">
        <f t="shared" si="4"/>
        <v>2046.42</v>
      </c>
      <c r="E510" s="2">
        <f t="shared" si="5"/>
        <v>2046.42</v>
      </c>
      <c r="G510" s="10">
        <f t="shared" si="9"/>
        <v>38492.64583</v>
      </c>
      <c r="H510" s="6">
        <f t="shared" si="6"/>
        <v>952.19</v>
      </c>
      <c r="I510" s="2">
        <f t="shared" si="7"/>
        <v>952.19</v>
      </c>
      <c r="M510" s="10">
        <f>IFERROR(__xludf.DUMMYFUNCTION("""COMPUTED_VALUE"""),38716.666666666664)</f>
        <v>38716.66667</v>
      </c>
      <c r="N510" s="2">
        <f>IFERROR(__xludf.DUMMYFUNCTION("""COMPUTED_VALUE"""),2205.32)</f>
        <v>2205.32</v>
      </c>
      <c r="S510" s="15"/>
    </row>
    <row r="511">
      <c r="A511" s="10">
        <f t="shared" si="8"/>
        <v>38493.66667</v>
      </c>
      <c r="B511" s="2" t="str">
        <f t="shared" si="2"/>
        <v/>
      </c>
      <c r="C511" s="2" t="str">
        <f t="shared" si="3"/>
        <v>SP500</v>
      </c>
      <c r="D511" s="2" t="str">
        <f t="shared" si="4"/>
        <v/>
      </c>
      <c r="E511" s="2">
        <f t="shared" si="5"/>
        <v>2046.42</v>
      </c>
      <c r="G511" s="10">
        <f t="shared" si="9"/>
        <v>38493.64583</v>
      </c>
      <c r="H511" s="6" t="str">
        <f t="shared" si="6"/>
        <v/>
      </c>
      <c r="I511" s="2">
        <f t="shared" si="7"/>
        <v>952.19</v>
      </c>
      <c r="M511" s="10">
        <f>IFERROR(__xludf.DUMMYFUNCTION("""COMPUTED_VALUE"""),38720.666666666664)</f>
        <v>38720.66667</v>
      </c>
      <c r="N511" s="2">
        <f>IFERROR(__xludf.DUMMYFUNCTION("""COMPUTED_VALUE"""),2243.74)</f>
        <v>2243.74</v>
      </c>
      <c r="S511" s="15"/>
    </row>
    <row r="512">
      <c r="A512" s="10">
        <f t="shared" si="8"/>
        <v>38494.66667</v>
      </c>
      <c r="B512" s="2" t="str">
        <f t="shared" si="2"/>
        <v/>
      </c>
      <c r="C512" s="2" t="str">
        <f t="shared" si="3"/>
        <v>SP500</v>
      </c>
      <c r="D512" s="2" t="str">
        <f t="shared" si="4"/>
        <v/>
      </c>
      <c r="E512" s="2">
        <f t="shared" si="5"/>
        <v>2046.42</v>
      </c>
      <c r="G512" s="10">
        <f t="shared" si="9"/>
        <v>38494.64583</v>
      </c>
      <c r="H512" s="6" t="str">
        <f t="shared" si="6"/>
        <v/>
      </c>
      <c r="I512" s="2">
        <f t="shared" si="7"/>
        <v>952.19</v>
      </c>
      <c r="M512" s="10">
        <f>IFERROR(__xludf.DUMMYFUNCTION("""COMPUTED_VALUE"""),38721.666666666664)</f>
        <v>38721.66667</v>
      </c>
      <c r="N512" s="2">
        <f>IFERROR(__xludf.DUMMYFUNCTION("""COMPUTED_VALUE"""),2263.46)</f>
        <v>2263.46</v>
      </c>
      <c r="S512" s="15"/>
    </row>
    <row r="513">
      <c r="A513" s="10">
        <f t="shared" si="8"/>
        <v>38495.66667</v>
      </c>
      <c r="B513" s="2" t="str">
        <f t="shared" si="2"/>
        <v/>
      </c>
      <c r="C513" s="2" t="str">
        <f t="shared" si="3"/>
        <v>SP500</v>
      </c>
      <c r="D513" s="2">
        <f t="shared" si="4"/>
        <v>2056.65</v>
      </c>
      <c r="E513" s="2">
        <f t="shared" si="5"/>
        <v>2056.65</v>
      </c>
      <c r="G513" s="10">
        <f t="shared" si="9"/>
        <v>38495.64583</v>
      </c>
      <c r="H513" s="6">
        <f t="shared" si="6"/>
        <v>951.05</v>
      </c>
      <c r="I513" s="2">
        <f t="shared" si="7"/>
        <v>951.05</v>
      </c>
      <c r="M513" s="10">
        <f>IFERROR(__xludf.DUMMYFUNCTION("""COMPUTED_VALUE"""),38722.666666666664)</f>
        <v>38722.66667</v>
      </c>
      <c r="N513" s="2">
        <f>IFERROR(__xludf.DUMMYFUNCTION("""COMPUTED_VALUE"""),2276.87)</f>
        <v>2276.87</v>
      </c>
      <c r="S513" s="15"/>
    </row>
    <row r="514">
      <c r="A514" s="10">
        <f t="shared" si="8"/>
        <v>38496.66667</v>
      </c>
      <c r="B514" s="2" t="str">
        <f t="shared" si="2"/>
        <v/>
      </c>
      <c r="C514" s="2" t="str">
        <f t="shared" si="3"/>
        <v>SP500</v>
      </c>
      <c r="D514" s="2">
        <f t="shared" si="4"/>
        <v>2061.62</v>
      </c>
      <c r="E514" s="2">
        <f t="shared" si="5"/>
        <v>2061.62</v>
      </c>
      <c r="G514" s="10">
        <f t="shared" si="9"/>
        <v>38496.64583</v>
      </c>
      <c r="H514" s="6">
        <f t="shared" si="6"/>
        <v>951.61</v>
      </c>
      <c r="I514" s="2">
        <f t="shared" si="7"/>
        <v>951.61</v>
      </c>
      <c r="M514" s="10">
        <f>IFERROR(__xludf.DUMMYFUNCTION("""COMPUTED_VALUE"""),38723.666666666664)</f>
        <v>38723.66667</v>
      </c>
      <c r="N514" s="2">
        <f>IFERROR(__xludf.DUMMYFUNCTION("""COMPUTED_VALUE"""),2305.62)</f>
        <v>2305.62</v>
      </c>
      <c r="S514" s="15"/>
    </row>
    <row r="515">
      <c r="A515" s="10">
        <f t="shared" si="8"/>
        <v>38497.66667</v>
      </c>
      <c r="B515" s="2" t="str">
        <f t="shared" si="2"/>
        <v/>
      </c>
      <c r="C515" s="2" t="str">
        <f t="shared" si="3"/>
        <v>SP500</v>
      </c>
      <c r="D515" s="2">
        <f t="shared" si="4"/>
        <v>2050.12</v>
      </c>
      <c r="E515" s="2">
        <f t="shared" si="5"/>
        <v>2050.12</v>
      </c>
      <c r="G515" s="10">
        <f t="shared" si="9"/>
        <v>38497.64583</v>
      </c>
      <c r="H515" s="6">
        <f t="shared" si="6"/>
        <v>941.3</v>
      </c>
      <c r="I515" s="2">
        <f t="shared" si="7"/>
        <v>941.3</v>
      </c>
      <c r="M515" s="10">
        <f>IFERROR(__xludf.DUMMYFUNCTION("""COMPUTED_VALUE"""),38726.666666666664)</f>
        <v>38726.66667</v>
      </c>
      <c r="N515" s="2">
        <f>IFERROR(__xludf.DUMMYFUNCTION("""COMPUTED_VALUE"""),2318.69)</f>
        <v>2318.69</v>
      </c>
      <c r="S515" s="15"/>
    </row>
    <row r="516">
      <c r="A516" s="10">
        <f t="shared" si="8"/>
        <v>38498.66667</v>
      </c>
      <c r="B516" s="2" t="str">
        <f t="shared" si="2"/>
        <v/>
      </c>
      <c r="C516" s="2" t="str">
        <f t="shared" si="3"/>
        <v>SP500</v>
      </c>
      <c r="D516" s="2">
        <f t="shared" si="4"/>
        <v>2071.24</v>
      </c>
      <c r="E516" s="2">
        <f t="shared" si="5"/>
        <v>2071.24</v>
      </c>
      <c r="G516" s="10">
        <f t="shared" si="9"/>
        <v>38498.64583</v>
      </c>
      <c r="H516" s="6">
        <f t="shared" si="6"/>
        <v>943.91</v>
      </c>
      <c r="I516" s="2">
        <f t="shared" si="7"/>
        <v>943.91</v>
      </c>
      <c r="M516" s="10">
        <f>IFERROR(__xludf.DUMMYFUNCTION("""COMPUTED_VALUE"""),38727.666666666664)</f>
        <v>38727.66667</v>
      </c>
      <c r="N516" s="2">
        <f>IFERROR(__xludf.DUMMYFUNCTION("""COMPUTED_VALUE"""),2320.32)</f>
        <v>2320.32</v>
      </c>
      <c r="S516" s="15"/>
    </row>
    <row r="517">
      <c r="A517" s="10">
        <f t="shared" si="8"/>
        <v>38499.66667</v>
      </c>
      <c r="B517" s="2" t="str">
        <f t="shared" si="2"/>
        <v/>
      </c>
      <c r="C517" s="2" t="str">
        <f t="shared" si="3"/>
        <v>SP500</v>
      </c>
      <c r="D517" s="2">
        <f t="shared" si="4"/>
        <v>2075.73</v>
      </c>
      <c r="E517" s="2">
        <f t="shared" si="5"/>
        <v>2075.73</v>
      </c>
      <c r="G517" s="10">
        <f t="shared" si="9"/>
        <v>38499.64583</v>
      </c>
      <c r="H517" s="6">
        <f t="shared" si="6"/>
        <v>960.91</v>
      </c>
      <c r="I517" s="2">
        <f t="shared" si="7"/>
        <v>960.91</v>
      </c>
      <c r="M517" s="10">
        <f>IFERROR(__xludf.DUMMYFUNCTION("""COMPUTED_VALUE"""),38728.666666666664)</f>
        <v>38728.66667</v>
      </c>
      <c r="N517" s="2">
        <f>IFERROR(__xludf.DUMMYFUNCTION("""COMPUTED_VALUE"""),2331.36)</f>
        <v>2331.36</v>
      </c>
      <c r="S517" s="15"/>
    </row>
    <row r="518">
      <c r="A518" s="10">
        <f t="shared" si="8"/>
        <v>38500.66667</v>
      </c>
      <c r="B518" s="2" t="str">
        <f t="shared" si="2"/>
        <v/>
      </c>
      <c r="C518" s="2" t="str">
        <f t="shared" si="3"/>
        <v>SP500</v>
      </c>
      <c r="D518" s="2" t="str">
        <f t="shared" si="4"/>
        <v/>
      </c>
      <c r="E518" s="2">
        <f t="shared" si="5"/>
        <v>2075.73</v>
      </c>
      <c r="G518" s="10">
        <f t="shared" si="9"/>
        <v>38500.64583</v>
      </c>
      <c r="H518" s="6" t="str">
        <f t="shared" si="6"/>
        <v/>
      </c>
      <c r="I518" s="2">
        <f t="shared" si="7"/>
        <v>960.91</v>
      </c>
      <c r="M518" s="10">
        <f>IFERROR(__xludf.DUMMYFUNCTION("""COMPUTED_VALUE"""),38729.666666666664)</f>
        <v>38729.66667</v>
      </c>
      <c r="N518" s="2">
        <f>IFERROR(__xludf.DUMMYFUNCTION("""COMPUTED_VALUE"""),2316.69)</f>
        <v>2316.69</v>
      </c>
      <c r="S518" s="15"/>
    </row>
    <row r="519">
      <c r="A519" s="10">
        <f t="shared" si="8"/>
        <v>38501.66667</v>
      </c>
      <c r="B519" s="2" t="str">
        <f t="shared" si="2"/>
        <v/>
      </c>
      <c r="C519" s="2" t="str">
        <f t="shared" si="3"/>
        <v>SP500</v>
      </c>
      <c r="D519" s="2" t="str">
        <f t="shared" si="4"/>
        <v/>
      </c>
      <c r="E519" s="2">
        <f t="shared" si="5"/>
        <v>2075.73</v>
      </c>
      <c r="G519" s="10">
        <f t="shared" si="9"/>
        <v>38501.64583</v>
      </c>
      <c r="H519" s="6" t="str">
        <f t="shared" si="6"/>
        <v/>
      </c>
      <c r="I519" s="2">
        <f t="shared" si="7"/>
        <v>960.91</v>
      </c>
      <c r="M519" s="10">
        <f>IFERROR(__xludf.DUMMYFUNCTION("""COMPUTED_VALUE"""),38730.666666666664)</f>
        <v>38730.66667</v>
      </c>
      <c r="N519" s="2">
        <f>IFERROR(__xludf.DUMMYFUNCTION("""COMPUTED_VALUE"""),2317.04)</f>
        <v>2317.04</v>
      </c>
      <c r="S519" s="15"/>
    </row>
    <row r="520">
      <c r="A520" s="10">
        <f t="shared" si="8"/>
        <v>38502.66667</v>
      </c>
      <c r="B520" s="2" t="str">
        <f t="shared" si="2"/>
        <v/>
      </c>
      <c r="C520" s="2" t="str">
        <f t="shared" si="3"/>
        <v>SP500</v>
      </c>
      <c r="D520" s="2" t="str">
        <f t="shared" si="4"/>
        <v/>
      </c>
      <c r="E520" s="2">
        <f t="shared" si="5"/>
        <v>2075.73</v>
      </c>
      <c r="G520" s="10">
        <f t="shared" si="9"/>
        <v>38502.64583</v>
      </c>
      <c r="H520" s="6">
        <f t="shared" si="6"/>
        <v>969.04</v>
      </c>
      <c r="I520" s="2">
        <f t="shared" si="7"/>
        <v>969.04</v>
      </c>
      <c r="M520" s="10">
        <f>IFERROR(__xludf.DUMMYFUNCTION("""COMPUTED_VALUE"""),38734.666666666664)</f>
        <v>38734.66667</v>
      </c>
      <c r="N520" s="2">
        <f>IFERROR(__xludf.DUMMYFUNCTION("""COMPUTED_VALUE"""),2302.69)</f>
        <v>2302.69</v>
      </c>
      <c r="S520" s="15"/>
    </row>
    <row r="521">
      <c r="A521" s="10">
        <f t="shared" si="8"/>
        <v>38503.66667</v>
      </c>
      <c r="B521" s="2" t="str">
        <f t="shared" si="2"/>
        <v/>
      </c>
      <c r="C521" s="2" t="str">
        <f t="shared" si="3"/>
        <v>SP500</v>
      </c>
      <c r="D521" s="2">
        <f t="shared" si="4"/>
        <v>2068.22</v>
      </c>
      <c r="E521" s="2">
        <f t="shared" si="5"/>
        <v>2068.22</v>
      </c>
      <c r="G521" s="10">
        <f t="shared" si="9"/>
        <v>38503.64583</v>
      </c>
      <c r="H521" s="6">
        <f t="shared" si="6"/>
        <v>970.21</v>
      </c>
      <c r="I521" s="2">
        <f t="shared" si="7"/>
        <v>970.21</v>
      </c>
      <c r="M521" s="10">
        <f>IFERROR(__xludf.DUMMYFUNCTION("""COMPUTED_VALUE"""),38735.666666666664)</f>
        <v>38735.66667</v>
      </c>
      <c r="N521" s="2">
        <f>IFERROR(__xludf.DUMMYFUNCTION("""COMPUTED_VALUE"""),2279.64)</f>
        <v>2279.64</v>
      </c>
      <c r="S521" s="15"/>
    </row>
    <row r="522">
      <c r="A522" s="10">
        <f t="shared" si="8"/>
        <v>38504.66667</v>
      </c>
      <c r="B522" s="2" t="str">
        <f t="shared" si="2"/>
        <v/>
      </c>
      <c r="C522" s="2" t="str">
        <f t="shared" si="3"/>
        <v>SP500</v>
      </c>
      <c r="D522" s="2">
        <f t="shared" si="4"/>
        <v>2087.86</v>
      </c>
      <c r="E522" s="2">
        <f t="shared" si="5"/>
        <v>2087.86</v>
      </c>
      <c r="G522" s="10">
        <f t="shared" si="9"/>
        <v>38504.64583</v>
      </c>
      <c r="H522" s="6">
        <f t="shared" si="6"/>
        <v>969.51</v>
      </c>
      <c r="I522" s="2">
        <f t="shared" si="7"/>
        <v>969.51</v>
      </c>
      <c r="M522" s="10">
        <f>IFERROR(__xludf.DUMMYFUNCTION("""COMPUTED_VALUE"""),38736.666666666664)</f>
        <v>38736.66667</v>
      </c>
      <c r="N522" s="2">
        <f>IFERROR(__xludf.DUMMYFUNCTION("""COMPUTED_VALUE"""),2301.81)</f>
        <v>2301.81</v>
      </c>
      <c r="S522" s="15"/>
    </row>
    <row r="523">
      <c r="A523" s="10">
        <f t="shared" si="8"/>
        <v>38505.66667</v>
      </c>
      <c r="B523" s="2" t="str">
        <f t="shared" si="2"/>
        <v/>
      </c>
      <c r="C523" s="2" t="str">
        <f t="shared" si="3"/>
        <v>SP500</v>
      </c>
      <c r="D523" s="2">
        <f t="shared" si="4"/>
        <v>2097.8</v>
      </c>
      <c r="E523" s="2">
        <f t="shared" si="5"/>
        <v>2097.8</v>
      </c>
      <c r="G523" s="10">
        <f t="shared" si="9"/>
        <v>38505.64583</v>
      </c>
      <c r="H523" s="6">
        <f t="shared" si="6"/>
        <v>970.88</v>
      </c>
      <c r="I523" s="2">
        <f t="shared" si="7"/>
        <v>970.88</v>
      </c>
      <c r="M523" s="10">
        <f>IFERROR(__xludf.DUMMYFUNCTION("""COMPUTED_VALUE"""),38737.666666666664)</f>
        <v>38737.66667</v>
      </c>
      <c r="N523" s="2">
        <f>IFERROR(__xludf.DUMMYFUNCTION("""COMPUTED_VALUE"""),2247.7)</f>
        <v>2247.7</v>
      </c>
      <c r="S523" s="15"/>
    </row>
    <row r="524">
      <c r="A524" s="10">
        <f t="shared" si="8"/>
        <v>38506.66667</v>
      </c>
      <c r="B524" s="2" t="str">
        <f t="shared" si="2"/>
        <v/>
      </c>
      <c r="C524" s="2" t="str">
        <f t="shared" si="3"/>
        <v>SP500</v>
      </c>
      <c r="D524" s="2">
        <f t="shared" si="4"/>
        <v>2071.43</v>
      </c>
      <c r="E524" s="2">
        <f t="shared" si="5"/>
        <v>2071.43</v>
      </c>
      <c r="G524" s="10">
        <f t="shared" si="9"/>
        <v>38506.64583</v>
      </c>
      <c r="H524" s="6">
        <f t="shared" si="6"/>
        <v>976.09</v>
      </c>
      <c r="I524" s="2">
        <f t="shared" si="7"/>
        <v>976.09</v>
      </c>
      <c r="M524" s="10">
        <f>IFERROR(__xludf.DUMMYFUNCTION("""COMPUTED_VALUE"""),38740.666666666664)</f>
        <v>38740.66667</v>
      </c>
      <c r="N524" s="2">
        <f>IFERROR(__xludf.DUMMYFUNCTION("""COMPUTED_VALUE"""),2248.47)</f>
        <v>2248.47</v>
      </c>
      <c r="S524" s="15"/>
    </row>
    <row r="525">
      <c r="A525" s="10">
        <f t="shared" si="8"/>
        <v>38507.66667</v>
      </c>
      <c r="B525" s="2" t="str">
        <f t="shared" si="2"/>
        <v/>
      </c>
      <c r="C525" s="2" t="str">
        <f t="shared" si="3"/>
        <v>SP500</v>
      </c>
      <c r="D525" s="2" t="str">
        <f t="shared" si="4"/>
        <v/>
      </c>
      <c r="E525" s="2">
        <f t="shared" si="5"/>
        <v>2071.43</v>
      </c>
      <c r="G525" s="10">
        <f t="shared" si="9"/>
        <v>38507.64583</v>
      </c>
      <c r="H525" s="6" t="str">
        <f t="shared" si="6"/>
        <v/>
      </c>
      <c r="I525" s="2">
        <f t="shared" si="7"/>
        <v>976.09</v>
      </c>
      <c r="M525" s="10">
        <f>IFERROR(__xludf.DUMMYFUNCTION("""COMPUTED_VALUE"""),38741.666666666664)</f>
        <v>38741.66667</v>
      </c>
      <c r="N525" s="2">
        <f>IFERROR(__xludf.DUMMYFUNCTION("""COMPUTED_VALUE"""),2265.25)</f>
        <v>2265.25</v>
      </c>
      <c r="S525" s="15"/>
    </row>
    <row r="526">
      <c r="A526" s="10">
        <f t="shared" si="8"/>
        <v>38508.66667</v>
      </c>
      <c r="B526" s="2" t="str">
        <f t="shared" si="2"/>
        <v/>
      </c>
      <c r="C526" s="2" t="str">
        <f t="shared" si="3"/>
        <v>SP500</v>
      </c>
      <c r="D526" s="2" t="str">
        <f t="shared" si="4"/>
        <v/>
      </c>
      <c r="E526" s="2">
        <f t="shared" si="5"/>
        <v>2071.43</v>
      </c>
      <c r="G526" s="10">
        <f t="shared" si="9"/>
        <v>38508.64583</v>
      </c>
      <c r="H526" s="6" t="str">
        <f t="shared" si="6"/>
        <v/>
      </c>
      <c r="I526" s="2">
        <f t="shared" si="7"/>
        <v>976.09</v>
      </c>
      <c r="M526" s="10">
        <f>IFERROR(__xludf.DUMMYFUNCTION("""COMPUTED_VALUE"""),38742.666666666664)</f>
        <v>38742.66667</v>
      </c>
      <c r="N526" s="2">
        <f>IFERROR(__xludf.DUMMYFUNCTION("""COMPUTED_VALUE"""),2260.65)</f>
        <v>2260.65</v>
      </c>
      <c r="S526" s="15"/>
    </row>
    <row r="527">
      <c r="A527" s="10">
        <f t="shared" si="8"/>
        <v>38509.66667</v>
      </c>
      <c r="B527" s="2" t="str">
        <f t="shared" si="2"/>
        <v/>
      </c>
      <c r="C527" s="2" t="str">
        <f t="shared" si="3"/>
        <v>SP500</v>
      </c>
      <c r="D527" s="2">
        <f t="shared" si="4"/>
        <v>2075.76</v>
      </c>
      <c r="E527" s="2">
        <f t="shared" si="5"/>
        <v>2075.76</v>
      </c>
      <c r="G527" s="10">
        <f t="shared" si="9"/>
        <v>38509.64583</v>
      </c>
      <c r="H527" s="6" t="str">
        <f t="shared" si="6"/>
        <v/>
      </c>
      <c r="I527" s="2">
        <f t="shared" si="7"/>
        <v>976.09</v>
      </c>
      <c r="M527" s="10">
        <f>IFERROR(__xludf.DUMMYFUNCTION("""COMPUTED_VALUE"""),38743.666666666664)</f>
        <v>38743.66667</v>
      </c>
      <c r="N527" s="2">
        <f>IFERROR(__xludf.DUMMYFUNCTION("""COMPUTED_VALUE"""),2283.0)</f>
        <v>2283</v>
      </c>
      <c r="S527" s="15"/>
    </row>
    <row r="528">
      <c r="A528" s="10">
        <f t="shared" si="8"/>
        <v>38510.66667</v>
      </c>
      <c r="B528" s="2" t="str">
        <f t="shared" si="2"/>
        <v/>
      </c>
      <c r="C528" s="2" t="str">
        <f t="shared" si="3"/>
        <v>SP500</v>
      </c>
      <c r="D528" s="2">
        <f t="shared" si="4"/>
        <v>2067.16</v>
      </c>
      <c r="E528" s="2">
        <f t="shared" si="5"/>
        <v>2067.16</v>
      </c>
      <c r="G528" s="10">
        <f t="shared" si="9"/>
        <v>38510.64583</v>
      </c>
      <c r="H528" s="6">
        <f t="shared" si="6"/>
        <v>970.88</v>
      </c>
      <c r="I528" s="2">
        <f t="shared" si="7"/>
        <v>970.88</v>
      </c>
      <c r="M528" s="10">
        <f>IFERROR(__xludf.DUMMYFUNCTION("""COMPUTED_VALUE"""),38744.666666666664)</f>
        <v>38744.66667</v>
      </c>
      <c r="N528" s="2">
        <f>IFERROR(__xludf.DUMMYFUNCTION("""COMPUTED_VALUE"""),2304.23)</f>
        <v>2304.23</v>
      </c>
      <c r="S528" s="15"/>
    </row>
    <row r="529">
      <c r="A529" s="10">
        <f t="shared" si="8"/>
        <v>38511.66667</v>
      </c>
      <c r="B529" s="2" t="str">
        <f t="shared" si="2"/>
        <v/>
      </c>
      <c r="C529" s="2" t="str">
        <f t="shared" si="3"/>
        <v>SP500</v>
      </c>
      <c r="D529" s="2">
        <f t="shared" si="4"/>
        <v>2060.18</v>
      </c>
      <c r="E529" s="2">
        <f t="shared" si="5"/>
        <v>2060.18</v>
      </c>
      <c r="G529" s="10">
        <f t="shared" si="9"/>
        <v>38511.64583</v>
      </c>
      <c r="H529" s="6">
        <f t="shared" si="6"/>
        <v>976.22</v>
      </c>
      <c r="I529" s="2">
        <f t="shared" si="7"/>
        <v>976.22</v>
      </c>
      <c r="M529" s="10">
        <f>IFERROR(__xludf.DUMMYFUNCTION("""COMPUTED_VALUE"""),38747.666666666664)</f>
        <v>38747.66667</v>
      </c>
      <c r="N529" s="2">
        <f>IFERROR(__xludf.DUMMYFUNCTION("""COMPUTED_VALUE"""),2306.78)</f>
        <v>2306.78</v>
      </c>
      <c r="S529" s="15"/>
    </row>
    <row r="530">
      <c r="A530" s="10">
        <f t="shared" si="8"/>
        <v>38512.66667</v>
      </c>
      <c r="B530" s="2" t="str">
        <f t="shared" si="2"/>
        <v/>
      </c>
      <c r="C530" s="2" t="str">
        <f t="shared" si="3"/>
        <v>SP500</v>
      </c>
      <c r="D530" s="2">
        <f t="shared" si="4"/>
        <v>2076.91</v>
      </c>
      <c r="E530" s="2">
        <f t="shared" si="5"/>
        <v>2076.91</v>
      </c>
      <c r="G530" s="10">
        <f t="shared" si="9"/>
        <v>38512.64583</v>
      </c>
      <c r="H530" s="6">
        <f t="shared" si="6"/>
        <v>987.58</v>
      </c>
      <c r="I530" s="2">
        <f t="shared" si="7"/>
        <v>987.58</v>
      </c>
      <c r="M530" s="10">
        <f>IFERROR(__xludf.DUMMYFUNCTION("""COMPUTED_VALUE"""),38748.666666666664)</f>
        <v>38748.66667</v>
      </c>
      <c r="N530" s="2">
        <f>IFERROR(__xludf.DUMMYFUNCTION("""COMPUTED_VALUE"""),2305.82)</f>
        <v>2305.82</v>
      </c>
      <c r="S530" s="15"/>
    </row>
    <row r="531">
      <c r="A531" s="10">
        <f t="shared" si="8"/>
        <v>38513.66667</v>
      </c>
      <c r="B531" s="2" t="str">
        <f t="shared" si="2"/>
        <v/>
      </c>
      <c r="C531" s="2" t="str">
        <f t="shared" si="3"/>
        <v>SP500</v>
      </c>
      <c r="D531" s="2">
        <f t="shared" si="4"/>
        <v>2063</v>
      </c>
      <c r="E531" s="2">
        <f t="shared" si="5"/>
        <v>2063</v>
      </c>
      <c r="G531" s="10">
        <f t="shared" si="9"/>
        <v>38513.64583</v>
      </c>
      <c r="H531" s="6">
        <f t="shared" si="6"/>
        <v>990.79</v>
      </c>
      <c r="I531" s="2">
        <f t="shared" si="7"/>
        <v>990.79</v>
      </c>
      <c r="M531" s="10">
        <f>IFERROR(__xludf.DUMMYFUNCTION("""COMPUTED_VALUE"""),38749.666666666664)</f>
        <v>38749.66667</v>
      </c>
      <c r="N531" s="2">
        <f>IFERROR(__xludf.DUMMYFUNCTION("""COMPUTED_VALUE"""),2310.56)</f>
        <v>2310.56</v>
      </c>
      <c r="S531" s="15"/>
    </row>
    <row r="532">
      <c r="A532" s="10">
        <f t="shared" si="8"/>
        <v>38514.66667</v>
      </c>
      <c r="B532" s="2" t="str">
        <f t="shared" si="2"/>
        <v/>
      </c>
      <c r="C532" s="2" t="str">
        <f t="shared" si="3"/>
        <v>SP500</v>
      </c>
      <c r="D532" s="2" t="str">
        <f t="shared" si="4"/>
        <v/>
      </c>
      <c r="E532" s="2">
        <f t="shared" si="5"/>
        <v>2063</v>
      </c>
      <c r="G532" s="10">
        <f t="shared" si="9"/>
        <v>38514.64583</v>
      </c>
      <c r="H532" s="6" t="str">
        <f t="shared" si="6"/>
        <v/>
      </c>
      <c r="I532" s="2">
        <f t="shared" si="7"/>
        <v>990.79</v>
      </c>
      <c r="M532" s="10">
        <f>IFERROR(__xludf.DUMMYFUNCTION("""COMPUTED_VALUE"""),38750.666666666664)</f>
        <v>38750.66667</v>
      </c>
      <c r="N532" s="2">
        <f>IFERROR(__xludf.DUMMYFUNCTION("""COMPUTED_VALUE"""),2281.57)</f>
        <v>2281.57</v>
      </c>
      <c r="S532" s="15"/>
    </row>
    <row r="533">
      <c r="A533" s="10">
        <f t="shared" si="8"/>
        <v>38515.66667</v>
      </c>
      <c r="B533" s="2" t="str">
        <f t="shared" si="2"/>
        <v/>
      </c>
      <c r="C533" s="2" t="str">
        <f t="shared" si="3"/>
        <v>SP500</v>
      </c>
      <c r="D533" s="2" t="str">
        <f t="shared" si="4"/>
        <v/>
      </c>
      <c r="E533" s="2">
        <f t="shared" si="5"/>
        <v>2063</v>
      </c>
      <c r="G533" s="10">
        <f t="shared" si="9"/>
        <v>38515.64583</v>
      </c>
      <c r="H533" s="6" t="str">
        <f t="shared" si="6"/>
        <v/>
      </c>
      <c r="I533" s="2">
        <f t="shared" si="7"/>
        <v>990.79</v>
      </c>
      <c r="M533" s="10">
        <f>IFERROR(__xludf.DUMMYFUNCTION("""COMPUTED_VALUE"""),38751.666666666664)</f>
        <v>38751.66667</v>
      </c>
      <c r="N533" s="2">
        <f>IFERROR(__xludf.DUMMYFUNCTION("""COMPUTED_VALUE"""),2262.58)</f>
        <v>2262.58</v>
      </c>
      <c r="S533" s="15"/>
    </row>
    <row r="534">
      <c r="A534" s="10">
        <f t="shared" si="8"/>
        <v>38516.66667</v>
      </c>
      <c r="B534" s="2" t="str">
        <f t="shared" si="2"/>
        <v/>
      </c>
      <c r="C534" s="2" t="str">
        <f t="shared" si="3"/>
        <v>SP500</v>
      </c>
      <c r="D534" s="2">
        <f t="shared" si="4"/>
        <v>2068.96</v>
      </c>
      <c r="E534" s="2">
        <f t="shared" si="5"/>
        <v>2068.96</v>
      </c>
      <c r="G534" s="10">
        <f t="shared" si="9"/>
        <v>38516.64583</v>
      </c>
      <c r="H534" s="6">
        <f t="shared" si="6"/>
        <v>990.49</v>
      </c>
      <c r="I534" s="2">
        <f t="shared" si="7"/>
        <v>990.49</v>
      </c>
      <c r="M534" s="10">
        <f>IFERROR(__xludf.DUMMYFUNCTION("""COMPUTED_VALUE"""),38754.666666666664)</f>
        <v>38754.66667</v>
      </c>
      <c r="N534" s="2">
        <f>IFERROR(__xludf.DUMMYFUNCTION("""COMPUTED_VALUE"""),2258.8)</f>
        <v>2258.8</v>
      </c>
      <c r="S534" s="15"/>
    </row>
    <row r="535">
      <c r="A535" s="10">
        <f t="shared" si="8"/>
        <v>38517.66667</v>
      </c>
      <c r="B535" s="2" t="str">
        <f t="shared" si="2"/>
        <v/>
      </c>
      <c r="C535" s="2" t="str">
        <f t="shared" si="3"/>
        <v>SP500</v>
      </c>
      <c r="D535" s="2">
        <f t="shared" si="4"/>
        <v>2069.04</v>
      </c>
      <c r="E535" s="2">
        <f t="shared" si="5"/>
        <v>2069.04</v>
      </c>
      <c r="G535" s="10">
        <f t="shared" si="9"/>
        <v>38517.64583</v>
      </c>
      <c r="H535" s="6">
        <f t="shared" si="6"/>
        <v>983.75</v>
      </c>
      <c r="I535" s="2">
        <f t="shared" si="7"/>
        <v>983.75</v>
      </c>
      <c r="M535" s="10">
        <f>IFERROR(__xludf.DUMMYFUNCTION("""COMPUTED_VALUE"""),38755.666666666664)</f>
        <v>38755.66667</v>
      </c>
      <c r="N535" s="2">
        <f>IFERROR(__xludf.DUMMYFUNCTION("""COMPUTED_VALUE"""),2244.96)</f>
        <v>2244.96</v>
      </c>
      <c r="S535" s="15"/>
    </row>
    <row r="536">
      <c r="A536" s="10">
        <f t="shared" si="8"/>
        <v>38518.66667</v>
      </c>
      <c r="B536" s="2" t="str">
        <f t="shared" si="2"/>
        <v/>
      </c>
      <c r="C536" s="2" t="str">
        <f t="shared" si="3"/>
        <v>SP500</v>
      </c>
      <c r="D536" s="2">
        <f t="shared" si="4"/>
        <v>2074.92</v>
      </c>
      <c r="E536" s="2">
        <f t="shared" si="5"/>
        <v>2074.92</v>
      </c>
      <c r="G536" s="10">
        <f t="shared" si="9"/>
        <v>38518.64583</v>
      </c>
      <c r="H536" s="6">
        <f t="shared" si="6"/>
        <v>1001.94</v>
      </c>
      <c r="I536" s="2">
        <f t="shared" si="7"/>
        <v>1001.94</v>
      </c>
      <c r="M536" s="10">
        <f>IFERROR(__xludf.DUMMYFUNCTION("""COMPUTED_VALUE"""),38756.666666666664)</f>
        <v>38756.66667</v>
      </c>
      <c r="N536" s="2">
        <f>IFERROR(__xludf.DUMMYFUNCTION("""COMPUTED_VALUE"""),2266.98)</f>
        <v>2266.98</v>
      </c>
      <c r="S536" s="15"/>
    </row>
    <row r="537">
      <c r="A537" s="10">
        <f t="shared" si="8"/>
        <v>38519.66667</v>
      </c>
      <c r="B537" s="2" t="str">
        <f t="shared" si="2"/>
        <v/>
      </c>
      <c r="C537" s="2" t="str">
        <f t="shared" si="3"/>
        <v>SP500</v>
      </c>
      <c r="D537" s="2">
        <f t="shared" si="4"/>
        <v>2089.15</v>
      </c>
      <c r="E537" s="2">
        <f t="shared" si="5"/>
        <v>2089.15</v>
      </c>
      <c r="G537" s="10">
        <f t="shared" si="9"/>
        <v>38519.64583</v>
      </c>
      <c r="H537" s="6">
        <f t="shared" si="6"/>
        <v>1003.14</v>
      </c>
      <c r="I537" s="2">
        <f t="shared" si="7"/>
        <v>1003.14</v>
      </c>
      <c r="M537" s="10">
        <f>IFERROR(__xludf.DUMMYFUNCTION("""COMPUTED_VALUE"""),38757.666666666664)</f>
        <v>38757.66667</v>
      </c>
      <c r="N537" s="2">
        <f>IFERROR(__xludf.DUMMYFUNCTION("""COMPUTED_VALUE"""),2255.87)</f>
        <v>2255.87</v>
      </c>
      <c r="S537" s="15"/>
    </row>
    <row r="538">
      <c r="A538" s="10">
        <f t="shared" si="8"/>
        <v>38520.66667</v>
      </c>
      <c r="B538" s="2" t="str">
        <f t="shared" si="2"/>
        <v/>
      </c>
      <c r="C538" s="2" t="str">
        <f t="shared" si="3"/>
        <v>SP500</v>
      </c>
      <c r="D538" s="2">
        <f t="shared" si="4"/>
        <v>2090.11</v>
      </c>
      <c r="E538" s="2">
        <f t="shared" si="5"/>
        <v>2090.11</v>
      </c>
      <c r="G538" s="10">
        <f t="shared" si="9"/>
        <v>38520.64583</v>
      </c>
      <c r="H538" s="6">
        <f t="shared" si="6"/>
        <v>1003.68</v>
      </c>
      <c r="I538" s="2">
        <f t="shared" si="7"/>
        <v>1003.68</v>
      </c>
      <c r="M538" s="10">
        <f>IFERROR(__xludf.DUMMYFUNCTION("""COMPUTED_VALUE"""),38758.666666666664)</f>
        <v>38758.66667</v>
      </c>
      <c r="N538" s="2">
        <f>IFERROR(__xludf.DUMMYFUNCTION("""COMPUTED_VALUE"""),2261.88)</f>
        <v>2261.88</v>
      </c>
      <c r="S538" s="15"/>
    </row>
    <row r="539">
      <c r="A539" s="10">
        <f t="shared" si="8"/>
        <v>38521.66667</v>
      </c>
      <c r="B539" s="2" t="str">
        <f t="shared" si="2"/>
        <v/>
      </c>
      <c r="C539" s="2" t="str">
        <f t="shared" si="3"/>
        <v>SP500</v>
      </c>
      <c r="D539" s="2" t="str">
        <f t="shared" si="4"/>
        <v/>
      </c>
      <c r="E539" s="2">
        <f t="shared" si="5"/>
        <v>2090.11</v>
      </c>
      <c r="G539" s="10">
        <f t="shared" si="9"/>
        <v>38521.64583</v>
      </c>
      <c r="H539" s="6" t="str">
        <f t="shared" si="6"/>
        <v/>
      </c>
      <c r="I539" s="2">
        <f t="shared" si="7"/>
        <v>1003.68</v>
      </c>
      <c r="M539" s="10">
        <f>IFERROR(__xludf.DUMMYFUNCTION("""COMPUTED_VALUE"""),38761.666666666664)</f>
        <v>38761.66667</v>
      </c>
      <c r="N539" s="2">
        <f>IFERROR(__xludf.DUMMYFUNCTION("""COMPUTED_VALUE"""),2239.81)</f>
        <v>2239.81</v>
      </c>
      <c r="S539" s="15"/>
    </row>
    <row r="540">
      <c r="A540" s="10">
        <f t="shared" si="8"/>
        <v>38522.66667</v>
      </c>
      <c r="B540" s="2" t="str">
        <f t="shared" si="2"/>
        <v/>
      </c>
      <c r="C540" s="2" t="str">
        <f t="shared" si="3"/>
        <v>SP500</v>
      </c>
      <c r="D540" s="2" t="str">
        <f t="shared" si="4"/>
        <v/>
      </c>
      <c r="E540" s="2">
        <f t="shared" si="5"/>
        <v>2090.11</v>
      </c>
      <c r="G540" s="10">
        <f t="shared" si="9"/>
        <v>38522.64583</v>
      </c>
      <c r="H540" s="6" t="str">
        <f t="shared" si="6"/>
        <v/>
      </c>
      <c r="I540" s="2">
        <f t="shared" si="7"/>
        <v>1003.68</v>
      </c>
      <c r="M540" s="10">
        <f>IFERROR(__xludf.DUMMYFUNCTION("""COMPUTED_VALUE"""),38762.666666666664)</f>
        <v>38762.66667</v>
      </c>
      <c r="N540" s="2">
        <f>IFERROR(__xludf.DUMMYFUNCTION("""COMPUTED_VALUE"""),2262.17)</f>
        <v>2262.17</v>
      </c>
      <c r="S540" s="15"/>
    </row>
    <row r="541">
      <c r="A541" s="10">
        <f t="shared" si="8"/>
        <v>38523.66667</v>
      </c>
      <c r="B541" s="2" t="str">
        <f t="shared" si="2"/>
        <v/>
      </c>
      <c r="C541" s="2" t="str">
        <f t="shared" si="3"/>
        <v>SP500</v>
      </c>
      <c r="D541" s="2">
        <f t="shared" si="4"/>
        <v>2088.13</v>
      </c>
      <c r="E541" s="2">
        <f t="shared" si="5"/>
        <v>2088.13</v>
      </c>
      <c r="G541" s="10">
        <f t="shared" si="9"/>
        <v>38523.64583</v>
      </c>
      <c r="H541" s="6">
        <f t="shared" si="6"/>
        <v>994.65</v>
      </c>
      <c r="I541" s="2">
        <f t="shared" si="7"/>
        <v>994.65</v>
      </c>
      <c r="M541" s="10">
        <f>IFERROR(__xludf.DUMMYFUNCTION("""COMPUTED_VALUE"""),38763.666666666664)</f>
        <v>38763.66667</v>
      </c>
      <c r="N541" s="2">
        <f>IFERROR(__xludf.DUMMYFUNCTION("""COMPUTED_VALUE"""),2276.43)</f>
        <v>2276.43</v>
      </c>
      <c r="S541" s="15"/>
    </row>
    <row r="542">
      <c r="A542" s="10">
        <f t="shared" si="8"/>
        <v>38524.66667</v>
      </c>
      <c r="B542" s="2" t="str">
        <f t="shared" si="2"/>
        <v/>
      </c>
      <c r="C542" s="2" t="str">
        <f t="shared" si="3"/>
        <v>SP500</v>
      </c>
      <c r="D542" s="2">
        <f t="shared" si="4"/>
        <v>2091.07</v>
      </c>
      <c r="E542" s="2">
        <f t="shared" si="5"/>
        <v>2091.07</v>
      </c>
      <c r="G542" s="10">
        <f t="shared" si="9"/>
        <v>38524.64583</v>
      </c>
      <c r="H542" s="6">
        <f t="shared" si="6"/>
        <v>989.99</v>
      </c>
      <c r="I542" s="2">
        <f t="shared" si="7"/>
        <v>989.99</v>
      </c>
      <c r="M542" s="10">
        <f>IFERROR(__xludf.DUMMYFUNCTION("""COMPUTED_VALUE"""),38764.666666666664)</f>
        <v>38764.66667</v>
      </c>
      <c r="N542" s="2">
        <f>IFERROR(__xludf.DUMMYFUNCTION("""COMPUTED_VALUE"""),2294.63)</f>
        <v>2294.63</v>
      </c>
      <c r="S542" s="15"/>
    </row>
    <row r="543">
      <c r="A543" s="10">
        <f t="shared" si="8"/>
        <v>38525.66667</v>
      </c>
      <c r="B543" s="2" t="str">
        <f t="shared" si="2"/>
        <v/>
      </c>
      <c r="C543" s="2" t="str">
        <f t="shared" si="3"/>
        <v>SP500</v>
      </c>
      <c r="D543" s="2">
        <f t="shared" si="4"/>
        <v>2092.03</v>
      </c>
      <c r="E543" s="2">
        <f t="shared" si="5"/>
        <v>2092.03</v>
      </c>
      <c r="G543" s="10">
        <f t="shared" si="9"/>
        <v>38525.64583</v>
      </c>
      <c r="H543" s="6">
        <f t="shared" si="6"/>
        <v>1002.15</v>
      </c>
      <c r="I543" s="2">
        <f t="shared" si="7"/>
        <v>1002.15</v>
      </c>
      <c r="M543" s="10">
        <f>IFERROR(__xludf.DUMMYFUNCTION("""COMPUTED_VALUE"""),38765.666666666664)</f>
        <v>38765.66667</v>
      </c>
      <c r="N543" s="2">
        <f>IFERROR(__xludf.DUMMYFUNCTION("""COMPUTED_VALUE"""),2282.36)</f>
        <v>2282.36</v>
      </c>
      <c r="S543" s="15"/>
    </row>
    <row r="544">
      <c r="A544" s="10">
        <f t="shared" si="8"/>
        <v>38526.66667</v>
      </c>
      <c r="B544" s="2" t="str">
        <f t="shared" si="2"/>
        <v/>
      </c>
      <c r="C544" s="2" t="str">
        <f t="shared" si="3"/>
        <v>SP500</v>
      </c>
      <c r="D544" s="2">
        <f t="shared" si="4"/>
        <v>2070.66</v>
      </c>
      <c r="E544" s="2">
        <f t="shared" si="5"/>
        <v>2070.66</v>
      </c>
      <c r="G544" s="10">
        <f t="shared" si="9"/>
        <v>38526.64583</v>
      </c>
      <c r="H544" s="6">
        <f t="shared" si="6"/>
        <v>1010.8</v>
      </c>
      <c r="I544" s="2">
        <f t="shared" si="7"/>
        <v>1010.8</v>
      </c>
      <c r="M544" s="10">
        <f>IFERROR(__xludf.DUMMYFUNCTION("""COMPUTED_VALUE"""),38769.666666666664)</f>
        <v>38769.66667</v>
      </c>
      <c r="N544" s="2">
        <f>IFERROR(__xludf.DUMMYFUNCTION("""COMPUTED_VALUE"""),2262.96)</f>
        <v>2262.96</v>
      </c>
      <c r="S544" s="15"/>
    </row>
    <row r="545">
      <c r="A545" s="10">
        <f t="shared" si="8"/>
        <v>38527.66667</v>
      </c>
      <c r="B545" s="2" t="str">
        <f t="shared" si="2"/>
        <v/>
      </c>
      <c r="C545" s="2" t="str">
        <f t="shared" si="3"/>
        <v>SP500</v>
      </c>
      <c r="D545" s="2">
        <f t="shared" si="4"/>
        <v>2053.27</v>
      </c>
      <c r="E545" s="2">
        <f t="shared" si="5"/>
        <v>2053.27</v>
      </c>
      <c r="G545" s="10">
        <f t="shared" si="9"/>
        <v>38527.64583</v>
      </c>
      <c r="H545" s="6">
        <f t="shared" si="6"/>
        <v>1002.43</v>
      </c>
      <c r="I545" s="2">
        <f t="shared" si="7"/>
        <v>1002.43</v>
      </c>
      <c r="M545" s="10">
        <f>IFERROR(__xludf.DUMMYFUNCTION("""COMPUTED_VALUE"""),38770.666666666664)</f>
        <v>38770.66667</v>
      </c>
      <c r="N545" s="2">
        <f>IFERROR(__xludf.DUMMYFUNCTION("""COMPUTED_VALUE"""),2283.17)</f>
        <v>2283.17</v>
      </c>
      <c r="S545" s="15"/>
    </row>
    <row r="546">
      <c r="A546" s="10">
        <f t="shared" si="8"/>
        <v>38528.66667</v>
      </c>
      <c r="B546" s="2" t="str">
        <f t="shared" si="2"/>
        <v/>
      </c>
      <c r="C546" s="2" t="str">
        <f t="shared" si="3"/>
        <v>SP500</v>
      </c>
      <c r="D546" s="2" t="str">
        <f t="shared" si="4"/>
        <v/>
      </c>
      <c r="E546" s="2">
        <f t="shared" si="5"/>
        <v>2053.27</v>
      </c>
      <c r="G546" s="10">
        <f t="shared" si="9"/>
        <v>38528.64583</v>
      </c>
      <c r="H546" s="6" t="str">
        <f t="shared" si="6"/>
        <v/>
      </c>
      <c r="I546" s="2">
        <f t="shared" si="7"/>
        <v>1002.43</v>
      </c>
      <c r="M546" s="10">
        <f>IFERROR(__xludf.DUMMYFUNCTION("""COMPUTED_VALUE"""),38771.666666666664)</f>
        <v>38771.66667</v>
      </c>
      <c r="N546" s="2">
        <f>IFERROR(__xludf.DUMMYFUNCTION("""COMPUTED_VALUE"""),2279.32)</f>
        <v>2279.32</v>
      </c>
      <c r="S546" s="15"/>
    </row>
    <row r="547">
      <c r="A547" s="10">
        <f t="shared" si="8"/>
        <v>38529.66667</v>
      </c>
      <c r="B547" s="2" t="str">
        <f t="shared" si="2"/>
        <v/>
      </c>
      <c r="C547" s="2" t="str">
        <f t="shared" si="3"/>
        <v>SP500</v>
      </c>
      <c r="D547" s="2" t="str">
        <f t="shared" si="4"/>
        <v/>
      </c>
      <c r="E547" s="2">
        <f t="shared" si="5"/>
        <v>2053.27</v>
      </c>
      <c r="G547" s="10">
        <f t="shared" si="9"/>
        <v>38529.64583</v>
      </c>
      <c r="H547" s="6" t="str">
        <f t="shared" si="6"/>
        <v/>
      </c>
      <c r="I547" s="2">
        <f t="shared" si="7"/>
        <v>1002.43</v>
      </c>
      <c r="M547" s="10">
        <f>IFERROR(__xludf.DUMMYFUNCTION("""COMPUTED_VALUE"""),38772.666666666664)</f>
        <v>38772.66667</v>
      </c>
      <c r="N547" s="2">
        <f>IFERROR(__xludf.DUMMYFUNCTION("""COMPUTED_VALUE"""),2287.04)</f>
        <v>2287.04</v>
      </c>
      <c r="S547" s="15"/>
    </row>
    <row r="548">
      <c r="A548" s="10">
        <f t="shared" si="8"/>
        <v>38530.66667</v>
      </c>
      <c r="B548" s="2" t="str">
        <f t="shared" si="2"/>
        <v/>
      </c>
      <c r="C548" s="2" t="str">
        <f t="shared" si="3"/>
        <v>SP500</v>
      </c>
      <c r="D548" s="2">
        <f t="shared" si="4"/>
        <v>2045.2</v>
      </c>
      <c r="E548" s="2">
        <f t="shared" si="5"/>
        <v>2045.2</v>
      </c>
      <c r="G548" s="10">
        <f t="shared" si="9"/>
        <v>38530.64583</v>
      </c>
      <c r="H548" s="6">
        <f t="shared" si="6"/>
        <v>991.11</v>
      </c>
      <c r="I548" s="2">
        <f t="shared" si="7"/>
        <v>991.11</v>
      </c>
      <c r="M548" s="10">
        <f>IFERROR(__xludf.DUMMYFUNCTION("""COMPUTED_VALUE"""),38775.666666666664)</f>
        <v>38775.66667</v>
      </c>
      <c r="N548" s="2">
        <f>IFERROR(__xludf.DUMMYFUNCTION("""COMPUTED_VALUE"""),2307.18)</f>
        <v>2307.18</v>
      </c>
      <c r="S548" s="15"/>
    </row>
    <row r="549">
      <c r="A549" s="10">
        <f t="shared" si="8"/>
        <v>38531.66667</v>
      </c>
      <c r="B549" s="2" t="str">
        <f t="shared" si="2"/>
        <v/>
      </c>
      <c r="C549" s="2" t="str">
        <f t="shared" si="3"/>
        <v>SP500</v>
      </c>
      <c r="D549" s="2">
        <f t="shared" si="4"/>
        <v>2069.89</v>
      </c>
      <c r="E549" s="2">
        <f t="shared" si="5"/>
        <v>2069.89</v>
      </c>
      <c r="G549" s="10">
        <f t="shared" si="9"/>
        <v>38531.64583</v>
      </c>
      <c r="H549" s="6">
        <f t="shared" si="6"/>
        <v>994.74</v>
      </c>
      <c r="I549" s="2">
        <f t="shared" si="7"/>
        <v>994.74</v>
      </c>
      <c r="M549" s="10">
        <f>IFERROR(__xludf.DUMMYFUNCTION("""COMPUTED_VALUE"""),38776.666666666664)</f>
        <v>38776.66667</v>
      </c>
      <c r="N549" s="2">
        <f>IFERROR(__xludf.DUMMYFUNCTION("""COMPUTED_VALUE"""),2281.39)</f>
        <v>2281.39</v>
      </c>
      <c r="S549" s="15"/>
    </row>
    <row r="550">
      <c r="A550" s="10">
        <f t="shared" si="8"/>
        <v>38532.66667</v>
      </c>
      <c r="B550" s="2" t="str">
        <f t="shared" si="2"/>
        <v/>
      </c>
      <c r="C550" s="2" t="str">
        <f t="shared" si="3"/>
        <v>SP500</v>
      </c>
      <c r="D550" s="2">
        <f t="shared" si="4"/>
        <v>2068.89</v>
      </c>
      <c r="E550" s="2">
        <f t="shared" si="5"/>
        <v>2068.89</v>
      </c>
      <c r="G550" s="10">
        <f t="shared" si="9"/>
        <v>38532.64583</v>
      </c>
      <c r="H550" s="6">
        <f t="shared" si="6"/>
        <v>999.08</v>
      </c>
      <c r="I550" s="2">
        <f t="shared" si="7"/>
        <v>999.08</v>
      </c>
      <c r="M550" s="10">
        <f>IFERROR(__xludf.DUMMYFUNCTION("""COMPUTED_VALUE"""),38777.666666666664)</f>
        <v>38777.66667</v>
      </c>
      <c r="N550" s="2">
        <f>IFERROR(__xludf.DUMMYFUNCTION("""COMPUTED_VALUE"""),2314.64)</f>
        <v>2314.64</v>
      </c>
      <c r="S550" s="15"/>
    </row>
    <row r="551">
      <c r="A551" s="10">
        <f t="shared" si="8"/>
        <v>38533.66667</v>
      </c>
      <c r="B551" s="2" t="str">
        <f t="shared" si="2"/>
        <v/>
      </c>
      <c r="C551" s="2" t="str">
        <f t="shared" si="3"/>
        <v>SP500</v>
      </c>
      <c r="D551" s="2">
        <f t="shared" si="4"/>
        <v>2056.96</v>
      </c>
      <c r="E551" s="2">
        <f t="shared" si="5"/>
        <v>2056.96</v>
      </c>
      <c r="G551" s="10">
        <f t="shared" si="9"/>
        <v>38533.64583</v>
      </c>
      <c r="H551" s="6">
        <f t="shared" si="6"/>
        <v>1008.16</v>
      </c>
      <c r="I551" s="2">
        <f t="shared" si="7"/>
        <v>1008.16</v>
      </c>
      <c r="M551" s="10">
        <f>IFERROR(__xludf.DUMMYFUNCTION("""COMPUTED_VALUE"""),38778.666666666664)</f>
        <v>38778.66667</v>
      </c>
      <c r="N551" s="2">
        <f>IFERROR(__xludf.DUMMYFUNCTION("""COMPUTED_VALUE"""),2311.11)</f>
        <v>2311.11</v>
      </c>
      <c r="S551" s="15"/>
    </row>
    <row r="552">
      <c r="A552" s="10">
        <f t="shared" si="8"/>
        <v>38534.66667</v>
      </c>
      <c r="B552" s="2" t="str">
        <f t="shared" si="2"/>
        <v/>
      </c>
      <c r="C552" s="2" t="str">
        <f t="shared" si="3"/>
        <v>SP500</v>
      </c>
      <c r="D552" s="2">
        <f t="shared" si="4"/>
        <v>2057.37</v>
      </c>
      <c r="E552" s="2">
        <f t="shared" si="5"/>
        <v>2057.37</v>
      </c>
      <c r="G552" s="10">
        <f t="shared" si="9"/>
        <v>38534.64583</v>
      </c>
      <c r="H552" s="6">
        <f t="shared" si="6"/>
        <v>1018.02</v>
      </c>
      <c r="I552" s="2">
        <f t="shared" si="7"/>
        <v>1018.02</v>
      </c>
      <c r="M552" s="10">
        <f>IFERROR(__xludf.DUMMYFUNCTION("""COMPUTED_VALUE"""),38779.666666666664)</f>
        <v>38779.66667</v>
      </c>
      <c r="N552" s="2">
        <f>IFERROR(__xludf.DUMMYFUNCTION("""COMPUTED_VALUE"""),2302.6)</f>
        <v>2302.6</v>
      </c>
      <c r="S552" s="15"/>
    </row>
    <row r="553">
      <c r="A553" s="10">
        <f t="shared" si="8"/>
        <v>38535.66667</v>
      </c>
      <c r="B553" s="2" t="str">
        <f t="shared" si="2"/>
        <v/>
      </c>
      <c r="C553" s="2" t="str">
        <f t="shared" si="3"/>
        <v>SP500</v>
      </c>
      <c r="D553" s="2" t="str">
        <f t="shared" si="4"/>
        <v/>
      </c>
      <c r="E553" s="2">
        <f t="shared" si="5"/>
        <v>2057.37</v>
      </c>
      <c r="G553" s="10">
        <f t="shared" si="9"/>
        <v>38535.64583</v>
      </c>
      <c r="H553" s="6" t="str">
        <f t="shared" si="6"/>
        <v/>
      </c>
      <c r="I553" s="2">
        <f t="shared" si="7"/>
        <v>1018.02</v>
      </c>
      <c r="M553" s="10">
        <f>IFERROR(__xludf.DUMMYFUNCTION("""COMPUTED_VALUE"""),38782.666666666664)</f>
        <v>38782.66667</v>
      </c>
      <c r="N553" s="2">
        <f>IFERROR(__xludf.DUMMYFUNCTION("""COMPUTED_VALUE"""),2286.03)</f>
        <v>2286.03</v>
      </c>
      <c r="S553" s="15"/>
    </row>
    <row r="554">
      <c r="A554" s="10">
        <f t="shared" si="8"/>
        <v>38536.66667</v>
      </c>
      <c r="B554" s="2" t="str">
        <f t="shared" si="2"/>
        <v/>
      </c>
      <c r="C554" s="2" t="str">
        <f t="shared" si="3"/>
        <v>SP500</v>
      </c>
      <c r="D554" s="2" t="str">
        <f t="shared" si="4"/>
        <v/>
      </c>
      <c r="E554" s="2">
        <f t="shared" si="5"/>
        <v>2057.37</v>
      </c>
      <c r="G554" s="10">
        <f t="shared" si="9"/>
        <v>38536.64583</v>
      </c>
      <c r="H554" s="6" t="str">
        <f t="shared" si="6"/>
        <v/>
      </c>
      <c r="I554" s="2">
        <f t="shared" si="7"/>
        <v>1018.02</v>
      </c>
      <c r="M554" s="10">
        <f>IFERROR(__xludf.DUMMYFUNCTION("""COMPUTED_VALUE"""),38783.666666666664)</f>
        <v>38783.66667</v>
      </c>
      <c r="N554" s="2">
        <f>IFERROR(__xludf.DUMMYFUNCTION("""COMPUTED_VALUE"""),2268.38)</f>
        <v>2268.38</v>
      </c>
      <c r="S554" s="15"/>
    </row>
    <row r="555">
      <c r="A555" s="10">
        <f t="shared" si="8"/>
        <v>38537.66667</v>
      </c>
      <c r="B555" s="2" t="str">
        <f t="shared" si="2"/>
        <v/>
      </c>
      <c r="C555" s="2" t="str">
        <f t="shared" si="3"/>
        <v>SP500</v>
      </c>
      <c r="D555" s="2" t="str">
        <f t="shared" si="4"/>
        <v/>
      </c>
      <c r="E555" s="2">
        <f t="shared" si="5"/>
        <v>2057.37</v>
      </c>
      <c r="G555" s="10">
        <f t="shared" si="9"/>
        <v>38537.64583</v>
      </c>
      <c r="H555" s="6">
        <f t="shared" si="6"/>
        <v>1021.71</v>
      </c>
      <c r="I555" s="2">
        <f t="shared" si="7"/>
        <v>1021.71</v>
      </c>
      <c r="M555" s="10">
        <f>IFERROR(__xludf.DUMMYFUNCTION("""COMPUTED_VALUE"""),38784.666666666664)</f>
        <v>38784.66667</v>
      </c>
      <c r="N555" s="2">
        <f>IFERROR(__xludf.DUMMYFUNCTION("""COMPUTED_VALUE"""),2267.46)</f>
        <v>2267.46</v>
      </c>
      <c r="S555" s="15"/>
    </row>
    <row r="556">
      <c r="A556" s="10">
        <f t="shared" si="8"/>
        <v>38538.66667</v>
      </c>
      <c r="B556" s="2" t="str">
        <f t="shared" si="2"/>
        <v/>
      </c>
      <c r="C556" s="2" t="str">
        <f t="shared" si="3"/>
        <v>SP500</v>
      </c>
      <c r="D556" s="2">
        <f t="shared" si="4"/>
        <v>2078.75</v>
      </c>
      <c r="E556" s="2">
        <f t="shared" si="5"/>
        <v>2078.75</v>
      </c>
      <c r="G556" s="10">
        <f t="shared" si="9"/>
        <v>38538.64583</v>
      </c>
      <c r="H556" s="6">
        <f t="shared" si="6"/>
        <v>1018.81</v>
      </c>
      <c r="I556" s="2">
        <f t="shared" si="7"/>
        <v>1018.81</v>
      </c>
      <c r="M556" s="10">
        <f>IFERROR(__xludf.DUMMYFUNCTION("""COMPUTED_VALUE"""),38785.666666666664)</f>
        <v>38785.66667</v>
      </c>
      <c r="N556" s="2">
        <f>IFERROR(__xludf.DUMMYFUNCTION("""COMPUTED_VALUE"""),2249.72)</f>
        <v>2249.72</v>
      </c>
      <c r="S556" s="15"/>
    </row>
    <row r="557">
      <c r="A557" s="10">
        <f t="shared" si="8"/>
        <v>38539.66667</v>
      </c>
      <c r="B557" s="2" t="str">
        <f t="shared" si="2"/>
        <v/>
      </c>
      <c r="C557" s="2" t="str">
        <f t="shared" si="3"/>
        <v>SP500</v>
      </c>
      <c r="D557" s="2">
        <f t="shared" si="4"/>
        <v>2068.65</v>
      </c>
      <c r="E557" s="2">
        <f t="shared" si="5"/>
        <v>2068.65</v>
      </c>
      <c r="G557" s="10">
        <f t="shared" si="9"/>
        <v>38539.64583</v>
      </c>
      <c r="H557" s="6">
        <f t="shared" si="6"/>
        <v>1019.01</v>
      </c>
      <c r="I557" s="2">
        <f t="shared" si="7"/>
        <v>1019.01</v>
      </c>
      <c r="M557" s="10">
        <f>IFERROR(__xludf.DUMMYFUNCTION("""COMPUTED_VALUE"""),38786.666666666664)</f>
        <v>38786.66667</v>
      </c>
      <c r="N557" s="2">
        <f>IFERROR(__xludf.DUMMYFUNCTION("""COMPUTED_VALUE"""),2262.04)</f>
        <v>2262.04</v>
      </c>
      <c r="S557" s="15"/>
    </row>
    <row r="558">
      <c r="A558" s="10">
        <f t="shared" si="8"/>
        <v>38540.66667</v>
      </c>
      <c r="B558" s="2" t="str">
        <f t="shared" si="2"/>
        <v/>
      </c>
      <c r="C558" s="2" t="str">
        <f t="shared" si="3"/>
        <v>SP500</v>
      </c>
      <c r="D558" s="2">
        <f t="shared" si="4"/>
        <v>2075.66</v>
      </c>
      <c r="E558" s="2">
        <f t="shared" si="5"/>
        <v>2075.66</v>
      </c>
      <c r="G558" s="10">
        <f t="shared" si="9"/>
        <v>38540.64583</v>
      </c>
      <c r="H558" s="6">
        <f t="shared" si="6"/>
        <v>1026.82</v>
      </c>
      <c r="I558" s="2">
        <f t="shared" si="7"/>
        <v>1026.82</v>
      </c>
      <c r="M558" s="10">
        <f>IFERROR(__xludf.DUMMYFUNCTION("""COMPUTED_VALUE"""),38789.666666666664)</f>
        <v>38789.66667</v>
      </c>
      <c r="N558" s="2">
        <f>IFERROR(__xludf.DUMMYFUNCTION("""COMPUTED_VALUE"""),2267.03)</f>
        <v>2267.03</v>
      </c>
      <c r="S558" s="15"/>
    </row>
    <row r="559">
      <c r="A559" s="10">
        <f t="shared" si="8"/>
        <v>38541.66667</v>
      </c>
      <c r="B559" s="2" t="str">
        <f t="shared" si="2"/>
        <v/>
      </c>
      <c r="C559" s="2" t="str">
        <f t="shared" si="3"/>
        <v>SP500</v>
      </c>
      <c r="D559" s="2">
        <f t="shared" si="4"/>
        <v>2112.88</v>
      </c>
      <c r="E559" s="2">
        <f t="shared" si="5"/>
        <v>2112.88</v>
      </c>
      <c r="G559" s="10">
        <f t="shared" si="9"/>
        <v>38541.64583</v>
      </c>
      <c r="H559" s="6">
        <f t="shared" si="6"/>
        <v>1021.95</v>
      </c>
      <c r="I559" s="2">
        <f t="shared" si="7"/>
        <v>1021.95</v>
      </c>
      <c r="M559" s="10">
        <f>IFERROR(__xludf.DUMMYFUNCTION("""COMPUTED_VALUE"""),38790.666666666664)</f>
        <v>38790.66667</v>
      </c>
      <c r="N559" s="2">
        <f>IFERROR(__xludf.DUMMYFUNCTION("""COMPUTED_VALUE"""),2295.9)</f>
        <v>2295.9</v>
      </c>
      <c r="S559" s="15"/>
    </row>
    <row r="560">
      <c r="A560" s="10">
        <f t="shared" si="8"/>
        <v>38542.66667</v>
      </c>
      <c r="B560" s="2" t="str">
        <f t="shared" si="2"/>
        <v/>
      </c>
      <c r="C560" s="2" t="str">
        <f t="shared" si="3"/>
        <v>SP500</v>
      </c>
      <c r="D560" s="2" t="str">
        <f t="shared" si="4"/>
        <v/>
      </c>
      <c r="E560" s="2">
        <f t="shared" si="5"/>
        <v>2112.88</v>
      </c>
      <c r="G560" s="10">
        <f t="shared" si="9"/>
        <v>38542.64583</v>
      </c>
      <c r="H560" s="6" t="str">
        <f t="shared" si="6"/>
        <v/>
      </c>
      <c r="I560" s="2">
        <f t="shared" si="7"/>
        <v>1021.95</v>
      </c>
      <c r="M560" s="10">
        <f>IFERROR(__xludf.DUMMYFUNCTION("""COMPUTED_VALUE"""),38791.666666666664)</f>
        <v>38791.66667</v>
      </c>
      <c r="N560" s="2">
        <f>IFERROR(__xludf.DUMMYFUNCTION("""COMPUTED_VALUE"""),2311.84)</f>
        <v>2311.84</v>
      </c>
      <c r="S560" s="15"/>
    </row>
    <row r="561">
      <c r="A561" s="10">
        <f t="shared" si="8"/>
        <v>38543.66667</v>
      </c>
      <c r="B561" s="2" t="str">
        <f t="shared" si="2"/>
        <v/>
      </c>
      <c r="C561" s="2" t="str">
        <f t="shared" si="3"/>
        <v>SP500</v>
      </c>
      <c r="D561" s="2" t="str">
        <f t="shared" si="4"/>
        <v/>
      </c>
      <c r="E561" s="2">
        <f t="shared" si="5"/>
        <v>2112.88</v>
      </c>
      <c r="G561" s="10">
        <f t="shared" si="9"/>
        <v>38543.64583</v>
      </c>
      <c r="H561" s="6" t="str">
        <f t="shared" si="6"/>
        <v/>
      </c>
      <c r="I561" s="2">
        <f t="shared" si="7"/>
        <v>1021.95</v>
      </c>
      <c r="M561" s="10">
        <f>IFERROR(__xludf.DUMMYFUNCTION("""COMPUTED_VALUE"""),38792.666666666664)</f>
        <v>38792.66667</v>
      </c>
      <c r="N561" s="2">
        <f>IFERROR(__xludf.DUMMYFUNCTION("""COMPUTED_VALUE"""),2299.56)</f>
        <v>2299.56</v>
      </c>
      <c r="S561" s="15"/>
    </row>
    <row r="562">
      <c r="A562" s="10">
        <f t="shared" si="8"/>
        <v>38544.66667</v>
      </c>
      <c r="B562" s="2" t="str">
        <f t="shared" si="2"/>
        <v/>
      </c>
      <c r="C562" s="2" t="str">
        <f t="shared" si="3"/>
        <v>SP500</v>
      </c>
      <c r="D562" s="2">
        <f t="shared" si="4"/>
        <v>2135.43</v>
      </c>
      <c r="E562" s="2">
        <f t="shared" si="5"/>
        <v>2135.43</v>
      </c>
      <c r="G562" s="10">
        <f t="shared" si="9"/>
        <v>38544.64583</v>
      </c>
      <c r="H562" s="6">
        <f t="shared" si="6"/>
        <v>1040.43</v>
      </c>
      <c r="I562" s="2">
        <f t="shared" si="7"/>
        <v>1040.43</v>
      </c>
      <c r="M562" s="10">
        <f>IFERROR(__xludf.DUMMYFUNCTION("""COMPUTED_VALUE"""),38793.666666666664)</f>
        <v>38793.66667</v>
      </c>
      <c r="N562" s="2">
        <f>IFERROR(__xludf.DUMMYFUNCTION("""COMPUTED_VALUE"""),2306.48)</f>
        <v>2306.48</v>
      </c>
      <c r="S562" s="15"/>
    </row>
    <row r="563">
      <c r="A563" s="10">
        <f t="shared" si="8"/>
        <v>38545.66667</v>
      </c>
      <c r="B563" s="2" t="str">
        <f t="shared" si="2"/>
        <v/>
      </c>
      <c r="C563" s="2" t="str">
        <f t="shared" si="3"/>
        <v>SP500</v>
      </c>
      <c r="D563" s="2">
        <f t="shared" si="4"/>
        <v>2143.15</v>
      </c>
      <c r="E563" s="2">
        <f t="shared" si="5"/>
        <v>2143.15</v>
      </c>
      <c r="G563" s="10">
        <f t="shared" si="9"/>
        <v>38545.64583</v>
      </c>
      <c r="H563" s="6">
        <f t="shared" si="6"/>
        <v>1043.88</v>
      </c>
      <c r="I563" s="2">
        <f t="shared" si="7"/>
        <v>1043.88</v>
      </c>
      <c r="M563" s="10">
        <f>IFERROR(__xludf.DUMMYFUNCTION("""COMPUTED_VALUE"""),38796.666666666664)</f>
        <v>38796.66667</v>
      </c>
      <c r="N563" s="2">
        <f>IFERROR(__xludf.DUMMYFUNCTION("""COMPUTED_VALUE"""),2314.11)</f>
        <v>2314.11</v>
      </c>
      <c r="S563" s="15"/>
    </row>
    <row r="564">
      <c r="A564" s="10">
        <f t="shared" si="8"/>
        <v>38546.66667</v>
      </c>
      <c r="B564" s="2" t="str">
        <f t="shared" si="2"/>
        <v/>
      </c>
      <c r="C564" s="2" t="str">
        <f t="shared" si="3"/>
        <v>SP500</v>
      </c>
      <c r="D564" s="2">
        <f t="shared" si="4"/>
        <v>2144.11</v>
      </c>
      <c r="E564" s="2">
        <f t="shared" si="5"/>
        <v>2144.11</v>
      </c>
      <c r="G564" s="10">
        <f t="shared" si="9"/>
        <v>38546.64583</v>
      </c>
      <c r="H564" s="6">
        <f t="shared" si="6"/>
        <v>1050.16</v>
      </c>
      <c r="I564" s="2">
        <f t="shared" si="7"/>
        <v>1050.16</v>
      </c>
      <c r="M564" s="10">
        <f>IFERROR(__xludf.DUMMYFUNCTION("""COMPUTED_VALUE"""),38797.666666666664)</f>
        <v>38797.66667</v>
      </c>
      <c r="N564" s="2">
        <f>IFERROR(__xludf.DUMMYFUNCTION("""COMPUTED_VALUE"""),2294.23)</f>
        <v>2294.23</v>
      </c>
      <c r="S564" s="15"/>
    </row>
    <row r="565">
      <c r="A565" s="10">
        <f t="shared" si="8"/>
        <v>38547.66667</v>
      </c>
      <c r="B565" s="2" t="str">
        <f t="shared" si="2"/>
        <v/>
      </c>
      <c r="C565" s="2" t="str">
        <f t="shared" si="3"/>
        <v>SP500</v>
      </c>
      <c r="D565" s="2">
        <f t="shared" si="4"/>
        <v>2152.82</v>
      </c>
      <c r="E565" s="2">
        <f t="shared" si="5"/>
        <v>2152.82</v>
      </c>
      <c r="G565" s="10">
        <f t="shared" si="9"/>
        <v>38547.64583</v>
      </c>
      <c r="H565" s="6">
        <f t="shared" si="6"/>
        <v>1061.93</v>
      </c>
      <c r="I565" s="2">
        <f t="shared" si="7"/>
        <v>1061.93</v>
      </c>
      <c r="M565" s="10">
        <f>IFERROR(__xludf.DUMMYFUNCTION("""COMPUTED_VALUE"""),38798.666666666664)</f>
        <v>38798.66667</v>
      </c>
      <c r="N565" s="2">
        <f>IFERROR(__xludf.DUMMYFUNCTION("""COMPUTED_VALUE"""),2303.35)</f>
        <v>2303.35</v>
      </c>
      <c r="S565" s="15"/>
    </row>
    <row r="566">
      <c r="A566" s="10">
        <f t="shared" si="8"/>
        <v>38548.66667</v>
      </c>
      <c r="B566" s="2" t="str">
        <f t="shared" si="2"/>
        <v/>
      </c>
      <c r="C566" s="2" t="str">
        <f t="shared" si="3"/>
        <v>SP500</v>
      </c>
      <c r="D566" s="2">
        <f t="shared" si="4"/>
        <v>2156.78</v>
      </c>
      <c r="E566" s="2">
        <f t="shared" si="5"/>
        <v>2156.78</v>
      </c>
      <c r="G566" s="10">
        <f t="shared" si="9"/>
        <v>38548.64583</v>
      </c>
      <c r="H566" s="6">
        <f t="shared" si="6"/>
        <v>1059.6</v>
      </c>
      <c r="I566" s="2">
        <f t="shared" si="7"/>
        <v>1059.6</v>
      </c>
      <c r="M566" s="10">
        <f>IFERROR(__xludf.DUMMYFUNCTION("""COMPUTED_VALUE"""),38799.666666666664)</f>
        <v>38799.66667</v>
      </c>
      <c r="N566" s="2">
        <f>IFERROR(__xludf.DUMMYFUNCTION("""COMPUTED_VALUE"""),2300.15)</f>
        <v>2300.15</v>
      </c>
      <c r="S566" s="15"/>
    </row>
    <row r="567">
      <c r="A567" s="10">
        <f t="shared" si="8"/>
        <v>38549.66667</v>
      </c>
      <c r="B567" s="2" t="str">
        <f t="shared" si="2"/>
        <v/>
      </c>
      <c r="C567" s="2" t="str">
        <f t="shared" si="3"/>
        <v>SP500</v>
      </c>
      <c r="D567" s="2" t="str">
        <f t="shared" si="4"/>
        <v/>
      </c>
      <c r="E567" s="2">
        <f t="shared" si="5"/>
        <v>2156.78</v>
      </c>
      <c r="G567" s="10">
        <f t="shared" si="9"/>
        <v>38549.64583</v>
      </c>
      <c r="H567" s="6" t="str">
        <f t="shared" si="6"/>
        <v/>
      </c>
      <c r="I567" s="2">
        <f t="shared" si="7"/>
        <v>1059.6</v>
      </c>
      <c r="M567" s="10">
        <f>IFERROR(__xludf.DUMMYFUNCTION("""COMPUTED_VALUE"""),38800.666666666664)</f>
        <v>38800.66667</v>
      </c>
      <c r="N567" s="2">
        <f>IFERROR(__xludf.DUMMYFUNCTION("""COMPUTED_VALUE"""),2312.82)</f>
        <v>2312.82</v>
      </c>
      <c r="S567" s="15"/>
    </row>
    <row r="568">
      <c r="A568" s="10">
        <f t="shared" si="8"/>
        <v>38550.66667</v>
      </c>
      <c r="B568" s="2" t="str">
        <f t="shared" si="2"/>
        <v/>
      </c>
      <c r="C568" s="2" t="str">
        <f t="shared" si="3"/>
        <v>SP500</v>
      </c>
      <c r="D568" s="2" t="str">
        <f t="shared" si="4"/>
        <v/>
      </c>
      <c r="E568" s="2">
        <f t="shared" si="5"/>
        <v>2156.78</v>
      </c>
      <c r="G568" s="10">
        <f t="shared" si="9"/>
        <v>38550.64583</v>
      </c>
      <c r="H568" s="6" t="str">
        <f t="shared" si="6"/>
        <v/>
      </c>
      <c r="I568" s="2">
        <f t="shared" si="7"/>
        <v>1059.6</v>
      </c>
      <c r="M568" s="10">
        <f>IFERROR(__xludf.DUMMYFUNCTION("""COMPUTED_VALUE"""),38803.666666666664)</f>
        <v>38803.66667</v>
      </c>
      <c r="N568" s="2">
        <f>IFERROR(__xludf.DUMMYFUNCTION("""COMPUTED_VALUE"""),2315.58)</f>
        <v>2315.58</v>
      </c>
      <c r="S568" s="15"/>
    </row>
    <row r="569">
      <c r="A569" s="10">
        <f t="shared" si="8"/>
        <v>38551.66667</v>
      </c>
      <c r="B569" s="2" t="str">
        <f t="shared" si="2"/>
        <v/>
      </c>
      <c r="C569" s="2" t="str">
        <f t="shared" si="3"/>
        <v>SP500</v>
      </c>
      <c r="D569" s="2">
        <f t="shared" si="4"/>
        <v>2144.87</v>
      </c>
      <c r="E569" s="2">
        <f t="shared" si="5"/>
        <v>2144.87</v>
      </c>
      <c r="G569" s="10">
        <f t="shared" si="9"/>
        <v>38551.64583</v>
      </c>
      <c r="H569" s="6">
        <f t="shared" si="6"/>
        <v>1062.43</v>
      </c>
      <c r="I569" s="2">
        <f t="shared" si="7"/>
        <v>1062.43</v>
      </c>
      <c r="M569" s="10">
        <f>IFERROR(__xludf.DUMMYFUNCTION("""COMPUTED_VALUE"""),38804.666666666664)</f>
        <v>38804.66667</v>
      </c>
      <c r="N569" s="2">
        <f>IFERROR(__xludf.DUMMYFUNCTION("""COMPUTED_VALUE"""),2304.46)</f>
        <v>2304.46</v>
      </c>
      <c r="S569" s="15"/>
    </row>
    <row r="570">
      <c r="A570" s="10">
        <f t="shared" si="8"/>
        <v>38552.66667</v>
      </c>
      <c r="B570" s="2" t="str">
        <f t="shared" si="2"/>
        <v/>
      </c>
      <c r="C570" s="2" t="str">
        <f t="shared" si="3"/>
        <v>SP500</v>
      </c>
      <c r="D570" s="2">
        <f t="shared" si="4"/>
        <v>2173.18</v>
      </c>
      <c r="E570" s="2">
        <f t="shared" si="5"/>
        <v>2173.18</v>
      </c>
      <c r="G570" s="10">
        <f t="shared" si="9"/>
        <v>38552.64583</v>
      </c>
      <c r="H570" s="6">
        <f t="shared" si="6"/>
        <v>1075.48</v>
      </c>
      <c r="I570" s="2">
        <f t="shared" si="7"/>
        <v>1075.48</v>
      </c>
      <c r="M570" s="10">
        <f>IFERROR(__xludf.DUMMYFUNCTION("""COMPUTED_VALUE"""),38805.666666666664)</f>
        <v>38805.66667</v>
      </c>
      <c r="N570" s="2">
        <f>IFERROR(__xludf.DUMMYFUNCTION("""COMPUTED_VALUE"""),2337.78)</f>
        <v>2337.78</v>
      </c>
      <c r="S570" s="15"/>
    </row>
    <row r="571">
      <c r="A571" s="10">
        <f t="shared" si="8"/>
        <v>38553.66667</v>
      </c>
      <c r="B571" s="2" t="str">
        <f t="shared" si="2"/>
        <v/>
      </c>
      <c r="C571" s="2" t="str">
        <f t="shared" si="3"/>
        <v>SP500</v>
      </c>
      <c r="D571" s="2">
        <f t="shared" si="4"/>
        <v>2188.57</v>
      </c>
      <c r="E571" s="2">
        <f t="shared" si="5"/>
        <v>2188.57</v>
      </c>
      <c r="G571" s="10">
        <f t="shared" si="9"/>
        <v>38553.64583</v>
      </c>
      <c r="H571" s="6">
        <f t="shared" si="6"/>
        <v>1074.4</v>
      </c>
      <c r="I571" s="2">
        <f t="shared" si="7"/>
        <v>1074.4</v>
      </c>
      <c r="M571" s="10">
        <f>IFERROR(__xludf.DUMMYFUNCTION("""COMPUTED_VALUE"""),38806.666666666664)</f>
        <v>38806.66667</v>
      </c>
      <c r="N571" s="2">
        <f>IFERROR(__xludf.DUMMYFUNCTION("""COMPUTED_VALUE"""),2340.82)</f>
        <v>2340.82</v>
      </c>
      <c r="S571" s="15"/>
    </row>
    <row r="572">
      <c r="A572" s="10">
        <f t="shared" si="8"/>
        <v>38554.66667</v>
      </c>
      <c r="B572" s="2" t="str">
        <f t="shared" si="2"/>
        <v/>
      </c>
      <c r="C572" s="2" t="str">
        <f t="shared" si="3"/>
        <v>SP500</v>
      </c>
      <c r="D572" s="2">
        <f t="shared" si="4"/>
        <v>2178.6</v>
      </c>
      <c r="E572" s="2">
        <f t="shared" si="5"/>
        <v>2178.6</v>
      </c>
      <c r="G572" s="10">
        <f t="shared" si="9"/>
        <v>38554.64583</v>
      </c>
      <c r="H572" s="6">
        <f t="shared" si="6"/>
        <v>1074.65</v>
      </c>
      <c r="I572" s="2">
        <f t="shared" si="7"/>
        <v>1074.65</v>
      </c>
      <c r="M572" s="10">
        <f>IFERROR(__xludf.DUMMYFUNCTION("""COMPUTED_VALUE"""),38807.666666666664)</f>
        <v>38807.66667</v>
      </c>
      <c r="N572" s="2">
        <f>IFERROR(__xludf.DUMMYFUNCTION("""COMPUTED_VALUE"""),2339.79)</f>
        <v>2339.79</v>
      </c>
      <c r="S572" s="15"/>
    </row>
    <row r="573">
      <c r="A573" s="10">
        <f t="shared" si="8"/>
        <v>38555.66667</v>
      </c>
      <c r="B573" s="2" t="str">
        <f t="shared" si="2"/>
        <v/>
      </c>
      <c r="C573" s="2" t="str">
        <f t="shared" si="3"/>
        <v>SP500</v>
      </c>
      <c r="D573" s="2">
        <f t="shared" si="4"/>
        <v>2179.74</v>
      </c>
      <c r="E573" s="2">
        <f t="shared" si="5"/>
        <v>2179.74</v>
      </c>
      <c r="G573" s="10">
        <f t="shared" si="9"/>
        <v>38555.64583</v>
      </c>
      <c r="H573" s="6">
        <f t="shared" si="6"/>
        <v>1074.22</v>
      </c>
      <c r="I573" s="2">
        <f t="shared" si="7"/>
        <v>1074.22</v>
      </c>
      <c r="M573" s="10">
        <f>IFERROR(__xludf.DUMMYFUNCTION("""COMPUTED_VALUE"""),38810.666666666664)</f>
        <v>38810.66667</v>
      </c>
      <c r="N573" s="2">
        <f>IFERROR(__xludf.DUMMYFUNCTION("""COMPUTED_VALUE"""),2336.74)</f>
        <v>2336.74</v>
      </c>
      <c r="S573" s="15"/>
    </row>
    <row r="574">
      <c r="A574" s="10">
        <f t="shared" si="8"/>
        <v>38556.66667</v>
      </c>
      <c r="B574" s="2" t="str">
        <f t="shared" si="2"/>
        <v/>
      </c>
      <c r="C574" s="2" t="str">
        <f t="shared" si="3"/>
        <v>SP500</v>
      </c>
      <c r="D574" s="2" t="str">
        <f t="shared" si="4"/>
        <v/>
      </c>
      <c r="E574" s="2">
        <f t="shared" si="5"/>
        <v>2179.74</v>
      </c>
      <c r="G574" s="10">
        <f t="shared" si="9"/>
        <v>38556.64583</v>
      </c>
      <c r="H574" s="6" t="str">
        <f t="shared" si="6"/>
        <v/>
      </c>
      <c r="I574" s="2">
        <f t="shared" si="7"/>
        <v>1074.22</v>
      </c>
      <c r="M574" s="10">
        <f>IFERROR(__xludf.DUMMYFUNCTION("""COMPUTED_VALUE"""),38811.666666666664)</f>
        <v>38811.66667</v>
      </c>
      <c r="N574" s="2">
        <f>IFERROR(__xludf.DUMMYFUNCTION("""COMPUTED_VALUE"""),2345.36)</f>
        <v>2345.36</v>
      </c>
      <c r="S574" s="15"/>
    </row>
    <row r="575">
      <c r="A575" s="10">
        <f t="shared" si="8"/>
        <v>38557.66667</v>
      </c>
      <c r="B575" s="2" t="str">
        <f t="shared" si="2"/>
        <v/>
      </c>
      <c r="C575" s="2" t="str">
        <f t="shared" si="3"/>
        <v>SP500</v>
      </c>
      <c r="D575" s="2" t="str">
        <f t="shared" si="4"/>
        <v/>
      </c>
      <c r="E575" s="2">
        <f t="shared" si="5"/>
        <v>2179.74</v>
      </c>
      <c r="G575" s="10">
        <f t="shared" si="9"/>
        <v>38557.64583</v>
      </c>
      <c r="H575" s="6" t="str">
        <f t="shared" si="6"/>
        <v/>
      </c>
      <c r="I575" s="2">
        <f t="shared" si="7"/>
        <v>1074.22</v>
      </c>
      <c r="M575" s="10">
        <f>IFERROR(__xludf.DUMMYFUNCTION("""COMPUTED_VALUE"""),38812.666666666664)</f>
        <v>38812.66667</v>
      </c>
      <c r="N575" s="2">
        <f>IFERROR(__xludf.DUMMYFUNCTION("""COMPUTED_VALUE"""),2359.75)</f>
        <v>2359.75</v>
      </c>
      <c r="S575" s="15"/>
    </row>
    <row r="576">
      <c r="A576" s="10">
        <f t="shared" si="8"/>
        <v>38558.66667</v>
      </c>
      <c r="B576" s="2" t="str">
        <f t="shared" si="2"/>
        <v/>
      </c>
      <c r="C576" s="2" t="str">
        <f t="shared" si="3"/>
        <v>SP500</v>
      </c>
      <c r="D576" s="2">
        <f t="shared" si="4"/>
        <v>2166.74</v>
      </c>
      <c r="E576" s="2">
        <f t="shared" si="5"/>
        <v>2166.74</v>
      </c>
      <c r="G576" s="10">
        <f t="shared" si="9"/>
        <v>38558.64583</v>
      </c>
      <c r="H576" s="6">
        <f t="shared" si="6"/>
        <v>1089.7</v>
      </c>
      <c r="I576" s="2">
        <f t="shared" si="7"/>
        <v>1089.7</v>
      </c>
      <c r="M576" s="10">
        <f>IFERROR(__xludf.DUMMYFUNCTION("""COMPUTED_VALUE"""),38813.666666666664)</f>
        <v>38813.66667</v>
      </c>
      <c r="N576" s="2">
        <f>IFERROR(__xludf.DUMMYFUNCTION("""COMPUTED_VALUE"""),2361.17)</f>
        <v>2361.17</v>
      </c>
      <c r="S576" s="15"/>
    </row>
    <row r="577">
      <c r="A577" s="10">
        <f t="shared" si="8"/>
        <v>38559.66667</v>
      </c>
      <c r="B577" s="2" t="str">
        <f t="shared" si="2"/>
        <v/>
      </c>
      <c r="C577" s="2" t="str">
        <f t="shared" si="3"/>
        <v>SP500</v>
      </c>
      <c r="D577" s="2">
        <f t="shared" si="4"/>
        <v>2175.99</v>
      </c>
      <c r="E577" s="2">
        <f t="shared" si="5"/>
        <v>2175.99</v>
      </c>
      <c r="G577" s="10">
        <f t="shared" si="9"/>
        <v>38559.64583</v>
      </c>
      <c r="H577" s="6">
        <f t="shared" si="6"/>
        <v>1090.6</v>
      </c>
      <c r="I577" s="2">
        <f t="shared" si="7"/>
        <v>1090.6</v>
      </c>
      <c r="M577" s="10">
        <f>IFERROR(__xludf.DUMMYFUNCTION("""COMPUTED_VALUE"""),38814.666666666664)</f>
        <v>38814.66667</v>
      </c>
      <c r="N577" s="2">
        <f>IFERROR(__xludf.DUMMYFUNCTION("""COMPUTED_VALUE"""),2339.02)</f>
        <v>2339.02</v>
      </c>
      <c r="S577" s="15"/>
    </row>
    <row r="578">
      <c r="A578" s="10">
        <f t="shared" si="8"/>
        <v>38560.66667</v>
      </c>
      <c r="B578" s="2" t="str">
        <f t="shared" si="2"/>
        <v/>
      </c>
      <c r="C578" s="2" t="str">
        <f t="shared" si="3"/>
        <v>SP500</v>
      </c>
      <c r="D578" s="2">
        <f t="shared" si="4"/>
        <v>2186.22</v>
      </c>
      <c r="E578" s="2">
        <f t="shared" si="5"/>
        <v>2186.22</v>
      </c>
      <c r="G578" s="10">
        <f t="shared" si="9"/>
        <v>38560.64583</v>
      </c>
      <c r="H578" s="6">
        <f t="shared" si="6"/>
        <v>1093.03</v>
      </c>
      <c r="I578" s="2">
        <f t="shared" si="7"/>
        <v>1093.03</v>
      </c>
      <c r="M578" s="10">
        <f>IFERROR(__xludf.DUMMYFUNCTION("""COMPUTED_VALUE"""),38817.666666666664)</f>
        <v>38817.66667</v>
      </c>
      <c r="N578" s="2">
        <f>IFERROR(__xludf.DUMMYFUNCTION("""COMPUTED_VALUE"""),2333.27)</f>
        <v>2333.27</v>
      </c>
      <c r="S578" s="15"/>
    </row>
    <row r="579">
      <c r="A579" s="10">
        <f t="shared" si="8"/>
        <v>38561.66667</v>
      </c>
      <c r="B579" s="2" t="str">
        <f t="shared" si="2"/>
        <v/>
      </c>
      <c r="C579" s="2" t="str">
        <f t="shared" si="3"/>
        <v>SP500</v>
      </c>
      <c r="D579" s="2">
        <f t="shared" si="4"/>
        <v>2198.44</v>
      </c>
      <c r="E579" s="2">
        <f t="shared" si="5"/>
        <v>2198.44</v>
      </c>
      <c r="G579" s="10">
        <f t="shared" si="9"/>
        <v>38561.64583</v>
      </c>
      <c r="H579" s="6">
        <f t="shared" si="6"/>
        <v>1104.72</v>
      </c>
      <c r="I579" s="2">
        <f t="shared" si="7"/>
        <v>1104.72</v>
      </c>
      <c r="M579" s="10">
        <f>IFERROR(__xludf.DUMMYFUNCTION("""COMPUTED_VALUE"""),38818.666666666664)</f>
        <v>38818.66667</v>
      </c>
      <c r="N579" s="2">
        <f>IFERROR(__xludf.DUMMYFUNCTION("""COMPUTED_VALUE"""),2310.35)</f>
        <v>2310.35</v>
      </c>
      <c r="S579" s="15"/>
    </row>
    <row r="580">
      <c r="A580" s="10">
        <f t="shared" si="8"/>
        <v>38562.66667</v>
      </c>
      <c r="B580" s="2" t="str">
        <f t="shared" si="2"/>
        <v/>
      </c>
      <c r="C580" s="2" t="str">
        <f t="shared" si="3"/>
        <v>SP500</v>
      </c>
      <c r="D580" s="2">
        <f t="shared" si="4"/>
        <v>2184.83</v>
      </c>
      <c r="E580" s="2">
        <f t="shared" si="5"/>
        <v>2184.83</v>
      </c>
      <c r="G580" s="10">
        <f t="shared" si="9"/>
        <v>38562.64583</v>
      </c>
      <c r="H580" s="6">
        <f t="shared" si="6"/>
        <v>1111.29</v>
      </c>
      <c r="I580" s="2">
        <f t="shared" si="7"/>
        <v>1111.29</v>
      </c>
      <c r="M580" s="10">
        <f>IFERROR(__xludf.DUMMYFUNCTION("""COMPUTED_VALUE"""),38819.666666666664)</f>
        <v>38819.66667</v>
      </c>
      <c r="N580" s="2">
        <f>IFERROR(__xludf.DUMMYFUNCTION("""COMPUTED_VALUE"""),2314.68)</f>
        <v>2314.68</v>
      </c>
      <c r="S580" s="15"/>
    </row>
    <row r="581">
      <c r="A581" s="10">
        <f t="shared" si="8"/>
        <v>38563.66667</v>
      </c>
      <c r="B581" s="2" t="str">
        <f t="shared" si="2"/>
        <v/>
      </c>
      <c r="C581" s="2" t="str">
        <f t="shared" si="3"/>
        <v>SP500</v>
      </c>
      <c r="D581" s="2" t="str">
        <f t="shared" si="4"/>
        <v/>
      </c>
      <c r="E581" s="2">
        <f t="shared" si="5"/>
        <v>2184.83</v>
      </c>
      <c r="G581" s="10">
        <f t="shared" si="9"/>
        <v>38563.64583</v>
      </c>
      <c r="H581" s="6" t="str">
        <f t="shared" si="6"/>
        <v/>
      </c>
      <c r="I581" s="2">
        <f t="shared" si="7"/>
        <v>1111.29</v>
      </c>
      <c r="M581" s="10">
        <f>IFERROR(__xludf.DUMMYFUNCTION("""COMPUTED_VALUE"""),38820.666666666664)</f>
        <v>38820.66667</v>
      </c>
      <c r="N581" s="2">
        <f>IFERROR(__xludf.DUMMYFUNCTION("""COMPUTED_VALUE"""),2326.11)</f>
        <v>2326.11</v>
      </c>
      <c r="S581" s="15"/>
    </row>
    <row r="582">
      <c r="A582" s="10">
        <f t="shared" si="8"/>
        <v>38564.66667</v>
      </c>
      <c r="B582" s="2" t="str">
        <f t="shared" si="2"/>
        <v/>
      </c>
      <c r="C582" s="2" t="str">
        <f t="shared" si="3"/>
        <v>SP500</v>
      </c>
      <c r="D582" s="2" t="str">
        <f t="shared" si="4"/>
        <v/>
      </c>
      <c r="E582" s="2">
        <f t="shared" si="5"/>
        <v>2184.83</v>
      </c>
      <c r="G582" s="10">
        <f t="shared" si="9"/>
        <v>38564.64583</v>
      </c>
      <c r="H582" s="6" t="str">
        <f t="shared" si="6"/>
        <v/>
      </c>
      <c r="I582" s="2">
        <f t="shared" si="7"/>
        <v>1111.29</v>
      </c>
      <c r="M582" s="10">
        <f>IFERROR(__xludf.DUMMYFUNCTION("""COMPUTED_VALUE"""),38824.666666666664)</f>
        <v>38824.66667</v>
      </c>
      <c r="N582" s="2">
        <f>IFERROR(__xludf.DUMMYFUNCTION("""COMPUTED_VALUE"""),2311.16)</f>
        <v>2311.16</v>
      </c>
      <c r="S582" s="15"/>
    </row>
    <row r="583">
      <c r="A583" s="10">
        <f t="shared" si="8"/>
        <v>38565.66667</v>
      </c>
      <c r="B583" s="2" t="str">
        <f t="shared" si="2"/>
        <v/>
      </c>
      <c r="C583" s="2" t="str">
        <f t="shared" si="3"/>
        <v>SP500</v>
      </c>
      <c r="D583" s="2">
        <f t="shared" si="4"/>
        <v>2195.38</v>
      </c>
      <c r="E583" s="2">
        <f t="shared" si="5"/>
        <v>2195.38</v>
      </c>
      <c r="G583" s="10">
        <f t="shared" si="9"/>
        <v>38565.64583</v>
      </c>
      <c r="H583" s="6">
        <f t="shared" si="6"/>
        <v>1115.98</v>
      </c>
      <c r="I583" s="2">
        <f t="shared" si="7"/>
        <v>1115.98</v>
      </c>
      <c r="M583" s="10">
        <f>IFERROR(__xludf.DUMMYFUNCTION("""COMPUTED_VALUE"""),38825.666666666664)</f>
        <v>38825.66667</v>
      </c>
      <c r="N583" s="2">
        <f>IFERROR(__xludf.DUMMYFUNCTION("""COMPUTED_VALUE"""),2356.14)</f>
        <v>2356.14</v>
      </c>
      <c r="S583" s="15"/>
    </row>
    <row r="584">
      <c r="A584" s="10">
        <f t="shared" si="8"/>
        <v>38566.66667</v>
      </c>
      <c r="B584" s="2" t="str">
        <f t="shared" si="2"/>
        <v/>
      </c>
      <c r="C584" s="2" t="str">
        <f t="shared" si="3"/>
        <v>SP500</v>
      </c>
      <c r="D584" s="2">
        <f t="shared" si="4"/>
        <v>2218.15</v>
      </c>
      <c r="E584" s="2">
        <f t="shared" si="5"/>
        <v>2218.15</v>
      </c>
      <c r="G584" s="10">
        <f t="shared" si="9"/>
        <v>38566.64583</v>
      </c>
      <c r="H584" s="6">
        <f t="shared" si="6"/>
        <v>1118.83</v>
      </c>
      <c r="I584" s="2">
        <f t="shared" si="7"/>
        <v>1118.83</v>
      </c>
      <c r="M584" s="10">
        <f>IFERROR(__xludf.DUMMYFUNCTION("""COMPUTED_VALUE"""),38826.666666666664)</f>
        <v>38826.66667</v>
      </c>
      <c r="N584" s="2">
        <f>IFERROR(__xludf.DUMMYFUNCTION("""COMPUTED_VALUE"""),2370.88)</f>
        <v>2370.88</v>
      </c>
      <c r="S584" s="15"/>
    </row>
    <row r="585">
      <c r="A585" s="10">
        <f t="shared" si="8"/>
        <v>38567.66667</v>
      </c>
      <c r="B585" s="2" t="str">
        <f t="shared" si="2"/>
        <v/>
      </c>
      <c r="C585" s="2" t="str">
        <f t="shared" si="3"/>
        <v>SP500</v>
      </c>
      <c r="D585" s="2">
        <f t="shared" si="4"/>
        <v>2216.81</v>
      </c>
      <c r="E585" s="2">
        <f t="shared" si="5"/>
        <v>2216.81</v>
      </c>
      <c r="G585" s="10">
        <f t="shared" si="9"/>
        <v>38567.64583</v>
      </c>
      <c r="H585" s="6">
        <f t="shared" si="6"/>
        <v>1117.11</v>
      </c>
      <c r="I585" s="2">
        <f t="shared" si="7"/>
        <v>1117.11</v>
      </c>
      <c r="M585" s="10">
        <f>IFERROR(__xludf.DUMMYFUNCTION("""COMPUTED_VALUE"""),38827.666666666664)</f>
        <v>38827.66667</v>
      </c>
      <c r="N585" s="2">
        <f>IFERROR(__xludf.DUMMYFUNCTION("""COMPUTED_VALUE"""),2362.55)</f>
        <v>2362.55</v>
      </c>
      <c r="S585" s="15"/>
    </row>
    <row r="586">
      <c r="A586" s="10">
        <f t="shared" si="8"/>
        <v>38568.66667</v>
      </c>
      <c r="B586" s="2" t="str">
        <f t="shared" si="2"/>
        <v/>
      </c>
      <c r="C586" s="2" t="str">
        <f t="shared" si="3"/>
        <v>SP500</v>
      </c>
      <c r="D586" s="2">
        <f t="shared" si="4"/>
        <v>2191.32</v>
      </c>
      <c r="E586" s="2">
        <f t="shared" si="5"/>
        <v>2191.32</v>
      </c>
      <c r="G586" s="10">
        <f t="shared" si="9"/>
        <v>38568.64583</v>
      </c>
      <c r="H586" s="6">
        <f t="shared" si="6"/>
        <v>1111.39</v>
      </c>
      <c r="I586" s="2">
        <f t="shared" si="7"/>
        <v>1111.39</v>
      </c>
      <c r="M586" s="10">
        <f>IFERROR(__xludf.DUMMYFUNCTION("""COMPUTED_VALUE"""),38828.666666666664)</f>
        <v>38828.66667</v>
      </c>
      <c r="N586" s="2">
        <f>IFERROR(__xludf.DUMMYFUNCTION("""COMPUTED_VALUE"""),2342.86)</f>
        <v>2342.86</v>
      </c>
      <c r="S586" s="15"/>
    </row>
    <row r="587">
      <c r="A587" s="10">
        <f t="shared" si="8"/>
        <v>38569.66667</v>
      </c>
      <c r="B587" s="2" t="str">
        <f t="shared" si="2"/>
        <v/>
      </c>
      <c r="C587" s="2" t="str">
        <f t="shared" si="3"/>
        <v>SP500</v>
      </c>
      <c r="D587" s="2">
        <f t="shared" si="4"/>
        <v>2177.91</v>
      </c>
      <c r="E587" s="2">
        <f t="shared" si="5"/>
        <v>2177.91</v>
      </c>
      <c r="G587" s="10">
        <f t="shared" si="9"/>
        <v>38569.64583</v>
      </c>
      <c r="H587" s="6">
        <f t="shared" si="6"/>
        <v>1089.36</v>
      </c>
      <c r="I587" s="2">
        <f t="shared" si="7"/>
        <v>1089.36</v>
      </c>
      <c r="M587" s="10">
        <f>IFERROR(__xludf.DUMMYFUNCTION("""COMPUTED_VALUE"""),38831.666666666664)</f>
        <v>38831.66667</v>
      </c>
      <c r="N587" s="2">
        <f>IFERROR(__xludf.DUMMYFUNCTION("""COMPUTED_VALUE"""),2333.38)</f>
        <v>2333.38</v>
      </c>
      <c r="S587" s="15"/>
    </row>
    <row r="588">
      <c r="A588" s="10">
        <f t="shared" si="8"/>
        <v>38570.66667</v>
      </c>
      <c r="B588" s="2" t="str">
        <f t="shared" si="2"/>
        <v/>
      </c>
      <c r="C588" s="2" t="str">
        <f t="shared" si="3"/>
        <v>SP500</v>
      </c>
      <c r="D588" s="2" t="str">
        <f t="shared" si="4"/>
        <v/>
      </c>
      <c r="E588" s="2">
        <f t="shared" si="5"/>
        <v>2177.91</v>
      </c>
      <c r="G588" s="10">
        <f t="shared" si="9"/>
        <v>38570.64583</v>
      </c>
      <c r="H588" s="6" t="str">
        <f t="shared" si="6"/>
        <v/>
      </c>
      <c r="I588" s="2">
        <f t="shared" si="7"/>
        <v>1089.36</v>
      </c>
      <c r="M588" s="10">
        <f>IFERROR(__xludf.DUMMYFUNCTION("""COMPUTED_VALUE"""),38832.666666666664)</f>
        <v>38832.66667</v>
      </c>
      <c r="N588" s="2">
        <f>IFERROR(__xludf.DUMMYFUNCTION("""COMPUTED_VALUE"""),2330.3)</f>
        <v>2330.3</v>
      </c>
      <c r="S588" s="15"/>
    </row>
    <row r="589">
      <c r="A589" s="10">
        <f t="shared" si="8"/>
        <v>38571.66667</v>
      </c>
      <c r="B589" s="2" t="str">
        <f t="shared" si="2"/>
        <v/>
      </c>
      <c r="C589" s="2" t="str">
        <f t="shared" si="3"/>
        <v>SP500</v>
      </c>
      <c r="D589" s="2" t="str">
        <f t="shared" si="4"/>
        <v/>
      </c>
      <c r="E589" s="2">
        <f t="shared" si="5"/>
        <v>2177.91</v>
      </c>
      <c r="G589" s="10">
        <f t="shared" si="9"/>
        <v>38571.64583</v>
      </c>
      <c r="H589" s="6" t="str">
        <f t="shared" si="6"/>
        <v/>
      </c>
      <c r="I589" s="2">
        <f t="shared" si="7"/>
        <v>1089.36</v>
      </c>
      <c r="M589" s="10">
        <f>IFERROR(__xludf.DUMMYFUNCTION("""COMPUTED_VALUE"""),38833.666666666664)</f>
        <v>38833.66667</v>
      </c>
      <c r="N589" s="2">
        <f>IFERROR(__xludf.DUMMYFUNCTION("""COMPUTED_VALUE"""),2333.63)</f>
        <v>2333.63</v>
      </c>
      <c r="S589" s="15"/>
    </row>
    <row r="590">
      <c r="A590" s="10">
        <f t="shared" si="8"/>
        <v>38572.66667</v>
      </c>
      <c r="B590" s="2" t="str">
        <f t="shared" si="2"/>
        <v/>
      </c>
      <c r="C590" s="2" t="str">
        <f t="shared" si="3"/>
        <v>SP500</v>
      </c>
      <c r="D590" s="2">
        <f t="shared" si="4"/>
        <v>2164.39</v>
      </c>
      <c r="E590" s="2">
        <f t="shared" si="5"/>
        <v>2164.39</v>
      </c>
      <c r="G590" s="10">
        <f t="shared" si="9"/>
        <v>38572.64583</v>
      </c>
      <c r="H590" s="6">
        <f t="shared" si="6"/>
        <v>1086.64</v>
      </c>
      <c r="I590" s="2">
        <f t="shared" si="7"/>
        <v>1086.64</v>
      </c>
      <c r="M590" s="10">
        <f>IFERROR(__xludf.DUMMYFUNCTION("""COMPUTED_VALUE"""),38834.666666666664)</f>
        <v>38834.66667</v>
      </c>
      <c r="N590" s="2">
        <f>IFERROR(__xludf.DUMMYFUNCTION("""COMPUTED_VALUE"""),2344.95)</f>
        <v>2344.95</v>
      </c>
      <c r="S590" s="15"/>
    </row>
    <row r="591">
      <c r="A591" s="10">
        <f t="shared" si="8"/>
        <v>38573.66667</v>
      </c>
      <c r="B591" s="2" t="str">
        <f t="shared" si="2"/>
        <v/>
      </c>
      <c r="C591" s="2" t="str">
        <f t="shared" si="3"/>
        <v>SP500</v>
      </c>
      <c r="D591" s="2">
        <f t="shared" si="4"/>
        <v>2174.19</v>
      </c>
      <c r="E591" s="2">
        <f t="shared" si="5"/>
        <v>2174.19</v>
      </c>
      <c r="G591" s="10">
        <f t="shared" si="9"/>
        <v>38573.64583</v>
      </c>
      <c r="H591" s="6">
        <f t="shared" si="6"/>
        <v>1099.77</v>
      </c>
      <c r="I591" s="2">
        <f t="shared" si="7"/>
        <v>1099.77</v>
      </c>
      <c r="M591" s="10">
        <f>IFERROR(__xludf.DUMMYFUNCTION("""COMPUTED_VALUE"""),38835.666666666664)</f>
        <v>38835.66667</v>
      </c>
      <c r="N591" s="2">
        <f>IFERROR(__xludf.DUMMYFUNCTION("""COMPUTED_VALUE"""),2322.57)</f>
        <v>2322.57</v>
      </c>
      <c r="S591" s="15"/>
    </row>
    <row r="592">
      <c r="A592" s="10">
        <f t="shared" si="8"/>
        <v>38574.66667</v>
      </c>
      <c r="B592" s="2" t="str">
        <f t="shared" si="2"/>
        <v/>
      </c>
      <c r="C592" s="2" t="str">
        <f t="shared" si="3"/>
        <v>SP500</v>
      </c>
      <c r="D592" s="2">
        <f t="shared" si="4"/>
        <v>2157.81</v>
      </c>
      <c r="E592" s="2">
        <f t="shared" si="5"/>
        <v>2157.81</v>
      </c>
      <c r="G592" s="10">
        <f t="shared" si="9"/>
        <v>38574.64583</v>
      </c>
      <c r="H592" s="6">
        <f t="shared" si="6"/>
        <v>1104.86</v>
      </c>
      <c r="I592" s="2">
        <f t="shared" si="7"/>
        <v>1104.86</v>
      </c>
      <c r="M592" s="10">
        <f>IFERROR(__xludf.DUMMYFUNCTION("""COMPUTED_VALUE"""),38838.666666666664)</f>
        <v>38838.66667</v>
      </c>
      <c r="N592" s="2">
        <f>IFERROR(__xludf.DUMMYFUNCTION("""COMPUTED_VALUE"""),2304.79)</f>
        <v>2304.79</v>
      </c>
      <c r="S592" s="15"/>
    </row>
    <row r="593">
      <c r="A593" s="10">
        <f t="shared" si="8"/>
        <v>38575.66667</v>
      </c>
      <c r="B593" s="2" t="str">
        <f t="shared" si="2"/>
        <v/>
      </c>
      <c r="C593" s="2" t="str">
        <f t="shared" si="3"/>
        <v>SP500</v>
      </c>
      <c r="D593" s="2">
        <f t="shared" si="4"/>
        <v>2174.55</v>
      </c>
      <c r="E593" s="2">
        <f t="shared" si="5"/>
        <v>2174.55</v>
      </c>
      <c r="G593" s="10">
        <f t="shared" si="9"/>
        <v>38575.64583</v>
      </c>
      <c r="H593" s="6">
        <f t="shared" si="6"/>
        <v>1123.77</v>
      </c>
      <c r="I593" s="2">
        <f t="shared" si="7"/>
        <v>1123.77</v>
      </c>
      <c r="M593" s="10">
        <f>IFERROR(__xludf.DUMMYFUNCTION("""COMPUTED_VALUE"""),38839.666666666664)</f>
        <v>38839.66667</v>
      </c>
      <c r="N593" s="2">
        <f>IFERROR(__xludf.DUMMYFUNCTION("""COMPUTED_VALUE"""),2309.84)</f>
        <v>2309.84</v>
      </c>
      <c r="S593" s="15"/>
    </row>
    <row r="594">
      <c r="A594" s="10">
        <f t="shared" si="8"/>
        <v>38576.66667</v>
      </c>
      <c r="B594" s="2" t="str">
        <f t="shared" si="2"/>
        <v/>
      </c>
      <c r="C594" s="2" t="str">
        <f t="shared" si="3"/>
        <v>SP500</v>
      </c>
      <c r="D594" s="2">
        <f t="shared" si="4"/>
        <v>2156.9</v>
      </c>
      <c r="E594" s="2">
        <f t="shared" si="5"/>
        <v>2156.9</v>
      </c>
      <c r="G594" s="10">
        <f t="shared" si="9"/>
        <v>38576.64583</v>
      </c>
      <c r="H594" s="6">
        <f t="shared" si="6"/>
        <v>1130.22</v>
      </c>
      <c r="I594" s="2">
        <f t="shared" si="7"/>
        <v>1130.22</v>
      </c>
      <c r="M594" s="10">
        <f>IFERROR(__xludf.DUMMYFUNCTION("""COMPUTED_VALUE"""),38840.666666666664)</f>
        <v>38840.66667</v>
      </c>
      <c r="N594" s="2">
        <f>IFERROR(__xludf.DUMMYFUNCTION("""COMPUTED_VALUE"""),2303.97)</f>
        <v>2303.97</v>
      </c>
      <c r="S594" s="15"/>
    </row>
    <row r="595">
      <c r="A595" s="10">
        <f t="shared" si="8"/>
        <v>38577.66667</v>
      </c>
      <c r="B595" s="2" t="str">
        <f t="shared" si="2"/>
        <v/>
      </c>
      <c r="C595" s="2" t="str">
        <f t="shared" si="3"/>
        <v>SP500</v>
      </c>
      <c r="D595" s="2" t="str">
        <f t="shared" si="4"/>
        <v/>
      </c>
      <c r="E595" s="2">
        <f t="shared" si="5"/>
        <v>2156.9</v>
      </c>
      <c r="G595" s="10">
        <f t="shared" si="9"/>
        <v>38577.64583</v>
      </c>
      <c r="H595" s="6" t="str">
        <f t="shared" si="6"/>
        <v/>
      </c>
      <c r="I595" s="2">
        <f t="shared" si="7"/>
        <v>1130.22</v>
      </c>
      <c r="M595" s="10">
        <f>IFERROR(__xludf.DUMMYFUNCTION("""COMPUTED_VALUE"""),38841.666666666664)</f>
        <v>38841.66667</v>
      </c>
      <c r="N595" s="2">
        <f>IFERROR(__xludf.DUMMYFUNCTION("""COMPUTED_VALUE"""),2323.9)</f>
        <v>2323.9</v>
      </c>
      <c r="S595" s="15"/>
    </row>
    <row r="596">
      <c r="A596" s="10">
        <f t="shared" si="8"/>
        <v>38578.66667</v>
      </c>
      <c r="B596" s="2" t="str">
        <f t="shared" si="2"/>
        <v/>
      </c>
      <c r="C596" s="2" t="str">
        <f t="shared" si="3"/>
        <v>SP500</v>
      </c>
      <c r="D596" s="2" t="str">
        <f t="shared" si="4"/>
        <v/>
      </c>
      <c r="E596" s="2">
        <f t="shared" si="5"/>
        <v>2156.9</v>
      </c>
      <c r="G596" s="10">
        <f t="shared" si="9"/>
        <v>38578.64583</v>
      </c>
      <c r="H596" s="6" t="str">
        <f t="shared" si="6"/>
        <v/>
      </c>
      <c r="I596" s="2">
        <f t="shared" si="7"/>
        <v>1130.22</v>
      </c>
      <c r="M596" s="10">
        <f>IFERROR(__xludf.DUMMYFUNCTION("""COMPUTED_VALUE"""),38842.666666666664)</f>
        <v>38842.66667</v>
      </c>
      <c r="N596" s="2">
        <f>IFERROR(__xludf.DUMMYFUNCTION("""COMPUTED_VALUE"""),2342.57)</f>
        <v>2342.57</v>
      </c>
      <c r="S596" s="15"/>
    </row>
    <row r="597">
      <c r="A597" s="10">
        <f t="shared" si="8"/>
        <v>38579.66667</v>
      </c>
      <c r="B597" s="2" t="str">
        <f t="shared" si="2"/>
        <v/>
      </c>
      <c r="C597" s="2" t="str">
        <f t="shared" si="3"/>
        <v>SP500</v>
      </c>
      <c r="D597" s="2">
        <f t="shared" si="4"/>
        <v>2167.04</v>
      </c>
      <c r="E597" s="2">
        <f t="shared" si="5"/>
        <v>2167.04</v>
      </c>
      <c r="G597" s="10">
        <f t="shared" si="9"/>
        <v>38579.64583</v>
      </c>
      <c r="H597" s="6" t="str">
        <f t="shared" si="6"/>
        <v/>
      </c>
      <c r="I597" s="2">
        <f t="shared" si="7"/>
        <v>1130.22</v>
      </c>
      <c r="M597" s="10">
        <f>IFERROR(__xludf.DUMMYFUNCTION("""COMPUTED_VALUE"""),38845.666666666664)</f>
        <v>38845.66667</v>
      </c>
      <c r="N597" s="2">
        <f>IFERROR(__xludf.DUMMYFUNCTION("""COMPUTED_VALUE"""),2344.99)</f>
        <v>2344.99</v>
      </c>
      <c r="S597" s="15"/>
    </row>
    <row r="598">
      <c r="A598" s="10">
        <f t="shared" si="8"/>
        <v>38580.66667</v>
      </c>
      <c r="B598" s="2" t="str">
        <f t="shared" si="2"/>
        <v/>
      </c>
      <c r="C598" s="2" t="str">
        <f t="shared" si="3"/>
        <v>SP500</v>
      </c>
      <c r="D598" s="2">
        <f t="shared" si="4"/>
        <v>2137.06</v>
      </c>
      <c r="E598" s="2">
        <f t="shared" si="5"/>
        <v>2137.06</v>
      </c>
      <c r="G598" s="10">
        <f t="shared" si="9"/>
        <v>38580.64583</v>
      </c>
      <c r="H598" s="6">
        <f t="shared" si="6"/>
        <v>1116.93</v>
      </c>
      <c r="I598" s="2">
        <f t="shared" si="7"/>
        <v>1116.93</v>
      </c>
      <c r="M598" s="10">
        <f>IFERROR(__xludf.DUMMYFUNCTION("""COMPUTED_VALUE"""),38846.666666666664)</f>
        <v>38846.66667</v>
      </c>
      <c r="N598" s="2">
        <f>IFERROR(__xludf.DUMMYFUNCTION("""COMPUTED_VALUE"""),2338.25)</f>
        <v>2338.25</v>
      </c>
      <c r="S598" s="15"/>
    </row>
    <row r="599">
      <c r="A599" s="10">
        <f t="shared" si="8"/>
        <v>38581.66667</v>
      </c>
      <c r="B599" s="2" t="str">
        <f t="shared" si="2"/>
        <v/>
      </c>
      <c r="C599" s="2" t="str">
        <f t="shared" si="3"/>
        <v>SP500</v>
      </c>
      <c r="D599" s="2">
        <f t="shared" si="4"/>
        <v>2145.15</v>
      </c>
      <c r="E599" s="2">
        <f t="shared" si="5"/>
        <v>2145.15</v>
      </c>
      <c r="G599" s="10">
        <f t="shared" si="9"/>
        <v>38581.64583</v>
      </c>
      <c r="H599" s="6">
        <f t="shared" si="6"/>
        <v>1113.25</v>
      </c>
      <c r="I599" s="2">
        <f t="shared" si="7"/>
        <v>1113.25</v>
      </c>
      <c r="M599" s="10">
        <f>IFERROR(__xludf.DUMMYFUNCTION("""COMPUTED_VALUE"""),38847.666666666664)</f>
        <v>38847.66667</v>
      </c>
      <c r="N599" s="2">
        <f>IFERROR(__xludf.DUMMYFUNCTION("""COMPUTED_VALUE"""),2320.74)</f>
        <v>2320.74</v>
      </c>
      <c r="S599" s="15"/>
    </row>
    <row r="600">
      <c r="A600" s="10">
        <f t="shared" si="8"/>
        <v>38582.66667</v>
      </c>
      <c r="B600" s="2" t="str">
        <f t="shared" si="2"/>
        <v/>
      </c>
      <c r="C600" s="2" t="str">
        <f t="shared" si="3"/>
        <v>SP500</v>
      </c>
      <c r="D600" s="2">
        <f t="shared" si="4"/>
        <v>2136.08</v>
      </c>
      <c r="E600" s="2">
        <f t="shared" si="5"/>
        <v>2136.08</v>
      </c>
      <c r="G600" s="10">
        <f t="shared" si="9"/>
        <v>38582.64583</v>
      </c>
      <c r="H600" s="6">
        <f t="shared" si="6"/>
        <v>1092.71</v>
      </c>
      <c r="I600" s="2">
        <f t="shared" si="7"/>
        <v>1092.71</v>
      </c>
      <c r="M600" s="10">
        <f>IFERROR(__xludf.DUMMYFUNCTION("""COMPUTED_VALUE"""),38848.666666666664)</f>
        <v>38848.66667</v>
      </c>
      <c r="N600" s="2">
        <f>IFERROR(__xludf.DUMMYFUNCTION("""COMPUTED_VALUE"""),2272.7)</f>
        <v>2272.7</v>
      </c>
      <c r="S600" s="15"/>
    </row>
    <row r="601">
      <c r="A601" s="10">
        <f t="shared" si="8"/>
        <v>38583.66667</v>
      </c>
      <c r="B601" s="2" t="str">
        <f t="shared" si="2"/>
        <v/>
      </c>
      <c r="C601" s="2" t="str">
        <f t="shared" si="3"/>
        <v>SP500</v>
      </c>
      <c r="D601" s="2">
        <f t="shared" si="4"/>
        <v>2135.56</v>
      </c>
      <c r="E601" s="2">
        <f t="shared" si="5"/>
        <v>2135.56</v>
      </c>
      <c r="G601" s="10">
        <f t="shared" si="9"/>
        <v>38583.64583</v>
      </c>
      <c r="H601" s="6">
        <f t="shared" si="6"/>
        <v>1089.88</v>
      </c>
      <c r="I601" s="2">
        <f t="shared" si="7"/>
        <v>1089.88</v>
      </c>
      <c r="M601" s="10">
        <f>IFERROR(__xludf.DUMMYFUNCTION("""COMPUTED_VALUE"""),38849.666666666664)</f>
        <v>38849.66667</v>
      </c>
      <c r="N601" s="2">
        <f>IFERROR(__xludf.DUMMYFUNCTION("""COMPUTED_VALUE"""),2243.78)</f>
        <v>2243.78</v>
      </c>
      <c r="S601" s="15"/>
    </row>
    <row r="602">
      <c r="A602" s="10">
        <f t="shared" si="8"/>
        <v>38584.66667</v>
      </c>
      <c r="B602" s="2" t="str">
        <f t="shared" si="2"/>
        <v/>
      </c>
      <c r="C602" s="2" t="str">
        <f t="shared" si="3"/>
        <v>SP500</v>
      </c>
      <c r="D602" s="2" t="str">
        <f t="shared" si="4"/>
        <v/>
      </c>
      <c r="E602" s="2">
        <f t="shared" si="5"/>
        <v>2135.56</v>
      </c>
      <c r="G602" s="10">
        <f t="shared" si="9"/>
        <v>38584.64583</v>
      </c>
      <c r="H602" s="6" t="str">
        <f t="shared" si="6"/>
        <v/>
      </c>
      <c r="I602" s="2">
        <f t="shared" si="7"/>
        <v>1089.88</v>
      </c>
      <c r="M602" s="10">
        <f>IFERROR(__xludf.DUMMYFUNCTION("""COMPUTED_VALUE"""),38852.666666666664)</f>
        <v>38852.66667</v>
      </c>
      <c r="N602" s="2">
        <f>IFERROR(__xludf.DUMMYFUNCTION("""COMPUTED_VALUE"""),2238.52)</f>
        <v>2238.52</v>
      </c>
      <c r="S602" s="15"/>
    </row>
    <row r="603">
      <c r="A603" s="10">
        <f t="shared" si="8"/>
        <v>38585.66667</v>
      </c>
      <c r="B603" s="2" t="str">
        <f t="shared" si="2"/>
        <v/>
      </c>
      <c r="C603" s="2" t="str">
        <f t="shared" si="3"/>
        <v>SP500</v>
      </c>
      <c r="D603" s="2" t="str">
        <f t="shared" si="4"/>
        <v/>
      </c>
      <c r="E603" s="2">
        <f t="shared" si="5"/>
        <v>2135.56</v>
      </c>
      <c r="G603" s="10">
        <f t="shared" si="9"/>
        <v>38585.64583</v>
      </c>
      <c r="H603" s="6" t="str">
        <f t="shared" si="6"/>
        <v/>
      </c>
      <c r="I603" s="2">
        <f t="shared" si="7"/>
        <v>1089.88</v>
      </c>
      <c r="M603" s="10">
        <f>IFERROR(__xludf.DUMMYFUNCTION("""COMPUTED_VALUE"""),38853.666666666664)</f>
        <v>38853.66667</v>
      </c>
      <c r="N603" s="2">
        <f>IFERROR(__xludf.DUMMYFUNCTION("""COMPUTED_VALUE"""),2229.13)</f>
        <v>2229.13</v>
      </c>
      <c r="S603" s="15"/>
    </row>
    <row r="604">
      <c r="A604" s="10">
        <f t="shared" si="8"/>
        <v>38586.66667</v>
      </c>
      <c r="B604" s="2" t="str">
        <f t="shared" si="2"/>
        <v/>
      </c>
      <c r="C604" s="2" t="str">
        <f t="shared" si="3"/>
        <v>SP500</v>
      </c>
      <c r="D604" s="2">
        <f t="shared" si="4"/>
        <v>2141.41</v>
      </c>
      <c r="E604" s="2">
        <f t="shared" si="5"/>
        <v>2141.41</v>
      </c>
      <c r="G604" s="10">
        <f t="shared" si="9"/>
        <v>38586.64583</v>
      </c>
      <c r="H604" s="6">
        <f t="shared" si="6"/>
        <v>1116.68</v>
      </c>
      <c r="I604" s="2">
        <f t="shared" si="7"/>
        <v>1116.68</v>
      </c>
      <c r="M604" s="10">
        <f>IFERROR(__xludf.DUMMYFUNCTION("""COMPUTED_VALUE"""),38854.666666666664)</f>
        <v>38854.66667</v>
      </c>
      <c r="N604" s="2">
        <f>IFERROR(__xludf.DUMMYFUNCTION("""COMPUTED_VALUE"""),2195.8)</f>
        <v>2195.8</v>
      </c>
      <c r="S604" s="15"/>
    </row>
    <row r="605">
      <c r="A605" s="10">
        <f t="shared" si="8"/>
        <v>38587.66667</v>
      </c>
      <c r="B605" s="2" t="str">
        <f t="shared" si="2"/>
        <v/>
      </c>
      <c r="C605" s="2" t="str">
        <f t="shared" si="3"/>
        <v>SP500</v>
      </c>
      <c r="D605" s="2">
        <f t="shared" si="4"/>
        <v>2137.25</v>
      </c>
      <c r="E605" s="2">
        <f t="shared" si="5"/>
        <v>2137.25</v>
      </c>
      <c r="G605" s="10">
        <f t="shared" si="9"/>
        <v>38587.64583</v>
      </c>
      <c r="H605" s="6">
        <f t="shared" si="6"/>
        <v>1115.84</v>
      </c>
      <c r="I605" s="2">
        <f t="shared" si="7"/>
        <v>1115.84</v>
      </c>
      <c r="M605" s="10">
        <f>IFERROR(__xludf.DUMMYFUNCTION("""COMPUTED_VALUE"""),38855.666666666664)</f>
        <v>38855.66667</v>
      </c>
      <c r="N605" s="2">
        <f>IFERROR(__xludf.DUMMYFUNCTION("""COMPUTED_VALUE"""),2180.32)</f>
        <v>2180.32</v>
      </c>
      <c r="S605" s="15"/>
    </row>
    <row r="606">
      <c r="A606" s="10">
        <f t="shared" si="8"/>
        <v>38588.66667</v>
      </c>
      <c r="B606" s="2" t="str">
        <f t="shared" si="2"/>
        <v/>
      </c>
      <c r="C606" s="2" t="str">
        <f t="shared" si="3"/>
        <v>SP500</v>
      </c>
      <c r="D606" s="2">
        <f t="shared" si="4"/>
        <v>2128.91</v>
      </c>
      <c r="E606" s="2">
        <f t="shared" si="5"/>
        <v>2128.91</v>
      </c>
      <c r="G606" s="10">
        <f t="shared" si="9"/>
        <v>38588.64583</v>
      </c>
      <c r="H606" s="6">
        <f t="shared" si="6"/>
        <v>1094.21</v>
      </c>
      <c r="I606" s="2">
        <f t="shared" si="7"/>
        <v>1094.21</v>
      </c>
      <c r="M606" s="10">
        <f>IFERROR(__xludf.DUMMYFUNCTION("""COMPUTED_VALUE"""),38856.666666666664)</f>
        <v>38856.66667</v>
      </c>
      <c r="N606" s="2">
        <f>IFERROR(__xludf.DUMMYFUNCTION("""COMPUTED_VALUE"""),2193.88)</f>
        <v>2193.88</v>
      </c>
      <c r="S606" s="15"/>
    </row>
    <row r="607">
      <c r="A607" s="10">
        <f t="shared" si="8"/>
        <v>38589.66667</v>
      </c>
      <c r="B607" s="2" t="str">
        <f t="shared" si="2"/>
        <v/>
      </c>
      <c r="C607" s="2" t="str">
        <f t="shared" si="3"/>
        <v>SP500</v>
      </c>
      <c r="D607" s="2">
        <f t="shared" si="4"/>
        <v>2134.37</v>
      </c>
      <c r="E607" s="2">
        <f t="shared" si="5"/>
        <v>2134.37</v>
      </c>
      <c r="G607" s="10">
        <f t="shared" si="9"/>
        <v>38589.64583</v>
      </c>
      <c r="H607" s="6">
        <f t="shared" si="6"/>
        <v>1097.29</v>
      </c>
      <c r="I607" s="2">
        <f t="shared" si="7"/>
        <v>1097.29</v>
      </c>
      <c r="M607" s="10">
        <f>IFERROR(__xludf.DUMMYFUNCTION("""COMPUTED_VALUE"""),38859.666666666664)</f>
        <v>38859.66667</v>
      </c>
      <c r="N607" s="2">
        <f>IFERROR(__xludf.DUMMYFUNCTION("""COMPUTED_VALUE"""),2172.86)</f>
        <v>2172.86</v>
      </c>
      <c r="S607" s="15"/>
    </row>
    <row r="608">
      <c r="A608" s="10">
        <f t="shared" si="8"/>
        <v>38590.66667</v>
      </c>
      <c r="B608" s="2" t="str">
        <f t="shared" si="2"/>
        <v/>
      </c>
      <c r="C608" s="2" t="str">
        <f t="shared" si="3"/>
        <v>SP500</v>
      </c>
      <c r="D608" s="2">
        <f t="shared" si="4"/>
        <v>2120.77</v>
      </c>
      <c r="E608" s="2">
        <f t="shared" si="5"/>
        <v>2120.77</v>
      </c>
      <c r="G608" s="10">
        <f t="shared" si="9"/>
        <v>38590.64583</v>
      </c>
      <c r="H608" s="6">
        <f t="shared" si="6"/>
        <v>1086.55</v>
      </c>
      <c r="I608" s="2">
        <f t="shared" si="7"/>
        <v>1086.55</v>
      </c>
      <c r="M608" s="10">
        <f>IFERROR(__xludf.DUMMYFUNCTION("""COMPUTED_VALUE"""),38860.666666666664)</f>
        <v>38860.66667</v>
      </c>
      <c r="N608" s="2">
        <f>IFERROR(__xludf.DUMMYFUNCTION("""COMPUTED_VALUE"""),2158.76)</f>
        <v>2158.76</v>
      </c>
      <c r="S608" s="15"/>
    </row>
    <row r="609">
      <c r="A609" s="10">
        <f t="shared" si="8"/>
        <v>38591.66667</v>
      </c>
      <c r="B609" s="2" t="str">
        <f t="shared" si="2"/>
        <v/>
      </c>
      <c r="C609" s="2" t="str">
        <f t="shared" si="3"/>
        <v>SP500</v>
      </c>
      <c r="D609" s="2" t="str">
        <f t="shared" si="4"/>
        <v/>
      </c>
      <c r="E609" s="2">
        <f t="shared" si="5"/>
        <v>2120.77</v>
      </c>
      <c r="G609" s="10">
        <f t="shared" si="9"/>
        <v>38591.64583</v>
      </c>
      <c r="H609" s="6" t="str">
        <f t="shared" si="6"/>
        <v/>
      </c>
      <c r="I609" s="2">
        <f t="shared" si="7"/>
        <v>1086.55</v>
      </c>
      <c r="M609" s="10">
        <f>IFERROR(__xludf.DUMMYFUNCTION("""COMPUTED_VALUE"""),38861.666666666664)</f>
        <v>38861.66667</v>
      </c>
      <c r="N609" s="2">
        <f>IFERROR(__xludf.DUMMYFUNCTION("""COMPUTED_VALUE"""),2169.17)</f>
        <v>2169.17</v>
      </c>
      <c r="S609" s="15"/>
    </row>
    <row r="610">
      <c r="A610" s="10">
        <f t="shared" si="8"/>
        <v>38592.66667</v>
      </c>
      <c r="B610" s="2" t="str">
        <f t="shared" si="2"/>
        <v/>
      </c>
      <c r="C610" s="2" t="str">
        <f t="shared" si="3"/>
        <v>SP500</v>
      </c>
      <c r="D610" s="2" t="str">
        <f t="shared" si="4"/>
        <v/>
      </c>
      <c r="E610" s="2">
        <f t="shared" si="5"/>
        <v>2120.77</v>
      </c>
      <c r="G610" s="10">
        <f t="shared" si="9"/>
        <v>38592.64583</v>
      </c>
      <c r="H610" s="6" t="str">
        <f t="shared" si="6"/>
        <v/>
      </c>
      <c r="I610" s="2">
        <f t="shared" si="7"/>
        <v>1086.55</v>
      </c>
      <c r="M610" s="10">
        <f>IFERROR(__xludf.DUMMYFUNCTION("""COMPUTED_VALUE"""),38862.666666666664)</f>
        <v>38862.66667</v>
      </c>
      <c r="N610" s="2">
        <f>IFERROR(__xludf.DUMMYFUNCTION("""COMPUTED_VALUE"""),2198.24)</f>
        <v>2198.24</v>
      </c>
      <c r="S610" s="15"/>
    </row>
    <row r="611">
      <c r="A611" s="10">
        <f t="shared" si="8"/>
        <v>38593.66667</v>
      </c>
      <c r="B611" s="2" t="str">
        <f t="shared" si="2"/>
        <v/>
      </c>
      <c r="C611" s="2" t="str">
        <f t="shared" si="3"/>
        <v>SP500</v>
      </c>
      <c r="D611" s="2">
        <f t="shared" si="4"/>
        <v>2137.65</v>
      </c>
      <c r="E611" s="2">
        <f t="shared" si="5"/>
        <v>2137.65</v>
      </c>
      <c r="G611" s="10">
        <f t="shared" si="9"/>
        <v>38593.64583</v>
      </c>
      <c r="H611" s="6">
        <f t="shared" si="6"/>
        <v>1063.16</v>
      </c>
      <c r="I611" s="2">
        <f t="shared" si="7"/>
        <v>1063.16</v>
      </c>
      <c r="M611" s="10">
        <f>IFERROR(__xludf.DUMMYFUNCTION("""COMPUTED_VALUE"""),38863.666666666664)</f>
        <v>38863.66667</v>
      </c>
      <c r="N611" s="2">
        <f>IFERROR(__xludf.DUMMYFUNCTION("""COMPUTED_VALUE"""),2210.37)</f>
        <v>2210.37</v>
      </c>
      <c r="S611" s="15"/>
    </row>
    <row r="612">
      <c r="A612" s="10">
        <f t="shared" si="8"/>
        <v>38594.66667</v>
      </c>
      <c r="B612" s="2" t="str">
        <f t="shared" si="2"/>
        <v/>
      </c>
      <c r="C612" s="2" t="str">
        <f t="shared" si="3"/>
        <v>SP500</v>
      </c>
      <c r="D612" s="2">
        <f t="shared" si="4"/>
        <v>2129.76</v>
      </c>
      <c r="E612" s="2">
        <f t="shared" si="5"/>
        <v>2129.76</v>
      </c>
      <c r="G612" s="10">
        <f t="shared" si="9"/>
        <v>38594.64583</v>
      </c>
      <c r="H612" s="6">
        <f t="shared" si="6"/>
        <v>1072.61</v>
      </c>
      <c r="I612" s="2">
        <f t="shared" si="7"/>
        <v>1072.61</v>
      </c>
      <c r="M612" s="10">
        <f>IFERROR(__xludf.DUMMYFUNCTION("""COMPUTED_VALUE"""),38867.666666666664)</f>
        <v>38867.66667</v>
      </c>
      <c r="N612" s="2">
        <f>IFERROR(__xludf.DUMMYFUNCTION("""COMPUTED_VALUE"""),2164.74)</f>
        <v>2164.74</v>
      </c>
      <c r="S612" s="15"/>
    </row>
    <row r="613">
      <c r="A613" s="10">
        <f t="shared" si="8"/>
        <v>38595.66667</v>
      </c>
      <c r="B613" s="2" t="str">
        <f t="shared" si="2"/>
        <v/>
      </c>
      <c r="C613" s="2" t="str">
        <f t="shared" si="3"/>
        <v>SP500</v>
      </c>
      <c r="D613" s="2">
        <f t="shared" si="4"/>
        <v>2152.09</v>
      </c>
      <c r="E613" s="2">
        <f t="shared" si="5"/>
        <v>2152.09</v>
      </c>
      <c r="G613" s="10">
        <f t="shared" si="9"/>
        <v>38595.64583</v>
      </c>
      <c r="H613" s="6">
        <f t="shared" si="6"/>
        <v>1083.33</v>
      </c>
      <c r="I613" s="2">
        <f t="shared" si="7"/>
        <v>1083.33</v>
      </c>
      <c r="M613" s="10">
        <f>IFERROR(__xludf.DUMMYFUNCTION("""COMPUTED_VALUE"""),38868.666666666664)</f>
        <v>38868.66667</v>
      </c>
      <c r="N613" s="2">
        <f>IFERROR(__xludf.DUMMYFUNCTION("""COMPUTED_VALUE"""),2178.88)</f>
        <v>2178.88</v>
      </c>
      <c r="S613" s="15"/>
    </row>
    <row r="614">
      <c r="A614" s="10">
        <f t="shared" si="8"/>
        <v>38596.66667</v>
      </c>
      <c r="B614" s="2" t="str">
        <f t="shared" si="2"/>
        <v/>
      </c>
      <c r="C614" s="2" t="str">
        <f t="shared" si="3"/>
        <v>SP500</v>
      </c>
      <c r="D614" s="2">
        <f t="shared" si="4"/>
        <v>2147.9</v>
      </c>
      <c r="E614" s="2">
        <f t="shared" si="5"/>
        <v>2147.9</v>
      </c>
      <c r="G614" s="10">
        <f t="shared" si="9"/>
        <v>38596.64583</v>
      </c>
      <c r="H614" s="6">
        <f t="shared" si="6"/>
        <v>1106.37</v>
      </c>
      <c r="I614" s="2">
        <f t="shared" si="7"/>
        <v>1106.37</v>
      </c>
      <c r="M614" s="10">
        <f>IFERROR(__xludf.DUMMYFUNCTION("""COMPUTED_VALUE"""),38869.666666666664)</f>
        <v>38869.66667</v>
      </c>
      <c r="N614" s="2">
        <f>IFERROR(__xludf.DUMMYFUNCTION("""COMPUTED_VALUE"""),2219.86)</f>
        <v>2219.86</v>
      </c>
      <c r="S614" s="15"/>
    </row>
    <row r="615">
      <c r="A615" s="10">
        <f t="shared" si="8"/>
        <v>38597.66667</v>
      </c>
      <c r="B615" s="2" t="str">
        <f t="shared" si="2"/>
        <v/>
      </c>
      <c r="C615" s="2" t="str">
        <f t="shared" si="3"/>
        <v>SP500</v>
      </c>
      <c r="D615" s="2">
        <f t="shared" si="4"/>
        <v>2141.07</v>
      </c>
      <c r="E615" s="2">
        <f t="shared" si="5"/>
        <v>2141.07</v>
      </c>
      <c r="G615" s="10">
        <f t="shared" si="9"/>
        <v>38597.64583</v>
      </c>
      <c r="H615" s="6">
        <f t="shared" si="6"/>
        <v>1115.83</v>
      </c>
      <c r="I615" s="2">
        <f t="shared" si="7"/>
        <v>1115.83</v>
      </c>
      <c r="M615" s="10">
        <f>IFERROR(__xludf.DUMMYFUNCTION("""COMPUTED_VALUE"""),38870.666666666664)</f>
        <v>38870.66667</v>
      </c>
      <c r="N615" s="2">
        <f>IFERROR(__xludf.DUMMYFUNCTION("""COMPUTED_VALUE"""),2219.41)</f>
        <v>2219.41</v>
      </c>
      <c r="S615" s="15"/>
    </row>
    <row r="616">
      <c r="A616" s="10">
        <f t="shared" si="8"/>
        <v>38598.66667</v>
      </c>
      <c r="B616" s="2" t="str">
        <f t="shared" si="2"/>
        <v/>
      </c>
      <c r="C616" s="2" t="str">
        <f t="shared" si="3"/>
        <v>SP500</v>
      </c>
      <c r="D616" s="2" t="str">
        <f t="shared" si="4"/>
        <v/>
      </c>
      <c r="E616" s="2">
        <f t="shared" si="5"/>
        <v>2141.07</v>
      </c>
      <c r="G616" s="10">
        <f t="shared" si="9"/>
        <v>38598.64583</v>
      </c>
      <c r="H616" s="6" t="str">
        <f t="shared" si="6"/>
        <v/>
      </c>
      <c r="I616" s="2">
        <f t="shared" si="7"/>
        <v>1115.83</v>
      </c>
      <c r="M616" s="10">
        <f>IFERROR(__xludf.DUMMYFUNCTION("""COMPUTED_VALUE"""),38873.666666666664)</f>
        <v>38873.66667</v>
      </c>
      <c r="N616" s="2">
        <f>IFERROR(__xludf.DUMMYFUNCTION("""COMPUTED_VALUE"""),2169.62)</f>
        <v>2169.62</v>
      </c>
      <c r="S616" s="15"/>
    </row>
    <row r="617">
      <c r="A617" s="10">
        <f t="shared" si="8"/>
        <v>38599.66667</v>
      </c>
      <c r="B617" s="2" t="str">
        <f t="shared" si="2"/>
        <v/>
      </c>
      <c r="C617" s="2" t="str">
        <f t="shared" si="3"/>
        <v>SP500</v>
      </c>
      <c r="D617" s="2" t="str">
        <f t="shared" si="4"/>
        <v/>
      </c>
      <c r="E617" s="2">
        <f t="shared" si="5"/>
        <v>2141.07</v>
      </c>
      <c r="G617" s="10">
        <f t="shared" si="9"/>
        <v>38599.64583</v>
      </c>
      <c r="H617" s="6" t="str">
        <f t="shared" si="6"/>
        <v/>
      </c>
      <c r="I617" s="2">
        <f t="shared" si="7"/>
        <v>1115.83</v>
      </c>
      <c r="M617" s="10">
        <f>IFERROR(__xludf.DUMMYFUNCTION("""COMPUTED_VALUE"""),38874.666666666664)</f>
        <v>38874.66667</v>
      </c>
      <c r="N617" s="2">
        <f>IFERROR(__xludf.DUMMYFUNCTION("""COMPUTED_VALUE"""),2162.78)</f>
        <v>2162.78</v>
      </c>
      <c r="S617" s="15"/>
    </row>
    <row r="618">
      <c r="A618" s="10">
        <f t="shared" si="8"/>
        <v>38600.66667</v>
      </c>
      <c r="B618" s="2" t="str">
        <f t="shared" si="2"/>
        <v/>
      </c>
      <c r="C618" s="2" t="str">
        <f t="shared" si="3"/>
        <v>SP500</v>
      </c>
      <c r="D618" s="2" t="str">
        <f t="shared" si="4"/>
        <v/>
      </c>
      <c r="E618" s="2">
        <f t="shared" si="5"/>
        <v>2141.07</v>
      </c>
      <c r="G618" s="10">
        <f t="shared" si="9"/>
        <v>38600.64583</v>
      </c>
      <c r="H618" s="6">
        <f t="shared" si="6"/>
        <v>1114.5</v>
      </c>
      <c r="I618" s="2">
        <f t="shared" si="7"/>
        <v>1114.5</v>
      </c>
      <c r="M618" s="10">
        <f>IFERROR(__xludf.DUMMYFUNCTION("""COMPUTED_VALUE"""),38875.666666666664)</f>
        <v>38875.66667</v>
      </c>
      <c r="N618" s="2">
        <f>IFERROR(__xludf.DUMMYFUNCTION("""COMPUTED_VALUE"""),2151.8)</f>
        <v>2151.8</v>
      </c>
      <c r="S618" s="15"/>
    </row>
    <row r="619">
      <c r="A619" s="10">
        <f t="shared" si="8"/>
        <v>38601.66667</v>
      </c>
      <c r="B619" s="2" t="str">
        <f t="shared" si="2"/>
        <v/>
      </c>
      <c r="C619" s="2" t="str">
        <f t="shared" si="3"/>
        <v>SP500</v>
      </c>
      <c r="D619" s="2">
        <f t="shared" si="4"/>
        <v>2166.86</v>
      </c>
      <c r="E619" s="2">
        <f t="shared" si="5"/>
        <v>2166.86</v>
      </c>
      <c r="G619" s="10">
        <f t="shared" si="9"/>
        <v>38601.64583</v>
      </c>
      <c r="H619" s="6">
        <f t="shared" si="6"/>
        <v>1122.65</v>
      </c>
      <c r="I619" s="2">
        <f t="shared" si="7"/>
        <v>1122.65</v>
      </c>
      <c r="M619" s="10">
        <f>IFERROR(__xludf.DUMMYFUNCTION("""COMPUTED_VALUE"""),38876.666666666664)</f>
        <v>38876.66667</v>
      </c>
      <c r="N619" s="2">
        <f>IFERROR(__xludf.DUMMYFUNCTION("""COMPUTED_VALUE"""),2145.32)</f>
        <v>2145.32</v>
      </c>
      <c r="S619" s="15"/>
    </row>
    <row r="620">
      <c r="A620" s="10">
        <f t="shared" si="8"/>
        <v>38602.66667</v>
      </c>
      <c r="B620" s="2" t="str">
        <f t="shared" si="2"/>
        <v/>
      </c>
      <c r="C620" s="2" t="str">
        <f t="shared" si="3"/>
        <v>SP500</v>
      </c>
      <c r="D620" s="2">
        <f t="shared" si="4"/>
        <v>2172.03</v>
      </c>
      <c r="E620" s="2">
        <f t="shared" si="5"/>
        <v>2172.03</v>
      </c>
      <c r="G620" s="10">
        <f t="shared" si="9"/>
        <v>38602.64583</v>
      </c>
      <c r="H620" s="6">
        <f t="shared" si="6"/>
        <v>1142.99</v>
      </c>
      <c r="I620" s="2">
        <f t="shared" si="7"/>
        <v>1142.99</v>
      </c>
      <c r="M620" s="10">
        <f>IFERROR(__xludf.DUMMYFUNCTION("""COMPUTED_VALUE"""),38877.666666666664)</f>
        <v>38877.66667</v>
      </c>
      <c r="N620" s="2">
        <f>IFERROR(__xludf.DUMMYFUNCTION("""COMPUTED_VALUE"""),2135.06)</f>
        <v>2135.06</v>
      </c>
      <c r="S620" s="15"/>
    </row>
    <row r="621">
      <c r="A621" s="10">
        <f t="shared" si="8"/>
        <v>38603.66667</v>
      </c>
      <c r="B621" s="2" t="str">
        <f t="shared" si="2"/>
        <v/>
      </c>
      <c r="C621" s="2" t="str">
        <f t="shared" si="3"/>
        <v>SP500</v>
      </c>
      <c r="D621" s="2">
        <f t="shared" si="4"/>
        <v>2166.03</v>
      </c>
      <c r="E621" s="2">
        <f t="shared" si="5"/>
        <v>2166.03</v>
      </c>
      <c r="G621" s="10">
        <f t="shared" si="9"/>
        <v>38603.64583</v>
      </c>
      <c r="H621" s="6">
        <f t="shared" si="6"/>
        <v>1145.26</v>
      </c>
      <c r="I621" s="2">
        <f t="shared" si="7"/>
        <v>1145.26</v>
      </c>
      <c r="M621" s="10">
        <f>IFERROR(__xludf.DUMMYFUNCTION("""COMPUTED_VALUE"""),38880.666666666664)</f>
        <v>38880.66667</v>
      </c>
      <c r="N621" s="2">
        <f>IFERROR(__xludf.DUMMYFUNCTION("""COMPUTED_VALUE"""),2091.32)</f>
        <v>2091.32</v>
      </c>
      <c r="S621" s="15"/>
    </row>
    <row r="622">
      <c r="A622" s="10">
        <f t="shared" si="8"/>
        <v>38604.66667</v>
      </c>
      <c r="B622" s="2" t="str">
        <f t="shared" si="2"/>
        <v/>
      </c>
      <c r="C622" s="2" t="str">
        <f t="shared" si="3"/>
        <v>SP500</v>
      </c>
      <c r="D622" s="2">
        <f t="shared" si="4"/>
        <v>2175.51</v>
      </c>
      <c r="E622" s="2">
        <f t="shared" si="5"/>
        <v>2175.51</v>
      </c>
      <c r="G622" s="10">
        <f t="shared" si="9"/>
        <v>38604.64583</v>
      </c>
      <c r="H622" s="6">
        <f t="shared" si="6"/>
        <v>1152.5</v>
      </c>
      <c r="I622" s="2">
        <f t="shared" si="7"/>
        <v>1152.5</v>
      </c>
      <c r="M622" s="10">
        <f>IFERROR(__xludf.DUMMYFUNCTION("""COMPUTED_VALUE"""),38881.666666666664)</f>
        <v>38881.66667</v>
      </c>
      <c r="N622" s="2">
        <f>IFERROR(__xludf.DUMMYFUNCTION("""COMPUTED_VALUE"""),2072.47)</f>
        <v>2072.47</v>
      </c>
      <c r="S622" s="15"/>
    </row>
    <row r="623">
      <c r="A623" s="10">
        <f t="shared" si="8"/>
        <v>38605.66667</v>
      </c>
      <c r="B623" s="2" t="str">
        <f t="shared" si="2"/>
        <v/>
      </c>
      <c r="C623" s="2" t="str">
        <f t="shared" si="3"/>
        <v>SP500</v>
      </c>
      <c r="D623" s="2" t="str">
        <f t="shared" si="4"/>
        <v/>
      </c>
      <c r="E623" s="2">
        <f t="shared" si="5"/>
        <v>2175.51</v>
      </c>
      <c r="G623" s="10">
        <f t="shared" si="9"/>
        <v>38605.64583</v>
      </c>
      <c r="H623" s="6" t="str">
        <f t="shared" si="6"/>
        <v/>
      </c>
      <c r="I623" s="2">
        <f t="shared" si="7"/>
        <v>1152.5</v>
      </c>
      <c r="M623" s="10">
        <f>IFERROR(__xludf.DUMMYFUNCTION("""COMPUTED_VALUE"""),38882.666666666664)</f>
        <v>38882.66667</v>
      </c>
      <c r="N623" s="2">
        <f>IFERROR(__xludf.DUMMYFUNCTION("""COMPUTED_VALUE"""),2086.0)</f>
        <v>2086</v>
      </c>
      <c r="S623" s="15"/>
    </row>
    <row r="624">
      <c r="A624" s="10">
        <f t="shared" si="8"/>
        <v>38606.66667</v>
      </c>
      <c r="B624" s="2" t="str">
        <f t="shared" si="2"/>
        <v/>
      </c>
      <c r="C624" s="2" t="str">
        <f t="shared" si="3"/>
        <v>SP500</v>
      </c>
      <c r="D624" s="2" t="str">
        <f t="shared" si="4"/>
        <v/>
      </c>
      <c r="E624" s="2">
        <f t="shared" si="5"/>
        <v>2175.51</v>
      </c>
      <c r="G624" s="10">
        <f t="shared" si="9"/>
        <v>38606.64583</v>
      </c>
      <c r="H624" s="6" t="str">
        <f t="shared" si="6"/>
        <v/>
      </c>
      <c r="I624" s="2">
        <f t="shared" si="7"/>
        <v>1152.5</v>
      </c>
      <c r="M624" s="10">
        <f>IFERROR(__xludf.DUMMYFUNCTION("""COMPUTED_VALUE"""),38883.666666666664)</f>
        <v>38883.66667</v>
      </c>
      <c r="N624" s="2">
        <f>IFERROR(__xludf.DUMMYFUNCTION("""COMPUTED_VALUE"""),2144.15)</f>
        <v>2144.15</v>
      </c>
      <c r="S624" s="15"/>
    </row>
    <row r="625">
      <c r="A625" s="10">
        <f t="shared" si="8"/>
        <v>38607.66667</v>
      </c>
      <c r="B625" s="2" t="str">
        <f t="shared" si="2"/>
        <v/>
      </c>
      <c r="C625" s="2" t="str">
        <f t="shared" si="3"/>
        <v>SP500</v>
      </c>
      <c r="D625" s="2">
        <f t="shared" si="4"/>
        <v>2182.83</v>
      </c>
      <c r="E625" s="2">
        <f t="shared" si="5"/>
        <v>2182.83</v>
      </c>
      <c r="G625" s="10">
        <f t="shared" si="9"/>
        <v>38607.64583</v>
      </c>
      <c r="H625" s="6">
        <f t="shared" si="6"/>
        <v>1158.36</v>
      </c>
      <c r="I625" s="2">
        <f t="shared" si="7"/>
        <v>1158.36</v>
      </c>
      <c r="M625" s="10">
        <f>IFERROR(__xludf.DUMMYFUNCTION("""COMPUTED_VALUE"""),38884.666666666664)</f>
        <v>38884.66667</v>
      </c>
      <c r="N625" s="2">
        <f>IFERROR(__xludf.DUMMYFUNCTION("""COMPUTED_VALUE"""),2129.95)</f>
        <v>2129.95</v>
      </c>
      <c r="S625" s="15"/>
    </row>
    <row r="626">
      <c r="A626" s="10">
        <f t="shared" si="8"/>
        <v>38608.66667</v>
      </c>
      <c r="B626" s="2" t="str">
        <f t="shared" si="2"/>
        <v/>
      </c>
      <c r="C626" s="2" t="str">
        <f t="shared" si="3"/>
        <v>SP500</v>
      </c>
      <c r="D626" s="2">
        <f t="shared" si="4"/>
        <v>2171.75</v>
      </c>
      <c r="E626" s="2">
        <f t="shared" si="5"/>
        <v>2171.75</v>
      </c>
      <c r="G626" s="10">
        <f t="shared" si="9"/>
        <v>38608.64583</v>
      </c>
      <c r="H626" s="6">
        <f t="shared" si="6"/>
        <v>1158.12</v>
      </c>
      <c r="I626" s="2">
        <f t="shared" si="7"/>
        <v>1158.12</v>
      </c>
      <c r="M626" s="10">
        <f>IFERROR(__xludf.DUMMYFUNCTION("""COMPUTED_VALUE"""),38887.666666666664)</f>
        <v>38887.66667</v>
      </c>
      <c r="N626" s="2">
        <f>IFERROR(__xludf.DUMMYFUNCTION("""COMPUTED_VALUE"""),2110.42)</f>
        <v>2110.42</v>
      </c>
      <c r="S626" s="15"/>
    </row>
    <row r="627">
      <c r="A627" s="10">
        <f t="shared" si="8"/>
        <v>38609.66667</v>
      </c>
      <c r="B627" s="2" t="str">
        <f t="shared" si="2"/>
        <v/>
      </c>
      <c r="C627" s="2" t="str">
        <f t="shared" si="3"/>
        <v>SP500</v>
      </c>
      <c r="D627" s="2">
        <f t="shared" si="4"/>
        <v>2149.33</v>
      </c>
      <c r="E627" s="2">
        <f t="shared" si="5"/>
        <v>2149.33</v>
      </c>
      <c r="G627" s="10">
        <f t="shared" si="9"/>
        <v>38609.64583</v>
      </c>
      <c r="H627" s="6">
        <f t="shared" si="6"/>
        <v>1170.77</v>
      </c>
      <c r="I627" s="2">
        <f t="shared" si="7"/>
        <v>1170.77</v>
      </c>
      <c r="M627" s="10">
        <f>IFERROR(__xludf.DUMMYFUNCTION("""COMPUTED_VALUE"""),38888.666666666664)</f>
        <v>38888.66667</v>
      </c>
      <c r="N627" s="2">
        <f>IFERROR(__xludf.DUMMYFUNCTION("""COMPUTED_VALUE"""),2107.06)</f>
        <v>2107.06</v>
      </c>
      <c r="S627" s="15"/>
    </row>
    <row r="628">
      <c r="A628" s="10">
        <f t="shared" si="8"/>
        <v>38610.66667</v>
      </c>
      <c r="B628" s="2" t="str">
        <f t="shared" si="2"/>
        <v/>
      </c>
      <c r="C628" s="2" t="str">
        <f t="shared" si="3"/>
        <v>SP500</v>
      </c>
      <c r="D628" s="2">
        <f t="shared" si="4"/>
        <v>2146.15</v>
      </c>
      <c r="E628" s="2">
        <f t="shared" si="5"/>
        <v>2146.15</v>
      </c>
      <c r="G628" s="10">
        <f t="shared" si="9"/>
        <v>38610.64583</v>
      </c>
      <c r="H628" s="6">
        <f t="shared" si="6"/>
        <v>1169.59</v>
      </c>
      <c r="I628" s="2">
        <f t="shared" si="7"/>
        <v>1169.59</v>
      </c>
      <c r="M628" s="10">
        <f>IFERROR(__xludf.DUMMYFUNCTION("""COMPUTED_VALUE"""),38889.666666666664)</f>
        <v>38889.66667</v>
      </c>
      <c r="N628" s="2">
        <f>IFERROR(__xludf.DUMMYFUNCTION("""COMPUTED_VALUE"""),2141.2)</f>
        <v>2141.2</v>
      </c>
      <c r="S628" s="15"/>
    </row>
    <row r="629">
      <c r="A629" s="10">
        <f t="shared" si="8"/>
        <v>38611.66667</v>
      </c>
      <c r="B629" s="2" t="str">
        <f t="shared" si="2"/>
        <v/>
      </c>
      <c r="C629" s="2" t="str">
        <f t="shared" si="3"/>
        <v>SP500</v>
      </c>
      <c r="D629" s="2">
        <f t="shared" si="4"/>
        <v>2160.35</v>
      </c>
      <c r="E629" s="2">
        <f t="shared" si="5"/>
        <v>2160.35</v>
      </c>
      <c r="G629" s="10">
        <f t="shared" si="9"/>
        <v>38611.64583</v>
      </c>
      <c r="H629" s="6">
        <f t="shared" si="6"/>
        <v>1174.13</v>
      </c>
      <c r="I629" s="2">
        <f t="shared" si="7"/>
        <v>1174.13</v>
      </c>
      <c r="M629" s="10">
        <f>IFERROR(__xludf.DUMMYFUNCTION("""COMPUTED_VALUE"""),38890.666666666664)</f>
        <v>38890.66667</v>
      </c>
      <c r="N629" s="2">
        <f>IFERROR(__xludf.DUMMYFUNCTION("""COMPUTED_VALUE"""),2122.98)</f>
        <v>2122.98</v>
      </c>
      <c r="S629" s="15"/>
    </row>
    <row r="630">
      <c r="A630" s="10">
        <f t="shared" si="8"/>
        <v>38612.66667</v>
      </c>
      <c r="B630" s="2" t="str">
        <f t="shared" si="2"/>
        <v/>
      </c>
      <c r="C630" s="2" t="str">
        <f t="shared" si="3"/>
        <v>SP500</v>
      </c>
      <c r="D630" s="2" t="str">
        <f t="shared" si="4"/>
        <v/>
      </c>
      <c r="E630" s="2">
        <f t="shared" si="5"/>
        <v>2160.35</v>
      </c>
      <c r="G630" s="10">
        <f t="shared" si="9"/>
        <v>38612.64583</v>
      </c>
      <c r="H630" s="6" t="str">
        <f t="shared" si="6"/>
        <v/>
      </c>
      <c r="I630" s="2">
        <f t="shared" si="7"/>
        <v>1174.13</v>
      </c>
      <c r="M630" s="10">
        <f>IFERROR(__xludf.DUMMYFUNCTION("""COMPUTED_VALUE"""),38891.666666666664)</f>
        <v>38891.66667</v>
      </c>
      <c r="N630" s="2">
        <f>IFERROR(__xludf.DUMMYFUNCTION("""COMPUTED_VALUE"""),2121.47)</f>
        <v>2121.47</v>
      </c>
      <c r="S630" s="15"/>
    </row>
    <row r="631">
      <c r="A631" s="10">
        <f t="shared" si="8"/>
        <v>38613.66667</v>
      </c>
      <c r="B631" s="2" t="str">
        <f t="shared" si="2"/>
        <v/>
      </c>
      <c r="C631" s="2" t="str">
        <f t="shared" si="3"/>
        <v>SP500</v>
      </c>
      <c r="D631" s="2" t="str">
        <f t="shared" si="4"/>
        <v/>
      </c>
      <c r="E631" s="2">
        <f t="shared" si="5"/>
        <v>2160.35</v>
      </c>
      <c r="G631" s="10">
        <f t="shared" si="9"/>
        <v>38613.64583</v>
      </c>
      <c r="H631" s="6" t="str">
        <f t="shared" si="6"/>
        <v/>
      </c>
      <c r="I631" s="2">
        <f t="shared" si="7"/>
        <v>1174.13</v>
      </c>
      <c r="M631" s="10">
        <f>IFERROR(__xludf.DUMMYFUNCTION("""COMPUTED_VALUE"""),38894.666666666664)</f>
        <v>38894.66667</v>
      </c>
      <c r="N631" s="2">
        <f>IFERROR(__xludf.DUMMYFUNCTION("""COMPUTED_VALUE"""),2133.67)</f>
        <v>2133.67</v>
      </c>
      <c r="S631" s="15"/>
    </row>
    <row r="632">
      <c r="A632" s="10">
        <f t="shared" si="8"/>
        <v>38614.66667</v>
      </c>
      <c r="B632" s="2" t="str">
        <f t="shared" si="2"/>
        <v/>
      </c>
      <c r="C632" s="2" t="str">
        <f t="shared" si="3"/>
        <v>SP500</v>
      </c>
      <c r="D632" s="2">
        <f t="shared" si="4"/>
        <v>2145.26</v>
      </c>
      <c r="E632" s="2">
        <f t="shared" si="5"/>
        <v>2145.26</v>
      </c>
      <c r="G632" s="10">
        <f t="shared" si="9"/>
        <v>38614.64583</v>
      </c>
      <c r="H632" s="6" t="str">
        <f t="shared" si="6"/>
        <v/>
      </c>
      <c r="I632" s="2">
        <f t="shared" si="7"/>
        <v>1174.13</v>
      </c>
      <c r="M632" s="10">
        <f>IFERROR(__xludf.DUMMYFUNCTION("""COMPUTED_VALUE"""),38895.666666666664)</f>
        <v>38895.66667</v>
      </c>
      <c r="N632" s="2">
        <f>IFERROR(__xludf.DUMMYFUNCTION("""COMPUTED_VALUE"""),2100.25)</f>
        <v>2100.25</v>
      </c>
      <c r="S632" s="15"/>
    </row>
    <row r="633">
      <c r="A633" s="10">
        <f t="shared" si="8"/>
        <v>38615.66667</v>
      </c>
      <c r="B633" s="2" t="str">
        <f t="shared" si="2"/>
        <v/>
      </c>
      <c r="C633" s="2" t="str">
        <f t="shared" si="3"/>
        <v>SP500</v>
      </c>
      <c r="D633" s="2">
        <f t="shared" si="4"/>
        <v>2131.33</v>
      </c>
      <c r="E633" s="2">
        <f t="shared" si="5"/>
        <v>2131.33</v>
      </c>
      <c r="G633" s="10">
        <f t="shared" si="9"/>
        <v>38615.64583</v>
      </c>
      <c r="H633" s="6">
        <f t="shared" si="6"/>
        <v>1190.93</v>
      </c>
      <c r="I633" s="2">
        <f t="shared" si="7"/>
        <v>1190.93</v>
      </c>
      <c r="M633" s="10">
        <f>IFERROR(__xludf.DUMMYFUNCTION("""COMPUTED_VALUE"""),38896.666666666664)</f>
        <v>38896.66667</v>
      </c>
      <c r="N633" s="2">
        <f>IFERROR(__xludf.DUMMYFUNCTION("""COMPUTED_VALUE"""),2111.84)</f>
        <v>2111.84</v>
      </c>
      <c r="S633" s="15"/>
    </row>
    <row r="634">
      <c r="A634" s="10">
        <f t="shared" si="8"/>
        <v>38616.66667</v>
      </c>
      <c r="B634" s="2" t="str">
        <f t="shared" si="2"/>
        <v/>
      </c>
      <c r="C634" s="2" t="str">
        <f t="shared" si="3"/>
        <v>SP500</v>
      </c>
      <c r="D634" s="2">
        <f t="shared" si="4"/>
        <v>2106.64</v>
      </c>
      <c r="E634" s="2">
        <f t="shared" si="5"/>
        <v>2106.64</v>
      </c>
      <c r="G634" s="10">
        <f t="shared" si="9"/>
        <v>38616.64583</v>
      </c>
      <c r="H634" s="6">
        <f t="shared" si="6"/>
        <v>1196.67</v>
      </c>
      <c r="I634" s="2">
        <f t="shared" si="7"/>
        <v>1196.67</v>
      </c>
      <c r="M634" s="10">
        <f>IFERROR(__xludf.DUMMYFUNCTION("""COMPUTED_VALUE"""),38897.666666666664)</f>
        <v>38897.66667</v>
      </c>
      <c r="N634" s="2">
        <f>IFERROR(__xludf.DUMMYFUNCTION("""COMPUTED_VALUE"""),2174.38)</f>
        <v>2174.38</v>
      </c>
      <c r="S634" s="15"/>
    </row>
    <row r="635">
      <c r="A635" s="10">
        <f t="shared" si="8"/>
        <v>38617.66667</v>
      </c>
      <c r="B635" s="2" t="str">
        <f t="shared" si="2"/>
        <v/>
      </c>
      <c r="C635" s="2" t="str">
        <f t="shared" si="3"/>
        <v>SP500</v>
      </c>
      <c r="D635" s="2">
        <f t="shared" si="4"/>
        <v>2110.78</v>
      </c>
      <c r="E635" s="2">
        <f t="shared" si="5"/>
        <v>2110.78</v>
      </c>
      <c r="G635" s="10">
        <f t="shared" si="9"/>
        <v>38617.64583</v>
      </c>
      <c r="H635" s="6">
        <f t="shared" si="6"/>
        <v>1199.97</v>
      </c>
      <c r="I635" s="2">
        <f t="shared" si="7"/>
        <v>1199.97</v>
      </c>
      <c r="M635" s="10">
        <f>IFERROR(__xludf.DUMMYFUNCTION("""COMPUTED_VALUE"""),38898.666666666664)</f>
        <v>38898.66667</v>
      </c>
      <c r="N635" s="2">
        <f>IFERROR(__xludf.DUMMYFUNCTION("""COMPUTED_VALUE"""),2172.09)</f>
        <v>2172.09</v>
      </c>
      <c r="S635" s="15"/>
    </row>
    <row r="636">
      <c r="A636" s="10">
        <f t="shared" si="8"/>
        <v>38618.66667</v>
      </c>
      <c r="B636" s="2" t="str">
        <f t="shared" si="2"/>
        <v/>
      </c>
      <c r="C636" s="2" t="str">
        <f t="shared" si="3"/>
        <v>SP500</v>
      </c>
      <c r="D636" s="2">
        <f t="shared" si="4"/>
        <v>2116.84</v>
      </c>
      <c r="E636" s="2">
        <f t="shared" si="5"/>
        <v>2116.84</v>
      </c>
      <c r="G636" s="10">
        <f t="shared" si="9"/>
        <v>38618.64583</v>
      </c>
      <c r="H636" s="6">
        <f t="shared" si="6"/>
        <v>1175.88</v>
      </c>
      <c r="I636" s="2">
        <f t="shared" si="7"/>
        <v>1175.88</v>
      </c>
      <c r="M636" s="10">
        <f>IFERROR(__xludf.DUMMYFUNCTION("""COMPUTED_VALUE"""),38901.666666666664)</f>
        <v>38901.66667</v>
      </c>
      <c r="N636" s="2">
        <f>IFERROR(__xludf.DUMMYFUNCTION("""COMPUTED_VALUE"""),2190.43)</f>
        <v>2190.43</v>
      </c>
      <c r="S636" s="15"/>
    </row>
    <row r="637">
      <c r="A637" s="10">
        <f t="shared" si="8"/>
        <v>38619.66667</v>
      </c>
      <c r="B637" s="2" t="str">
        <f t="shared" si="2"/>
        <v/>
      </c>
      <c r="C637" s="2" t="str">
        <f t="shared" si="3"/>
        <v>SP500</v>
      </c>
      <c r="D637" s="2" t="str">
        <f t="shared" si="4"/>
        <v/>
      </c>
      <c r="E637" s="2">
        <f t="shared" si="5"/>
        <v>2116.84</v>
      </c>
      <c r="G637" s="10">
        <f t="shared" si="9"/>
        <v>38619.64583</v>
      </c>
      <c r="H637" s="6" t="str">
        <f t="shared" si="6"/>
        <v/>
      </c>
      <c r="I637" s="2">
        <f t="shared" si="7"/>
        <v>1175.88</v>
      </c>
      <c r="M637" s="10">
        <f>IFERROR(__xludf.DUMMYFUNCTION("""COMPUTED_VALUE"""),38903.666666666664)</f>
        <v>38903.66667</v>
      </c>
      <c r="N637" s="2">
        <f>IFERROR(__xludf.DUMMYFUNCTION("""COMPUTED_VALUE"""),2153.34)</f>
        <v>2153.34</v>
      </c>
      <c r="S637" s="15"/>
    </row>
    <row r="638">
      <c r="A638" s="10">
        <f t="shared" si="8"/>
        <v>38620.66667</v>
      </c>
      <c r="B638" s="2" t="str">
        <f t="shared" si="2"/>
        <v/>
      </c>
      <c r="C638" s="2" t="str">
        <f t="shared" si="3"/>
        <v>SP500</v>
      </c>
      <c r="D638" s="2" t="str">
        <f t="shared" si="4"/>
        <v/>
      </c>
      <c r="E638" s="2">
        <f t="shared" si="5"/>
        <v>2116.84</v>
      </c>
      <c r="G638" s="10">
        <f t="shared" si="9"/>
        <v>38620.64583</v>
      </c>
      <c r="H638" s="6" t="str">
        <f t="shared" si="6"/>
        <v/>
      </c>
      <c r="I638" s="2">
        <f t="shared" si="7"/>
        <v>1175.88</v>
      </c>
      <c r="M638" s="10">
        <f>IFERROR(__xludf.DUMMYFUNCTION("""COMPUTED_VALUE"""),38904.666666666664)</f>
        <v>38904.66667</v>
      </c>
      <c r="N638" s="2">
        <f>IFERROR(__xludf.DUMMYFUNCTION("""COMPUTED_VALUE"""),2155.09)</f>
        <v>2155.09</v>
      </c>
      <c r="S638" s="15"/>
    </row>
    <row r="639">
      <c r="A639" s="10">
        <f t="shared" si="8"/>
        <v>38621.66667</v>
      </c>
      <c r="B639" s="2" t="str">
        <f t="shared" si="2"/>
        <v/>
      </c>
      <c r="C639" s="2" t="str">
        <f t="shared" si="3"/>
        <v>SP500</v>
      </c>
      <c r="D639" s="2">
        <f t="shared" si="4"/>
        <v>2121.46</v>
      </c>
      <c r="E639" s="2">
        <f t="shared" si="5"/>
        <v>2121.46</v>
      </c>
      <c r="G639" s="10">
        <f t="shared" si="9"/>
        <v>38621.64583</v>
      </c>
      <c r="H639" s="6">
        <f t="shared" si="6"/>
        <v>1206.41</v>
      </c>
      <c r="I639" s="2">
        <f t="shared" si="7"/>
        <v>1206.41</v>
      </c>
      <c r="M639" s="10">
        <f>IFERROR(__xludf.DUMMYFUNCTION("""COMPUTED_VALUE"""),38905.666666666664)</f>
        <v>38905.66667</v>
      </c>
      <c r="N639" s="2">
        <f>IFERROR(__xludf.DUMMYFUNCTION("""COMPUTED_VALUE"""),2130.06)</f>
        <v>2130.06</v>
      </c>
      <c r="S639" s="15"/>
    </row>
    <row r="640">
      <c r="A640" s="10">
        <f t="shared" si="8"/>
        <v>38622.66667</v>
      </c>
      <c r="B640" s="2" t="str">
        <f t="shared" si="2"/>
        <v/>
      </c>
      <c r="C640" s="2" t="str">
        <f t="shared" si="3"/>
        <v>SP500</v>
      </c>
      <c r="D640" s="2">
        <f t="shared" si="4"/>
        <v>2116.42</v>
      </c>
      <c r="E640" s="2">
        <f t="shared" si="5"/>
        <v>2116.42</v>
      </c>
      <c r="G640" s="10">
        <f t="shared" si="9"/>
        <v>38622.64583</v>
      </c>
      <c r="H640" s="6">
        <f t="shared" si="6"/>
        <v>1209.63</v>
      </c>
      <c r="I640" s="2">
        <f t="shared" si="7"/>
        <v>1209.63</v>
      </c>
      <c r="M640" s="10">
        <f>IFERROR(__xludf.DUMMYFUNCTION("""COMPUTED_VALUE"""),38908.666666666664)</f>
        <v>38908.66667</v>
      </c>
      <c r="N640" s="2">
        <f>IFERROR(__xludf.DUMMYFUNCTION("""COMPUTED_VALUE"""),2116.93)</f>
        <v>2116.93</v>
      </c>
      <c r="S640" s="15"/>
    </row>
    <row r="641">
      <c r="A641" s="10">
        <f t="shared" si="8"/>
        <v>38623.66667</v>
      </c>
      <c r="B641" s="2" t="str">
        <f t="shared" si="2"/>
        <v/>
      </c>
      <c r="C641" s="2" t="str">
        <f t="shared" si="3"/>
        <v>SP500</v>
      </c>
      <c r="D641" s="2">
        <f t="shared" si="4"/>
        <v>2115.4</v>
      </c>
      <c r="E641" s="2">
        <f t="shared" si="5"/>
        <v>2115.4</v>
      </c>
      <c r="G641" s="10">
        <f t="shared" si="9"/>
        <v>38623.64583</v>
      </c>
      <c r="H641" s="6">
        <f t="shared" si="6"/>
        <v>1228.57</v>
      </c>
      <c r="I641" s="2">
        <f t="shared" si="7"/>
        <v>1228.57</v>
      </c>
      <c r="M641" s="10">
        <f>IFERROR(__xludf.DUMMYFUNCTION("""COMPUTED_VALUE"""),38909.666666666664)</f>
        <v>38909.66667</v>
      </c>
      <c r="N641" s="2">
        <f>IFERROR(__xludf.DUMMYFUNCTION("""COMPUTED_VALUE"""),2128.86)</f>
        <v>2128.86</v>
      </c>
      <c r="S641" s="15"/>
    </row>
    <row r="642">
      <c r="A642" s="10">
        <f t="shared" si="8"/>
        <v>38624.66667</v>
      </c>
      <c r="B642" s="2" t="str">
        <f t="shared" si="2"/>
        <v/>
      </c>
      <c r="C642" s="2" t="str">
        <f t="shared" si="3"/>
        <v>SP500</v>
      </c>
      <c r="D642" s="2">
        <f t="shared" si="4"/>
        <v>2141.22</v>
      </c>
      <c r="E642" s="2">
        <f t="shared" si="5"/>
        <v>2141.22</v>
      </c>
      <c r="G642" s="10">
        <f t="shared" si="9"/>
        <v>38624.64583</v>
      </c>
      <c r="H642" s="6">
        <f t="shared" si="6"/>
        <v>1231.22</v>
      </c>
      <c r="I642" s="2">
        <f t="shared" si="7"/>
        <v>1231.22</v>
      </c>
      <c r="M642" s="10">
        <f>IFERROR(__xludf.DUMMYFUNCTION("""COMPUTED_VALUE"""),38910.666666666664)</f>
        <v>38910.66667</v>
      </c>
      <c r="N642" s="2">
        <f>IFERROR(__xludf.DUMMYFUNCTION("""COMPUTED_VALUE"""),2090.24)</f>
        <v>2090.24</v>
      </c>
      <c r="S642" s="15"/>
    </row>
    <row r="643">
      <c r="A643" s="10">
        <f t="shared" si="8"/>
        <v>38625.66667</v>
      </c>
      <c r="B643" s="2" t="str">
        <f t="shared" si="2"/>
        <v/>
      </c>
      <c r="C643" s="2" t="str">
        <f t="shared" si="3"/>
        <v>SP500</v>
      </c>
      <c r="D643" s="2">
        <f t="shared" si="4"/>
        <v>2151.69</v>
      </c>
      <c r="E643" s="2">
        <f t="shared" si="5"/>
        <v>2151.69</v>
      </c>
      <c r="G643" s="10">
        <f t="shared" si="9"/>
        <v>38625.64583</v>
      </c>
      <c r="H643" s="6">
        <f t="shared" si="6"/>
        <v>1221.01</v>
      </c>
      <c r="I643" s="2">
        <f t="shared" si="7"/>
        <v>1221.01</v>
      </c>
      <c r="M643" s="10">
        <f>IFERROR(__xludf.DUMMYFUNCTION("""COMPUTED_VALUE"""),38911.666666666664)</f>
        <v>38911.66667</v>
      </c>
      <c r="N643" s="2">
        <f>IFERROR(__xludf.DUMMYFUNCTION("""COMPUTED_VALUE"""),2054.11)</f>
        <v>2054.11</v>
      </c>
      <c r="S643" s="15"/>
    </row>
    <row r="644">
      <c r="A644" s="10">
        <f t="shared" si="8"/>
        <v>38626.66667</v>
      </c>
      <c r="B644" s="2" t="str">
        <f t="shared" si="2"/>
        <v/>
      </c>
      <c r="C644" s="2" t="str">
        <f t="shared" si="3"/>
        <v>SP500</v>
      </c>
      <c r="D644" s="2" t="str">
        <f t="shared" si="4"/>
        <v/>
      </c>
      <c r="E644" s="2">
        <f t="shared" si="5"/>
        <v>2151.69</v>
      </c>
      <c r="G644" s="10">
        <f t="shared" si="9"/>
        <v>38626.64583</v>
      </c>
      <c r="H644" s="6" t="str">
        <f t="shared" si="6"/>
        <v/>
      </c>
      <c r="I644" s="2">
        <f t="shared" si="7"/>
        <v>1221.01</v>
      </c>
      <c r="M644" s="10">
        <f>IFERROR(__xludf.DUMMYFUNCTION("""COMPUTED_VALUE"""),38912.666666666664)</f>
        <v>38912.66667</v>
      </c>
      <c r="N644" s="2">
        <f>IFERROR(__xludf.DUMMYFUNCTION("""COMPUTED_VALUE"""),2037.35)</f>
        <v>2037.35</v>
      </c>
      <c r="S644" s="15"/>
    </row>
    <row r="645">
      <c r="A645" s="10">
        <f t="shared" si="8"/>
        <v>38627.66667</v>
      </c>
      <c r="B645" s="2" t="str">
        <f t="shared" si="2"/>
        <v/>
      </c>
      <c r="C645" s="2" t="str">
        <f t="shared" si="3"/>
        <v>SP500</v>
      </c>
      <c r="D645" s="2" t="str">
        <f t="shared" si="4"/>
        <v/>
      </c>
      <c r="E645" s="2">
        <f t="shared" si="5"/>
        <v>2151.69</v>
      </c>
      <c r="G645" s="10">
        <f t="shared" si="9"/>
        <v>38627.64583</v>
      </c>
      <c r="H645" s="6" t="str">
        <f t="shared" si="6"/>
        <v/>
      </c>
      <c r="I645" s="2">
        <f t="shared" si="7"/>
        <v>1221.01</v>
      </c>
      <c r="M645" s="10">
        <f>IFERROR(__xludf.DUMMYFUNCTION("""COMPUTED_VALUE"""),38915.666666666664)</f>
        <v>38915.66667</v>
      </c>
      <c r="N645" s="2">
        <f>IFERROR(__xludf.DUMMYFUNCTION("""COMPUTED_VALUE"""),2037.72)</f>
        <v>2037.72</v>
      </c>
      <c r="S645" s="15"/>
    </row>
    <row r="646">
      <c r="A646" s="10">
        <f t="shared" si="8"/>
        <v>38628.66667</v>
      </c>
      <c r="B646" s="2" t="str">
        <f t="shared" si="2"/>
        <v/>
      </c>
      <c r="C646" s="2" t="str">
        <f t="shared" si="3"/>
        <v>SP500</v>
      </c>
      <c r="D646" s="2">
        <f t="shared" si="4"/>
        <v>2155.43</v>
      </c>
      <c r="E646" s="2">
        <f t="shared" si="5"/>
        <v>2155.43</v>
      </c>
      <c r="G646" s="10">
        <f t="shared" si="9"/>
        <v>38628.64583</v>
      </c>
      <c r="H646" s="6" t="str">
        <f t="shared" si="6"/>
        <v/>
      </c>
      <c r="I646" s="2">
        <f t="shared" si="7"/>
        <v>1221.01</v>
      </c>
      <c r="M646" s="10">
        <f>IFERROR(__xludf.DUMMYFUNCTION("""COMPUTED_VALUE"""),38916.666666666664)</f>
        <v>38916.66667</v>
      </c>
      <c r="N646" s="2">
        <f>IFERROR(__xludf.DUMMYFUNCTION("""COMPUTED_VALUE"""),2043.22)</f>
        <v>2043.22</v>
      </c>
      <c r="S646" s="15"/>
    </row>
    <row r="647">
      <c r="A647" s="10">
        <f t="shared" si="8"/>
        <v>38629.66667</v>
      </c>
      <c r="B647" s="2" t="str">
        <f t="shared" si="2"/>
        <v/>
      </c>
      <c r="C647" s="2" t="str">
        <f t="shared" si="3"/>
        <v>SP500</v>
      </c>
      <c r="D647" s="2">
        <f t="shared" si="4"/>
        <v>2139.36</v>
      </c>
      <c r="E647" s="2">
        <f t="shared" si="5"/>
        <v>2139.36</v>
      </c>
      <c r="G647" s="10">
        <f t="shared" si="9"/>
        <v>38629.64583</v>
      </c>
      <c r="H647" s="6">
        <f t="shared" si="6"/>
        <v>1242.78</v>
      </c>
      <c r="I647" s="2">
        <f t="shared" si="7"/>
        <v>1242.78</v>
      </c>
      <c r="M647" s="10">
        <f>IFERROR(__xludf.DUMMYFUNCTION("""COMPUTED_VALUE"""),38917.666666666664)</f>
        <v>38917.66667</v>
      </c>
      <c r="N647" s="2">
        <f>IFERROR(__xludf.DUMMYFUNCTION("""COMPUTED_VALUE"""),2080.71)</f>
        <v>2080.71</v>
      </c>
      <c r="S647" s="15"/>
    </row>
    <row r="648">
      <c r="A648" s="10">
        <f t="shared" si="8"/>
        <v>38630.66667</v>
      </c>
      <c r="B648" s="2" t="str">
        <f t="shared" si="2"/>
        <v/>
      </c>
      <c r="C648" s="2" t="str">
        <f t="shared" si="3"/>
        <v>SP500</v>
      </c>
      <c r="D648" s="2">
        <f t="shared" si="4"/>
        <v>2103.02</v>
      </c>
      <c r="E648" s="2">
        <f t="shared" si="5"/>
        <v>2103.02</v>
      </c>
      <c r="G648" s="10">
        <f t="shared" si="9"/>
        <v>38630.64583</v>
      </c>
      <c r="H648" s="6">
        <f t="shared" si="6"/>
        <v>1227.4</v>
      </c>
      <c r="I648" s="2">
        <f t="shared" si="7"/>
        <v>1227.4</v>
      </c>
      <c r="M648" s="10">
        <f>IFERROR(__xludf.DUMMYFUNCTION("""COMPUTED_VALUE"""),38918.666666666664)</f>
        <v>38918.66667</v>
      </c>
      <c r="N648" s="2">
        <f>IFERROR(__xludf.DUMMYFUNCTION("""COMPUTED_VALUE"""),2039.42)</f>
        <v>2039.42</v>
      </c>
      <c r="S648" s="15"/>
    </row>
    <row r="649">
      <c r="A649" s="10">
        <f t="shared" si="8"/>
        <v>38631.66667</v>
      </c>
      <c r="B649" s="2" t="str">
        <f t="shared" si="2"/>
        <v/>
      </c>
      <c r="C649" s="2" t="str">
        <f t="shared" si="3"/>
        <v>SP500</v>
      </c>
      <c r="D649" s="2">
        <f t="shared" si="4"/>
        <v>2084.08</v>
      </c>
      <c r="E649" s="2">
        <f t="shared" si="5"/>
        <v>2084.08</v>
      </c>
      <c r="G649" s="10">
        <f t="shared" si="9"/>
        <v>38631.64583</v>
      </c>
      <c r="H649" s="6">
        <f t="shared" si="6"/>
        <v>1202.49</v>
      </c>
      <c r="I649" s="2">
        <f t="shared" si="7"/>
        <v>1202.49</v>
      </c>
      <c r="M649" s="10">
        <f>IFERROR(__xludf.DUMMYFUNCTION("""COMPUTED_VALUE"""),38919.666666666664)</f>
        <v>38919.66667</v>
      </c>
      <c r="N649" s="2">
        <f>IFERROR(__xludf.DUMMYFUNCTION("""COMPUTED_VALUE"""),2020.39)</f>
        <v>2020.39</v>
      </c>
      <c r="S649" s="15"/>
    </row>
    <row r="650">
      <c r="A650" s="10">
        <f t="shared" si="8"/>
        <v>38632.66667</v>
      </c>
      <c r="B650" s="2" t="str">
        <f t="shared" si="2"/>
        <v/>
      </c>
      <c r="C650" s="2" t="str">
        <f t="shared" si="3"/>
        <v>SP500</v>
      </c>
      <c r="D650" s="2">
        <f t="shared" si="4"/>
        <v>2090.35</v>
      </c>
      <c r="E650" s="2">
        <f t="shared" si="5"/>
        <v>2090.35</v>
      </c>
      <c r="G650" s="10">
        <f t="shared" si="9"/>
        <v>38632.64583</v>
      </c>
      <c r="H650" s="6">
        <f t="shared" si="6"/>
        <v>1201.01</v>
      </c>
      <c r="I650" s="2">
        <f t="shared" si="7"/>
        <v>1201.01</v>
      </c>
      <c r="M650" s="10">
        <f>IFERROR(__xludf.DUMMYFUNCTION("""COMPUTED_VALUE"""),38922.666666666664)</f>
        <v>38922.66667</v>
      </c>
      <c r="N650" s="2">
        <f>IFERROR(__xludf.DUMMYFUNCTION("""COMPUTED_VALUE"""),2061.84)</f>
        <v>2061.84</v>
      </c>
      <c r="S650" s="15"/>
    </row>
    <row r="651">
      <c r="A651" s="10">
        <f t="shared" si="8"/>
        <v>38633.66667</v>
      </c>
      <c r="B651" s="2" t="str">
        <f t="shared" si="2"/>
        <v/>
      </c>
      <c r="C651" s="2" t="str">
        <f t="shared" si="3"/>
        <v>SP500</v>
      </c>
      <c r="D651" s="2" t="str">
        <f t="shared" si="4"/>
        <v/>
      </c>
      <c r="E651" s="2">
        <f t="shared" si="5"/>
        <v>2090.35</v>
      </c>
      <c r="G651" s="10">
        <f t="shared" si="9"/>
        <v>38633.64583</v>
      </c>
      <c r="H651" s="6" t="str">
        <f t="shared" si="6"/>
        <v/>
      </c>
      <c r="I651" s="2">
        <f t="shared" si="7"/>
        <v>1201.01</v>
      </c>
      <c r="M651" s="10">
        <f>IFERROR(__xludf.DUMMYFUNCTION("""COMPUTED_VALUE"""),38923.666666666664)</f>
        <v>38923.66667</v>
      </c>
      <c r="N651" s="2">
        <f>IFERROR(__xludf.DUMMYFUNCTION("""COMPUTED_VALUE"""),2073.9)</f>
        <v>2073.9</v>
      </c>
      <c r="S651" s="15"/>
    </row>
    <row r="652">
      <c r="A652" s="10">
        <f t="shared" si="8"/>
        <v>38634.66667</v>
      </c>
      <c r="B652" s="2" t="str">
        <f t="shared" si="2"/>
        <v/>
      </c>
      <c r="C652" s="2" t="str">
        <f t="shared" si="3"/>
        <v>SP500</v>
      </c>
      <c r="D652" s="2" t="str">
        <f t="shared" si="4"/>
        <v/>
      </c>
      <c r="E652" s="2">
        <f t="shared" si="5"/>
        <v>2090.35</v>
      </c>
      <c r="G652" s="10">
        <f t="shared" si="9"/>
        <v>38634.64583</v>
      </c>
      <c r="H652" s="6" t="str">
        <f t="shared" si="6"/>
        <v/>
      </c>
      <c r="I652" s="2">
        <f t="shared" si="7"/>
        <v>1201.01</v>
      </c>
      <c r="M652" s="10">
        <f>IFERROR(__xludf.DUMMYFUNCTION("""COMPUTED_VALUE"""),38924.666666666664)</f>
        <v>38924.66667</v>
      </c>
      <c r="N652" s="2">
        <f>IFERROR(__xludf.DUMMYFUNCTION("""COMPUTED_VALUE"""),2070.46)</f>
        <v>2070.46</v>
      </c>
      <c r="S652" s="15"/>
    </row>
    <row r="653">
      <c r="A653" s="10">
        <f t="shared" si="8"/>
        <v>38635.66667</v>
      </c>
      <c r="B653" s="2" t="str">
        <f t="shared" si="2"/>
        <v/>
      </c>
      <c r="C653" s="2" t="str">
        <f t="shared" si="3"/>
        <v>SP500</v>
      </c>
      <c r="D653" s="2">
        <f t="shared" si="4"/>
        <v>2078.92</v>
      </c>
      <c r="E653" s="2">
        <f t="shared" si="5"/>
        <v>2078.92</v>
      </c>
      <c r="G653" s="10">
        <f t="shared" si="9"/>
        <v>38635.64583</v>
      </c>
      <c r="H653" s="6">
        <f t="shared" si="6"/>
        <v>1227.18</v>
      </c>
      <c r="I653" s="2">
        <f t="shared" si="7"/>
        <v>1227.18</v>
      </c>
      <c r="M653" s="10">
        <f>IFERROR(__xludf.DUMMYFUNCTION("""COMPUTED_VALUE"""),38925.666666666664)</f>
        <v>38925.66667</v>
      </c>
      <c r="N653" s="2">
        <f>IFERROR(__xludf.DUMMYFUNCTION("""COMPUTED_VALUE"""),2054.47)</f>
        <v>2054.47</v>
      </c>
      <c r="S653" s="15"/>
    </row>
    <row r="654">
      <c r="A654" s="10">
        <f t="shared" si="8"/>
        <v>38636.66667</v>
      </c>
      <c r="B654" s="2" t="str">
        <f t="shared" si="2"/>
        <v/>
      </c>
      <c r="C654" s="2" t="str">
        <f t="shared" si="3"/>
        <v>SP500</v>
      </c>
      <c r="D654" s="2">
        <f t="shared" si="4"/>
        <v>2061.09</v>
      </c>
      <c r="E654" s="2">
        <f t="shared" si="5"/>
        <v>2061.09</v>
      </c>
      <c r="G654" s="10">
        <f t="shared" si="9"/>
        <v>38636.64583</v>
      </c>
      <c r="H654" s="6">
        <f t="shared" si="6"/>
        <v>1244.27</v>
      </c>
      <c r="I654" s="2">
        <f t="shared" si="7"/>
        <v>1244.27</v>
      </c>
      <c r="M654" s="10">
        <f>IFERROR(__xludf.DUMMYFUNCTION("""COMPUTED_VALUE"""),38926.666666666664)</f>
        <v>38926.66667</v>
      </c>
      <c r="N654" s="2">
        <f>IFERROR(__xludf.DUMMYFUNCTION("""COMPUTED_VALUE"""),2094.14)</f>
        <v>2094.14</v>
      </c>
      <c r="S654" s="15"/>
    </row>
    <row r="655">
      <c r="A655" s="10">
        <f t="shared" si="8"/>
        <v>38637.66667</v>
      </c>
      <c r="B655" s="2" t="str">
        <f t="shared" si="2"/>
        <v/>
      </c>
      <c r="C655" s="2" t="str">
        <f t="shared" si="3"/>
        <v>SP500</v>
      </c>
      <c r="D655" s="2">
        <f t="shared" si="4"/>
        <v>2037.47</v>
      </c>
      <c r="E655" s="2">
        <f t="shared" si="5"/>
        <v>2037.47</v>
      </c>
      <c r="G655" s="10">
        <f t="shared" si="9"/>
        <v>38637.64583</v>
      </c>
      <c r="H655" s="6">
        <f t="shared" si="6"/>
        <v>1217.06</v>
      </c>
      <c r="I655" s="2">
        <f t="shared" si="7"/>
        <v>1217.06</v>
      </c>
      <c r="M655" s="10">
        <f>IFERROR(__xludf.DUMMYFUNCTION("""COMPUTED_VALUE"""),38929.666666666664)</f>
        <v>38929.66667</v>
      </c>
      <c r="N655" s="2">
        <f>IFERROR(__xludf.DUMMYFUNCTION("""COMPUTED_VALUE"""),2091.47)</f>
        <v>2091.47</v>
      </c>
      <c r="S655" s="15"/>
    </row>
    <row r="656">
      <c r="A656" s="10">
        <f t="shared" si="8"/>
        <v>38638.66667</v>
      </c>
      <c r="B656" s="2" t="str">
        <f t="shared" si="2"/>
        <v/>
      </c>
      <c r="C656" s="2" t="str">
        <f t="shared" si="3"/>
        <v>SP500</v>
      </c>
      <c r="D656" s="2">
        <f t="shared" si="4"/>
        <v>2047.22</v>
      </c>
      <c r="E656" s="2">
        <f t="shared" si="5"/>
        <v>2047.22</v>
      </c>
      <c r="G656" s="10">
        <f t="shared" si="9"/>
        <v>38638.64583</v>
      </c>
      <c r="H656" s="6">
        <f t="shared" si="6"/>
        <v>1193.44</v>
      </c>
      <c r="I656" s="2">
        <f t="shared" si="7"/>
        <v>1193.44</v>
      </c>
      <c r="M656" s="10">
        <f>IFERROR(__xludf.DUMMYFUNCTION("""COMPUTED_VALUE"""),38930.666666666664)</f>
        <v>38930.66667</v>
      </c>
      <c r="N656" s="2">
        <f>IFERROR(__xludf.DUMMYFUNCTION("""COMPUTED_VALUE"""),2061.99)</f>
        <v>2061.99</v>
      </c>
      <c r="S656" s="15"/>
    </row>
    <row r="657">
      <c r="A657" s="10">
        <f t="shared" si="8"/>
        <v>38639.66667</v>
      </c>
      <c r="B657" s="2" t="str">
        <f t="shared" si="2"/>
        <v/>
      </c>
      <c r="C657" s="2" t="str">
        <f t="shared" si="3"/>
        <v>SP500</v>
      </c>
      <c r="D657" s="2">
        <f t="shared" si="4"/>
        <v>2064.83</v>
      </c>
      <c r="E657" s="2">
        <f t="shared" si="5"/>
        <v>2064.83</v>
      </c>
      <c r="G657" s="10">
        <f t="shared" si="9"/>
        <v>38639.64583</v>
      </c>
      <c r="H657" s="6">
        <f t="shared" si="6"/>
        <v>1190.17</v>
      </c>
      <c r="I657" s="2">
        <f t="shared" si="7"/>
        <v>1190.17</v>
      </c>
      <c r="M657" s="10">
        <f>IFERROR(__xludf.DUMMYFUNCTION("""COMPUTED_VALUE"""),38931.666666666664)</f>
        <v>38931.66667</v>
      </c>
      <c r="N657" s="2">
        <f>IFERROR(__xludf.DUMMYFUNCTION("""COMPUTED_VALUE"""),2078.81)</f>
        <v>2078.81</v>
      </c>
      <c r="S657" s="15"/>
    </row>
    <row r="658">
      <c r="A658" s="10">
        <f t="shared" si="8"/>
        <v>38640.66667</v>
      </c>
      <c r="B658" s="2" t="str">
        <f t="shared" si="2"/>
        <v/>
      </c>
      <c r="C658" s="2" t="str">
        <f t="shared" si="3"/>
        <v>SP500</v>
      </c>
      <c r="D658" s="2" t="str">
        <f t="shared" si="4"/>
        <v/>
      </c>
      <c r="E658" s="2">
        <f t="shared" si="5"/>
        <v>2064.83</v>
      </c>
      <c r="G658" s="10">
        <f t="shared" si="9"/>
        <v>38640.64583</v>
      </c>
      <c r="H658" s="6" t="str">
        <f t="shared" si="6"/>
        <v/>
      </c>
      <c r="I658" s="2">
        <f t="shared" si="7"/>
        <v>1190.17</v>
      </c>
      <c r="M658" s="10">
        <f>IFERROR(__xludf.DUMMYFUNCTION("""COMPUTED_VALUE"""),38932.666666666664)</f>
        <v>38932.66667</v>
      </c>
      <c r="N658" s="2">
        <f>IFERROR(__xludf.DUMMYFUNCTION("""COMPUTED_VALUE"""),2092.34)</f>
        <v>2092.34</v>
      </c>
      <c r="S658" s="15"/>
    </row>
    <row r="659">
      <c r="A659" s="10">
        <f t="shared" si="8"/>
        <v>38641.66667</v>
      </c>
      <c r="B659" s="2" t="str">
        <f t="shared" si="2"/>
        <v/>
      </c>
      <c r="C659" s="2" t="str">
        <f t="shared" si="3"/>
        <v>SP500</v>
      </c>
      <c r="D659" s="2" t="str">
        <f t="shared" si="4"/>
        <v/>
      </c>
      <c r="E659" s="2">
        <f t="shared" si="5"/>
        <v>2064.83</v>
      </c>
      <c r="G659" s="10">
        <f t="shared" si="9"/>
        <v>38641.64583</v>
      </c>
      <c r="H659" s="6" t="str">
        <f t="shared" si="6"/>
        <v/>
      </c>
      <c r="I659" s="2">
        <f t="shared" si="7"/>
        <v>1190.17</v>
      </c>
      <c r="M659" s="10">
        <f>IFERROR(__xludf.DUMMYFUNCTION("""COMPUTED_VALUE"""),38933.666666666664)</f>
        <v>38933.66667</v>
      </c>
      <c r="N659" s="2">
        <f>IFERROR(__xludf.DUMMYFUNCTION("""COMPUTED_VALUE"""),2085.05)</f>
        <v>2085.05</v>
      </c>
      <c r="S659" s="15"/>
    </row>
    <row r="660">
      <c r="A660" s="10">
        <f t="shared" si="8"/>
        <v>38642.66667</v>
      </c>
      <c r="B660" s="2" t="str">
        <f t="shared" si="2"/>
        <v/>
      </c>
      <c r="C660" s="2" t="str">
        <f t="shared" si="3"/>
        <v>SP500</v>
      </c>
      <c r="D660" s="2">
        <f t="shared" si="4"/>
        <v>2070.3</v>
      </c>
      <c r="E660" s="2">
        <f t="shared" si="5"/>
        <v>2070.3</v>
      </c>
      <c r="G660" s="10">
        <f t="shared" si="9"/>
        <v>38642.64583</v>
      </c>
      <c r="H660" s="6">
        <f t="shared" si="6"/>
        <v>1176.36</v>
      </c>
      <c r="I660" s="2">
        <f t="shared" si="7"/>
        <v>1176.36</v>
      </c>
      <c r="M660" s="10">
        <f>IFERROR(__xludf.DUMMYFUNCTION("""COMPUTED_VALUE"""),38936.666666666664)</f>
        <v>38936.66667</v>
      </c>
      <c r="N660" s="2">
        <f>IFERROR(__xludf.DUMMYFUNCTION("""COMPUTED_VALUE"""),2072.5)</f>
        <v>2072.5</v>
      </c>
      <c r="S660" s="15"/>
    </row>
    <row r="661">
      <c r="A661" s="10">
        <f t="shared" si="8"/>
        <v>38643.66667</v>
      </c>
      <c r="B661" s="2" t="str">
        <f t="shared" si="2"/>
        <v/>
      </c>
      <c r="C661" s="2" t="str">
        <f t="shared" si="3"/>
        <v>SP500</v>
      </c>
      <c r="D661" s="2">
        <f t="shared" si="4"/>
        <v>2056</v>
      </c>
      <c r="E661" s="2">
        <f t="shared" si="5"/>
        <v>2056</v>
      </c>
      <c r="G661" s="10">
        <f t="shared" si="9"/>
        <v>38643.64583</v>
      </c>
      <c r="H661" s="6">
        <f t="shared" si="6"/>
        <v>1186.22</v>
      </c>
      <c r="I661" s="2">
        <f t="shared" si="7"/>
        <v>1186.22</v>
      </c>
      <c r="M661" s="10">
        <f>IFERROR(__xludf.DUMMYFUNCTION("""COMPUTED_VALUE"""),38937.666666666664)</f>
        <v>38937.66667</v>
      </c>
      <c r="N661" s="2">
        <f>IFERROR(__xludf.DUMMYFUNCTION("""COMPUTED_VALUE"""),2060.85)</f>
        <v>2060.85</v>
      </c>
      <c r="S661" s="15"/>
    </row>
    <row r="662">
      <c r="A662" s="10">
        <f t="shared" si="8"/>
        <v>38644.66667</v>
      </c>
      <c r="B662" s="2" t="str">
        <f t="shared" si="2"/>
        <v/>
      </c>
      <c r="C662" s="2" t="str">
        <f t="shared" si="3"/>
        <v>SP500</v>
      </c>
      <c r="D662" s="2">
        <f t="shared" si="4"/>
        <v>2091.24</v>
      </c>
      <c r="E662" s="2">
        <f t="shared" si="5"/>
        <v>2091.24</v>
      </c>
      <c r="G662" s="10">
        <f t="shared" si="9"/>
        <v>38644.64583</v>
      </c>
      <c r="H662" s="6">
        <f t="shared" si="6"/>
        <v>1153.13</v>
      </c>
      <c r="I662" s="2">
        <f t="shared" si="7"/>
        <v>1153.13</v>
      </c>
      <c r="M662" s="10">
        <f>IFERROR(__xludf.DUMMYFUNCTION("""COMPUTED_VALUE"""),38938.666666666664)</f>
        <v>38938.66667</v>
      </c>
      <c r="N662" s="2">
        <f>IFERROR(__xludf.DUMMYFUNCTION("""COMPUTED_VALUE"""),2060.28)</f>
        <v>2060.28</v>
      </c>
      <c r="S662" s="15"/>
    </row>
    <row r="663">
      <c r="A663" s="10">
        <f t="shared" si="8"/>
        <v>38645.66667</v>
      </c>
      <c r="B663" s="2" t="str">
        <f t="shared" si="2"/>
        <v/>
      </c>
      <c r="C663" s="2" t="str">
        <f t="shared" si="3"/>
        <v>SP500</v>
      </c>
      <c r="D663" s="2">
        <f t="shared" si="4"/>
        <v>2068.11</v>
      </c>
      <c r="E663" s="2">
        <f t="shared" si="5"/>
        <v>2068.11</v>
      </c>
      <c r="G663" s="10">
        <f t="shared" si="9"/>
        <v>38645.64583</v>
      </c>
      <c r="H663" s="6">
        <f t="shared" si="6"/>
        <v>1162.23</v>
      </c>
      <c r="I663" s="2">
        <f t="shared" si="7"/>
        <v>1162.23</v>
      </c>
      <c r="M663" s="10">
        <f>IFERROR(__xludf.DUMMYFUNCTION("""COMPUTED_VALUE"""),38939.666666666664)</f>
        <v>38939.66667</v>
      </c>
      <c r="N663" s="2">
        <f>IFERROR(__xludf.DUMMYFUNCTION("""COMPUTED_VALUE"""),2071.74)</f>
        <v>2071.74</v>
      </c>
      <c r="S663" s="15"/>
    </row>
    <row r="664">
      <c r="A664" s="10">
        <f t="shared" si="8"/>
        <v>38646.66667</v>
      </c>
      <c r="B664" s="2" t="str">
        <f t="shared" si="2"/>
        <v/>
      </c>
      <c r="C664" s="2" t="str">
        <f t="shared" si="3"/>
        <v>SP500</v>
      </c>
      <c r="D664" s="2">
        <f t="shared" si="4"/>
        <v>2082.21</v>
      </c>
      <c r="E664" s="2">
        <f t="shared" si="5"/>
        <v>2082.21</v>
      </c>
      <c r="G664" s="10">
        <f t="shared" si="9"/>
        <v>38646.64583</v>
      </c>
      <c r="H664" s="6">
        <f t="shared" si="6"/>
        <v>1183.48</v>
      </c>
      <c r="I664" s="2">
        <f t="shared" si="7"/>
        <v>1183.48</v>
      </c>
      <c r="M664" s="10">
        <f>IFERROR(__xludf.DUMMYFUNCTION("""COMPUTED_VALUE"""),38940.666666666664)</f>
        <v>38940.66667</v>
      </c>
      <c r="N664" s="2">
        <f>IFERROR(__xludf.DUMMYFUNCTION("""COMPUTED_VALUE"""),2057.71)</f>
        <v>2057.71</v>
      </c>
      <c r="S664" s="15"/>
    </row>
    <row r="665">
      <c r="A665" s="10">
        <f t="shared" si="8"/>
        <v>38647.66667</v>
      </c>
      <c r="B665" s="2" t="str">
        <f t="shared" si="2"/>
        <v/>
      </c>
      <c r="C665" s="2" t="str">
        <f t="shared" si="3"/>
        <v>SP500</v>
      </c>
      <c r="D665" s="2" t="str">
        <f t="shared" si="4"/>
        <v/>
      </c>
      <c r="E665" s="2">
        <f t="shared" si="5"/>
        <v>2082.21</v>
      </c>
      <c r="G665" s="10">
        <f t="shared" si="9"/>
        <v>38647.64583</v>
      </c>
      <c r="H665" s="6" t="str">
        <f t="shared" si="6"/>
        <v/>
      </c>
      <c r="I665" s="2">
        <f t="shared" si="7"/>
        <v>1183.48</v>
      </c>
      <c r="M665" s="10">
        <f>IFERROR(__xludf.DUMMYFUNCTION("""COMPUTED_VALUE"""),38943.666666666664)</f>
        <v>38943.66667</v>
      </c>
      <c r="N665" s="2">
        <f>IFERROR(__xludf.DUMMYFUNCTION("""COMPUTED_VALUE"""),2069.04)</f>
        <v>2069.04</v>
      </c>
      <c r="S665" s="15"/>
    </row>
    <row r="666">
      <c r="A666" s="10">
        <f t="shared" si="8"/>
        <v>38648.66667</v>
      </c>
      <c r="B666" s="2" t="str">
        <f t="shared" si="2"/>
        <v/>
      </c>
      <c r="C666" s="2" t="str">
        <f t="shared" si="3"/>
        <v>SP500</v>
      </c>
      <c r="D666" s="2" t="str">
        <f t="shared" si="4"/>
        <v/>
      </c>
      <c r="E666" s="2">
        <f t="shared" si="5"/>
        <v>2082.21</v>
      </c>
      <c r="G666" s="10">
        <f t="shared" si="9"/>
        <v>38648.64583</v>
      </c>
      <c r="H666" s="6" t="str">
        <f t="shared" si="6"/>
        <v/>
      </c>
      <c r="I666" s="2">
        <f t="shared" si="7"/>
        <v>1183.48</v>
      </c>
      <c r="M666" s="10">
        <f>IFERROR(__xludf.DUMMYFUNCTION("""COMPUTED_VALUE"""),38944.666666666664)</f>
        <v>38944.66667</v>
      </c>
      <c r="N666" s="2">
        <f>IFERROR(__xludf.DUMMYFUNCTION("""COMPUTED_VALUE"""),2115.01)</f>
        <v>2115.01</v>
      </c>
      <c r="S666" s="15"/>
    </row>
    <row r="667">
      <c r="A667" s="10">
        <f t="shared" si="8"/>
        <v>38649.66667</v>
      </c>
      <c r="B667" s="2" t="str">
        <f t="shared" si="2"/>
        <v/>
      </c>
      <c r="C667" s="2" t="str">
        <f t="shared" si="3"/>
        <v>SP500</v>
      </c>
      <c r="D667" s="2">
        <f t="shared" si="4"/>
        <v>2115.83</v>
      </c>
      <c r="E667" s="2">
        <f t="shared" si="5"/>
        <v>2115.83</v>
      </c>
      <c r="G667" s="10">
        <f t="shared" si="9"/>
        <v>38649.64583</v>
      </c>
      <c r="H667" s="6">
        <f t="shared" si="6"/>
        <v>1184.6</v>
      </c>
      <c r="I667" s="2">
        <f t="shared" si="7"/>
        <v>1184.6</v>
      </c>
      <c r="M667" s="10">
        <f>IFERROR(__xludf.DUMMYFUNCTION("""COMPUTED_VALUE"""),38945.666666666664)</f>
        <v>38945.66667</v>
      </c>
      <c r="N667" s="2">
        <f>IFERROR(__xludf.DUMMYFUNCTION("""COMPUTED_VALUE"""),2149.54)</f>
        <v>2149.54</v>
      </c>
      <c r="S667" s="15"/>
    </row>
    <row r="668">
      <c r="A668" s="10">
        <f t="shared" si="8"/>
        <v>38650.66667</v>
      </c>
      <c r="B668" s="2" t="str">
        <f t="shared" si="2"/>
        <v/>
      </c>
      <c r="C668" s="2" t="str">
        <f t="shared" si="3"/>
        <v>SP500</v>
      </c>
      <c r="D668" s="2">
        <f t="shared" si="4"/>
        <v>2109.45</v>
      </c>
      <c r="E668" s="2">
        <f t="shared" si="5"/>
        <v>2109.45</v>
      </c>
      <c r="G668" s="10">
        <f t="shared" si="9"/>
        <v>38650.64583</v>
      </c>
      <c r="H668" s="6">
        <f t="shared" si="6"/>
        <v>1181.28</v>
      </c>
      <c r="I668" s="2">
        <f t="shared" si="7"/>
        <v>1181.28</v>
      </c>
      <c r="M668" s="10">
        <f>IFERROR(__xludf.DUMMYFUNCTION("""COMPUTED_VALUE"""),38946.666666666664)</f>
        <v>38946.66667</v>
      </c>
      <c r="N668" s="2">
        <f>IFERROR(__xludf.DUMMYFUNCTION("""COMPUTED_VALUE"""),2157.61)</f>
        <v>2157.61</v>
      </c>
      <c r="S668" s="14"/>
    </row>
    <row r="669">
      <c r="A669" s="10">
        <f t="shared" si="8"/>
        <v>38651.66667</v>
      </c>
      <c r="B669" s="2" t="str">
        <f t="shared" si="2"/>
        <v/>
      </c>
      <c r="C669" s="2" t="str">
        <f t="shared" si="3"/>
        <v>SP500</v>
      </c>
      <c r="D669" s="2">
        <f t="shared" si="4"/>
        <v>2100.05</v>
      </c>
      <c r="E669" s="2">
        <f t="shared" si="5"/>
        <v>2100.05</v>
      </c>
      <c r="G669" s="10">
        <f t="shared" si="9"/>
        <v>38651.64583</v>
      </c>
      <c r="H669" s="6">
        <f t="shared" si="6"/>
        <v>1179</v>
      </c>
      <c r="I669" s="2">
        <f t="shared" si="7"/>
        <v>1179</v>
      </c>
      <c r="M669" s="10">
        <f>IFERROR(__xludf.DUMMYFUNCTION("""COMPUTED_VALUE"""),38947.666666666664)</f>
        <v>38947.66667</v>
      </c>
      <c r="N669" s="2">
        <f>IFERROR(__xludf.DUMMYFUNCTION("""COMPUTED_VALUE"""),2163.95)</f>
        <v>2163.95</v>
      </c>
      <c r="S669" s="15"/>
    </row>
    <row r="670">
      <c r="A670" s="10">
        <f t="shared" si="8"/>
        <v>38652.66667</v>
      </c>
      <c r="B670" s="2" t="str">
        <f t="shared" si="2"/>
        <v/>
      </c>
      <c r="C670" s="2" t="str">
        <f t="shared" si="3"/>
        <v>SP500</v>
      </c>
      <c r="D670" s="2">
        <f t="shared" si="4"/>
        <v>2063.81</v>
      </c>
      <c r="E670" s="2">
        <f t="shared" si="5"/>
        <v>2063.81</v>
      </c>
      <c r="G670" s="10">
        <f t="shared" si="9"/>
        <v>38652.64583</v>
      </c>
      <c r="H670" s="6">
        <f t="shared" si="6"/>
        <v>1166.36</v>
      </c>
      <c r="I670" s="2">
        <f t="shared" si="7"/>
        <v>1166.36</v>
      </c>
      <c r="M670" s="10">
        <f>IFERROR(__xludf.DUMMYFUNCTION("""COMPUTED_VALUE"""),38950.666666666664)</f>
        <v>38950.66667</v>
      </c>
      <c r="N670" s="2">
        <f>IFERROR(__xludf.DUMMYFUNCTION("""COMPUTED_VALUE"""),2147.75)</f>
        <v>2147.75</v>
      </c>
      <c r="S670" s="15"/>
    </row>
    <row r="671">
      <c r="A671" s="10">
        <f t="shared" si="8"/>
        <v>38653.66667</v>
      </c>
      <c r="B671" s="2" t="str">
        <f t="shared" si="2"/>
        <v/>
      </c>
      <c r="C671" s="2" t="str">
        <f t="shared" si="3"/>
        <v>SP500</v>
      </c>
      <c r="D671" s="2">
        <f t="shared" si="4"/>
        <v>2089.88</v>
      </c>
      <c r="E671" s="2">
        <f t="shared" si="5"/>
        <v>2089.88</v>
      </c>
      <c r="G671" s="10">
        <f t="shared" si="9"/>
        <v>38653.64583</v>
      </c>
      <c r="H671" s="6">
        <f t="shared" si="6"/>
        <v>1140.72</v>
      </c>
      <c r="I671" s="2">
        <f t="shared" si="7"/>
        <v>1140.72</v>
      </c>
      <c r="M671" s="10">
        <f>IFERROR(__xludf.DUMMYFUNCTION("""COMPUTED_VALUE"""),38951.666666666664)</f>
        <v>38951.66667</v>
      </c>
      <c r="N671" s="2">
        <f>IFERROR(__xludf.DUMMYFUNCTION("""COMPUTED_VALUE"""),2150.02)</f>
        <v>2150.02</v>
      </c>
      <c r="S671" s="15"/>
    </row>
    <row r="672">
      <c r="A672" s="10">
        <f t="shared" si="8"/>
        <v>38654.66667</v>
      </c>
      <c r="B672" s="2" t="str">
        <f t="shared" si="2"/>
        <v/>
      </c>
      <c r="C672" s="2" t="str">
        <f t="shared" si="3"/>
        <v>SP500</v>
      </c>
      <c r="D672" s="2" t="str">
        <f t="shared" si="4"/>
        <v/>
      </c>
      <c r="E672" s="2">
        <f t="shared" si="5"/>
        <v>2089.88</v>
      </c>
      <c r="G672" s="10">
        <f t="shared" si="9"/>
        <v>38654.64583</v>
      </c>
      <c r="H672" s="6" t="str">
        <f t="shared" si="6"/>
        <v/>
      </c>
      <c r="I672" s="2">
        <f t="shared" si="7"/>
        <v>1140.72</v>
      </c>
      <c r="M672" s="10">
        <f>IFERROR(__xludf.DUMMYFUNCTION("""COMPUTED_VALUE"""),38952.666666666664)</f>
        <v>38952.66667</v>
      </c>
      <c r="N672" s="2">
        <f>IFERROR(__xludf.DUMMYFUNCTION("""COMPUTED_VALUE"""),2134.66)</f>
        <v>2134.66</v>
      </c>
      <c r="S672" s="15"/>
    </row>
    <row r="673">
      <c r="A673" s="10">
        <f t="shared" si="8"/>
        <v>38655.66667</v>
      </c>
      <c r="B673" s="2" t="str">
        <f t="shared" si="2"/>
        <v/>
      </c>
      <c r="C673" s="2" t="str">
        <f t="shared" si="3"/>
        <v>SP500</v>
      </c>
      <c r="D673" s="2" t="str">
        <f t="shared" si="4"/>
        <v/>
      </c>
      <c r="E673" s="2">
        <f t="shared" si="5"/>
        <v>2089.88</v>
      </c>
      <c r="G673" s="10">
        <f t="shared" si="9"/>
        <v>38655.64583</v>
      </c>
      <c r="H673" s="6" t="str">
        <f t="shared" si="6"/>
        <v/>
      </c>
      <c r="I673" s="2">
        <f t="shared" si="7"/>
        <v>1140.72</v>
      </c>
      <c r="M673" s="10">
        <f>IFERROR(__xludf.DUMMYFUNCTION("""COMPUTED_VALUE"""),38953.666666666664)</f>
        <v>38953.66667</v>
      </c>
      <c r="N673" s="2">
        <f>IFERROR(__xludf.DUMMYFUNCTION("""COMPUTED_VALUE"""),2137.11)</f>
        <v>2137.11</v>
      </c>
      <c r="S673" s="15"/>
    </row>
    <row r="674">
      <c r="A674" s="10">
        <f t="shared" si="8"/>
        <v>38656.66667</v>
      </c>
      <c r="B674" s="2" t="str">
        <f t="shared" si="2"/>
        <v/>
      </c>
      <c r="C674" s="2" t="str">
        <f t="shared" si="3"/>
        <v>SP500</v>
      </c>
      <c r="D674" s="2">
        <f t="shared" si="4"/>
        <v>2120.3</v>
      </c>
      <c r="E674" s="2">
        <f t="shared" si="5"/>
        <v>2120.3</v>
      </c>
      <c r="G674" s="10">
        <f t="shared" si="9"/>
        <v>38656.64583</v>
      </c>
      <c r="H674" s="6">
        <f t="shared" si="6"/>
        <v>1158.11</v>
      </c>
      <c r="I674" s="2">
        <f t="shared" si="7"/>
        <v>1158.11</v>
      </c>
      <c r="M674" s="10">
        <f>IFERROR(__xludf.DUMMYFUNCTION("""COMPUTED_VALUE"""),38954.666666666664)</f>
        <v>38954.66667</v>
      </c>
      <c r="N674" s="2">
        <f>IFERROR(__xludf.DUMMYFUNCTION("""COMPUTED_VALUE"""),2140.29)</f>
        <v>2140.29</v>
      </c>
      <c r="S674" s="15"/>
    </row>
    <row r="675">
      <c r="A675" s="10">
        <f t="shared" si="8"/>
        <v>38657.66667</v>
      </c>
      <c r="B675" s="2" t="str">
        <f t="shared" si="2"/>
        <v/>
      </c>
      <c r="C675" s="2" t="str">
        <f t="shared" si="3"/>
        <v>SP500</v>
      </c>
      <c r="D675" s="2">
        <f t="shared" si="4"/>
        <v>2114.05</v>
      </c>
      <c r="E675" s="2">
        <f t="shared" si="5"/>
        <v>2114.05</v>
      </c>
      <c r="G675" s="10">
        <f t="shared" si="9"/>
        <v>38657.64583</v>
      </c>
      <c r="H675" s="6">
        <f t="shared" si="6"/>
        <v>1188.95</v>
      </c>
      <c r="I675" s="2">
        <f t="shared" si="7"/>
        <v>1188.95</v>
      </c>
      <c r="M675" s="10">
        <f>IFERROR(__xludf.DUMMYFUNCTION("""COMPUTED_VALUE"""),38957.666666666664)</f>
        <v>38957.66667</v>
      </c>
      <c r="N675" s="2">
        <f>IFERROR(__xludf.DUMMYFUNCTION("""COMPUTED_VALUE"""),2160.7)</f>
        <v>2160.7</v>
      </c>
      <c r="S675" s="15"/>
    </row>
    <row r="676">
      <c r="A676" s="10">
        <f t="shared" si="8"/>
        <v>38658.66667</v>
      </c>
      <c r="B676" s="2" t="str">
        <f t="shared" si="2"/>
        <v/>
      </c>
      <c r="C676" s="2" t="str">
        <f t="shared" si="3"/>
        <v>SP500</v>
      </c>
      <c r="D676" s="2">
        <f t="shared" si="4"/>
        <v>2144.31</v>
      </c>
      <c r="E676" s="2">
        <f t="shared" si="5"/>
        <v>2144.31</v>
      </c>
      <c r="G676" s="10">
        <f t="shared" si="9"/>
        <v>38658.64583</v>
      </c>
      <c r="H676" s="6">
        <f t="shared" si="6"/>
        <v>1208.38</v>
      </c>
      <c r="I676" s="2">
        <f t="shared" si="7"/>
        <v>1208.38</v>
      </c>
      <c r="M676" s="10">
        <f>IFERROR(__xludf.DUMMYFUNCTION("""COMPUTED_VALUE"""),38958.666666666664)</f>
        <v>38958.66667</v>
      </c>
      <c r="N676" s="2">
        <f>IFERROR(__xludf.DUMMYFUNCTION("""COMPUTED_VALUE"""),2172.3)</f>
        <v>2172.3</v>
      </c>
      <c r="S676" s="15"/>
    </row>
    <row r="677">
      <c r="A677" s="10">
        <f t="shared" si="8"/>
        <v>38659.66667</v>
      </c>
      <c r="B677" s="2" t="str">
        <f t="shared" si="2"/>
        <v/>
      </c>
      <c r="C677" s="2" t="str">
        <f t="shared" si="3"/>
        <v>SP500</v>
      </c>
      <c r="D677" s="2">
        <f t="shared" si="4"/>
        <v>2160.22</v>
      </c>
      <c r="E677" s="2">
        <f t="shared" si="5"/>
        <v>2160.22</v>
      </c>
      <c r="G677" s="10">
        <f t="shared" si="9"/>
        <v>38659.64583</v>
      </c>
      <c r="H677" s="6">
        <f t="shared" si="6"/>
        <v>1217.97</v>
      </c>
      <c r="I677" s="2">
        <f t="shared" si="7"/>
        <v>1217.97</v>
      </c>
      <c r="M677" s="10">
        <f>IFERROR(__xludf.DUMMYFUNCTION("""COMPUTED_VALUE"""),38959.666666666664)</f>
        <v>38959.66667</v>
      </c>
      <c r="N677" s="2">
        <f>IFERROR(__xludf.DUMMYFUNCTION("""COMPUTED_VALUE"""),2185.73)</f>
        <v>2185.73</v>
      </c>
      <c r="S677" s="15"/>
    </row>
    <row r="678">
      <c r="A678" s="10">
        <f t="shared" si="8"/>
        <v>38660.66667</v>
      </c>
      <c r="B678" s="2" t="str">
        <f t="shared" si="2"/>
        <v/>
      </c>
      <c r="C678" s="2" t="str">
        <f t="shared" si="3"/>
        <v>SP500</v>
      </c>
      <c r="D678" s="2">
        <f t="shared" si="4"/>
        <v>2169.43</v>
      </c>
      <c r="E678" s="2">
        <f t="shared" si="5"/>
        <v>2169.43</v>
      </c>
      <c r="G678" s="10">
        <f t="shared" si="9"/>
        <v>38660.64583</v>
      </c>
      <c r="H678" s="6">
        <f t="shared" si="6"/>
        <v>1221.98</v>
      </c>
      <c r="I678" s="2">
        <f t="shared" si="7"/>
        <v>1221.98</v>
      </c>
      <c r="M678" s="10">
        <f>IFERROR(__xludf.DUMMYFUNCTION("""COMPUTED_VALUE"""),38960.666666666664)</f>
        <v>38960.66667</v>
      </c>
      <c r="N678" s="2">
        <f>IFERROR(__xludf.DUMMYFUNCTION("""COMPUTED_VALUE"""),2183.75)</f>
        <v>2183.75</v>
      </c>
      <c r="S678" s="15"/>
    </row>
    <row r="679">
      <c r="A679" s="10">
        <f t="shared" si="8"/>
        <v>38661.66667</v>
      </c>
      <c r="B679" s="2" t="str">
        <f t="shared" si="2"/>
        <v/>
      </c>
      <c r="C679" s="2" t="str">
        <f t="shared" si="3"/>
        <v>SP500</v>
      </c>
      <c r="D679" s="2" t="str">
        <f t="shared" si="4"/>
        <v/>
      </c>
      <c r="E679" s="2">
        <f t="shared" si="5"/>
        <v>2169.43</v>
      </c>
      <c r="G679" s="10">
        <f t="shared" si="9"/>
        <v>38661.64583</v>
      </c>
      <c r="H679" s="6" t="str">
        <f t="shared" si="6"/>
        <v/>
      </c>
      <c r="I679" s="2">
        <f t="shared" si="7"/>
        <v>1221.98</v>
      </c>
      <c r="M679" s="10">
        <f>IFERROR(__xludf.DUMMYFUNCTION("""COMPUTED_VALUE"""),38961.666666666664)</f>
        <v>38961.66667</v>
      </c>
      <c r="N679" s="2">
        <f>IFERROR(__xludf.DUMMYFUNCTION("""COMPUTED_VALUE"""),2193.16)</f>
        <v>2193.16</v>
      </c>
      <c r="S679" s="15"/>
    </row>
    <row r="680">
      <c r="A680" s="10">
        <f t="shared" si="8"/>
        <v>38662.66667</v>
      </c>
      <c r="B680" s="2" t="str">
        <f t="shared" si="2"/>
        <v/>
      </c>
      <c r="C680" s="2" t="str">
        <f t="shared" si="3"/>
        <v>SP500</v>
      </c>
      <c r="D680" s="2" t="str">
        <f t="shared" si="4"/>
        <v/>
      </c>
      <c r="E680" s="2">
        <f t="shared" si="5"/>
        <v>2169.43</v>
      </c>
      <c r="G680" s="10">
        <f t="shared" si="9"/>
        <v>38662.64583</v>
      </c>
      <c r="H680" s="6" t="str">
        <f t="shared" si="6"/>
        <v/>
      </c>
      <c r="I680" s="2">
        <f t="shared" si="7"/>
        <v>1221.98</v>
      </c>
      <c r="M680" s="10">
        <f>IFERROR(__xludf.DUMMYFUNCTION("""COMPUTED_VALUE"""),38965.666666666664)</f>
        <v>38965.66667</v>
      </c>
      <c r="N680" s="2">
        <f>IFERROR(__xludf.DUMMYFUNCTION("""COMPUTED_VALUE"""),2205.7)</f>
        <v>2205.7</v>
      </c>
      <c r="S680" s="15"/>
    </row>
    <row r="681">
      <c r="A681" s="10">
        <f t="shared" si="8"/>
        <v>38663.66667</v>
      </c>
      <c r="B681" s="2" t="str">
        <f t="shared" si="2"/>
        <v/>
      </c>
      <c r="C681" s="2" t="str">
        <f t="shared" si="3"/>
        <v>SP500</v>
      </c>
      <c r="D681" s="2">
        <f t="shared" si="4"/>
        <v>2178.24</v>
      </c>
      <c r="E681" s="2">
        <f t="shared" si="5"/>
        <v>2178.24</v>
      </c>
      <c r="G681" s="10">
        <f t="shared" si="9"/>
        <v>38663.64583</v>
      </c>
      <c r="H681" s="6">
        <f t="shared" si="6"/>
        <v>1218.47</v>
      </c>
      <c r="I681" s="2">
        <f t="shared" si="7"/>
        <v>1218.47</v>
      </c>
      <c r="M681" s="10">
        <f>IFERROR(__xludf.DUMMYFUNCTION("""COMPUTED_VALUE"""),38966.666666666664)</f>
        <v>38966.66667</v>
      </c>
      <c r="N681" s="2">
        <f>IFERROR(__xludf.DUMMYFUNCTION("""COMPUTED_VALUE"""),2167.84)</f>
        <v>2167.84</v>
      </c>
      <c r="S681" s="15"/>
    </row>
    <row r="682">
      <c r="A682" s="10">
        <f t="shared" si="8"/>
        <v>38664.66667</v>
      </c>
      <c r="B682" s="2" t="str">
        <f t="shared" si="2"/>
        <v/>
      </c>
      <c r="C682" s="2" t="str">
        <f t="shared" si="3"/>
        <v>SP500</v>
      </c>
      <c r="D682" s="2">
        <f t="shared" si="4"/>
        <v>2172.07</v>
      </c>
      <c r="E682" s="2">
        <f t="shared" si="5"/>
        <v>2172.07</v>
      </c>
      <c r="G682" s="10">
        <f t="shared" si="9"/>
        <v>38664.64583</v>
      </c>
      <c r="H682" s="6">
        <f t="shared" si="6"/>
        <v>1226.71</v>
      </c>
      <c r="I682" s="2">
        <f t="shared" si="7"/>
        <v>1226.71</v>
      </c>
      <c r="M682" s="10">
        <f>IFERROR(__xludf.DUMMYFUNCTION("""COMPUTED_VALUE"""),38967.666666666664)</f>
        <v>38967.66667</v>
      </c>
      <c r="N682" s="2">
        <f>IFERROR(__xludf.DUMMYFUNCTION("""COMPUTED_VALUE"""),2155.29)</f>
        <v>2155.29</v>
      </c>
      <c r="S682" s="15"/>
    </row>
    <row r="683">
      <c r="A683" s="10">
        <f t="shared" si="8"/>
        <v>38665.66667</v>
      </c>
      <c r="B683" s="2" t="str">
        <f t="shared" si="2"/>
        <v/>
      </c>
      <c r="C683" s="2" t="str">
        <f t="shared" si="3"/>
        <v>SP500</v>
      </c>
      <c r="D683" s="2">
        <f t="shared" si="4"/>
        <v>2175.81</v>
      </c>
      <c r="E683" s="2">
        <f t="shared" si="5"/>
        <v>2175.81</v>
      </c>
      <c r="G683" s="10">
        <f t="shared" si="9"/>
        <v>38665.64583</v>
      </c>
      <c r="H683" s="6">
        <f t="shared" si="6"/>
        <v>1227.59</v>
      </c>
      <c r="I683" s="2">
        <f t="shared" si="7"/>
        <v>1227.59</v>
      </c>
      <c r="M683" s="10">
        <f>IFERROR(__xludf.DUMMYFUNCTION("""COMPUTED_VALUE"""),38968.666666666664)</f>
        <v>38968.66667</v>
      </c>
      <c r="N683" s="2">
        <f>IFERROR(__xludf.DUMMYFUNCTION("""COMPUTED_VALUE"""),2165.79)</f>
        <v>2165.79</v>
      </c>
      <c r="S683" s="15"/>
    </row>
    <row r="684">
      <c r="A684" s="10">
        <f t="shared" si="8"/>
        <v>38666.66667</v>
      </c>
      <c r="B684" s="2" t="str">
        <f t="shared" si="2"/>
        <v/>
      </c>
      <c r="C684" s="2" t="str">
        <f t="shared" si="3"/>
        <v>SP500</v>
      </c>
      <c r="D684" s="2">
        <f t="shared" si="4"/>
        <v>2196.68</v>
      </c>
      <c r="E684" s="2">
        <f t="shared" si="5"/>
        <v>2196.68</v>
      </c>
      <c r="G684" s="10">
        <f t="shared" si="9"/>
        <v>38666.64583</v>
      </c>
      <c r="H684" s="6">
        <f t="shared" si="6"/>
        <v>1234.43</v>
      </c>
      <c r="I684" s="2">
        <f t="shared" si="7"/>
        <v>1234.43</v>
      </c>
      <c r="M684" s="10">
        <f>IFERROR(__xludf.DUMMYFUNCTION("""COMPUTED_VALUE"""),38971.666666666664)</f>
        <v>38971.66667</v>
      </c>
      <c r="N684" s="2">
        <f>IFERROR(__xludf.DUMMYFUNCTION("""COMPUTED_VALUE"""),2173.25)</f>
        <v>2173.25</v>
      </c>
      <c r="S684" s="15"/>
    </row>
    <row r="685">
      <c r="A685" s="10">
        <f t="shared" si="8"/>
        <v>38667.66667</v>
      </c>
      <c r="B685" s="2" t="str">
        <f t="shared" si="2"/>
        <v/>
      </c>
      <c r="C685" s="2" t="str">
        <f t="shared" si="3"/>
        <v>SP500</v>
      </c>
      <c r="D685" s="2">
        <f t="shared" si="4"/>
        <v>2202.47</v>
      </c>
      <c r="E685" s="2">
        <f t="shared" si="5"/>
        <v>2202.47</v>
      </c>
      <c r="G685" s="10">
        <f t="shared" si="9"/>
        <v>38667.64583</v>
      </c>
      <c r="H685" s="6">
        <f t="shared" si="6"/>
        <v>1256.12</v>
      </c>
      <c r="I685" s="2">
        <f t="shared" si="7"/>
        <v>1256.12</v>
      </c>
      <c r="M685" s="10">
        <f>IFERROR(__xludf.DUMMYFUNCTION("""COMPUTED_VALUE"""),38972.666666666664)</f>
        <v>38972.66667</v>
      </c>
      <c r="N685" s="2">
        <f>IFERROR(__xludf.DUMMYFUNCTION("""COMPUTED_VALUE"""),2215.82)</f>
        <v>2215.82</v>
      </c>
      <c r="S685" s="15"/>
    </row>
    <row r="686">
      <c r="A686" s="10">
        <f t="shared" si="8"/>
        <v>38668.66667</v>
      </c>
      <c r="B686" s="2" t="str">
        <f t="shared" si="2"/>
        <v/>
      </c>
      <c r="C686" s="2" t="str">
        <f t="shared" si="3"/>
        <v>SP500</v>
      </c>
      <c r="D686" s="2" t="str">
        <f t="shared" si="4"/>
        <v/>
      </c>
      <c r="E686" s="2">
        <f t="shared" si="5"/>
        <v>2202.47</v>
      </c>
      <c r="G686" s="10">
        <f t="shared" si="9"/>
        <v>38668.64583</v>
      </c>
      <c r="H686" s="6" t="str">
        <f t="shared" si="6"/>
        <v/>
      </c>
      <c r="I686" s="2">
        <f t="shared" si="7"/>
        <v>1256.12</v>
      </c>
      <c r="M686" s="10">
        <f>IFERROR(__xludf.DUMMYFUNCTION("""COMPUTED_VALUE"""),38973.666666666664)</f>
        <v>38973.66667</v>
      </c>
      <c r="N686" s="2">
        <f>IFERROR(__xludf.DUMMYFUNCTION("""COMPUTED_VALUE"""),2227.67)</f>
        <v>2227.67</v>
      </c>
      <c r="S686" s="15"/>
    </row>
    <row r="687">
      <c r="A687" s="10">
        <f t="shared" si="8"/>
        <v>38669.66667</v>
      </c>
      <c r="B687" s="2" t="str">
        <f t="shared" si="2"/>
        <v/>
      </c>
      <c r="C687" s="2" t="str">
        <f t="shared" si="3"/>
        <v>SP500</v>
      </c>
      <c r="D687" s="2" t="str">
        <f t="shared" si="4"/>
        <v/>
      </c>
      <c r="E687" s="2">
        <f t="shared" si="5"/>
        <v>2202.47</v>
      </c>
      <c r="G687" s="10">
        <f t="shared" si="9"/>
        <v>38669.64583</v>
      </c>
      <c r="H687" s="6" t="str">
        <f t="shared" si="6"/>
        <v/>
      </c>
      <c r="I687" s="2">
        <f t="shared" si="7"/>
        <v>1256.12</v>
      </c>
      <c r="M687" s="10">
        <f>IFERROR(__xludf.DUMMYFUNCTION("""COMPUTED_VALUE"""),38974.666666666664)</f>
        <v>38974.66667</v>
      </c>
      <c r="N687" s="2">
        <f>IFERROR(__xludf.DUMMYFUNCTION("""COMPUTED_VALUE"""),2228.73)</f>
        <v>2228.73</v>
      </c>
      <c r="S687" s="15"/>
    </row>
    <row r="688">
      <c r="A688" s="10">
        <f t="shared" si="8"/>
        <v>38670.66667</v>
      </c>
      <c r="B688" s="2" t="str">
        <f t="shared" si="2"/>
        <v/>
      </c>
      <c r="C688" s="2" t="str">
        <f t="shared" si="3"/>
        <v>SP500</v>
      </c>
      <c r="D688" s="2">
        <f t="shared" si="4"/>
        <v>2200.95</v>
      </c>
      <c r="E688" s="2">
        <f t="shared" si="5"/>
        <v>2200.95</v>
      </c>
      <c r="G688" s="10">
        <f t="shared" si="9"/>
        <v>38670.64583</v>
      </c>
      <c r="H688" s="6">
        <f t="shared" si="6"/>
        <v>1257.63</v>
      </c>
      <c r="I688" s="2">
        <f t="shared" si="7"/>
        <v>1257.63</v>
      </c>
      <c r="M688" s="10">
        <f>IFERROR(__xludf.DUMMYFUNCTION("""COMPUTED_VALUE"""),38975.666666666664)</f>
        <v>38975.66667</v>
      </c>
      <c r="N688" s="2">
        <f>IFERROR(__xludf.DUMMYFUNCTION("""COMPUTED_VALUE"""),2235.59)</f>
        <v>2235.59</v>
      </c>
      <c r="S688" s="15"/>
    </row>
    <row r="689">
      <c r="A689" s="10">
        <f t="shared" si="8"/>
        <v>38671.66667</v>
      </c>
      <c r="B689" s="2" t="str">
        <f t="shared" si="2"/>
        <v/>
      </c>
      <c r="C689" s="2" t="str">
        <f t="shared" si="3"/>
        <v>SP500</v>
      </c>
      <c r="D689" s="2">
        <f t="shared" si="4"/>
        <v>2186.74</v>
      </c>
      <c r="E689" s="2">
        <f t="shared" si="5"/>
        <v>2186.74</v>
      </c>
      <c r="G689" s="10">
        <f t="shared" si="9"/>
        <v>38671.64583</v>
      </c>
      <c r="H689" s="6">
        <f t="shared" si="6"/>
        <v>1253.86</v>
      </c>
      <c r="I689" s="2">
        <f t="shared" si="7"/>
        <v>1253.86</v>
      </c>
      <c r="M689" s="10">
        <f>IFERROR(__xludf.DUMMYFUNCTION("""COMPUTED_VALUE"""),38978.666666666664)</f>
        <v>38978.66667</v>
      </c>
      <c r="N689" s="2">
        <f>IFERROR(__xludf.DUMMYFUNCTION("""COMPUTED_VALUE"""),2235.75)</f>
        <v>2235.75</v>
      </c>
      <c r="S689" s="15"/>
    </row>
    <row r="690">
      <c r="A690" s="10">
        <f t="shared" si="8"/>
        <v>38672.66667</v>
      </c>
      <c r="B690" s="2" t="str">
        <f t="shared" si="2"/>
        <v/>
      </c>
      <c r="C690" s="2" t="str">
        <f t="shared" si="3"/>
        <v>SP500</v>
      </c>
      <c r="D690" s="2">
        <f t="shared" si="4"/>
        <v>2187.93</v>
      </c>
      <c r="E690" s="2">
        <f t="shared" si="5"/>
        <v>2187.93</v>
      </c>
      <c r="G690" s="10">
        <f t="shared" si="9"/>
        <v>38672.64583</v>
      </c>
      <c r="H690" s="6">
        <f t="shared" si="6"/>
        <v>1267.16</v>
      </c>
      <c r="I690" s="2">
        <f t="shared" si="7"/>
        <v>1267.16</v>
      </c>
      <c r="M690" s="10">
        <f>IFERROR(__xludf.DUMMYFUNCTION("""COMPUTED_VALUE"""),38979.666666666664)</f>
        <v>38979.66667</v>
      </c>
      <c r="N690" s="2">
        <f>IFERROR(__xludf.DUMMYFUNCTION("""COMPUTED_VALUE"""),2222.37)</f>
        <v>2222.37</v>
      </c>
      <c r="S690" s="15"/>
    </row>
    <row r="691">
      <c r="A691" s="10">
        <f t="shared" si="8"/>
        <v>38673.66667</v>
      </c>
      <c r="B691" s="2" t="str">
        <f t="shared" si="2"/>
        <v/>
      </c>
      <c r="C691" s="2" t="str">
        <f t="shared" si="3"/>
        <v>SP500</v>
      </c>
      <c r="D691" s="2">
        <f t="shared" si="4"/>
        <v>2220.46</v>
      </c>
      <c r="E691" s="2">
        <f t="shared" si="5"/>
        <v>2220.46</v>
      </c>
      <c r="G691" s="10">
        <f t="shared" si="9"/>
        <v>38673.64583</v>
      </c>
      <c r="H691" s="6">
        <f t="shared" si="6"/>
        <v>1269.35</v>
      </c>
      <c r="I691" s="2">
        <f t="shared" si="7"/>
        <v>1269.35</v>
      </c>
      <c r="M691" s="10">
        <f>IFERROR(__xludf.DUMMYFUNCTION("""COMPUTED_VALUE"""),38980.666666666664)</f>
        <v>38980.66667</v>
      </c>
      <c r="N691" s="2">
        <f>IFERROR(__xludf.DUMMYFUNCTION("""COMPUTED_VALUE"""),2252.89)</f>
        <v>2252.89</v>
      </c>
      <c r="S691" s="15"/>
    </row>
    <row r="692">
      <c r="A692" s="10">
        <f t="shared" si="8"/>
        <v>38674.66667</v>
      </c>
      <c r="B692" s="2" t="str">
        <f t="shared" si="2"/>
        <v/>
      </c>
      <c r="C692" s="2" t="str">
        <f t="shared" si="3"/>
        <v>SP500</v>
      </c>
      <c r="D692" s="2">
        <f t="shared" si="4"/>
        <v>2227.07</v>
      </c>
      <c r="E692" s="2">
        <f t="shared" si="5"/>
        <v>2227.07</v>
      </c>
      <c r="G692" s="10">
        <f t="shared" si="9"/>
        <v>38674.64583</v>
      </c>
      <c r="H692" s="6">
        <f t="shared" si="6"/>
        <v>1272.25</v>
      </c>
      <c r="I692" s="2">
        <f t="shared" si="7"/>
        <v>1272.25</v>
      </c>
      <c r="M692" s="10">
        <f>IFERROR(__xludf.DUMMYFUNCTION("""COMPUTED_VALUE"""),38981.666666666664)</f>
        <v>38981.66667</v>
      </c>
      <c r="N692" s="2">
        <f>IFERROR(__xludf.DUMMYFUNCTION("""COMPUTED_VALUE"""),2237.75)</f>
        <v>2237.75</v>
      </c>
      <c r="S692" s="15"/>
    </row>
    <row r="693">
      <c r="A693" s="10">
        <f t="shared" si="8"/>
        <v>38675.66667</v>
      </c>
      <c r="B693" s="2" t="str">
        <f t="shared" si="2"/>
        <v/>
      </c>
      <c r="C693" s="2" t="str">
        <f t="shared" si="3"/>
        <v>SP500</v>
      </c>
      <c r="D693" s="2" t="str">
        <f t="shared" si="4"/>
        <v/>
      </c>
      <c r="E693" s="2">
        <f t="shared" si="5"/>
        <v>2227.07</v>
      </c>
      <c r="G693" s="10">
        <f t="shared" si="9"/>
        <v>38675.64583</v>
      </c>
      <c r="H693" s="6" t="str">
        <f t="shared" si="6"/>
        <v/>
      </c>
      <c r="I693" s="2">
        <f t="shared" si="7"/>
        <v>1272.25</v>
      </c>
      <c r="M693" s="10">
        <f>IFERROR(__xludf.DUMMYFUNCTION("""COMPUTED_VALUE"""),38982.666666666664)</f>
        <v>38982.66667</v>
      </c>
      <c r="N693" s="2">
        <f>IFERROR(__xludf.DUMMYFUNCTION("""COMPUTED_VALUE"""),2218.93)</f>
        <v>2218.93</v>
      </c>
      <c r="S693" s="15"/>
    </row>
    <row r="694">
      <c r="A694" s="10">
        <f t="shared" si="8"/>
        <v>38676.66667</v>
      </c>
      <c r="B694" s="2" t="str">
        <f t="shared" si="2"/>
        <v/>
      </c>
      <c r="C694" s="2" t="str">
        <f t="shared" si="3"/>
        <v>SP500</v>
      </c>
      <c r="D694" s="2" t="str">
        <f t="shared" si="4"/>
        <v/>
      </c>
      <c r="E694" s="2">
        <f t="shared" si="5"/>
        <v>2227.07</v>
      </c>
      <c r="G694" s="10">
        <f t="shared" si="9"/>
        <v>38676.64583</v>
      </c>
      <c r="H694" s="6" t="str">
        <f t="shared" si="6"/>
        <v/>
      </c>
      <c r="I694" s="2">
        <f t="shared" si="7"/>
        <v>1272.25</v>
      </c>
      <c r="M694" s="10">
        <f>IFERROR(__xludf.DUMMYFUNCTION("""COMPUTED_VALUE"""),38985.666666666664)</f>
        <v>38985.66667</v>
      </c>
      <c r="N694" s="2">
        <f>IFERROR(__xludf.DUMMYFUNCTION("""COMPUTED_VALUE"""),2249.07)</f>
        <v>2249.07</v>
      </c>
      <c r="S694" s="15"/>
    </row>
    <row r="695">
      <c r="A695" s="10">
        <f t="shared" si="8"/>
        <v>38677.66667</v>
      </c>
      <c r="B695" s="2" t="str">
        <f t="shared" si="2"/>
        <v/>
      </c>
      <c r="C695" s="2" t="str">
        <f t="shared" si="3"/>
        <v>SP500</v>
      </c>
      <c r="D695" s="2">
        <f t="shared" si="4"/>
        <v>2241.67</v>
      </c>
      <c r="E695" s="2">
        <f t="shared" si="5"/>
        <v>2241.67</v>
      </c>
      <c r="G695" s="10">
        <f t="shared" si="9"/>
        <v>38677.64583</v>
      </c>
      <c r="H695" s="6">
        <f t="shared" si="6"/>
        <v>1268.8</v>
      </c>
      <c r="I695" s="2">
        <f t="shared" si="7"/>
        <v>1268.8</v>
      </c>
      <c r="M695" s="10">
        <f>IFERROR(__xludf.DUMMYFUNCTION("""COMPUTED_VALUE"""),38986.666666666664)</f>
        <v>38986.66667</v>
      </c>
      <c r="N695" s="2">
        <f>IFERROR(__xludf.DUMMYFUNCTION("""COMPUTED_VALUE"""),2261.34)</f>
        <v>2261.34</v>
      </c>
      <c r="S695" s="15"/>
    </row>
    <row r="696">
      <c r="A696" s="10">
        <f t="shared" si="8"/>
        <v>38678.66667</v>
      </c>
      <c r="B696" s="2" t="str">
        <f t="shared" si="2"/>
        <v/>
      </c>
      <c r="C696" s="2" t="str">
        <f t="shared" si="3"/>
        <v>SP500</v>
      </c>
      <c r="D696" s="2">
        <f t="shared" si="4"/>
        <v>2253.56</v>
      </c>
      <c r="E696" s="2">
        <f t="shared" si="5"/>
        <v>2253.56</v>
      </c>
      <c r="G696" s="10">
        <f t="shared" si="9"/>
        <v>38678.64583</v>
      </c>
      <c r="H696" s="6">
        <f t="shared" si="6"/>
        <v>1244.5</v>
      </c>
      <c r="I696" s="2">
        <f t="shared" si="7"/>
        <v>1244.5</v>
      </c>
      <c r="M696" s="10">
        <f>IFERROR(__xludf.DUMMYFUNCTION("""COMPUTED_VALUE"""),38987.666666666664)</f>
        <v>38987.66667</v>
      </c>
      <c r="N696" s="2">
        <f>IFERROR(__xludf.DUMMYFUNCTION("""COMPUTED_VALUE"""),2263.39)</f>
        <v>2263.39</v>
      </c>
      <c r="S696" s="15"/>
    </row>
    <row r="697">
      <c r="A697" s="10">
        <f t="shared" si="8"/>
        <v>38679.66667</v>
      </c>
      <c r="B697" s="2" t="str">
        <f t="shared" si="2"/>
        <v/>
      </c>
      <c r="C697" s="2" t="str">
        <f t="shared" si="3"/>
        <v>SP500</v>
      </c>
      <c r="D697" s="2">
        <f t="shared" si="4"/>
        <v>2259.98</v>
      </c>
      <c r="E697" s="2">
        <f t="shared" si="5"/>
        <v>2259.98</v>
      </c>
      <c r="G697" s="10">
        <f t="shared" si="9"/>
        <v>38679.64583</v>
      </c>
      <c r="H697" s="6">
        <f t="shared" si="6"/>
        <v>1282.02</v>
      </c>
      <c r="I697" s="2">
        <f t="shared" si="7"/>
        <v>1282.02</v>
      </c>
      <c r="M697" s="10">
        <f>IFERROR(__xludf.DUMMYFUNCTION("""COMPUTED_VALUE"""),38988.666666666664)</f>
        <v>38988.66667</v>
      </c>
      <c r="N697" s="2">
        <f>IFERROR(__xludf.DUMMYFUNCTION("""COMPUTED_VALUE"""),2270.02)</f>
        <v>2270.02</v>
      </c>
      <c r="S697" s="15"/>
    </row>
    <row r="698">
      <c r="A698" s="10">
        <f t="shared" si="8"/>
        <v>38680.66667</v>
      </c>
      <c r="B698" s="2" t="str">
        <f t="shared" si="2"/>
        <v/>
      </c>
      <c r="C698" s="2" t="str">
        <f t="shared" si="3"/>
        <v>SP500</v>
      </c>
      <c r="D698" s="2" t="str">
        <f t="shared" si="4"/>
        <v/>
      </c>
      <c r="E698" s="2">
        <f t="shared" si="5"/>
        <v>2259.98</v>
      </c>
      <c r="G698" s="10">
        <f t="shared" si="9"/>
        <v>38680.64583</v>
      </c>
      <c r="H698" s="6">
        <f t="shared" si="6"/>
        <v>1291.71</v>
      </c>
      <c r="I698" s="2">
        <f t="shared" si="7"/>
        <v>1291.71</v>
      </c>
      <c r="M698" s="10">
        <f>IFERROR(__xludf.DUMMYFUNCTION("""COMPUTED_VALUE"""),38989.666666666664)</f>
        <v>38989.66667</v>
      </c>
      <c r="N698" s="2">
        <f>IFERROR(__xludf.DUMMYFUNCTION("""COMPUTED_VALUE"""),2258.43)</f>
        <v>2258.43</v>
      </c>
      <c r="S698" s="15"/>
    </row>
    <row r="699">
      <c r="A699" s="10">
        <f t="shared" si="8"/>
        <v>38681.66667</v>
      </c>
      <c r="B699" s="2" t="str">
        <f t="shared" si="2"/>
        <v/>
      </c>
      <c r="C699" s="2" t="str">
        <f t="shared" si="3"/>
        <v>SP500</v>
      </c>
      <c r="D699" s="2">
        <f t="shared" si="4"/>
        <v>2263.01</v>
      </c>
      <c r="E699" s="2">
        <f t="shared" si="5"/>
        <v>2263.01</v>
      </c>
      <c r="G699" s="10">
        <f t="shared" si="9"/>
        <v>38681.64583</v>
      </c>
      <c r="H699" s="6">
        <f t="shared" si="6"/>
        <v>1293.22</v>
      </c>
      <c r="I699" s="2">
        <f t="shared" si="7"/>
        <v>1293.22</v>
      </c>
      <c r="M699" s="10">
        <f>IFERROR(__xludf.DUMMYFUNCTION("""COMPUTED_VALUE"""),38992.666666666664)</f>
        <v>38992.66667</v>
      </c>
      <c r="N699" s="2">
        <f>IFERROR(__xludf.DUMMYFUNCTION("""COMPUTED_VALUE"""),2237.6)</f>
        <v>2237.6</v>
      </c>
      <c r="S699" s="15"/>
    </row>
    <row r="700">
      <c r="A700" s="10">
        <f t="shared" si="8"/>
        <v>38682.66667</v>
      </c>
      <c r="B700" s="2" t="str">
        <f t="shared" si="2"/>
        <v/>
      </c>
      <c r="C700" s="2" t="str">
        <f t="shared" si="3"/>
        <v>SP500</v>
      </c>
      <c r="D700" s="2" t="str">
        <f t="shared" si="4"/>
        <v/>
      </c>
      <c r="E700" s="2">
        <f t="shared" si="5"/>
        <v>2263.01</v>
      </c>
      <c r="G700" s="10">
        <f t="shared" si="9"/>
        <v>38682.64583</v>
      </c>
      <c r="H700" s="6" t="str">
        <f t="shared" si="6"/>
        <v/>
      </c>
      <c r="I700" s="2">
        <f t="shared" si="7"/>
        <v>1293.22</v>
      </c>
      <c r="M700" s="10">
        <f>IFERROR(__xludf.DUMMYFUNCTION("""COMPUTED_VALUE"""),38993.666666666664)</f>
        <v>38993.66667</v>
      </c>
      <c r="N700" s="2">
        <f>IFERROR(__xludf.DUMMYFUNCTION("""COMPUTED_VALUE"""),2243.65)</f>
        <v>2243.65</v>
      </c>
      <c r="S700" s="15"/>
    </row>
    <row r="701">
      <c r="A701" s="10">
        <f t="shared" si="8"/>
        <v>38683.66667</v>
      </c>
      <c r="B701" s="2" t="str">
        <f t="shared" si="2"/>
        <v/>
      </c>
      <c r="C701" s="2" t="str">
        <f t="shared" si="3"/>
        <v>SP500</v>
      </c>
      <c r="D701" s="2" t="str">
        <f t="shared" si="4"/>
        <v/>
      </c>
      <c r="E701" s="2">
        <f t="shared" si="5"/>
        <v>2263.01</v>
      </c>
      <c r="G701" s="10">
        <f t="shared" si="9"/>
        <v>38683.64583</v>
      </c>
      <c r="H701" s="6" t="str">
        <f t="shared" si="6"/>
        <v/>
      </c>
      <c r="I701" s="2">
        <f t="shared" si="7"/>
        <v>1293.22</v>
      </c>
      <c r="M701" s="10">
        <f>IFERROR(__xludf.DUMMYFUNCTION("""COMPUTED_VALUE"""),38994.666666666664)</f>
        <v>38994.66667</v>
      </c>
      <c r="N701" s="2">
        <f>IFERROR(__xludf.DUMMYFUNCTION("""COMPUTED_VALUE"""),2290.95)</f>
        <v>2290.95</v>
      </c>
      <c r="S701" s="15"/>
    </row>
    <row r="702">
      <c r="A702" s="10">
        <f t="shared" si="8"/>
        <v>38684.66667</v>
      </c>
      <c r="B702" s="2" t="str">
        <f t="shared" si="2"/>
        <v/>
      </c>
      <c r="C702" s="2" t="str">
        <f t="shared" si="3"/>
        <v>SP500</v>
      </c>
      <c r="D702" s="2">
        <f t="shared" si="4"/>
        <v>2239.37</v>
      </c>
      <c r="E702" s="2">
        <f t="shared" si="5"/>
        <v>2239.37</v>
      </c>
      <c r="G702" s="10">
        <f t="shared" si="9"/>
        <v>38684.64583</v>
      </c>
      <c r="H702" s="6">
        <f t="shared" si="6"/>
        <v>1293.74</v>
      </c>
      <c r="I702" s="2">
        <f t="shared" si="7"/>
        <v>1293.74</v>
      </c>
      <c r="M702" s="10">
        <f>IFERROR(__xludf.DUMMYFUNCTION("""COMPUTED_VALUE"""),38995.666666666664)</f>
        <v>38995.66667</v>
      </c>
      <c r="N702" s="2">
        <f>IFERROR(__xludf.DUMMYFUNCTION("""COMPUTED_VALUE"""),2306.34)</f>
        <v>2306.34</v>
      </c>
      <c r="S702" s="15"/>
    </row>
    <row r="703">
      <c r="A703" s="10">
        <f t="shared" si="8"/>
        <v>38685.66667</v>
      </c>
      <c r="B703" s="2" t="str">
        <f t="shared" si="2"/>
        <v/>
      </c>
      <c r="C703" s="2" t="str">
        <f t="shared" si="3"/>
        <v>SP500</v>
      </c>
      <c r="D703" s="2">
        <f t="shared" si="4"/>
        <v>2232.71</v>
      </c>
      <c r="E703" s="2">
        <f t="shared" si="5"/>
        <v>2232.71</v>
      </c>
      <c r="G703" s="10">
        <f t="shared" si="9"/>
        <v>38685.64583</v>
      </c>
      <c r="H703" s="6">
        <f t="shared" si="6"/>
        <v>1279.38</v>
      </c>
      <c r="I703" s="2">
        <f t="shared" si="7"/>
        <v>1279.38</v>
      </c>
      <c r="M703" s="10">
        <f>IFERROR(__xludf.DUMMYFUNCTION("""COMPUTED_VALUE"""),38996.666666666664)</f>
        <v>38996.66667</v>
      </c>
      <c r="N703" s="2">
        <f>IFERROR(__xludf.DUMMYFUNCTION("""COMPUTED_VALUE"""),2299.99)</f>
        <v>2299.99</v>
      </c>
      <c r="S703" s="15"/>
    </row>
    <row r="704">
      <c r="A704" s="10">
        <f t="shared" si="8"/>
        <v>38686.66667</v>
      </c>
      <c r="B704" s="2" t="str">
        <f t="shared" si="2"/>
        <v/>
      </c>
      <c r="C704" s="2" t="str">
        <f t="shared" si="3"/>
        <v>SP500</v>
      </c>
      <c r="D704" s="2">
        <f t="shared" si="4"/>
        <v>2232.82</v>
      </c>
      <c r="E704" s="2">
        <f t="shared" si="5"/>
        <v>2232.82</v>
      </c>
      <c r="G704" s="10">
        <f t="shared" si="9"/>
        <v>38686.64583</v>
      </c>
      <c r="H704" s="6">
        <f t="shared" si="6"/>
        <v>1297.44</v>
      </c>
      <c r="I704" s="2">
        <f t="shared" si="7"/>
        <v>1297.44</v>
      </c>
      <c r="M704" s="10">
        <f>IFERROR(__xludf.DUMMYFUNCTION("""COMPUTED_VALUE"""),38999.666666666664)</f>
        <v>38999.66667</v>
      </c>
      <c r="N704" s="2">
        <f>IFERROR(__xludf.DUMMYFUNCTION("""COMPUTED_VALUE"""),2311.77)</f>
        <v>2311.77</v>
      </c>
      <c r="S704" s="15"/>
    </row>
    <row r="705">
      <c r="A705" s="10">
        <f t="shared" si="8"/>
        <v>38687.66667</v>
      </c>
      <c r="B705" s="2" t="str">
        <f t="shared" si="2"/>
        <v/>
      </c>
      <c r="C705" s="2" t="str">
        <f t="shared" si="3"/>
        <v>SP500</v>
      </c>
      <c r="D705" s="2">
        <f t="shared" si="4"/>
        <v>2267.17</v>
      </c>
      <c r="E705" s="2">
        <f t="shared" si="5"/>
        <v>2267.17</v>
      </c>
      <c r="G705" s="10">
        <f t="shared" si="9"/>
        <v>38687.64583</v>
      </c>
      <c r="H705" s="6">
        <f t="shared" si="6"/>
        <v>1305.98</v>
      </c>
      <c r="I705" s="2">
        <f t="shared" si="7"/>
        <v>1305.98</v>
      </c>
      <c r="M705" s="10">
        <f>IFERROR(__xludf.DUMMYFUNCTION("""COMPUTED_VALUE"""),39000.666666666664)</f>
        <v>39000.66667</v>
      </c>
      <c r="N705" s="2">
        <f>IFERROR(__xludf.DUMMYFUNCTION("""COMPUTED_VALUE"""),2315.43)</f>
        <v>2315.43</v>
      </c>
      <c r="S705" s="15"/>
    </row>
    <row r="706">
      <c r="A706" s="10">
        <f t="shared" si="8"/>
        <v>38688.66667</v>
      </c>
      <c r="B706" s="2" t="str">
        <f t="shared" si="2"/>
        <v/>
      </c>
      <c r="C706" s="2" t="str">
        <f t="shared" si="3"/>
        <v>SP500</v>
      </c>
      <c r="D706" s="2">
        <f t="shared" si="4"/>
        <v>2273.37</v>
      </c>
      <c r="E706" s="2">
        <f t="shared" si="5"/>
        <v>2273.37</v>
      </c>
      <c r="G706" s="10">
        <f t="shared" si="9"/>
        <v>38688.64583</v>
      </c>
      <c r="H706" s="6">
        <f t="shared" si="6"/>
        <v>1310.12</v>
      </c>
      <c r="I706" s="2">
        <f t="shared" si="7"/>
        <v>1310.12</v>
      </c>
      <c r="M706" s="10">
        <f>IFERROR(__xludf.DUMMYFUNCTION("""COMPUTED_VALUE"""),39001.666666666664)</f>
        <v>39001.66667</v>
      </c>
      <c r="N706" s="2">
        <f>IFERROR(__xludf.DUMMYFUNCTION("""COMPUTED_VALUE"""),2308.27)</f>
        <v>2308.27</v>
      </c>
      <c r="S706" s="15"/>
    </row>
    <row r="707">
      <c r="A707" s="10">
        <f t="shared" si="8"/>
        <v>38689.66667</v>
      </c>
      <c r="B707" s="2" t="str">
        <f t="shared" si="2"/>
        <v/>
      </c>
      <c r="C707" s="2" t="str">
        <f t="shared" si="3"/>
        <v>SP500</v>
      </c>
      <c r="D707" s="2" t="str">
        <f t="shared" si="4"/>
        <v/>
      </c>
      <c r="E707" s="2">
        <f t="shared" si="5"/>
        <v>2273.37</v>
      </c>
      <c r="G707" s="10">
        <f t="shared" si="9"/>
        <v>38689.64583</v>
      </c>
      <c r="H707" s="6" t="str">
        <f t="shared" si="6"/>
        <v/>
      </c>
      <c r="I707" s="2">
        <f t="shared" si="7"/>
        <v>1310.12</v>
      </c>
      <c r="M707" s="10">
        <f>IFERROR(__xludf.DUMMYFUNCTION("""COMPUTED_VALUE"""),39002.666666666664)</f>
        <v>39002.66667</v>
      </c>
      <c r="N707" s="2">
        <f>IFERROR(__xludf.DUMMYFUNCTION("""COMPUTED_VALUE"""),2346.18)</f>
        <v>2346.18</v>
      </c>
      <c r="S707" s="15"/>
    </row>
    <row r="708">
      <c r="A708" s="10">
        <f t="shared" si="8"/>
        <v>38690.66667</v>
      </c>
      <c r="B708" s="2" t="str">
        <f t="shared" si="2"/>
        <v/>
      </c>
      <c r="C708" s="2" t="str">
        <f t="shared" si="3"/>
        <v>SP500</v>
      </c>
      <c r="D708" s="2" t="str">
        <f t="shared" si="4"/>
        <v/>
      </c>
      <c r="E708" s="2">
        <f t="shared" si="5"/>
        <v>2273.37</v>
      </c>
      <c r="G708" s="10">
        <f t="shared" si="9"/>
        <v>38690.64583</v>
      </c>
      <c r="H708" s="6" t="str">
        <f t="shared" si="6"/>
        <v/>
      </c>
      <c r="I708" s="2">
        <f t="shared" si="7"/>
        <v>1310.12</v>
      </c>
      <c r="M708" s="10">
        <f>IFERROR(__xludf.DUMMYFUNCTION("""COMPUTED_VALUE"""),39003.666666666664)</f>
        <v>39003.66667</v>
      </c>
      <c r="N708" s="2">
        <f>IFERROR(__xludf.DUMMYFUNCTION("""COMPUTED_VALUE"""),2357.29)</f>
        <v>2357.29</v>
      </c>
      <c r="S708" s="15"/>
    </row>
    <row r="709">
      <c r="A709" s="10">
        <f t="shared" si="8"/>
        <v>38691.66667</v>
      </c>
      <c r="B709" s="2" t="str">
        <f t="shared" si="2"/>
        <v/>
      </c>
      <c r="C709" s="2" t="str">
        <f t="shared" si="3"/>
        <v>SP500</v>
      </c>
      <c r="D709" s="2">
        <f t="shared" si="4"/>
        <v>2257.64</v>
      </c>
      <c r="E709" s="2">
        <f t="shared" si="5"/>
        <v>2257.64</v>
      </c>
      <c r="G709" s="10">
        <f t="shared" si="9"/>
        <v>38691.64583</v>
      </c>
      <c r="H709" s="6">
        <f t="shared" si="6"/>
        <v>1315.15</v>
      </c>
      <c r="I709" s="2">
        <f t="shared" si="7"/>
        <v>1315.15</v>
      </c>
      <c r="M709" s="10">
        <f>IFERROR(__xludf.DUMMYFUNCTION("""COMPUTED_VALUE"""),39006.666666666664)</f>
        <v>39006.66667</v>
      </c>
      <c r="N709" s="2">
        <f>IFERROR(__xludf.DUMMYFUNCTION("""COMPUTED_VALUE"""),2363.84)</f>
        <v>2363.84</v>
      </c>
      <c r="S709" s="15"/>
    </row>
    <row r="710">
      <c r="A710" s="10">
        <f t="shared" si="8"/>
        <v>38692.66667</v>
      </c>
      <c r="B710" s="2" t="str">
        <f t="shared" si="2"/>
        <v/>
      </c>
      <c r="C710" s="2" t="str">
        <f t="shared" si="3"/>
        <v>SP500</v>
      </c>
      <c r="D710" s="2">
        <f t="shared" si="4"/>
        <v>2260.76</v>
      </c>
      <c r="E710" s="2">
        <f t="shared" si="5"/>
        <v>2260.76</v>
      </c>
      <c r="G710" s="10">
        <f t="shared" si="9"/>
        <v>38692.64583</v>
      </c>
      <c r="H710" s="6">
        <f t="shared" si="6"/>
        <v>1321.06</v>
      </c>
      <c r="I710" s="2">
        <f t="shared" si="7"/>
        <v>1321.06</v>
      </c>
      <c r="M710" s="10">
        <f>IFERROR(__xludf.DUMMYFUNCTION("""COMPUTED_VALUE"""),39007.666666666664)</f>
        <v>39007.66667</v>
      </c>
      <c r="N710" s="2">
        <f>IFERROR(__xludf.DUMMYFUNCTION("""COMPUTED_VALUE"""),2344.95)</f>
        <v>2344.95</v>
      </c>
      <c r="S710" s="15"/>
    </row>
    <row r="711">
      <c r="A711" s="10">
        <f t="shared" si="8"/>
        <v>38693.66667</v>
      </c>
      <c r="B711" s="2" t="str">
        <f t="shared" si="2"/>
        <v/>
      </c>
      <c r="C711" s="2" t="str">
        <f t="shared" si="3"/>
        <v>SP500</v>
      </c>
      <c r="D711" s="2">
        <f t="shared" si="4"/>
        <v>2252.01</v>
      </c>
      <c r="E711" s="2">
        <f t="shared" si="5"/>
        <v>2252.01</v>
      </c>
      <c r="G711" s="10">
        <f t="shared" si="9"/>
        <v>38693.64583</v>
      </c>
      <c r="H711" s="6">
        <f t="shared" si="6"/>
        <v>1324.75</v>
      </c>
      <c r="I711" s="2">
        <f t="shared" si="7"/>
        <v>1324.75</v>
      </c>
      <c r="M711" s="10">
        <f>IFERROR(__xludf.DUMMYFUNCTION("""COMPUTED_VALUE"""),39008.666666666664)</f>
        <v>39008.66667</v>
      </c>
      <c r="N711" s="2">
        <f>IFERROR(__xludf.DUMMYFUNCTION("""COMPUTED_VALUE"""),2337.15)</f>
        <v>2337.15</v>
      </c>
      <c r="S711" s="15"/>
    </row>
    <row r="712">
      <c r="A712" s="10">
        <f t="shared" si="8"/>
        <v>38694.66667</v>
      </c>
      <c r="B712" s="2" t="str">
        <f t="shared" si="2"/>
        <v/>
      </c>
      <c r="C712" s="2" t="str">
        <f t="shared" si="3"/>
        <v>SP500</v>
      </c>
      <c r="D712" s="2">
        <f t="shared" si="4"/>
        <v>2246.46</v>
      </c>
      <c r="E712" s="2">
        <f t="shared" si="5"/>
        <v>2246.46</v>
      </c>
      <c r="G712" s="10">
        <f t="shared" si="9"/>
        <v>38694.64583</v>
      </c>
      <c r="H712" s="6">
        <f t="shared" si="6"/>
        <v>1324.2</v>
      </c>
      <c r="I712" s="2">
        <f t="shared" si="7"/>
        <v>1324.2</v>
      </c>
      <c r="M712" s="10">
        <f>IFERROR(__xludf.DUMMYFUNCTION("""COMPUTED_VALUE"""),39009.666666666664)</f>
        <v>39009.66667</v>
      </c>
      <c r="N712" s="2">
        <f>IFERROR(__xludf.DUMMYFUNCTION("""COMPUTED_VALUE"""),2340.94)</f>
        <v>2340.94</v>
      </c>
      <c r="S712" s="15"/>
    </row>
    <row r="713">
      <c r="A713" s="10">
        <f t="shared" si="8"/>
        <v>38695.66667</v>
      </c>
      <c r="B713" s="2" t="str">
        <f t="shared" si="2"/>
        <v/>
      </c>
      <c r="C713" s="2" t="str">
        <f t="shared" si="3"/>
        <v>SP500</v>
      </c>
      <c r="D713" s="2">
        <f t="shared" si="4"/>
        <v>2256.73</v>
      </c>
      <c r="E713" s="2">
        <f t="shared" si="5"/>
        <v>2256.73</v>
      </c>
      <c r="G713" s="10">
        <f t="shared" si="9"/>
        <v>38695.64583</v>
      </c>
      <c r="H713" s="6">
        <f t="shared" si="6"/>
        <v>1317.42</v>
      </c>
      <c r="I713" s="2">
        <f t="shared" si="7"/>
        <v>1317.42</v>
      </c>
      <c r="M713" s="10">
        <f>IFERROR(__xludf.DUMMYFUNCTION("""COMPUTED_VALUE"""),39010.666666666664)</f>
        <v>39010.66667</v>
      </c>
      <c r="N713" s="2">
        <f>IFERROR(__xludf.DUMMYFUNCTION("""COMPUTED_VALUE"""),2342.3)</f>
        <v>2342.3</v>
      </c>
      <c r="S713" s="15"/>
    </row>
    <row r="714">
      <c r="A714" s="10">
        <f t="shared" si="8"/>
        <v>38696.66667</v>
      </c>
      <c r="B714" s="2" t="str">
        <f t="shared" si="2"/>
        <v/>
      </c>
      <c r="C714" s="2" t="str">
        <f t="shared" si="3"/>
        <v>SP500</v>
      </c>
      <c r="D714" s="2" t="str">
        <f t="shared" si="4"/>
        <v/>
      </c>
      <c r="E714" s="2">
        <f t="shared" si="5"/>
        <v>2256.73</v>
      </c>
      <c r="G714" s="10">
        <f t="shared" si="9"/>
        <v>38696.64583</v>
      </c>
      <c r="H714" s="6" t="str">
        <f t="shared" si="6"/>
        <v/>
      </c>
      <c r="I714" s="2">
        <f t="shared" si="7"/>
        <v>1317.42</v>
      </c>
      <c r="M714" s="10">
        <f>IFERROR(__xludf.DUMMYFUNCTION("""COMPUTED_VALUE"""),39013.666666666664)</f>
        <v>39013.66667</v>
      </c>
      <c r="N714" s="2">
        <f>IFERROR(__xludf.DUMMYFUNCTION("""COMPUTED_VALUE"""),2355.56)</f>
        <v>2355.56</v>
      </c>
      <c r="S714" s="15"/>
    </row>
    <row r="715">
      <c r="A715" s="10">
        <f t="shared" si="8"/>
        <v>38697.66667</v>
      </c>
      <c r="B715" s="2" t="str">
        <f t="shared" si="2"/>
        <v/>
      </c>
      <c r="C715" s="2" t="str">
        <f t="shared" si="3"/>
        <v>SP500</v>
      </c>
      <c r="D715" s="2" t="str">
        <f t="shared" si="4"/>
        <v/>
      </c>
      <c r="E715" s="2">
        <f t="shared" si="5"/>
        <v>2256.73</v>
      </c>
      <c r="G715" s="10">
        <f t="shared" si="9"/>
        <v>38697.64583</v>
      </c>
      <c r="H715" s="6" t="str">
        <f t="shared" si="6"/>
        <v/>
      </c>
      <c r="I715" s="2">
        <f t="shared" si="7"/>
        <v>1317.42</v>
      </c>
      <c r="M715" s="10">
        <f>IFERROR(__xludf.DUMMYFUNCTION("""COMPUTED_VALUE"""),39014.666666666664)</f>
        <v>39014.66667</v>
      </c>
      <c r="N715" s="2">
        <f>IFERROR(__xludf.DUMMYFUNCTION("""COMPUTED_VALUE"""),2344.84)</f>
        <v>2344.84</v>
      </c>
      <c r="S715" s="15"/>
    </row>
    <row r="716">
      <c r="A716" s="10">
        <f t="shared" si="8"/>
        <v>38698.66667</v>
      </c>
      <c r="B716" s="2" t="str">
        <f t="shared" si="2"/>
        <v/>
      </c>
      <c r="C716" s="2" t="str">
        <f t="shared" si="3"/>
        <v>SP500</v>
      </c>
      <c r="D716" s="2">
        <f t="shared" si="4"/>
        <v>2260.95</v>
      </c>
      <c r="E716" s="2">
        <f t="shared" si="5"/>
        <v>2260.95</v>
      </c>
      <c r="G716" s="10">
        <f t="shared" si="9"/>
        <v>38698.64583</v>
      </c>
      <c r="H716" s="6">
        <f t="shared" si="6"/>
        <v>1333.23</v>
      </c>
      <c r="I716" s="2">
        <f t="shared" si="7"/>
        <v>1333.23</v>
      </c>
      <c r="M716" s="10">
        <f>IFERROR(__xludf.DUMMYFUNCTION("""COMPUTED_VALUE"""),39015.666666666664)</f>
        <v>39015.66667</v>
      </c>
      <c r="N716" s="2">
        <f>IFERROR(__xludf.DUMMYFUNCTION("""COMPUTED_VALUE"""),2356.59)</f>
        <v>2356.59</v>
      </c>
      <c r="S716" s="15"/>
    </row>
    <row r="717">
      <c r="A717" s="10">
        <f t="shared" si="8"/>
        <v>38699.66667</v>
      </c>
      <c r="B717" s="2" t="str">
        <f t="shared" si="2"/>
        <v/>
      </c>
      <c r="C717" s="2" t="str">
        <f t="shared" si="3"/>
        <v>SP500</v>
      </c>
      <c r="D717" s="2">
        <f t="shared" si="4"/>
        <v>2265</v>
      </c>
      <c r="E717" s="2">
        <f t="shared" si="5"/>
        <v>2265</v>
      </c>
      <c r="G717" s="10">
        <f t="shared" si="9"/>
        <v>38699.64583</v>
      </c>
      <c r="H717" s="6">
        <f t="shared" si="6"/>
        <v>1336.48</v>
      </c>
      <c r="I717" s="2">
        <f t="shared" si="7"/>
        <v>1336.48</v>
      </c>
      <c r="M717" s="10">
        <f>IFERROR(__xludf.DUMMYFUNCTION("""COMPUTED_VALUE"""),39016.666666666664)</f>
        <v>39016.66667</v>
      </c>
      <c r="N717" s="2">
        <f>IFERROR(__xludf.DUMMYFUNCTION("""COMPUTED_VALUE"""),2379.1)</f>
        <v>2379.1</v>
      </c>
      <c r="S717" s="15"/>
    </row>
    <row r="718">
      <c r="A718" s="10">
        <f t="shared" si="8"/>
        <v>38700.66667</v>
      </c>
      <c r="B718" s="2" t="str">
        <f t="shared" si="2"/>
        <v/>
      </c>
      <c r="C718" s="2" t="str">
        <f t="shared" si="3"/>
        <v>SP500</v>
      </c>
      <c r="D718" s="2">
        <f t="shared" si="4"/>
        <v>2262.59</v>
      </c>
      <c r="E718" s="2">
        <f t="shared" si="5"/>
        <v>2262.59</v>
      </c>
      <c r="G718" s="10">
        <f t="shared" si="9"/>
        <v>38700.64583</v>
      </c>
      <c r="H718" s="6">
        <f t="shared" si="6"/>
        <v>1334.27</v>
      </c>
      <c r="I718" s="2">
        <f t="shared" si="7"/>
        <v>1334.27</v>
      </c>
      <c r="M718" s="10">
        <f>IFERROR(__xludf.DUMMYFUNCTION("""COMPUTED_VALUE"""),39017.666666666664)</f>
        <v>39017.66667</v>
      </c>
      <c r="N718" s="2">
        <f>IFERROR(__xludf.DUMMYFUNCTION("""COMPUTED_VALUE"""),2350.62)</f>
        <v>2350.62</v>
      </c>
      <c r="S718" s="15"/>
    </row>
    <row r="719">
      <c r="A719" s="10">
        <f t="shared" si="8"/>
        <v>38701.66667</v>
      </c>
      <c r="B719" s="2" t="str">
        <f t="shared" si="2"/>
        <v/>
      </c>
      <c r="C719" s="2" t="str">
        <f t="shared" si="3"/>
        <v>SP500</v>
      </c>
      <c r="D719" s="2">
        <f t="shared" si="4"/>
        <v>2260.63</v>
      </c>
      <c r="E719" s="2">
        <f t="shared" si="5"/>
        <v>2260.63</v>
      </c>
      <c r="G719" s="10">
        <f t="shared" si="9"/>
        <v>38701.64583</v>
      </c>
      <c r="H719" s="6">
        <f t="shared" si="6"/>
        <v>1337.68</v>
      </c>
      <c r="I719" s="2">
        <f t="shared" si="7"/>
        <v>1337.68</v>
      </c>
      <c r="M719" s="10">
        <f>IFERROR(__xludf.DUMMYFUNCTION("""COMPUTED_VALUE"""),39020.666666666664)</f>
        <v>39020.66667</v>
      </c>
      <c r="N719" s="2">
        <f>IFERROR(__xludf.DUMMYFUNCTION("""COMPUTED_VALUE"""),2363.77)</f>
        <v>2363.77</v>
      </c>
      <c r="S719" s="15"/>
    </row>
    <row r="720">
      <c r="A720" s="10">
        <f t="shared" si="8"/>
        <v>38702.66667</v>
      </c>
      <c r="B720" s="2" t="str">
        <f t="shared" si="2"/>
        <v/>
      </c>
      <c r="C720" s="2" t="str">
        <f t="shared" si="3"/>
        <v>SP500</v>
      </c>
      <c r="D720" s="2">
        <f t="shared" si="4"/>
        <v>2252.48</v>
      </c>
      <c r="E720" s="2">
        <f t="shared" si="5"/>
        <v>2252.48</v>
      </c>
      <c r="G720" s="10">
        <f t="shared" si="9"/>
        <v>38702.64583</v>
      </c>
      <c r="H720" s="6">
        <f t="shared" si="6"/>
        <v>1321.04</v>
      </c>
      <c r="I720" s="2">
        <f t="shared" si="7"/>
        <v>1321.04</v>
      </c>
      <c r="M720" s="10">
        <f>IFERROR(__xludf.DUMMYFUNCTION("""COMPUTED_VALUE"""),39021.666666666664)</f>
        <v>39021.66667</v>
      </c>
      <c r="N720" s="2">
        <f>IFERROR(__xludf.DUMMYFUNCTION("""COMPUTED_VALUE"""),2366.71)</f>
        <v>2366.71</v>
      </c>
      <c r="S720" s="15"/>
    </row>
    <row r="721">
      <c r="A721" s="10">
        <f t="shared" si="8"/>
        <v>38703.66667</v>
      </c>
      <c r="B721" s="2" t="str">
        <f t="shared" si="2"/>
        <v/>
      </c>
      <c r="C721" s="2" t="str">
        <f t="shared" si="3"/>
        <v>SP500</v>
      </c>
      <c r="D721" s="2" t="str">
        <f t="shared" si="4"/>
        <v/>
      </c>
      <c r="E721" s="2">
        <f t="shared" si="5"/>
        <v>2252.48</v>
      </c>
      <c r="G721" s="10">
        <f t="shared" si="9"/>
        <v>38703.64583</v>
      </c>
      <c r="H721" s="6" t="str">
        <f t="shared" si="6"/>
        <v/>
      </c>
      <c r="I721" s="2">
        <f t="shared" si="7"/>
        <v>1321.04</v>
      </c>
      <c r="M721" s="10">
        <f>IFERROR(__xludf.DUMMYFUNCTION("""COMPUTED_VALUE"""),39022.666666666664)</f>
        <v>39022.66667</v>
      </c>
      <c r="N721" s="2">
        <f>IFERROR(__xludf.DUMMYFUNCTION("""COMPUTED_VALUE"""),2334.35)</f>
        <v>2334.35</v>
      </c>
      <c r="S721" s="15"/>
    </row>
    <row r="722">
      <c r="A722" s="10">
        <f t="shared" si="8"/>
        <v>38704.66667</v>
      </c>
      <c r="B722" s="2" t="str">
        <f t="shared" si="2"/>
        <v/>
      </c>
      <c r="C722" s="2" t="str">
        <f t="shared" si="3"/>
        <v>SP500</v>
      </c>
      <c r="D722" s="2" t="str">
        <f t="shared" si="4"/>
        <v/>
      </c>
      <c r="E722" s="2">
        <f t="shared" si="5"/>
        <v>2252.48</v>
      </c>
      <c r="G722" s="10">
        <f t="shared" si="9"/>
        <v>38704.64583</v>
      </c>
      <c r="H722" s="6" t="str">
        <f t="shared" si="6"/>
        <v/>
      </c>
      <c r="I722" s="2">
        <f t="shared" si="7"/>
        <v>1321.04</v>
      </c>
      <c r="M722" s="10">
        <f>IFERROR(__xludf.DUMMYFUNCTION("""COMPUTED_VALUE"""),39023.666666666664)</f>
        <v>39023.66667</v>
      </c>
      <c r="N722" s="2">
        <f>IFERROR(__xludf.DUMMYFUNCTION("""COMPUTED_VALUE"""),2334.02)</f>
        <v>2334.02</v>
      </c>
      <c r="S722" s="15"/>
    </row>
    <row r="723">
      <c r="A723" s="10">
        <f t="shared" si="8"/>
        <v>38705.66667</v>
      </c>
      <c r="B723" s="2" t="str">
        <f t="shared" si="2"/>
        <v/>
      </c>
      <c r="C723" s="2" t="str">
        <f t="shared" si="3"/>
        <v>SP500</v>
      </c>
      <c r="D723" s="2">
        <f t="shared" si="4"/>
        <v>2222.74</v>
      </c>
      <c r="E723" s="2">
        <f t="shared" si="5"/>
        <v>2222.74</v>
      </c>
      <c r="G723" s="10">
        <f t="shared" si="9"/>
        <v>38705.64583</v>
      </c>
      <c r="H723" s="6">
        <f t="shared" si="6"/>
        <v>1339.4</v>
      </c>
      <c r="I723" s="2">
        <f t="shared" si="7"/>
        <v>1339.4</v>
      </c>
      <c r="M723" s="10">
        <f>IFERROR(__xludf.DUMMYFUNCTION("""COMPUTED_VALUE"""),39024.666666666664)</f>
        <v>39024.66667</v>
      </c>
      <c r="N723" s="2">
        <f>IFERROR(__xludf.DUMMYFUNCTION("""COMPUTED_VALUE"""),2330.79)</f>
        <v>2330.79</v>
      </c>
      <c r="S723" s="15"/>
    </row>
    <row r="724">
      <c r="A724" s="10">
        <f t="shared" si="8"/>
        <v>38706.66667</v>
      </c>
      <c r="B724" s="2" t="str">
        <f t="shared" si="2"/>
        <v/>
      </c>
      <c r="C724" s="2" t="str">
        <f t="shared" si="3"/>
        <v>SP500</v>
      </c>
      <c r="D724" s="2">
        <f t="shared" si="4"/>
        <v>2222.42</v>
      </c>
      <c r="E724" s="2">
        <f t="shared" si="5"/>
        <v>2222.42</v>
      </c>
      <c r="G724" s="10">
        <f t="shared" si="9"/>
        <v>38706.64583</v>
      </c>
      <c r="H724" s="6">
        <f t="shared" si="6"/>
        <v>1341</v>
      </c>
      <c r="I724" s="2">
        <f t="shared" si="7"/>
        <v>1341</v>
      </c>
      <c r="M724" s="10">
        <f>IFERROR(__xludf.DUMMYFUNCTION("""COMPUTED_VALUE"""),39027.666666666664)</f>
        <v>39027.66667</v>
      </c>
      <c r="N724" s="2">
        <f>IFERROR(__xludf.DUMMYFUNCTION("""COMPUTED_VALUE"""),2365.95)</f>
        <v>2365.95</v>
      </c>
      <c r="S724" s="15"/>
    </row>
    <row r="725">
      <c r="A725" s="10">
        <f t="shared" si="8"/>
        <v>38707.66667</v>
      </c>
      <c r="B725" s="2" t="str">
        <f t="shared" si="2"/>
        <v/>
      </c>
      <c r="C725" s="2" t="str">
        <f t="shared" si="3"/>
        <v>SP500</v>
      </c>
      <c r="D725" s="2">
        <f t="shared" si="4"/>
        <v>2231.66</v>
      </c>
      <c r="E725" s="2">
        <f t="shared" si="5"/>
        <v>2231.66</v>
      </c>
      <c r="G725" s="10">
        <f t="shared" si="9"/>
        <v>38707.64583</v>
      </c>
      <c r="H725" s="6">
        <f t="shared" si="6"/>
        <v>1354.16</v>
      </c>
      <c r="I725" s="2">
        <f t="shared" si="7"/>
        <v>1354.16</v>
      </c>
      <c r="M725" s="10">
        <f>IFERROR(__xludf.DUMMYFUNCTION("""COMPUTED_VALUE"""),39028.666666666664)</f>
        <v>39028.66667</v>
      </c>
      <c r="N725" s="2">
        <f>IFERROR(__xludf.DUMMYFUNCTION("""COMPUTED_VALUE"""),2375.88)</f>
        <v>2375.88</v>
      </c>
      <c r="S725" s="15"/>
    </row>
    <row r="726">
      <c r="A726" s="10">
        <f t="shared" si="8"/>
        <v>38708.66667</v>
      </c>
      <c r="B726" s="2" t="str">
        <f t="shared" si="2"/>
        <v/>
      </c>
      <c r="C726" s="2" t="str">
        <f t="shared" si="3"/>
        <v>SP500</v>
      </c>
      <c r="D726" s="2">
        <f t="shared" si="4"/>
        <v>2246.49</v>
      </c>
      <c r="E726" s="2">
        <f t="shared" si="5"/>
        <v>2246.49</v>
      </c>
      <c r="G726" s="10">
        <f t="shared" si="9"/>
        <v>38708.64583</v>
      </c>
      <c r="H726" s="6">
        <f t="shared" si="6"/>
        <v>1350.87</v>
      </c>
      <c r="I726" s="2">
        <f t="shared" si="7"/>
        <v>1350.87</v>
      </c>
      <c r="M726" s="10">
        <f>IFERROR(__xludf.DUMMYFUNCTION("""COMPUTED_VALUE"""),39029.666666666664)</f>
        <v>39029.66667</v>
      </c>
      <c r="N726" s="2">
        <f>IFERROR(__xludf.DUMMYFUNCTION("""COMPUTED_VALUE"""),2384.94)</f>
        <v>2384.94</v>
      </c>
      <c r="S726" s="15"/>
    </row>
    <row r="727">
      <c r="A727" s="10">
        <f t="shared" si="8"/>
        <v>38709.66667</v>
      </c>
      <c r="B727" s="2" t="str">
        <f t="shared" si="2"/>
        <v/>
      </c>
      <c r="C727" s="2" t="str">
        <f t="shared" si="3"/>
        <v>SP500</v>
      </c>
      <c r="D727" s="2">
        <f t="shared" si="4"/>
        <v>2249.42</v>
      </c>
      <c r="E727" s="2">
        <f t="shared" si="5"/>
        <v>2249.42</v>
      </c>
      <c r="G727" s="10">
        <f t="shared" si="9"/>
        <v>38709.64583</v>
      </c>
      <c r="H727" s="6">
        <f t="shared" si="6"/>
        <v>1359.53</v>
      </c>
      <c r="I727" s="2">
        <f t="shared" si="7"/>
        <v>1359.53</v>
      </c>
      <c r="M727" s="10">
        <f>IFERROR(__xludf.DUMMYFUNCTION("""COMPUTED_VALUE"""),39030.666666666664)</f>
        <v>39030.66667</v>
      </c>
      <c r="N727" s="2">
        <f>IFERROR(__xludf.DUMMYFUNCTION("""COMPUTED_VALUE"""),2376.01)</f>
        <v>2376.01</v>
      </c>
      <c r="S727" s="15"/>
    </row>
    <row r="728">
      <c r="A728" s="10">
        <f t="shared" si="8"/>
        <v>38710.66667</v>
      </c>
      <c r="B728" s="2" t="str">
        <f t="shared" si="2"/>
        <v/>
      </c>
      <c r="C728" s="2" t="str">
        <f t="shared" si="3"/>
        <v>SP500</v>
      </c>
      <c r="D728" s="2" t="str">
        <f t="shared" si="4"/>
        <v/>
      </c>
      <c r="E728" s="2">
        <f t="shared" si="5"/>
        <v>2249.42</v>
      </c>
      <c r="G728" s="10">
        <f t="shared" si="9"/>
        <v>38710.64583</v>
      </c>
      <c r="H728" s="6" t="str">
        <f t="shared" si="6"/>
        <v/>
      </c>
      <c r="I728" s="2">
        <f t="shared" si="7"/>
        <v>1359.53</v>
      </c>
      <c r="M728" s="10">
        <f>IFERROR(__xludf.DUMMYFUNCTION("""COMPUTED_VALUE"""),39031.666666666664)</f>
        <v>39031.66667</v>
      </c>
      <c r="N728" s="2">
        <f>IFERROR(__xludf.DUMMYFUNCTION("""COMPUTED_VALUE"""),2389.72)</f>
        <v>2389.72</v>
      </c>
      <c r="S728" s="15"/>
    </row>
    <row r="729">
      <c r="A729" s="10">
        <f t="shared" si="8"/>
        <v>38711.66667</v>
      </c>
      <c r="B729" s="2" t="str">
        <f t="shared" si="2"/>
        <v/>
      </c>
      <c r="C729" s="2" t="str">
        <f t="shared" si="3"/>
        <v>SP500</v>
      </c>
      <c r="D729" s="2" t="str">
        <f t="shared" si="4"/>
        <v/>
      </c>
      <c r="E729" s="2">
        <f t="shared" si="5"/>
        <v>2249.42</v>
      </c>
      <c r="G729" s="10">
        <f t="shared" si="9"/>
        <v>38711.64583</v>
      </c>
      <c r="H729" s="6" t="str">
        <f t="shared" si="6"/>
        <v/>
      </c>
      <c r="I729" s="2">
        <f t="shared" si="7"/>
        <v>1359.53</v>
      </c>
      <c r="M729" s="10">
        <f>IFERROR(__xludf.DUMMYFUNCTION("""COMPUTED_VALUE"""),39034.666666666664)</f>
        <v>39034.66667</v>
      </c>
      <c r="N729" s="2">
        <f>IFERROR(__xludf.DUMMYFUNCTION("""COMPUTED_VALUE"""),2406.38)</f>
        <v>2406.38</v>
      </c>
      <c r="S729" s="15"/>
    </row>
    <row r="730">
      <c r="A730" s="10">
        <f t="shared" si="8"/>
        <v>38712.66667</v>
      </c>
      <c r="B730" s="2" t="str">
        <f t="shared" si="2"/>
        <v/>
      </c>
      <c r="C730" s="2" t="str">
        <f t="shared" si="3"/>
        <v>SP500</v>
      </c>
      <c r="D730" s="2" t="str">
        <f t="shared" si="4"/>
        <v/>
      </c>
      <c r="E730" s="2">
        <f t="shared" si="5"/>
        <v>2249.42</v>
      </c>
      <c r="G730" s="10">
        <f t="shared" si="9"/>
        <v>38712.64583</v>
      </c>
      <c r="H730" s="6">
        <f t="shared" si="6"/>
        <v>1367.57</v>
      </c>
      <c r="I730" s="2">
        <f t="shared" si="7"/>
        <v>1367.57</v>
      </c>
      <c r="M730" s="10">
        <f>IFERROR(__xludf.DUMMYFUNCTION("""COMPUTED_VALUE"""),39035.666666666664)</f>
        <v>39035.66667</v>
      </c>
      <c r="N730" s="2">
        <f>IFERROR(__xludf.DUMMYFUNCTION("""COMPUTED_VALUE"""),2430.66)</f>
        <v>2430.66</v>
      </c>
      <c r="S730" s="15"/>
    </row>
    <row r="731">
      <c r="A731" s="10">
        <f t="shared" si="8"/>
        <v>38713.66667</v>
      </c>
      <c r="B731" s="2" t="str">
        <f t="shared" si="2"/>
        <v/>
      </c>
      <c r="C731" s="2" t="str">
        <f t="shared" si="3"/>
        <v>SP500</v>
      </c>
      <c r="D731" s="2">
        <f t="shared" si="4"/>
        <v>2226.89</v>
      </c>
      <c r="E731" s="2">
        <f t="shared" si="5"/>
        <v>2226.89</v>
      </c>
      <c r="G731" s="10">
        <f t="shared" si="9"/>
        <v>38713.64583</v>
      </c>
      <c r="H731" s="6">
        <f t="shared" si="6"/>
        <v>1373.55</v>
      </c>
      <c r="I731" s="2">
        <f t="shared" si="7"/>
        <v>1373.55</v>
      </c>
      <c r="M731" s="10">
        <f>IFERROR(__xludf.DUMMYFUNCTION("""COMPUTED_VALUE"""),39036.666666666664)</f>
        <v>39036.66667</v>
      </c>
      <c r="N731" s="2">
        <f>IFERROR(__xludf.DUMMYFUNCTION("""COMPUTED_VALUE"""),2442.75)</f>
        <v>2442.75</v>
      </c>
      <c r="S731" s="15"/>
    </row>
    <row r="732">
      <c r="A732" s="10">
        <f t="shared" si="8"/>
        <v>38714.66667</v>
      </c>
      <c r="B732" s="2" t="str">
        <f t="shared" si="2"/>
        <v/>
      </c>
      <c r="C732" s="2" t="str">
        <f t="shared" si="3"/>
        <v>SP500</v>
      </c>
      <c r="D732" s="2">
        <f t="shared" si="4"/>
        <v>2228.94</v>
      </c>
      <c r="E732" s="2">
        <f t="shared" si="5"/>
        <v>2228.94</v>
      </c>
      <c r="G732" s="10">
        <f t="shared" si="9"/>
        <v>38714.64583</v>
      </c>
      <c r="H732" s="6">
        <f t="shared" si="6"/>
        <v>1368.16</v>
      </c>
      <c r="I732" s="2">
        <f t="shared" si="7"/>
        <v>1368.16</v>
      </c>
      <c r="M732" s="10">
        <f>IFERROR(__xludf.DUMMYFUNCTION("""COMPUTED_VALUE"""),39037.666666666664)</f>
        <v>39037.66667</v>
      </c>
      <c r="N732" s="2">
        <f>IFERROR(__xludf.DUMMYFUNCTION("""COMPUTED_VALUE"""),2449.06)</f>
        <v>2449.06</v>
      </c>
      <c r="S732" s="15"/>
    </row>
    <row r="733">
      <c r="A733" s="10">
        <f t="shared" si="8"/>
        <v>38715.66667</v>
      </c>
      <c r="B733" s="2" t="str">
        <f t="shared" si="2"/>
        <v/>
      </c>
      <c r="C733" s="2" t="str">
        <f t="shared" si="3"/>
        <v>SP500</v>
      </c>
      <c r="D733" s="2">
        <f t="shared" si="4"/>
        <v>2218.16</v>
      </c>
      <c r="E733" s="2">
        <f t="shared" si="5"/>
        <v>2218.16</v>
      </c>
      <c r="G733" s="10">
        <f t="shared" si="9"/>
        <v>38715.64583</v>
      </c>
      <c r="H733" s="6">
        <f t="shared" si="6"/>
        <v>1379.37</v>
      </c>
      <c r="I733" s="2">
        <f t="shared" si="7"/>
        <v>1379.37</v>
      </c>
      <c r="M733" s="10">
        <f>IFERROR(__xludf.DUMMYFUNCTION("""COMPUTED_VALUE"""),39038.666666666664)</f>
        <v>39038.66667</v>
      </c>
      <c r="N733" s="2">
        <f>IFERROR(__xludf.DUMMYFUNCTION("""COMPUTED_VALUE"""),2445.86)</f>
        <v>2445.86</v>
      </c>
      <c r="S733" s="15"/>
    </row>
    <row r="734">
      <c r="A734" s="10">
        <f t="shared" si="8"/>
        <v>38716.66667</v>
      </c>
      <c r="B734" s="2" t="str">
        <f t="shared" si="2"/>
        <v/>
      </c>
      <c r="C734" s="2" t="str">
        <f t="shared" si="3"/>
        <v>SP500</v>
      </c>
      <c r="D734" s="2">
        <f t="shared" si="4"/>
        <v>2205.32</v>
      </c>
      <c r="E734" s="2">
        <f t="shared" si="5"/>
        <v>2205.32</v>
      </c>
      <c r="G734" s="10">
        <f t="shared" si="9"/>
        <v>38716.64583</v>
      </c>
      <c r="H734" s="6" t="str">
        <f t="shared" si="6"/>
        <v/>
      </c>
      <c r="I734" s="2">
        <f t="shared" si="7"/>
        <v>1379.37</v>
      </c>
      <c r="M734" s="10">
        <f>IFERROR(__xludf.DUMMYFUNCTION("""COMPUTED_VALUE"""),39041.666666666664)</f>
        <v>39041.66667</v>
      </c>
      <c r="N734" s="2">
        <f>IFERROR(__xludf.DUMMYFUNCTION("""COMPUTED_VALUE"""),2452.72)</f>
        <v>2452.72</v>
      </c>
      <c r="S734" s="15"/>
    </row>
    <row r="735">
      <c r="A735" s="10">
        <f t="shared" si="8"/>
        <v>38717.66667</v>
      </c>
      <c r="B735" s="2" t="str">
        <f t="shared" si="2"/>
        <v/>
      </c>
      <c r="C735" s="2" t="str">
        <f t="shared" si="3"/>
        <v>SP500</v>
      </c>
      <c r="D735" s="2" t="str">
        <f t="shared" si="4"/>
        <v/>
      </c>
      <c r="E735" s="2">
        <f t="shared" si="5"/>
        <v>2205.32</v>
      </c>
      <c r="G735" s="10">
        <f t="shared" si="9"/>
        <v>38717.64583</v>
      </c>
      <c r="H735" s="6" t="str">
        <f t="shared" si="6"/>
        <v/>
      </c>
      <c r="I735" s="2">
        <f t="shared" si="7"/>
        <v>1379.37</v>
      </c>
      <c r="M735" s="10">
        <f>IFERROR(__xludf.DUMMYFUNCTION("""COMPUTED_VALUE"""),39042.666666666664)</f>
        <v>39042.66667</v>
      </c>
      <c r="N735" s="2">
        <f>IFERROR(__xludf.DUMMYFUNCTION("""COMPUTED_VALUE"""),2454.84)</f>
        <v>2454.84</v>
      </c>
      <c r="S735" s="15"/>
    </row>
    <row r="736">
      <c r="A736" s="10">
        <f t="shared" si="8"/>
        <v>38718.66667</v>
      </c>
      <c r="B736" s="2" t="str">
        <f t="shared" si="2"/>
        <v/>
      </c>
      <c r="C736" s="2" t="str">
        <f t="shared" si="3"/>
        <v>SP500</v>
      </c>
      <c r="D736" s="2" t="str">
        <f t="shared" si="4"/>
        <v/>
      </c>
      <c r="E736" s="2">
        <f t="shared" si="5"/>
        <v>2205.32</v>
      </c>
      <c r="G736" s="10">
        <f t="shared" si="9"/>
        <v>38718.64583</v>
      </c>
      <c r="H736" s="6" t="str">
        <f t="shared" si="6"/>
        <v/>
      </c>
      <c r="I736" s="2">
        <f t="shared" si="7"/>
        <v>1379.37</v>
      </c>
      <c r="M736" s="10">
        <f>IFERROR(__xludf.DUMMYFUNCTION("""COMPUTED_VALUE"""),39043.666666666664)</f>
        <v>39043.66667</v>
      </c>
      <c r="N736" s="2">
        <f>IFERROR(__xludf.DUMMYFUNCTION("""COMPUTED_VALUE"""),2465.98)</f>
        <v>2465.98</v>
      </c>
      <c r="S736" s="15"/>
    </row>
    <row r="737">
      <c r="A737" s="10">
        <f t="shared" si="8"/>
        <v>38719.66667</v>
      </c>
      <c r="B737" s="2" t="str">
        <f t="shared" si="2"/>
        <v/>
      </c>
      <c r="C737" s="2" t="str">
        <f t="shared" si="3"/>
        <v>SP500</v>
      </c>
      <c r="D737" s="2" t="str">
        <f t="shared" si="4"/>
        <v/>
      </c>
      <c r="E737" s="2">
        <f t="shared" si="5"/>
        <v>2205.32</v>
      </c>
      <c r="G737" s="10">
        <f t="shared" si="9"/>
        <v>38719.64583</v>
      </c>
      <c r="H737" s="6">
        <f t="shared" si="6"/>
        <v>1389.27</v>
      </c>
      <c r="I737" s="2">
        <f t="shared" si="7"/>
        <v>1389.27</v>
      </c>
      <c r="M737" s="10">
        <f>IFERROR(__xludf.DUMMYFUNCTION("""COMPUTED_VALUE"""),39045.666666666664)</f>
        <v>39045.66667</v>
      </c>
      <c r="N737" s="2">
        <f>IFERROR(__xludf.DUMMYFUNCTION("""COMPUTED_VALUE"""),2460.26)</f>
        <v>2460.26</v>
      </c>
      <c r="S737" s="15"/>
    </row>
    <row r="738">
      <c r="A738" s="10">
        <f t="shared" si="8"/>
        <v>38720.66667</v>
      </c>
      <c r="B738" s="2" t="str">
        <f t="shared" si="2"/>
        <v/>
      </c>
      <c r="C738" s="2" t="str">
        <f t="shared" si="3"/>
        <v>SP500</v>
      </c>
      <c r="D738" s="2">
        <f t="shared" si="4"/>
        <v>2243.74</v>
      </c>
      <c r="E738" s="2">
        <f t="shared" si="5"/>
        <v>2243.74</v>
      </c>
      <c r="G738" s="10">
        <f t="shared" si="9"/>
        <v>38720.64583</v>
      </c>
      <c r="H738" s="6">
        <f t="shared" si="6"/>
        <v>1394.87</v>
      </c>
      <c r="I738" s="2">
        <f t="shared" si="7"/>
        <v>1394.87</v>
      </c>
      <c r="M738" s="10">
        <f>IFERROR(__xludf.DUMMYFUNCTION("""COMPUTED_VALUE"""),39048.666666666664)</f>
        <v>39048.66667</v>
      </c>
      <c r="N738" s="2">
        <f>IFERROR(__xludf.DUMMYFUNCTION("""COMPUTED_VALUE"""),2405.92)</f>
        <v>2405.92</v>
      </c>
      <c r="S738" s="15"/>
    </row>
    <row r="739">
      <c r="A739" s="10">
        <f t="shared" si="8"/>
        <v>38721.66667</v>
      </c>
      <c r="B739" s="2" t="str">
        <f t="shared" si="2"/>
        <v/>
      </c>
      <c r="C739" s="2" t="str">
        <f t="shared" si="3"/>
        <v>SP500</v>
      </c>
      <c r="D739" s="2">
        <f t="shared" si="4"/>
        <v>2263.46</v>
      </c>
      <c r="E739" s="2">
        <f t="shared" si="5"/>
        <v>2263.46</v>
      </c>
      <c r="G739" s="10">
        <f t="shared" si="9"/>
        <v>38721.64583</v>
      </c>
      <c r="H739" s="6">
        <f t="shared" si="6"/>
        <v>1402.11</v>
      </c>
      <c r="I739" s="2">
        <f t="shared" si="7"/>
        <v>1402.11</v>
      </c>
      <c r="M739" s="10">
        <f>IFERROR(__xludf.DUMMYFUNCTION("""COMPUTED_VALUE"""),39049.666666666664)</f>
        <v>39049.66667</v>
      </c>
      <c r="N739" s="2">
        <f>IFERROR(__xludf.DUMMYFUNCTION("""COMPUTED_VALUE"""),2412.61)</f>
        <v>2412.61</v>
      </c>
      <c r="S739" s="15"/>
    </row>
    <row r="740">
      <c r="A740" s="10">
        <f t="shared" si="8"/>
        <v>38722.66667</v>
      </c>
      <c r="B740" s="2" t="str">
        <f t="shared" si="2"/>
        <v/>
      </c>
      <c r="C740" s="2" t="str">
        <f t="shared" si="3"/>
        <v>SP500</v>
      </c>
      <c r="D740" s="2">
        <f t="shared" si="4"/>
        <v>2276.87</v>
      </c>
      <c r="E740" s="2">
        <f t="shared" si="5"/>
        <v>2276.87</v>
      </c>
      <c r="G740" s="10">
        <f t="shared" si="9"/>
        <v>38722.64583</v>
      </c>
      <c r="H740" s="6">
        <f t="shared" si="6"/>
        <v>1395.51</v>
      </c>
      <c r="I740" s="2">
        <f t="shared" si="7"/>
        <v>1395.51</v>
      </c>
      <c r="M740" s="10">
        <f>IFERROR(__xludf.DUMMYFUNCTION("""COMPUTED_VALUE"""),39050.666666666664)</f>
        <v>39050.66667</v>
      </c>
      <c r="N740" s="2">
        <f>IFERROR(__xludf.DUMMYFUNCTION("""COMPUTED_VALUE"""),2432.23)</f>
        <v>2432.23</v>
      </c>
      <c r="S740" s="15"/>
    </row>
    <row r="741">
      <c r="A741" s="10">
        <f t="shared" si="8"/>
        <v>38723.66667</v>
      </c>
      <c r="B741" s="2" t="str">
        <f t="shared" si="2"/>
        <v/>
      </c>
      <c r="C741" s="2" t="str">
        <f t="shared" si="3"/>
        <v>SP500</v>
      </c>
      <c r="D741" s="2">
        <f t="shared" si="4"/>
        <v>2305.62</v>
      </c>
      <c r="E741" s="2">
        <f t="shared" si="5"/>
        <v>2305.62</v>
      </c>
      <c r="G741" s="10">
        <f t="shared" si="9"/>
        <v>38723.64583</v>
      </c>
      <c r="H741" s="6">
        <f t="shared" si="6"/>
        <v>1412.78</v>
      </c>
      <c r="I741" s="2">
        <f t="shared" si="7"/>
        <v>1412.78</v>
      </c>
      <c r="M741" s="10">
        <f>IFERROR(__xludf.DUMMYFUNCTION("""COMPUTED_VALUE"""),39051.666666666664)</f>
        <v>39051.66667</v>
      </c>
      <c r="N741" s="2">
        <f>IFERROR(__xludf.DUMMYFUNCTION("""COMPUTED_VALUE"""),2431.77)</f>
        <v>2431.77</v>
      </c>
      <c r="S741" s="15"/>
    </row>
    <row r="742">
      <c r="A742" s="10">
        <f t="shared" si="8"/>
        <v>38724.66667</v>
      </c>
      <c r="B742" s="2" t="str">
        <f t="shared" si="2"/>
        <v/>
      </c>
      <c r="C742" s="2" t="str">
        <f t="shared" si="3"/>
        <v>SP500</v>
      </c>
      <c r="D742" s="2" t="str">
        <f t="shared" si="4"/>
        <v/>
      </c>
      <c r="E742" s="2">
        <f t="shared" si="5"/>
        <v>2305.62</v>
      </c>
      <c r="G742" s="10">
        <f t="shared" si="9"/>
        <v>38724.64583</v>
      </c>
      <c r="H742" s="6" t="str">
        <f t="shared" si="6"/>
        <v/>
      </c>
      <c r="I742" s="2">
        <f t="shared" si="7"/>
        <v>1412.78</v>
      </c>
      <c r="M742" s="10">
        <f>IFERROR(__xludf.DUMMYFUNCTION("""COMPUTED_VALUE"""),39052.666666666664)</f>
        <v>39052.66667</v>
      </c>
      <c r="N742" s="2">
        <f>IFERROR(__xludf.DUMMYFUNCTION("""COMPUTED_VALUE"""),2413.21)</f>
        <v>2413.21</v>
      </c>
      <c r="S742" s="15"/>
    </row>
    <row r="743">
      <c r="A743" s="10">
        <f t="shared" si="8"/>
        <v>38725.66667</v>
      </c>
      <c r="B743" s="2" t="str">
        <f t="shared" si="2"/>
        <v/>
      </c>
      <c r="C743" s="2" t="str">
        <f t="shared" si="3"/>
        <v>SP500</v>
      </c>
      <c r="D743" s="2" t="str">
        <f t="shared" si="4"/>
        <v/>
      </c>
      <c r="E743" s="2">
        <f t="shared" si="5"/>
        <v>2305.62</v>
      </c>
      <c r="G743" s="10">
        <f t="shared" si="9"/>
        <v>38725.64583</v>
      </c>
      <c r="H743" s="6" t="str">
        <f t="shared" si="6"/>
        <v/>
      </c>
      <c r="I743" s="2">
        <f t="shared" si="7"/>
        <v>1412.78</v>
      </c>
      <c r="M743" s="10">
        <f>IFERROR(__xludf.DUMMYFUNCTION("""COMPUTED_VALUE"""),39055.666666666664)</f>
        <v>39055.66667</v>
      </c>
      <c r="N743" s="2">
        <f>IFERROR(__xludf.DUMMYFUNCTION("""COMPUTED_VALUE"""),2448.39)</f>
        <v>2448.39</v>
      </c>
      <c r="S743" s="15"/>
    </row>
    <row r="744">
      <c r="A744" s="10">
        <f t="shared" si="8"/>
        <v>38726.66667</v>
      </c>
      <c r="B744" s="2" t="str">
        <f t="shared" si="2"/>
        <v/>
      </c>
      <c r="C744" s="2" t="str">
        <f t="shared" si="3"/>
        <v>SP500</v>
      </c>
      <c r="D744" s="2">
        <f t="shared" si="4"/>
        <v>2318.69</v>
      </c>
      <c r="E744" s="2">
        <f t="shared" si="5"/>
        <v>2318.69</v>
      </c>
      <c r="G744" s="10">
        <f t="shared" si="9"/>
        <v>38726.64583</v>
      </c>
      <c r="H744" s="6">
        <f t="shared" si="6"/>
        <v>1408.33</v>
      </c>
      <c r="I744" s="2">
        <f t="shared" si="7"/>
        <v>1408.33</v>
      </c>
      <c r="M744" s="10">
        <f>IFERROR(__xludf.DUMMYFUNCTION("""COMPUTED_VALUE"""),39056.666666666664)</f>
        <v>39056.66667</v>
      </c>
      <c r="N744" s="2">
        <f>IFERROR(__xludf.DUMMYFUNCTION("""COMPUTED_VALUE"""),2452.38)</f>
        <v>2452.38</v>
      </c>
      <c r="S744" s="15"/>
    </row>
    <row r="745">
      <c r="A745" s="10">
        <f t="shared" si="8"/>
        <v>38727.66667</v>
      </c>
      <c r="B745" s="2" t="str">
        <f t="shared" si="2"/>
        <v/>
      </c>
      <c r="C745" s="2" t="str">
        <f t="shared" si="3"/>
        <v>SP500</v>
      </c>
      <c r="D745" s="2">
        <f t="shared" si="4"/>
        <v>2320.32</v>
      </c>
      <c r="E745" s="2">
        <f t="shared" si="5"/>
        <v>2320.32</v>
      </c>
      <c r="G745" s="10">
        <f t="shared" si="9"/>
        <v>38727.64583</v>
      </c>
      <c r="H745" s="6">
        <f t="shared" si="6"/>
        <v>1396.29</v>
      </c>
      <c r="I745" s="2">
        <f t="shared" si="7"/>
        <v>1396.29</v>
      </c>
      <c r="M745" s="10">
        <f>IFERROR(__xludf.DUMMYFUNCTION("""COMPUTED_VALUE"""),39057.666666666664)</f>
        <v>39057.66667</v>
      </c>
      <c r="N745" s="2">
        <f>IFERROR(__xludf.DUMMYFUNCTION("""COMPUTED_VALUE"""),2445.86)</f>
        <v>2445.86</v>
      </c>
      <c r="S745" s="15"/>
    </row>
    <row r="746">
      <c r="A746" s="10">
        <f t="shared" si="8"/>
        <v>38728.66667</v>
      </c>
      <c r="B746" s="2" t="str">
        <f t="shared" si="2"/>
        <v/>
      </c>
      <c r="C746" s="2" t="str">
        <f t="shared" si="3"/>
        <v>SP500</v>
      </c>
      <c r="D746" s="2">
        <f t="shared" si="4"/>
        <v>2331.36</v>
      </c>
      <c r="E746" s="2">
        <f t="shared" si="5"/>
        <v>2331.36</v>
      </c>
      <c r="G746" s="10">
        <f t="shared" si="9"/>
        <v>38728.64583</v>
      </c>
      <c r="H746" s="6">
        <f t="shared" si="6"/>
        <v>1394.09</v>
      </c>
      <c r="I746" s="2">
        <f t="shared" si="7"/>
        <v>1394.09</v>
      </c>
      <c r="M746" s="10">
        <f>IFERROR(__xludf.DUMMYFUNCTION("""COMPUTED_VALUE"""),39058.666666666664)</f>
        <v>39058.66667</v>
      </c>
      <c r="N746" s="2">
        <f>IFERROR(__xludf.DUMMYFUNCTION("""COMPUTED_VALUE"""),2427.69)</f>
        <v>2427.69</v>
      </c>
      <c r="S746" s="15"/>
    </row>
    <row r="747">
      <c r="A747" s="10">
        <f t="shared" si="8"/>
        <v>38729.66667</v>
      </c>
      <c r="B747" s="2" t="str">
        <f t="shared" si="2"/>
        <v/>
      </c>
      <c r="C747" s="2" t="str">
        <f t="shared" si="3"/>
        <v>SP500</v>
      </c>
      <c r="D747" s="2">
        <f t="shared" si="4"/>
        <v>2316.69</v>
      </c>
      <c r="E747" s="2">
        <f t="shared" si="5"/>
        <v>2316.69</v>
      </c>
      <c r="G747" s="10">
        <f t="shared" si="9"/>
        <v>38729.64583</v>
      </c>
      <c r="H747" s="6">
        <f t="shared" si="6"/>
        <v>1402.58</v>
      </c>
      <c r="I747" s="2">
        <f t="shared" si="7"/>
        <v>1402.58</v>
      </c>
      <c r="M747" s="10">
        <f>IFERROR(__xludf.DUMMYFUNCTION("""COMPUTED_VALUE"""),39059.666666666664)</f>
        <v>39059.66667</v>
      </c>
      <c r="N747" s="2">
        <f>IFERROR(__xludf.DUMMYFUNCTION("""COMPUTED_VALUE"""),2437.36)</f>
        <v>2437.36</v>
      </c>
      <c r="S747" s="15"/>
    </row>
    <row r="748">
      <c r="A748" s="10">
        <f t="shared" si="8"/>
        <v>38730.66667</v>
      </c>
      <c r="B748" s="2" t="str">
        <f t="shared" si="2"/>
        <v/>
      </c>
      <c r="C748" s="2" t="str">
        <f t="shared" si="3"/>
        <v>SP500</v>
      </c>
      <c r="D748" s="2">
        <f t="shared" si="4"/>
        <v>2317.04</v>
      </c>
      <c r="E748" s="2">
        <f t="shared" si="5"/>
        <v>2317.04</v>
      </c>
      <c r="G748" s="10">
        <f t="shared" si="9"/>
        <v>38730.64583</v>
      </c>
      <c r="H748" s="6">
        <f t="shared" si="6"/>
        <v>1416.28</v>
      </c>
      <c r="I748" s="2">
        <f t="shared" si="7"/>
        <v>1416.28</v>
      </c>
      <c r="M748" s="10">
        <f>IFERROR(__xludf.DUMMYFUNCTION("""COMPUTED_VALUE"""),39062.666666666664)</f>
        <v>39062.66667</v>
      </c>
      <c r="N748" s="2">
        <f>IFERROR(__xludf.DUMMYFUNCTION("""COMPUTED_VALUE"""),2442.86)</f>
        <v>2442.86</v>
      </c>
      <c r="S748" s="15"/>
    </row>
    <row r="749">
      <c r="A749" s="10">
        <f t="shared" si="8"/>
        <v>38731.66667</v>
      </c>
      <c r="B749" s="2" t="str">
        <f t="shared" si="2"/>
        <v/>
      </c>
      <c r="C749" s="2" t="str">
        <f t="shared" si="3"/>
        <v>SP500</v>
      </c>
      <c r="D749" s="2" t="str">
        <f t="shared" si="4"/>
        <v/>
      </c>
      <c r="E749" s="2">
        <f t="shared" si="5"/>
        <v>2317.04</v>
      </c>
      <c r="G749" s="10">
        <f t="shared" si="9"/>
        <v>38731.64583</v>
      </c>
      <c r="H749" s="6" t="str">
        <f t="shared" si="6"/>
        <v/>
      </c>
      <c r="I749" s="2">
        <f t="shared" si="7"/>
        <v>1416.28</v>
      </c>
      <c r="M749" s="10">
        <f>IFERROR(__xludf.DUMMYFUNCTION("""COMPUTED_VALUE"""),39063.666666666664)</f>
        <v>39063.66667</v>
      </c>
      <c r="N749" s="2">
        <f>IFERROR(__xludf.DUMMYFUNCTION("""COMPUTED_VALUE"""),2431.6)</f>
        <v>2431.6</v>
      </c>
      <c r="S749" s="15"/>
    </row>
    <row r="750">
      <c r="A750" s="10">
        <f t="shared" si="8"/>
        <v>38732.66667</v>
      </c>
      <c r="B750" s="2" t="str">
        <f t="shared" si="2"/>
        <v/>
      </c>
      <c r="C750" s="2" t="str">
        <f t="shared" si="3"/>
        <v>SP500</v>
      </c>
      <c r="D750" s="2" t="str">
        <f t="shared" si="4"/>
        <v/>
      </c>
      <c r="E750" s="2">
        <f t="shared" si="5"/>
        <v>2317.04</v>
      </c>
      <c r="G750" s="10">
        <f t="shared" si="9"/>
        <v>38732.64583</v>
      </c>
      <c r="H750" s="6" t="str">
        <f t="shared" si="6"/>
        <v/>
      </c>
      <c r="I750" s="2">
        <f t="shared" si="7"/>
        <v>1416.28</v>
      </c>
      <c r="M750" s="10">
        <f>IFERROR(__xludf.DUMMYFUNCTION("""COMPUTED_VALUE"""),39064.666666666664)</f>
        <v>39064.66667</v>
      </c>
      <c r="N750" s="2">
        <f>IFERROR(__xludf.DUMMYFUNCTION("""COMPUTED_VALUE"""),2432.41)</f>
        <v>2432.41</v>
      </c>
      <c r="S750" s="15"/>
    </row>
    <row r="751">
      <c r="A751" s="10">
        <f t="shared" si="8"/>
        <v>38733.66667</v>
      </c>
      <c r="B751" s="2" t="str">
        <f t="shared" si="2"/>
        <v/>
      </c>
      <c r="C751" s="2" t="str">
        <f t="shared" si="3"/>
        <v>SP500</v>
      </c>
      <c r="D751" s="2" t="str">
        <f t="shared" si="4"/>
        <v/>
      </c>
      <c r="E751" s="2">
        <f t="shared" si="5"/>
        <v>2317.04</v>
      </c>
      <c r="G751" s="10">
        <f t="shared" si="9"/>
        <v>38733.64583</v>
      </c>
      <c r="H751" s="6">
        <f t="shared" si="6"/>
        <v>1421.79</v>
      </c>
      <c r="I751" s="2">
        <f t="shared" si="7"/>
        <v>1421.79</v>
      </c>
      <c r="M751" s="10">
        <f>IFERROR(__xludf.DUMMYFUNCTION("""COMPUTED_VALUE"""),39065.666666666664)</f>
        <v>39065.66667</v>
      </c>
      <c r="N751" s="2">
        <f>IFERROR(__xludf.DUMMYFUNCTION("""COMPUTED_VALUE"""),2453.85)</f>
        <v>2453.85</v>
      </c>
      <c r="S751" s="15"/>
    </row>
    <row r="752">
      <c r="A752" s="10">
        <f t="shared" si="8"/>
        <v>38734.66667</v>
      </c>
      <c r="B752" s="2" t="str">
        <f t="shared" si="2"/>
        <v/>
      </c>
      <c r="C752" s="2" t="str">
        <f t="shared" si="3"/>
        <v>SP500</v>
      </c>
      <c r="D752" s="2">
        <f t="shared" si="4"/>
        <v>2302.69</v>
      </c>
      <c r="E752" s="2">
        <f t="shared" si="5"/>
        <v>2302.69</v>
      </c>
      <c r="G752" s="10">
        <f t="shared" si="9"/>
        <v>38734.64583</v>
      </c>
      <c r="H752" s="6">
        <f t="shared" si="6"/>
        <v>1389.58</v>
      </c>
      <c r="I752" s="2">
        <f t="shared" si="7"/>
        <v>1389.58</v>
      </c>
      <c r="M752" s="10">
        <f>IFERROR(__xludf.DUMMYFUNCTION("""COMPUTED_VALUE"""),39066.666666666664)</f>
        <v>39066.66667</v>
      </c>
      <c r="N752" s="2">
        <f>IFERROR(__xludf.DUMMYFUNCTION("""COMPUTED_VALUE"""),2457.2)</f>
        <v>2457.2</v>
      </c>
      <c r="S752" s="15"/>
    </row>
    <row r="753">
      <c r="A753" s="10">
        <f t="shared" si="8"/>
        <v>38735.66667</v>
      </c>
      <c r="B753" s="2" t="str">
        <f t="shared" si="2"/>
        <v/>
      </c>
      <c r="C753" s="2" t="str">
        <f t="shared" si="3"/>
        <v>SP500</v>
      </c>
      <c r="D753" s="2">
        <f t="shared" si="4"/>
        <v>2279.64</v>
      </c>
      <c r="E753" s="2">
        <f t="shared" si="5"/>
        <v>2279.64</v>
      </c>
      <c r="G753" s="10">
        <f t="shared" si="9"/>
        <v>38735.64583</v>
      </c>
      <c r="H753" s="6">
        <f t="shared" si="6"/>
        <v>1352.91</v>
      </c>
      <c r="I753" s="2">
        <f t="shared" si="7"/>
        <v>1352.91</v>
      </c>
      <c r="M753" s="10">
        <f>IFERROR(__xludf.DUMMYFUNCTION("""COMPUTED_VALUE"""),39069.666666666664)</f>
        <v>39069.66667</v>
      </c>
      <c r="N753" s="2">
        <f>IFERROR(__xludf.DUMMYFUNCTION("""COMPUTED_VALUE"""),2435.57)</f>
        <v>2435.57</v>
      </c>
      <c r="S753" s="15"/>
    </row>
    <row r="754">
      <c r="A754" s="10">
        <f t="shared" si="8"/>
        <v>38736.66667</v>
      </c>
      <c r="B754" s="2" t="str">
        <f t="shared" si="2"/>
        <v/>
      </c>
      <c r="C754" s="2" t="str">
        <f t="shared" si="3"/>
        <v>SP500</v>
      </c>
      <c r="D754" s="2">
        <f t="shared" si="4"/>
        <v>2301.81</v>
      </c>
      <c r="E754" s="2">
        <f t="shared" si="5"/>
        <v>2301.81</v>
      </c>
      <c r="G754" s="10">
        <f t="shared" si="9"/>
        <v>38736.64583</v>
      </c>
      <c r="H754" s="6">
        <f t="shared" si="6"/>
        <v>1360.64</v>
      </c>
      <c r="I754" s="2">
        <f t="shared" si="7"/>
        <v>1360.64</v>
      </c>
      <c r="M754" s="10">
        <f>IFERROR(__xludf.DUMMYFUNCTION("""COMPUTED_VALUE"""),39070.666666666664)</f>
        <v>39070.66667</v>
      </c>
      <c r="N754" s="2">
        <f>IFERROR(__xludf.DUMMYFUNCTION("""COMPUTED_VALUE"""),2429.55)</f>
        <v>2429.55</v>
      </c>
      <c r="S754" s="15"/>
    </row>
    <row r="755">
      <c r="A755" s="10">
        <f t="shared" si="8"/>
        <v>38737.66667</v>
      </c>
      <c r="B755" s="2" t="str">
        <f t="shared" si="2"/>
        <v/>
      </c>
      <c r="C755" s="2" t="str">
        <f t="shared" si="3"/>
        <v>SP500</v>
      </c>
      <c r="D755" s="2">
        <f t="shared" si="4"/>
        <v>2247.7</v>
      </c>
      <c r="E755" s="2">
        <f t="shared" si="5"/>
        <v>2247.7</v>
      </c>
      <c r="G755" s="10">
        <f t="shared" si="9"/>
        <v>38737.64583</v>
      </c>
      <c r="H755" s="6">
        <f t="shared" si="6"/>
        <v>1324.78</v>
      </c>
      <c r="I755" s="2">
        <f t="shared" si="7"/>
        <v>1324.78</v>
      </c>
      <c r="M755" s="10">
        <f>IFERROR(__xludf.DUMMYFUNCTION("""COMPUTED_VALUE"""),39071.666666666664)</f>
        <v>39071.66667</v>
      </c>
      <c r="N755" s="2">
        <f>IFERROR(__xludf.DUMMYFUNCTION("""COMPUTED_VALUE"""),2427.61)</f>
        <v>2427.61</v>
      </c>
      <c r="S755" s="15"/>
    </row>
    <row r="756">
      <c r="A756" s="10">
        <f t="shared" si="8"/>
        <v>38738.66667</v>
      </c>
      <c r="B756" s="2" t="str">
        <f t="shared" si="2"/>
        <v/>
      </c>
      <c r="C756" s="2" t="str">
        <f t="shared" si="3"/>
        <v>SP500</v>
      </c>
      <c r="D756" s="2" t="str">
        <f t="shared" si="4"/>
        <v/>
      </c>
      <c r="E756" s="2">
        <f t="shared" si="5"/>
        <v>2247.7</v>
      </c>
      <c r="G756" s="10">
        <f t="shared" si="9"/>
        <v>38738.64583</v>
      </c>
      <c r="H756" s="6" t="str">
        <f t="shared" si="6"/>
        <v/>
      </c>
      <c r="I756" s="2">
        <f t="shared" si="7"/>
        <v>1324.78</v>
      </c>
      <c r="M756" s="10">
        <f>IFERROR(__xludf.DUMMYFUNCTION("""COMPUTED_VALUE"""),39072.666666666664)</f>
        <v>39072.66667</v>
      </c>
      <c r="N756" s="2">
        <f>IFERROR(__xludf.DUMMYFUNCTION("""COMPUTED_VALUE"""),2415.85)</f>
        <v>2415.85</v>
      </c>
      <c r="S756" s="15"/>
    </row>
    <row r="757">
      <c r="A757" s="10">
        <f t="shared" si="8"/>
        <v>38739.66667</v>
      </c>
      <c r="B757" s="2" t="str">
        <f t="shared" si="2"/>
        <v/>
      </c>
      <c r="C757" s="2" t="str">
        <f t="shared" si="3"/>
        <v>SP500</v>
      </c>
      <c r="D757" s="2" t="str">
        <f t="shared" si="4"/>
        <v/>
      </c>
      <c r="E757" s="2">
        <f t="shared" si="5"/>
        <v>2247.7</v>
      </c>
      <c r="G757" s="10">
        <f t="shared" si="9"/>
        <v>38739.64583</v>
      </c>
      <c r="H757" s="6" t="str">
        <f t="shared" si="6"/>
        <v/>
      </c>
      <c r="I757" s="2">
        <f t="shared" si="7"/>
        <v>1324.78</v>
      </c>
      <c r="M757" s="10">
        <f>IFERROR(__xludf.DUMMYFUNCTION("""COMPUTED_VALUE"""),39073.666666666664)</f>
        <v>39073.66667</v>
      </c>
      <c r="N757" s="2">
        <f>IFERROR(__xludf.DUMMYFUNCTION("""COMPUTED_VALUE"""),2401.18)</f>
        <v>2401.18</v>
      </c>
      <c r="S757" s="15"/>
    </row>
    <row r="758">
      <c r="A758" s="10">
        <f t="shared" si="8"/>
        <v>38740.66667</v>
      </c>
      <c r="B758" s="2" t="str">
        <f t="shared" si="2"/>
        <v/>
      </c>
      <c r="C758" s="2" t="str">
        <f t="shared" si="3"/>
        <v>SP500</v>
      </c>
      <c r="D758" s="2">
        <f t="shared" si="4"/>
        <v>2248.47</v>
      </c>
      <c r="E758" s="2">
        <f t="shared" si="5"/>
        <v>2248.47</v>
      </c>
      <c r="G758" s="10">
        <f t="shared" si="9"/>
        <v>38740.64583</v>
      </c>
      <c r="H758" s="6">
        <f t="shared" si="6"/>
        <v>1297.43</v>
      </c>
      <c r="I758" s="2">
        <f t="shared" si="7"/>
        <v>1297.43</v>
      </c>
      <c r="M758" s="10">
        <f>IFERROR(__xludf.DUMMYFUNCTION("""COMPUTED_VALUE"""),39077.666666666664)</f>
        <v>39077.66667</v>
      </c>
      <c r="N758" s="2">
        <f>IFERROR(__xludf.DUMMYFUNCTION("""COMPUTED_VALUE"""),2413.51)</f>
        <v>2413.51</v>
      </c>
      <c r="S758" s="15"/>
    </row>
    <row r="759">
      <c r="A759" s="10">
        <f t="shared" si="8"/>
        <v>38741.66667</v>
      </c>
      <c r="B759" s="2" t="str">
        <f t="shared" si="2"/>
        <v/>
      </c>
      <c r="C759" s="2" t="str">
        <f t="shared" si="3"/>
        <v>SP500</v>
      </c>
      <c r="D759" s="2">
        <f t="shared" si="4"/>
        <v>2265.25</v>
      </c>
      <c r="E759" s="2">
        <f t="shared" si="5"/>
        <v>2265.25</v>
      </c>
      <c r="G759" s="10">
        <f t="shared" si="9"/>
        <v>38741.64583</v>
      </c>
      <c r="H759" s="6">
        <f t="shared" si="6"/>
        <v>1326.83</v>
      </c>
      <c r="I759" s="2">
        <f t="shared" si="7"/>
        <v>1326.83</v>
      </c>
      <c r="M759" s="10">
        <f>IFERROR(__xludf.DUMMYFUNCTION("""COMPUTED_VALUE"""),39078.666666666664)</f>
        <v>39078.66667</v>
      </c>
      <c r="N759" s="2">
        <f>IFERROR(__xludf.DUMMYFUNCTION("""COMPUTED_VALUE"""),2431.22)</f>
        <v>2431.22</v>
      </c>
      <c r="S759" s="15"/>
    </row>
    <row r="760">
      <c r="A760" s="10">
        <f t="shared" si="8"/>
        <v>38742.66667</v>
      </c>
      <c r="B760" s="2" t="str">
        <f t="shared" si="2"/>
        <v/>
      </c>
      <c r="C760" s="2" t="str">
        <f t="shared" si="3"/>
        <v>SP500</v>
      </c>
      <c r="D760" s="2">
        <f t="shared" si="4"/>
        <v>2260.65</v>
      </c>
      <c r="E760" s="2">
        <f t="shared" si="5"/>
        <v>2260.65</v>
      </c>
      <c r="G760" s="10">
        <f t="shared" si="9"/>
        <v>38742.64583</v>
      </c>
      <c r="H760" s="6">
        <f t="shared" si="6"/>
        <v>1342.59</v>
      </c>
      <c r="I760" s="2">
        <f t="shared" si="7"/>
        <v>1342.59</v>
      </c>
      <c r="M760" s="10">
        <f>IFERROR(__xludf.DUMMYFUNCTION("""COMPUTED_VALUE"""),39079.666666666664)</f>
        <v>39079.66667</v>
      </c>
      <c r="N760" s="2">
        <f>IFERROR(__xludf.DUMMYFUNCTION("""COMPUTED_VALUE"""),2425.57)</f>
        <v>2425.57</v>
      </c>
      <c r="S760" s="15"/>
    </row>
    <row r="761">
      <c r="A761" s="10">
        <f t="shared" si="8"/>
        <v>38743.66667</v>
      </c>
      <c r="B761" s="2" t="str">
        <f t="shared" si="2"/>
        <v/>
      </c>
      <c r="C761" s="2" t="str">
        <f t="shared" si="3"/>
        <v>SP500</v>
      </c>
      <c r="D761" s="2">
        <f t="shared" si="4"/>
        <v>2283</v>
      </c>
      <c r="E761" s="2">
        <f t="shared" si="5"/>
        <v>2283</v>
      </c>
      <c r="G761" s="10">
        <f t="shared" si="9"/>
        <v>38743.64583</v>
      </c>
      <c r="H761" s="6">
        <f t="shared" si="6"/>
        <v>1352.75</v>
      </c>
      <c r="I761" s="2">
        <f t="shared" si="7"/>
        <v>1352.75</v>
      </c>
      <c r="M761" s="10">
        <f>IFERROR(__xludf.DUMMYFUNCTION("""COMPUTED_VALUE"""),39080.666666666664)</f>
        <v>39080.66667</v>
      </c>
      <c r="N761" s="2">
        <f>IFERROR(__xludf.DUMMYFUNCTION("""COMPUTED_VALUE"""),2415.29)</f>
        <v>2415.29</v>
      </c>
      <c r="S761" s="15"/>
    </row>
    <row r="762">
      <c r="A762" s="10">
        <f t="shared" si="8"/>
        <v>38744.66667</v>
      </c>
      <c r="B762" s="2" t="str">
        <f t="shared" si="2"/>
        <v/>
      </c>
      <c r="C762" s="2" t="str">
        <f t="shared" si="3"/>
        <v>SP500</v>
      </c>
      <c r="D762" s="2">
        <f t="shared" si="4"/>
        <v>2304.23</v>
      </c>
      <c r="E762" s="2">
        <f t="shared" si="5"/>
        <v>2304.23</v>
      </c>
      <c r="G762" s="10">
        <f t="shared" si="9"/>
        <v>38744.64583</v>
      </c>
      <c r="H762" s="6">
        <f t="shared" si="6"/>
        <v>1384.56</v>
      </c>
      <c r="I762" s="2">
        <f t="shared" si="7"/>
        <v>1384.56</v>
      </c>
      <c r="M762" s="10">
        <f>IFERROR(__xludf.DUMMYFUNCTION("""COMPUTED_VALUE"""),39085.666666666664)</f>
        <v>39085.66667</v>
      </c>
      <c r="N762" s="2">
        <f>IFERROR(__xludf.DUMMYFUNCTION("""COMPUTED_VALUE"""),2423.16)</f>
        <v>2423.16</v>
      </c>
      <c r="S762" s="15"/>
    </row>
    <row r="763">
      <c r="A763" s="10">
        <f t="shared" si="8"/>
        <v>38745.66667</v>
      </c>
      <c r="B763" s="2" t="str">
        <f t="shared" si="2"/>
        <v/>
      </c>
      <c r="C763" s="2" t="str">
        <f t="shared" si="3"/>
        <v>SP500</v>
      </c>
      <c r="D763" s="2" t="str">
        <f t="shared" si="4"/>
        <v/>
      </c>
      <c r="E763" s="2">
        <f t="shared" si="5"/>
        <v>2304.23</v>
      </c>
      <c r="G763" s="10">
        <f t="shared" si="9"/>
        <v>38745.64583</v>
      </c>
      <c r="H763" s="6" t="str">
        <f t="shared" si="6"/>
        <v/>
      </c>
      <c r="I763" s="2">
        <f t="shared" si="7"/>
        <v>1384.56</v>
      </c>
      <c r="M763" s="10">
        <f>IFERROR(__xludf.DUMMYFUNCTION("""COMPUTED_VALUE"""),39086.666666666664)</f>
        <v>39086.66667</v>
      </c>
      <c r="N763" s="2">
        <f>IFERROR(__xludf.DUMMYFUNCTION("""COMPUTED_VALUE"""),2453.43)</f>
        <v>2453.43</v>
      </c>
      <c r="S763" s="15"/>
    </row>
    <row r="764">
      <c r="A764" s="10">
        <f t="shared" si="8"/>
        <v>38746.66667</v>
      </c>
      <c r="B764" s="2" t="str">
        <f t="shared" si="2"/>
        <v/>
      </c>
      <c r="C764" s="2" t="str">
        <f t="shared" si="3"/>
        <v>SP500</v>
      </c>
      <c r="D764" s="2" t="str">
        <f t="shared" si="4"/>
        <v/>
      </c>
      <c r="E764" s="2">
        <f t="shared" si="5"/>
        <v>2304.23</v>
      </c>
      <c r="G764" s="10">
        <f t="shared" si="9"/>
        <v>38746.64583</v>
      </c>
      <c r="H764" s="6" t="str">
        <f t="shared" si="6"/>
        <v/>
      </c>
      <c r="I764" s="2">
        <f t="shared" si="7"/>
        <v>1384.56</v>
      </c>
      <c r="M764" s="10">
        <f>IFERROR(__xludf.DUMMYFUNCTION("""COMPUTED_VALUE"""),39087.666666666664)</f>
        <v>39087.66667</v>
      </c>
      <c r="N764" s="2">
        <f>IFERROR(__xludf.DUMMYFUNCTION("""COMPUTED_VALUE"""),2434.25)</f>
        <v>2434.25</v>
      </c>
      <c r="S764" s="15"/>
    </row>
    <row r="765">
      <c r="A765" s="10">
        <f t="shared" si="8"/>
        <v>38747.66667</v>
      </c>
      <c r="B765" s="2" t="str">
        <f t="shared" si="2"/>
        <v/>
      </c>
      <c r="C765" s="2" t="str">
        <f t="shared" si="3"/>
        <v>SP500</v>
      </c>
      <c r="D765" s="2">
        <f t="shared" si="4"/>
        <v>2306.78</v>
      </c>
      <c r="E765" s="2">
        <f t="shared" si="5"/>
        <v>2306.78</v>
      </c>
      <c r="G765" s="10">
        <f t="shared" si="9"/>
        <v>38747.64583</v>
      </c>
      <c r="H765" s="6" t="str">
        <f t="shared" si="6"/>
        <v/>
      </c>
      <c r="I765" s="2">
        <f t="shared" si="7"/>
        <v>1384.56</v>
      </c>
      <c r="M765" s="10">
        <f>IFERROR(__xludf.DUMMYFUNCTION("""COMPUTED_VALUE"""),39090.666666666664)</f>
        <v>39090.66667</v>
      </c>
      <c r="N765" s="2">
        <f>IFERROR(__xludf.DUMMYFUNCTION("""COMPUTED_VALUE"""),2438.2)</f>
        <v>2438.2</v>
      </c>
      <c r="S765" s="15"/>
    </row>
    <row r="766">
      <c r="A766" s="10">
        <f t="shared" si="8"/>
        <v>38748.66667</v>
      </c>
      <c r="B766" s="2" t="str">
        <f t="shared" si="2"/>
        <v/>
      </c>
      <c r="C766" s="2" t="str">
        <f t="shared" si="3"/>
        <v>SP500</v>
      </c>
      <c r="D766" s="2">
        <f t="shared" si="4"/>
        <v>2305.82</v>
      </c>
      <c r="E766" s="2">
        <f t="shared" si="5"/>
        <v>2305.82</v>
      </c>
      <c r="G766" s="10">
        <f t="shared" si="9"/>
        <v>38748.64583</v>
      </c>
      <c r="H766" s="6">
        <f t="shared" si="6"/>
        <v>1399.83</v>
      </c>
      <c r="I766" s="2">
        <f t="shared" si="7"/>
        <v>1399.83</v>
      </c>
      <c r="M766" s="10">
        <f>IFERROR(__xludf.DUMMYFUNCTION("""COMPUTED_VALUE"""),39091.666666666664)</f>
        <v>39091.66667</v>
      </c>
      <c r="N766" s="2">
        <f>IFERROR(__xludf.DUMMYFUNCTION("""COMPUTED_VALUE"""),2443.83)</f>
        <v>2443.83</v>
      </c>
      <c r="S766" s="15"/>
    </row>
    <row r="767">
      <c r="A767" s="10">
        <f t="shared" si="8"/>
        <v>38749.66667</v>
      </c>
      <c r="B767" s="2" t="str">
        <f t="shared" si="2"/>
        <v/>
      </c>
      <c r="C767" s="2" t="str">
        <f t="shared" si="3"/>
        <v>SP500</v>
      </c>
      <c r="D767" s="2">
        <f t="shared" si="4"/>
        <v>2310.56</v>
      </c>
      <c r="E767" s="2">
        <f t="shared" si="5"/>
        <v>2310.56</v>
      </c>
      <c r="G767" s="10">
        <f t="shared" si="9"/>
        <v>38749.64583</v>
      </c>
      <c r="H767" s="6">
        <f t="shared" si="6"/>
        <v>1375.97</v>
      </c>
      <c r="I767" s="2">
        <f t="shared" si="7"/>
        <v>1375.97</v>
      </c>
      <c r="M767" s="10">
        <f>IFERROR(__xludf.DUMMYFUNCTION("""COMPUTED_VALUE"""),39092.666666666664)</f>
        <v>39092.66667</v>
      </c>
      <c r="N767" s="2">
        <f>IFERROR(__xludf.DUMMYFUNCTION("""COMPUTED_VALUE"""),2459.33)</f>
        <v>2459.33</v>
      </c>
      <c r="S767" s="15"/>
    </row>
    <row r="768">
      <c r="A768" s="10">
        <f t="shared" si="8"/>
        <v>38750.66667</v>
      </c>
      <c r="B768" s="2" t="str">
        <f t="shared" si="2"/>
        <v/>
      </c>
      <c r="C768" s="2" t="str">
        <f t="shared" si="3"/>
        <v>SP500</v>
      </c>
      <c r="D768" s="2">
        <f t="shared" si="4"/>
        <v>2281.57</v>
      </c>
      <c r="E768" s="2">
        <f t="shared" si="5"/>
        <v>2281.57</v>
      </c>
      <c r="G768" s="10">
        <f t="shared" si="9"/>
        <v>38750.64583</v>
      </c>
      <c r="H768" s="6">
        <f t="shared" si="6"/>
        <v>1374.44</v>
      </c>
      <c r="I768" s="2">
        <f t="shared" si="7"/>
        <v>1374.44</v>
      </c>
      <c r="M768" s="10">
        <f>IFERROR(__xludf.DUMMYFUNCTION("""COMPUTED_VALUE"""),39093.666666666664)</f>
        <v>39093.66667</v>
      </c>
      <c r="N768" s="2">
        <f>IFERROR(__xludf.DUMMYFUNCTION("""COMPUTED_VALUE"""),2484.85)</f>
        <v>2484.85</v>
      </c>
      <c r="S768" s="15"/>
    </row>
    <row r="769">
      <c r="A769" s="10">
        <f t="shared" si="8"/>
        <v>38751.66667</v>
      </c>
      <c r="B769" s="2" t="str">
        <f t="shared" si="2"/>
        <v/>
      </c>
      <c r="C769" s="2" t="str">
        <f t="shared" si="3"/>
        <v>SP500</v>
      </c>
      <c r="D769" s="2">
        <f t="shared" si="4"/>
        <v>2262.58</v>
      </c>
      <c r="E769" s="2">
        <f t="shared" si="5"/>
        <v>2262.58</v>
      </c>
      <c r="G769" s="10">
        <f t="shared" si="9"/>
        <v>38751.64583</v>
      </c>
      <c r="H769" s="6">
        <f t="shared" si="6"/>
        <v>1333.5</v>
      </c>
      <c r="I769" s="2">
        <f t="shared" si="7"/>
        <v>1333.5</v>
      </c>
      <c r="M769" s="10">
        <f>IFERROR(__xludf.DUMMYFUNCTION("""COMPUTED_VALUE"""),39094.666666666664)</f>
        <v>39094.66667</v>
      </c>
      <c r="N769" s="2">
        <f>IFERROR(__xludf.DUMMYFUNCTION("""COMPUTED_VALUE"""),2502.82)</f>
        <v>2502.82</v>
      </c>
      <c r="S769" s="15"/>
    </row>
    <row r="770">
      <c r="A770" s="10">
        <f t="shared" si="8"/>
        <v>38752.66667</v>
      </c>
      <c r="B770" s="2" t="str">
        <f t="shared" si="2"/>
        <v/>
      </c>
      <c r="C770" s="2" t="str">
        <f t="shared" si="3"/>
        <v>SP500</v>
      </c>
      <c r="D770" s="2" t="str">
        <f t="shared" si="4"/>
        <v/>
      </c>
      <c r="E770" s="2">
        <f t="shared" si="5"/>
        <v>2262.58</v>
      </c>
      <c r="G770" s="10">
        <f t="shared" si="9"/>
        <v>38752.64583</v>
      </c>
      <c r="H770" s="6" t="str">
        <f t="shared" si="6"/>
        <v/>
      </c>
      <c r="I770" s="2">
        <f t="shared" si="7"/>
        <v>1333.5</v>
      </c>
      <c r="M770" s="10">
        <f>IFERROR(__xludf.DUMMYFUNCTION("""COMPUTED_VALUE"""),39098.666666666664)</f>
        <v>39098.66667</v>
      </c>
      <c r="N770" s="2">
        <f>IFERROR(__xludf.DUMMYFUNCTION("""COMPUTED_VALUE"""),2497.78)</f>
        <v>2497.78</v>
      </c>
      <c r="S770" s="15"/>
    </row>
    <row r="771">
      <c r="A771" s="10">
        <f t="shared" si="8"/>
        <v>38753.66667</v>
      </c>
      <c r="B771" s="2" t="str">
        <f t="shared" si="2"/>
        <v/>
      </c>
      <c r="C771" s="2" t="str">
        <f t="shared" si="3"/>
        <v>SP500</v>
      </c>
      <c r="D771" s="2" t="str">
        <f t="shared" si="4"/>
        <v/>
      </c>
      <c r="E771" s="2">
        <f t="shared" si="5"/>
        <v>2262.58</v>
      </c>
      <c r="G771" s="10">
        <f t="shared" si="9"/>
        <v>38753.64583</v>
      </c>
      <c r="H771" s="6" t="str">
        <f t="shared" si="6"/>
        <v/>
      </c>
      <c r="I771" s="2">
        <f t="shared" si="7"/>
        <v>1333.5</v>
      </c>
      <c r="M771" s="10">
        <f>IFERROR(__xludf.DUMMYFUNCTION("""COMPUTED_VALUE"""),39099.666666666664)</f>
        <v>39099.66667</v>
      </c>
      <c r="N771" s="2">
        <f>IFERROR(__xludf.DUMMYFUNCTION("""COMPUTED_VALUE"""),2479.42)</f>
        <v>2479.42</v>
      </c>
      <c r="S771" s="15"/>
    </row>
    <row r="772">
      <c r="A772" s="10">
        <f t="shared" si="8"/>
        <v>38754.66667</v>
      </c>
      <c r="B772" s="2" t="str">
        <f t="shared" si="2"/>
        <v/>
      </c>
      <c r="C772" s="2" t="str">
        <f t="shared" si="3"/>
        <v>SP500</v>
      </c>
      <c r="D772" s="2">
        <f t="shared" si="4"/>
        <v>2258.8</v>
      </c>
      <c r="E772" s="2">
        <f t="shared" si="5"/>
        <v>2258.8</v>
      </c>
      <c r="G772" s="10">
        <f t="shared" si="9"/>
        <v>38754.64583</v>
      </c>
      <c r="H772" s="6">
        <f t="shared" si="6"/>
        <v>1341.64</v>
      </c>
      <c r="I772" s="2">
        <f t="shared" si="7"/>
        <v>1341.64</v>
      </c>
      <c r="M772" s="10">
        <f>IFERROR(__xludf.DUMMYFUNCTION("""COMPUTED_VALUE"""),39100.666666666664)</f>
        <v>39100.66667</v>
      </c>
      <c r="N772" s="2">
        <f>IFERROR(__xludf.DUMMYFUNCTION("""COMPUTED_VALUE"""),2443.21)</f>
        <v>2443.21</v>
      </c>
      <c r="S772" s="15"/>
    </row>
    <row r="773">
      <c r="A773" s="10">
        <f t="shared" si="8"/>
        <v>38755.66667</v>
      </c>
      <c r="B773" s="2" t="str">
        <f t="shared" si="2"/>
        <v/>
      </c>
      <c r="C773" s="2" t="str">
        <f t="shared" si="3"/>
        <v>SP500</v>
      </c>
      <c r="D773" s="2">
        <f t="shared" si="4"/>
        <v>2244.96</v>
      </c>
      <c r="E773" s="2">
        <f t="shared" si="5"/>
        <v>2244.96</v>
      </c>
      <c r="G773" s="10">
        <f t="shared" si="9"/>
        <v>38755.64583</v>
      </c>
      <c r="H773" s="6">
        <f t="shared" si="6"/>
        <v>1332.28</v>
      </c>
      <c r="I773" s="2">
        <f t="shared" si="7"/>
        <v>1332.28</v>
      </c>
      <c r="M773" s="10">
        <f>IFERROR(__xludf.DUMMYFUNCTION("""COMPUTED_VALUE"""),39101.666666666664)</f>
        <v>39101.66667</v>
      </c>
      <c r="N773" s="2">
        <f>IFERROR(__xludf.DUMMYFUNCTION("""COMPUTED_VALUE"""),2451.31)</f>
        <v>2451.31</v>
      </c>
      <c r="S773" s="15"/>
    </row>
    <row r="774">
      <c r="A774" s="10">
        <f t="shared" si="8"/>
        <v>38756.66667</v>
      </c>
      <c r="B774" s="2" t="str">
        <f t="shared" si="2"/>
        <v/>
      </c>
      <c r="C774" s="2" t="str">
        <f t="shared" si="3"/>
        <v>SP500</v>
      </c>
      <c r="D774" s="2">
        <f t="shared" si="4"/>
        <v>2266.98</v>
      </c>
      <c r="E774" s="2">
        <f t="shared" si="5"/>
        <v>2266.98</v>
      </c>
      <c r="G774" s="10">
        <f t="shared" si="9"/>
        <v>38756.64583</v>
      </c>
      <c r="H774" s="6">
        <f t="shared" si="6"/>
        <v>1310.99</v>
      </c>
      <c r="I774" s="2">
        <f t="shared" si="7"/>
        <v>1310.99</v>
      </c>
      <c r="M774" s="10">
        <f>IFERROR(__xludf.DUMMYFUNCTION("""COMPUTED_VALUE"""),39104.666666666664)</f>
        <v>39104.66667</v>
      </c>
      <c r="N774" s="2">
        <f>IFERROR(__xludf.DUMMYFUNCTION("""COMPUTED_VALUE"""),2431.07)</f>
        <v>2431.07</v>
      </c>
      <c r="S774" s="15"/>
    </row>
    <row r="775">
      <c r="A775" s="10">
        <f t="shared" si="8"/>
        <v>38757.66667</v>
      </c>
      <c r="B775" s="2" t="str">
        <f t="shared" si="2"/>
        <v/>
      </c>
      <c r="C775" s="2" t="str">
        <f t="shared" si="3"/>
        <v>SP500</v>
      </c>
      <c r="D775" s="2">
        <f t="shared" si="4"/>
        <v>2255.87</v>
      </c>
      <c r="E775" s="2">
        <f t="shared" si="5"/>
        <v>2255.87</v>
      </c>
      <c r="G775" s="10">
        <f t="shared" si="9"/>
        <v>38757.64583</v>
      </c>
      <c r="H775" s="6">
        <f t="shared" si="6"/>
        <v>1321.66</v>
      </c>
      <c r="I775" s="2">
        <f t="shared" si="7"/>
        <v>1321.66</v>
      </c>
      <c r="M775" s="10">
        <f>IFERROR(__xludf.DUMMYFUNCTION("""COMPUTED_VALUE"""),39105.666666666664)</f>
        <v>39105.66667</v>
      </c>
      <c r="N775" s="2">
        <f>IFERROR(__xludf.DUMMYFUNCTION("""COMPUTED_VALUE"""),2431.41)</f>
        <v>2431.41</v>
      </c>
      <c r="S775" s="15"/>
    </row>
    <row r="776">
      <c r="A776" s="10">
        <f t="shared" si="8"/>
        <v>38758.66667</v>
      </c>
      <c r="B776" s="2" t="str">
        <f t="shared" si="2"/>
        <v/>
      </c>
      <c r="C776" s="2" t="str">
        <f t="shared" si="3"/>
        <v>SP500</v>
      </c>
      <c r="D776" s="2">
        <f t="shared" si="4"/>
        <v>2261.88</v>
      </c>
      <c r="E776" s="2">
        <f t="shared" si="5"/>
        <v>2261.88</v>
      </c>
      <c r="G776" s="10">
        <f t="shared" si="9"/>
        <v>38758.64583</v>
      </c>
      <c r="H776" s="6">
        <f t="shared" si="6"/>
        <v>1335.23</v>
      </c>
      <c r="I776" s="2">
        <f t="shared" si="7"/>
        <v>1335.23</v>
      </c>
      <c r="M776" s="10">
        <f>IFERROR(__xludf.DUMMYFUNCTION("""COMPUTED_VALUE"""),39106.666666666664)</f>
        <v>39106.66667</v>
      </c>
      <c r="N776" s="2">
        <f>IFERROR(__xludf.DUMMYFUNCTION("""COMPUTED_VALUE"""),2466.28)</f>
        <v>2466.28</v>
      </c>
      <c r="S776" s="15"/>
    </row>
    <row r="777">
      <c r="A777" s="10">
        <f t="shared" si="8"/>
        <v>38759.66667</v>
      </c>
      <c r="B777" s="2" t="str">
        <f t="shared" si="2"/>
        <v/>
      </c>
      <c r="C777" s="2" t="str">
        <f t="shared" si="3"/>
        <v>SP500</v>
      </c>
      <c r="D777" s="2" t="str">
        <f t="shared" si="4"/>
        <v/>
      </c>
      <c r="E777" s="2">
        <f t="shared" si="5"/>
        <v>2261.88</v>
      </c>
      <c r="G777" s="10">
        <f t="shared" si="9"/>
        <v>38759.64583</v>
      </c>
      <c r="H777" s="6" t="str">
        <f t="shared" si="6"/>
        <v/>
      </c>
      <c r="I777" s="2">
        <f t="shared" si="7"/>
        <v>1335.23</v>
      </c>
      <c r="M777" s="10">
        <f>IFERROR(__xludf.DUMMYFUNCTION("""COMPUTED_VALUE"""),39107.666666666664)</f>
        <v>39107.66667</v>
      </c>
      <c r="N777" s="2">
        <f>IFERROR(__xludf.DUMMYFUNCTION("""COMPUTED_VALUE"""),2434.24)</f>
        <v>2434.24</v>
      </c>
      <c r="S777" s="15"/>
    </row>
    <row r="778">
      <c r="A778" s="10">
        <f t="shared" si="8"/>
        <v>38760.66667</v>
      </c>
      <c r="B778" s="2" t="str">
        <f t="shared" si="2"/>
        <v/>
      </c>
      <c r="C778" s="2" t="str">
        <f t="shared" si="3"/>
        <v>SP500</v>
      </c>
      <c r="D778" s="2" t="str">
        <f t="shared" si="4"/>
        <v/>
      </c>
      <c r="E778" s="2">
        <f t="shared" si="5"/>
        <v>2261.88</v>
      </c>
      <c r="G778" s="10">
        <f t="shared" si="9"/>
        <v>38760.64583</v>
      </c>
      <c r="H778" s="6" t="str">
        <f t="shared" si="6"/>
        <v/>
      </c>
      <c r="I778" s="2">
        <f t="shared" si="7"/>
        <v>1335.23</v>
      </c>
      <c r="M778" s="10">
        <f>IFERROR(__xludf.DUMMYFUNCTION("""COMPUTED_VALUE"""),39108.666666666664)</f>
        <v>39108.66667</v>
      </c>
      <c r="N778" s="2">
        <f>IFERROR(__xludf.DUMMYFUNCTION("""COMPUTED_VALUE"""),2435.49)</f>
        <v>2435.49</v>
      </c>
      <c r="S778" s="15"/>
    </row>
    <row r="779">
      <c r="A779" s="10">
        <f t="shared" si="8"/>
        <v>38761.66667</v>
      </c>
      <c r="B779" s="2" t="str">
        <f t="shared" si="2"/>
        <v/>
      </c>
      <c r="C779" s="2" t="str">
        <f t="shared" si="3"/>
        <v>SP500</v>
      </c>
      <c r="D779" s="2">
        <f t="shared" si="4"/>
        <v>2239.81</v>
      </c>
      <c r="E779" s="2">
        <f t="shared" si="5"/>
        <v>2239.81</v>
      </c>
      <c r="G779" s="10">
        <f t="shared" si="9"/>
        <v>38761.64583</v>
      </c>
      <c r="H779" s="6">
        <f t="shared" si="6"/>
        <v>1320.79</v>
      </c>
      <c r="I779" s="2">
        <f t="shared" si="7"/>
        <v>1320.79</v>
      </c>
      <c r="M779" s="10">
        <f>IFERROR(__xludf.DUMMYFUNCTION("""COMPUTED_VALUE"""),39111.666666666664)</f>
        <v>39111.66667</v>
      </c>
      <c r="N779" s="2">
        <f>IFERROR(__xludf.DUMMYFUNCTION("""COMPUTED_VALUE"""),2441.09)</f>
        <v>2441.09</v>
      </c>
      <c r="S779" s="15"/>
    </row>
    <row r="780">
      <c r="A780" s="10">
        <f t="shared" si="8"/>
        <v>38762.66667</v>
      </c>
      <c r="B780" s="2" t="str">
        <f t="shared" si="2"/>
        <v/>
      </c>
      <c r="C780" s="2" t="str">
        <f t="shared" si="3"/>
        <v>SP500</v>
      </c>
      <c r="D780" s="2">
        <f t="shared" si="4"/>
        <v>2262.17</v>
      </c>
      <c r="E780" s="2">
        <f t="shared" si="5"/>
        <v>2262.17</v>
      </c>
      <c r="G780" s="10">
        <f t="shared" si="9"/>
        <v>38762.64583</v>
      </c>
      <c r="H780" s="6">
        <f t="shared" si="6"/>
        <v>1328.21</v>
      </c>
      <c r="I780" s="2">
        <f t="shared" si="7"/>
        <v>1328.21</v>
      </c>
      <c r="M780" s="10">
        <f>IFERROR(__xludf.DUMMYFUNCTION("""COMPUTED_VALUE"""),39112.666666666664)</f>
        <v>39112.66667</v>
      </c>
      <c r="N780" s="2">
        <f>IFERROR(__xludf.DUMMYFUNCTION("""COMPUTED_VALUE"""),2448.64)</f>
        <v>2448.64</v>
      </c>
      <c r="S780" s="15"/>
    </row>
    <row r="781">
      <c r="A781" s="10">
        <f t="shared" si="8"/>
        <v>38763.66667</v>
      </c>
      <c r="B781" s="2" t="str">
        <f t="shared" si="2"/>
        <v/>
      </c>
      <c r="C781" s="2" t="str">
        <f t="shared" si="3"/>
        <v>SP500</v>
      </c>
      <c r="D781" s="2">
        <f t="shared" si="4"/>
        <v>2276.43</v>
      </c>
      <c r="E781" s="2">
        <f t="shared" si="5"/>
        <v>2276.43</v>
      </c>
      <c r="G781" s="10">
        <f t="shared" si="9"/>
        <v>38763.64583</v>
      </c>
      <c r="H781" s="6">
        <f t="shared" si="6"/>
        <v>1303.84</v>
      </c>
      <c r="I781" s="2">
        <f t="shared" si="7"/>
        <v>1303.84</v>
      </c>
      <c r="M781" s="10">
        <f>IFERROR(__xludf.DUMMYFUNCTION("""COMPUTED_VALUE"""),39113.666666666664)</f>
        <v>39113.66667</v>
      </c>
      <c r="N781" s="2">
        <f>IFERROR(__xludf.DUMMYFUNCTION("""COMPUTED_VALUE"""),2463.93)</f>
        <v>2463.93</v>
      </c>
      <c r="S781" s="15"/>
    </row>
    <row r="782">
      <c r="A782" s="10">
        <f t="shared" si="8"/>
        <v>38764.66667</v>
      </c>
      <c r="B782" s="2" t="str">
        <f t="shared" si="2"/>
        <v/>
      </c>
      <c r="C782" s="2" t="str">
        <f t="shared" si="3"/>
        <v>SP500</v>
      </c>
      <c r="D782" s="2">
        <f t="shared" si="4"/>
        <v>2294.63</v>
      </c>
      <c r="E782" s="2">
        <f t="shared" si="5"/>
        <v>2294.63</v>
      </c>
      <c r="G782" s="10">
        <f t="shared" si="9"/>
        <v>38764.64583</v>
      </c>
      <c r="H782" s="6">
        <f t="shared" si="6"/>
        <v>1314.32</v>
      </c>
      <c r="I782" s="2">
        <f t="shared" si="7"/>
        <v>1314.32</v>
      </c>
      <c r="M782" s="10">
        <f>IFERROR(__xludf.DUMMYFUNCTION("""COMPUTED_VALUE"""),39114.666666666664)</f>
        <v>39114.66667</v>
      </c>
      <c r="N782" s="2">
        <f>IFERROR(__xludf.DUMMYFUNCTION("""COMPUTED_VALUE"""),2468.38)</f>
        <v>2468.38</v>
      </c>
      <c r="S782" s="15"/>
    </row>
    <row r="783">
      <c r="A783" s="10">
        <f t="shared" si="8"/>
        <v>38765.66667</v>
      </c>
      <c r="B783" s="2" t="str">
        <f t="shared" si="2"/>
        <v/>
      </c>
      <c r="C783" s="2" t="str">
        <f t="shared" si="3"/>
        <v>SP500</v>
      </c>
      <c r="D783" s="2">
        <f t="shared" si="4"/>
        <v>2282.36</v>
      </c>
      <c r="E783" s="2">
        <f t="shared" si="5"/>
        <v>2282.36</v>
      </c>
      <c r="G783" s="10">
        <f t="shared" si="9"/>
        <v>38765.64583</v>
      </c>
      <c r="H783" s="6">
        <f t="shared" si="6"/>
        <v>1332.73</v>
      </c>
      <c r="I783" s="2">
        <f t="shared" si="7"/>
        <v>1332.73</v>
      </c>
      <c r="M783" s="10">
        <f>IFERROR(__xludf.DUMMYFUNCTION("""COMPUTED_VALUE"""),39115.666666666664)</f>
        <v>39115.66667</v>
      </c>
      <c r="N783" s="2">
        <f>IFERROR(__xludf.DUMMYFUNCTION("""COMPUTED_VALUE"""),2475.88)</f>
        <v>2475.88</v>
      </c>
      <c r="S783" s="15"/>
    </row>
    <row r="784">
      <c r="A784" s="10">
        <f t="shared" si="8"/>
        <v>38766.66667</v>
      </c>
      <c r="B784" s="2" t="str">
        <f t="shared" si="2"/>
        <v/>
      </c>
      <c r="C784" s="2" t="str">
        <f t="shared" si="3"/>
        <v>SP500</v>
      </c>
      <c r="D784" s="2" t="str">
        <f t="shared" si="4"/>
        <v/>
      </c>
      <c r="E784" s="2">
        <f t="shared" si="5"/>
        <v>2282.36</v>
      </c>
      <c r="G784" s="10">
        <f t="shared" si="9"/>
        <v>38766.64583</v>
      </c>
      <c r="H784" s="6" t="str">
        <f t="shared" si="6"/>
        <v/>
      </c>
      <c r="I784" s="2">
        <f t="shared" si="7"/>
        <v>1332.73</v>
      </c>
      <c r="M784" s="10">
        <f>IFERROR(__xludf.DUMMYFUNCTION("""COMPUTED_VALUE"""),39118.666666666664)</f>
        <v>39118.66667</v>
      </c>
      <c r="N784" s="2">
        <f>IFERROR(__xludf.DUMMYFUNCTION("""COMPUTED_VALUE"""),2470.6)</f>
        <v>2470.6</v>
      </c>
      <c r="S784" s="15"/>
    </row>
    <row r="785">
      <c r="A785" s="10">
        <f t="shared" si="8"/>
        <v>38767.66667</v>
      </c>
      <c r="B785" s="2" t="str">
        <f t="shared" si="2"/>
        <v/>
      </c>
      <c r="C785" s="2" t="str">
        <f t="shared" si="3"/>
        <v>SP500</v>
      </c>
      <c r="D785" s="2" t="str">
        <f t="shared" si="4"/>
        <v/>
      </c>
      <c r="E785" s="2">
        <f t="shared" si="5"/>
        <v>2282.36</v>
      </c>
      <c r="G785" s="10">
        <f t="shared" si="9"/>
        <v>38767.64583</v>
      </c>
      <c r="H785" s="6" t="str">
        <f t="shared" si="6"/>
        <v/>
      </c>
      <c r="I785" s="2">
        <f t="shared" si="7"/>
        <v>1332.73</v>
      </c>
      <c r="M785" s="10">
        <f>IFERROR(__xludf.DUMMYFUNCTION("""COMPUTED_VALUE"""),39119.666666666664)</f>
        <v>39119.66667</v>
      </c>
      <c r="N785" s="2">
        <f>IFERROR(__xludf.DUMMYFUNCTION("""COMPUTED_VALUE"""),2471.49)</f>
        <v>2471.49</v>
      </c>
      <c r="S785" s="15"/>
    </row>
    <row r="786">
      <c r="A786" s="10">
        <f t="shared" si="8"/>
        <v>38768.66667</v>
      </c>
      <c r="B786" s="2" t="str">
        <f t="shared" si="2"/>
        <v/>
      </c>
      <c r="C786" s="2" t="str">
        <f t="shared" si="3"/>
        <v>SP500</v>
      </c>
      <c r="D786" s="2" t="str">
        <f t="shared" si="4"/>
        <v/>
      </c>
      <c r="E786" s="2">
        <f t="shared" si="5"/>
        <v>2282.36</v>
      </c>
      <c r="G786" s="10">
        <f t="shared" si="9"/>
        <v>38768.64583</v>
      </c>
      <c r="H786" s="6">
        <f t="shared" si="6"/>
        <v>1348.25</v>
      </c>
      <c r="I786" s="2">
        <f t="shared" si="7"/>
        <v>1348.25</v>
      </c>
      <c r="M786" s="10">
        <f>IFERROR(__xludf.DUMMYFUNCTION("""COMPUTED_VALUE"""),39120.666666666664)</f>
        <v>39120.66667</v>
      </c>
      <c r="N786" s="2">
        <f>IFERROR(__xludf.DUMMYFUNCTION("""COMPUTED_VALUE"""),2490.5)</f>
        <v>2490.5</v>
      </c>
      <c r="S786" s="15"/>
    </row>
    <row r="787">
      <c r="A787" s="10">
        <f t="shared" si="8"/>
        <v>38769.66667</v>
      </c>
      <c r="B787" s="2" t="str">
        <f t="shared" si="2"/>
        <v/>
      </c>
      <c r="C787" s="2" t="str">
        <f t="shared" si="3"/>
        <v>SP500</v>
      </c>
      <c r="D787" s="2">
        <f t="shared" si="4"/>
        <v>2262.96</v>
      </c>
      <c r="E787" s="2">
        <f t="shared" si="5"/>
        <v>2262.96</v>
      </c>
      <c r="G787" s="10">
        <f t="shared" si="9"/>
        <v>38769.64583</v>
      </c>
      <c r="H787" s="6">
        <f t="shared" si="6"/>
        <v>1346.49</v>
      </c>
      <c r="I787" s="2">
        <f t="shared" si="7"/>
        <v>1346.49</v>
      </c>
      <c r="M787" s="10">
        <f>IFERROR(__xludf.DUMMYFUNCTION("""COMPUTED_VALUE"""),39121.666666666664)</f>
        <v>39121.66667</v>
      </c>
      <c r="N787" s="2">
        <f>IFERROR(__xludf.DUMMYFUNCTION("""COMPUTED_VALUE"""),2488.67)</f>
        <v>2488.67</v>
      </c>
      <c r="S787" s="15"/>
    </row>
    <row r="788">
      <c r="A788" s="10">
        <f t="shared" si="8"/>
        <v>38770.66667</v>
      </c>
      <c r="B788" s="2" t="str">
        <f t="shared" si="2"/>
        <v/>
      </c>
      <c r="C788" s="2" t="str">
        <f t="shared" si="3"/>
        <v>SP500</v>
      </c>
      <c r="D788" s="2">
        <f t="shared" si="4"/>
        <v>2283.17</v>
      </c>
      <c r="E788" s="2">
        <f t="shared" si="5"/>
        <v>2283.17</v>
      </c>
      <c r="G788" s="10">
        <f t="shared" si="9"/>
        <v>38770.64583</v>
      </c>
      <c r="H788" s="6">
        <f t="shared" si="6"/>
        <v>1340.58</v>
      </c>
      <c r="I788" s="2">
        <f t="shared" si="7"/>
        <v>1340.58</v>
      </c>
      <c r="M788" s="10">
        <f>IFERROR(__xludf.DUMMYFUNCTION("""COMPUTED_VALUE"""),39122.666666666664)</f>
        <v>39122.66667</v>
      </c>
      <c r="N788" s="2">
        <f>IFERROR(__xludf.DUMMYFUNCTION("""COMPUTED_VALUE"""),2459.82)</f>
        <v>2459.82</v>
      </c>
      <c r="S788" s="15"/>
    </row>
    <row r="789">
      <c r="A789" s="10">
        <f t="shared" si="8"/>
        <v>38771.66667</v>
      </c>
      <c r="B789" s="2" t="str">
        <f t="shared" si="2"/>
        <v/>
      </c>
      <c r="C789" s="2" t="str">
        <f t="shared" si="3"/>
        <v>SP500</v>
      </c>
      <c r="D789" s="2">
        <f t="shared" si="4"/>
        <v>2279.32</v>
      </c>
      <c r="E789" s="2">
        <f t="shared" si="5"/>
        <v>2279.32</v>
      </c>
      <c r="G789" s="10">
        <f t="shared" si="9"/>
        <v>38771.64583</v>
      </c>
      <c r="H789" s="6">
        <f t="shared" si="6"/>
        <v>1361.23</v>
      </c>
      <c r="I789" s="2">
        <f t="shared" si="7"/>
        <v>1361.23</v>
      </c>
      <c r="M789" s="10">
        <f>IFERROR(__xludf.DUMMYFUNCTION("""COMPUTED_VALUE"""),39125.666666666664)</f>
        <v>39125.66667</v>
      </c>
      <c r="N789" s="2">
        <f>IFERROR(__xludf.DUMMYFUNCTION("""COMPUTED_VALUE"""),2450.38)</f>
        <v>2450.38</v>
      </c>
      <c r="S789" s="15"/>
    </row>
    <row r="790">
      <c r="A790" s="10">
        <f t="shared" si="8"/>
        <v>38772.66667</v>
      </c>
      <c r="B790" s="2" t="str">
        <f t="shared" si="2"/>
        <v/>
      </c>
      <c r="C790" s="2" t="str">
        <f t="shared" si="3"/>
        <v>SP500</v>
      </c>
      <c r="D790" s="2">
        <f t="shared" si="4"/>
        <v>2287.04</v>
      </c>
      <c r="E790" s="2">
        <f t="shared" si="5"/>
        <v>2287.04</v>
      </c>
      <c r="G790" s="10">
        <f t="shared" si="9"/>
        <v>38772.64583</v>
      </c>
      <c r="H790" s="6">
        <f t="shared" si="6"/>
        <v>1365.82</v>
      </c>
      <c r="I790" s="2">
        <f t="shared" si="7"/>
        <v>1365.82</v>
      </c>
      <c r="M790" s="10">
        <f>IFERROR(__xludf.DUMMYFUNCTION("""COMPUTED_VALUE"""),39126.666666666664)</f>
        <v>39126.66667</v>
      </c>
      <c r="N790" s="2">
        <f>IFERROR(__xludf.DUMMYFUNCTION("""COMPUTED_VALUE"""),2459.88)</f>
        <v>2459.88</v>
      </c>
      <c r="S790" s="15"/>
    </row>
    <row r="791">
      <c r="A791" s="10">
        <f t="shared" si="8"/>
        <v>38773.66667</v>
      </c>
      <c r="B791" s="2" t="str">
        <f t="shared" si="2"/>
        <v/>
      </c>
      <c r="C791" s="2" t="str">
        <f t="shared" si="3"/>
        <v>SP500</v>
      </c>
      <c r="D791" s="2" t="str">
        <f t="shared" si="4"/>
        <v/>
      </c>
      <c r="E791" s="2">
        <f t="shared" si="5"/>
        <v>2287.04</v>
      </c>
      <c r="G791" s="10">
        <f t="shared" si="9"/>
        <v>38773.64583</v>
      </c>
      <c r="H791" s="6" t="str">
        <f t="shared" si="6"/>
        <v/>
      </c>
      <c r="I791" s="2">
        <f t="shared" si="7"/>
        <v>1365.82</v>
      </c>
      <c r="M791" s="10">
        <f>IFERROR(__xludf.DUMMYFUNCTION("""COMPUTED_VALUE"""),39127.666666666664)</f>
        <v>39127.66667</v>
      </c>
      <c r="N791" s="2">
        <f>IFERROR(__xludf.DUMMYFUNCTION("""COMPUTED_VALUE"""),2488.38)</f>
        <v>2488.38</v>
      </c>
      <c r="S791" s="15"/>
    </row>
    <row r="792">
      <c r="A792" s="10">
        <f t="shared" si="8"/>
        <v>38774.66667</v>
      </c>
      <c r="B792" s="2" t="str">
        <f t="shared" si="2"/>
        <v/>
      </c>
      <c r="C792" s="2" t="str">
        <f t="shared" si="3"/>
        <v>SP500</v>
      </c>
      <c r="D792" s="2" t="str">
        <f t="shared" si="4"/>
        <v/>
      </c>
      <c r="E792" s="2">
        <f t="shared" si="5"/>
        <v>2287.04</v>
      </c>
      <c r="G792" s="10">
        <f t="shared" si="9"/>
        <v>38774.64583</v>
      </c>
      <c r="H792" s="6" t="str">
        <f t="shared" si="6"/>
        <v/>
      </c>
      <c r="I792" s="2">
        <f t="shared" si="7"/>
        <v>1365.82</v>
      </c>
      <c r="M792" s="10">
        <f>IFERROR(__xludf.DUMMYFUNCTION("""COMPUTED_VALUE"""),39128.666666666664)</f>
        <v>39128.66667</v>
      </c>
      <c r="N792" s="2">
        <f>IFERROR(__xludf.DUMMYFUNCTION("""COMPUTED_VALUE"""),2497.1)</f>
        <v>2497.1</v>
      </c>
      <c r="S792" s="15"/>
    </row>
    <row r="793">
      <c r="A793" s="10">
        <f t="shared" si="8"/>
        <v>38775.66667</v>
      </c>
      <c r="B793" s="2" t="str">
        <f t="shared" si="2"/>
        <v/>
      </c>
      <c r="C793" s="2" t="str">
        <f t="shared" si="3"/>
        <v>SP500</v>
      </c>
      <c r="D793" s="2">
        <f t="shared" si="4"/>
        <v>2307.18</v>
      </c>
      <c r="E793" s="2">
        <f t="shared" si="5"/>
        <v>2307.18</v>
      </c>
      <c r="G793" s="10">
        <f t="shared" si="9"/>
        <v>38775.64583</v>
      </c>
      <c r="H793" s="6">
        <f t="shared" si="6"/>
        <v>1374.88</v>
      </c>
      <c r="I793" s="2">
        <f t="shared" si="7"/>
        <v>1374.88</v>
      </c>
      <c r="M793" s="10">
        <f>IFERROR(__xludf.DUMMYFUNCTION("""COMPUTED_VALUE"""),39129.666666666664)</f>
        <v>39129.66667</v>
      </c>
      <c r="N793" s="2">
        <f>IFERROR(__xludf.DUMMYFUNCTION("""COMPUTED_VALUE"""),2496.31)</f>
        <v>2496.31</v>
      </c>
      <c r="S793" s="15"/>
    </row>
    <row r="794">
      <c r="A794" s="10">
        <f t="shared" si="8"/>
        <v>38776.66667</v>
      </c>
      <c r="B794" s="2" t="str">
        <f t="shared" si="2"/>
        <v/>
      </c>
      <c r="C794" s="2" t="str">
        <f t="shared" si="3"/>
        <v>SP500</v>
      </c>
      <c r="D794" s="2">
        <f t="shared" si="4"/>
        <v>2281.39</v>
      </c>
      <c r="E794" s="2">
        <f t="shared" si="5"/>
        <v>2281.39</v>
      </c>
      <c r="G794" s="10">
        <f t="shared" si="9"/>
        <v>38776.64583</v>
      </c>
      <c r="H794" s="6">
        <f t="shared" si="6"/>
        <v>1371.59</v>
      </c>
      <c r="I794" s="2">
        <f t="shared" si="7"/>
        <v>1371.59</v>
      </c>
      <c r="M794" s="10">
        <f>IFERROR(__xludf.DUMMYFUNCTION("""COMPUTED_VALUE"""),39133.666666666664)</f>
        <v>39133.66667</v>
      </c>
      <c r="N794" s="2">
        <f>IFERROR(__xludf.DUMMYFUNCTION("""COMPUTED_VALUE"""),2513.04)</f>
        <v>2513.04</v>
      </c>
      <c r="S794" s="15"/>
    </row>
    <row r="795">
      <c r="A795" s="10">
        <f t="shared" si="8"/>
        <v>38777.66667</v>
      </c>
      <c r="B795" s="2" t="str">
        <f t="shared" si="2"/>
        <v/>
      </c>
      <c r="C795" s="2" t="str">
        <f t="shared" si="3"/>
        <v>SP500</v>
      </c>
      <c r="D795" s="2">
        <f t="shared" si="4"/>
        <v>2314.64</v>
      </c>
      <c r="E795" s="2">
        <f t="shared" si="5"/>
        <v>2314.64</v>
      </c>
      <c r="G795" s="10">
        <f t="shared" si="9"/>
        <v>38777.64583</v>
      </c>
      <c r="H795" s="6" t="str">
        <f t="shared" si="6"/>
        <v/>
      </c>
      <c r="I795" s="2">
        <f t="shared" si="7"/>
        <v>1371.59</v>
      </c>
      <c r="M795" s="10">
        <f>IFERROR(__xludf.DUMMYFUNCTION("""COMPUTED_VALUE"""),39134.666666666664)</f>
        <v>39134.66667</v>
      </c>
      <c r="N795" s="2">
        <f>IFERROR(__xludf.DUMMYFUNCTION("""COMPUTED_VALUE"""),2518.42)</f>
        <v>2518.42</v>
      </c>
      <c r="S795" s="15"/>
    </row>
    <row r="796">
      <c r="A796" s="10">
        <f t="shared" si="8"/>
        <v>38778.66667</v>
      </c>
      <c r="B796" s="2" t="str">
        <f t="shared" si="2"/>
        <v/>
      </c>
      <c r="C796" s="2" t="str">
        <f t="shared" si="3"/>
        <v>SP500</v>
      </c>
      <c r="D796" s="2">
        <f t="shared" si="4"/>
        <v>2311.11</v>
      </c>
      <c r="E796" s="2">
        <f t="shared" si="5"/>
        <v>2311.11</v>
      </c>
      <c r="G796" s="10">
        <f t="shared" si="9"/>
        <v>38778.64583</v>
      </c>
      <c r="H796" s="6">
        <f t="shared" si="6"/>
        <v>1367.7</v>
      </c>
      <c r="I796" s="2">
        <f t="shared" si="7"/>
        <v>1367.7</v>
      </c>
      <c r="M796" s="10">
        <f>IFERROR(__xludf.DUMMYFUNCTION("""COMPUTED_VALUE"""),39135.666666666664)</f>
        <v>39135.66667</v>
      </c>
      <c r="N796" s="2">
        <f>IFERROR(__xludf.DUMMYFUNCTION("""COMPUTED_VALUE"""),2524.94)</f>
        <v>2524.94</v>
      </c>
      <c r="S796" s="15"/>
    </row>
    <row r="797">
      <c r="A797" s="10">
        <f t="shared" si="8"/>
        <v>38779.66667</v>
      </c>
      <c r="B797" s="2" t="str">
        <f t="shared" si="2"/>
        <v/>
      </c>
      <c r="C797" s="2" t="str">
        <f t="shared" si="3"/>
        <v>SP500</v>
      </c>
      <c r="D797" s="2">
        <f t="shared" si="4"/>
        <v>2302.6</v>
      </c>
      <c r="E797" s="2">
        <f t="shared" si="5"/>
        <v>2302.6</v>
      </c>
      <c r="G797" s="10">
        <f t="shared" si="9"/>
        <v>38779.64583</v>
      </c>
      <c r="H797" s="6">
        <f t="shared" si="6"/>
        <v>1328.95</v>
      </c>
      <c r="I797" s="2">
        <f t="shared" si="7"/>
        <v>1328.95</v>
      </c>
      <c r="M797" s="10">
        <f>IFERROR(__xludf.DUMMYFUNCTION("""COMPUTED_VALUE"""),39136.666666666664)</f>
        <v>39136.66667</v>
      </c>
      <c r="N797" s="2">
        <f>IFERROR(__xludf.DUMMYFUNCTION("""COMPUTED_VALUE"""),2515.1)</f>
        <v>2515.1</v>
      </c>
      <c r="S797" s="15"/>
    </row>
    <row r="798">
      <c r="A798" s="10">
        <f t="shared" si="8"/>
        <v>38780.66667</v>
      </c>
      <c r="B798" s="2" t="str">
        <f t="shared" si="2"/>
        <v/>
      </c>
      <c r="C798" s="2" t="str">
        <f t="shared" si="3"/>
        <v>SP500</v>
      </c>
      <c r="D798" s="2" t="str">
        <f t="shared" si="4"/>
        <v/>
      </c>
      <c r="E798" s="2">
        <f t="shared" si="5"/>
        <v>2302.6</v>
      </c>
      <c r="G798" s="10">
        <f t="shared" si="9"/>
        <v>38780.64583</v>
      </c>
      <c r="H798" s="6" t="str">
        <f t="shared" si="6"/>
        <v/>
      </c>
      <c r="I798" s="2">
        <f t="shared" si="7"/>
        <v>1328.95</v>
      </c>
      <c r="M798" s="10">
        <f>IFERROR(__xludf.DUMMYFUNCTION("""COMPUTED_VALUE"""),39139.666666666664)</f>
        <v>39139.66667</v>
      </c>
      <c r="N798" s="2">
        <f>IFERROR(__xludf.DUMMYFUNCTION("""COMPUTED_VALUE"""),2504.52)</f>
        <v>2504.52</v>
      </c>
      <c r="S798" s="15"/>
    </row>
    <row r="799">
      <c r="A799" s="10">
        <f t="shared" si="8"/>
        <v>38781.66667</v>
      </c>
      <c r="B799" s="2" t="str">
        <f t="shared" si="2"/>
        <v/>
      </c>
      <c r="C799" s="2" t="str">
        <f t="shared" si="3"/>
        <v>SP500</v>
      </c>
      <c r="D799" s="2" t="str">
        <f t="shared" si="4"/>
        <v/>
      </c>
      <c r="E799" s="2">
        <f t="shared" si="5"/>
        <v>2302.6</v>
      </c>
      <c r="G799" s="10">
        <f t="shared" si="9"/>
        <v>38781.64583</v>
      </c>
      <c r="H799" s="6" t="str">
        <f t="shared" si="6"/>
        <v/>
      </c>
      <c r="I799" s="2">
        <f t="shared" si="7"/>
        <v>1328.95</v>
      </c>
      <c r="M799" s="10">
        <f>IFERROR(__xludf.DUMMYFUNCTION("""COMPUTED_VALUE"""),39140.666666666664)</f>
        <v>39140.66667</v>
      </c>
      <c r="N799" s="2">
        <f>IFERROR(__xludf.DUMMYFUNCTION("""COMPUTED_VALUE"""),2407.86)</f>
        <v>2407.86</v>
      </c>
      <c r="S799" s="15"/>
    </row>
    <row r="800">
      <c r="A800" s="10">
        <f t="shared" si="8"/>
        <v>38782.66667</v>
      </c>
      <c r="B800" s="2" t="str">
        <f t="shared" si="2"/>
        <v/>
      </c>
      <c r="C800" s="2" t="str">
        <f t="shared" si="3"/>
        <v>SP500</v>
      </c>
      <c r="D800" s="2">
        <f t="shared" si="4"/>
        <v>2286.03</v>
      </c>
      <c r="E800" s="2">
        <f t="shared" si="5"/>
        <v>2286.03</v>
      </c>
      <c r="G800" s="10">
        <f t="shared" si="9"/>
        <v>38782.64583</v>
      </c>
      <c r="H800" s="6">
        <f t="shared" si="6"/>
        <v>1344.76</v>
      </c>
      <c r="I800" s="2">
        <f t="shared" si="7"/>
        <v>1344.76</v>
      </c>
      <c r="M800" s="10">
        <f>IFERROR(__xludf.DUMMYFUNCTION("""COMPUTED_VALUE"""),39141.666666666664)</f>
        <v>39141.66667</v>
      </c>
      <c r="N800" s="2">
        <f>IFERROR(__xludf.DUMMYFUNCTION("""COMPUTED_VALUE"""),2416.15)</f>
        <v>2416.15</v>
      </c>
      <c r="S800" s="15"/>
    </row>
    <row r="801">
      <c r="A801" s="10">
        <f t="shared" si="8"/>
        <v>38783.66667</v>
      </c>
      <c r="B801" s="2" t="str">
        <f t="shared" si="2"/>
        <v/>
      </c>
      <c r="C801" s="2" t="str">
        <f t="shared" si="3"/>
        <v>SP500</v>
      </c>
      <c r="D801" s="2">
        <f t="shared" si="4"/>
        <v>2268.38</v>
      </c>
      <c r="E801" s="2">
        <f t="shared" si="5"/>
        <v>2268.38</v>
      </c>
      <c r="G801" s="10">
        <f t="shared" si="9"/>
        <v>38783.64583</v>
      </c>
      <c r="H801" s="6">
        <f t="shared" si="6"/>
        <v>1316.67</v>
      </c>
      <c r="I801" s="2">
        <f t="shared" si="7"/>
        <v>1316.67</v>
      </c>
      <c r="M801" s="10">
        <f>IFERROR(__xludf.DUMMYFUNCTION("""COMPUTED_VALUE"""),39142.666666666664)</f>
        <v>39142.66667</v>
      </c>
      <c r="N801" s="2">
        <f>IFERROR(__xludf.DUMMYFUNCTION("""COMPUTED_VALUE"""),2404.21)</f>
        <v>2404.21</v>
      </c>
      <c r="S801" s="15"/>
    </row>
    <row r="802">
      <c r="A802" s="10">
        <f t="shared" si="8"/>
        <v>38784.66667</v>
      </c>
      <c r="B802" s="2" t="str">
        <f t="shared" si="2"/>
        <v/>
      </c>
      <c r="C802" s="2" t="str">
        <f t="shared" si="3"/>
        <v>SP500</v>
      </c>
      <c r="D802" s="2">
        <f t="shared" si="4"/>
        <v>2267.46</v>
      </c>
      <c r="E802" s="2">
        <f t="shared" si="5"/>
        <v>2267.46</v>
      </c>
      <c r="G802" s="10">
        <f t="shared" si="9"/>
        <v>38784.64583</v>
      </c>
      <c r="H802" s="6">
        <f t="shared" si="6"/>
        <v>1314.05</v>
      </c>
      <c r="I802" s="2">
        <f t="shared" si="7"/>
        <v>1314.05</v>
      </c>
      <c r="M802" s="10">
        <f>IFERROR(__xludf.DUMMYFUNCTION("""COMPUTED_VALUE"""),39143.666666666664)</f>
        <v>39143.66667</v>
      </c>
      <c r="N802" s="2">
        <f>IFERROR(__xludf.DUMMYFUNCTION("""COMPUTED_VALUE"""),2368.0)</f>
        <v>2368</v>
      </c>
      <c r="S802" s="15"/>
    </row>
    <row r="803">
      <c r="A803" s="10">
        <f t="shared" si="8"/>
        <v>38785.66667</v>
      </c>
      <c r="B803" s="2" t="str">
        <f t="shared" si="2"/>
        <v/>
      </c>
      <c r="C803" s="2" t="str">
        <f t="shared" si="3"/>
        <v>SP500</v>
      </c>
      <c r="D803" s="2">
        <f t="shared" si="4"/>
        <v>2249.72</v>
      </c>
      <c r="E803" s="2">
        <f t="shared" si="5"/>
        <v>2249.72</v>
      </c>
      <c r="G803" s="10">
        <f t="shared" si="9"/>
        <v>38785.64583</v>
      </c>
      <c r="H803" s="6">
        <f t="shared" si="6"/>
        <v>1311.21</v>
      </c>
      <c r="I803" s="2">
        <f t="shared" si="7"/>
        <v>1311.21</v>
      </c>
      <c r="M803" s="10">
        <f>IFERROR(__xludf.DUMMYFUNCTION("""COMPUTED_VALUE"""),39146.666666666664)</f>
        <v>39146.66667</v>
      </c>
      <c r="N803" s="2">
        <f>IFERROR(__xludf.DUMMYFUNCTION("""COMPUTED_VALUE"""),2340.68)</f>
        <v>2340.68</v>
      </c>
      <c r="S803" s="15"/>
    </row>
    <row r="804">
      <c r="A804" s="10">
        <f t="shared" si="8"/>
        <v>38786.66667</v>
      </c>
      <c r="B804" s="2" t="str">
        <f t="shared" si="2"/>
        <v/>
      </c>
      <c r="C804" s="2" t="str">
        <f t="shared" si="3"/>
        <v>SP500</v>
      </c>
      <c r="D804" s="2">
        <f t="shared" si="4"/>
        <v>2262.04</v>
      </c>
      <c r="E804" s="2">
        <f t="shared" si="5"/>
        <v>2262.04</v>
      </c>
      <c r="G804" s="10">
        <f t="shared" si="9"/>
        <v>38786.64583</v>
      </c>
      <c r="H804" s="6">
        <f t="shared" si="6"/>
        <v>1320.07</v>
      </c>
      <c r="I804" s="2">
        <f t="shared" si="7"/>
        <v>1320.07</v>
      </c>
      <c r="M804" s="10">
        <f>IFERROR(__xludf.DUMMYFUNCTION("""COMPUTED_VALUE"""),39147.666666666664)</f>
        <v>39147.66667</v>
      </c>
      <c r="N804" s="2">
        <f>IFERROR(__xludf.DUMMYFUNCTION("""COMPUTED_VALUE"""),2385.14)</f>
        <v>2385.14</v>
      </c>
      <c r="S804" s="15"/>
    </row>
    <row r="805">
      <c r="A805" s="10">
        <f t="shared" si="8"/>
        <v>38787.66667</v>
      </c>
      <c r="B805" s="2" t="str">
        <f t="shared" si="2"/>
        <v/>
      </c>
      <c r="C805" s="2" t="str">
        <f t="shared" si="3"/>
        <v>SP500</v>
      </c>
      <c r="D805" s="2" t="str">
        <f t="shared" si="4"/>
        <v/>
      </c>
      <c r="E805" s="2">
        <f t="shared" si="5"/>
        <v>2262.04</v>
      </c>
      <c r="G805" s="10">
        <f t="shared" si="9"/>
        <v>38787.64583</v>
      </c>
      <c r="H805" s="6" t="str">
        <f t="shared" si="6"/>
        <v/>
      </c>
      <c r="I805" s="2">
        <f t="shared" si="7"/>
        <v>1320.07</v>
      </c>
      <c r="M805" s="10">
        <f>IFERROR(__xludf.DUMMYFUNCTION("""COMPUTED_VALUE"""),39148.666666666664)</f>
        <v>39148.66667</v>
      </c>
      <c r="N805" s="2">
        <f>IFERROR(__xludf.DUMMYFUNCTION("""COMPUTED_VALUE"""),2374.64)</f>
        <v>2374.64</v>
      </c>
      <c r="S805" s="15"/>
    </row>
    <row r="806">
      <c r="A806" s="10">
        <f t="shared" si="8"/>
        <v>38788.66667</v>
      </c>
      <c r="B806" s="2" t="str">
        <f t="shared" si="2"/>
        <v/>
      </c>
      <c r="C806" s="2" t="str">
        <f t="shared" si="3"/>
        <v>SP500</v>
      </c>
      <c r="D806" s="2" t="str">
        <f t="shared" si="4"/>
        <v/>
      </c>
      <c r="E806" s="2">
        <f t="shared" si="5"/>
        <v>2262.04</v>
      </c>
      <c r="G806" s="10">
        <f t="shared" si="9"/>
        <v>38788.64583</v>
      </c>
      <c r="H806" s="6" t="str">
        <f t="shared" si="6"/>
        <v/>
      </c>
      <c r="I806" s="2">
        <f t="shared" si="7"/>
        <v>1320.07</v>
      </c>
      <c r="M806" s="10">
        <f>IFERROR(__xludf.DUMMYFUNCTION("""COMPUTED_VALUE"""),39149.666666666664)</f>
        <v>39149.66667</v>
      </c>
      <c r="N806" s="2">
        <f>IFERROR(__xludf.DUMMYFUNCTION("""COMPUTED_VALUE"""),2387.73)</f>
        <v>2387.73</v>
      </c>
      <c r="S806" s="15"/>
    </row>
    <row r="807">
      <c r="A807" s="10">
        <f t="shared" si="8"/>
        <v>38789.66667</v>
      </c>
      <c r="B807" s="2" t="str">
        <f t="shared" si="2"/>
        <v/>
      </c>
      <c r="C807" s="2" t="str">
        <f t="shared" si="3"/>
        <v>SP500</v>
      </c>
      <c r="D807" s="2">
        <f t="shared" si="4"/>
        <v>2267.03</v>
      </c>
      <c r="E807" s="2">
        <f t="shared" si="5"/>
        <v>2267.03</v>
      </c>
      <c r="G807" s="10">
        <f t="shared" si="9"/>
        <v>38789.64583</v>
      </c>
      <c r="H807" s="6">
        <f t="shared" si="6"/>
        <v>1338.28</v>
      </c>
      <c r="I807" s="2">
        <f t="shared" si="7"/>
        <v>1338.28</v>
      </c>
      <c r="M807" s="10">
        <f>IFERROR(__xludf.DUMMYFUNCTION("""COMPUTED_VALUE"""),39150.666666666664)</f>
        <v>39150.66667</v>
      </c>
      <c r="N807" s="2">
        <f>IFERROR(__xludf.DUMMYFUNCTION("""COMPUTED_VALUE"""),2387.55)</f>
        <v>2387.55</v>
      </c>
      <c r="S807" s="15"/>
    </row>
    <row r="808">
      <c r="A808" s="10">
        <f t="shared" si="8"/>
        <v>38790.66667</v>
      </c>
      <c r="B808" s="2" t="str">
        <f t="shared" si="2"/>
        <v/>
      </c>
      <c r="C808" s="2" t="str">
        <f t="shared" si="3"/>
        <v>SP500</v>
      </c>
      <c r="D808" s="2">
        <f t="shared" si="4"/>
        <v>2295.9</v>
      </c>
      <c r="E808" s="2">
        <f t="shared" si="5"/>
        <v>2295.9</v>
      </c>
      <c r="G808" s="10">
        <f t="shared" si="9"/>
        <v>38790.64583</v>
      </c>
      <c r="H808" s="6">
        <f t="shared" si="6"/>
        <v>1326.3</v>
      </c>
      <c r="I808" s="2">
        <f t="shared" si="7"/>
        <v>1326.3</v>
      </c>
      <c r="M808" s="10">
        <f>IFERROR(__xludf.DUMMYFUNCTION("""COMPUTED_VALUE"""),39153.666666666664)</f>
        <v>39153.66667</v>
      </c>
      <c r="N808" s="2">
        <f>IFERROR(__xludf.DUMMYFUNCTION("""COMPUTED_VALUE"""),2402.29)</f>
        <v>2402.29</v>
      </c>
      <c r="S808" s="15"/>
    </row>
    <row r="809">
      <c r="A809" s="10">
        <f t="shared" si="8"/>
        <v>38791.66667</v>
      </c>
      <c r="B809" s="2" t="str">
        <f t="shared" si="2"/>
        <v/>
      </c>
      <c r="C809" s="2" t="str">
        <f t="shared" si="3"/>
        <v>SP500</v>
      </c>
      <c r="D809" s="2">
        <f t="shared" si="4"/>
        <v>2311.84</v>
      </c>
      <c r="E809" s="2">
        <f t="shared" si="5"/>
        <v>2311.84</v>
      </c>
      <c r="G809" s="10">
        <f t="shared" si="9"/>
        <v>38791.64583</v>
      </c>
      <c r="H809" s="6">
        <f t="shared" si="6"/>
        <v>1333.98</v>
      </c>
      <c r="I809" s="2">
        <f t="shared" si="7"/>
        <v>1333.98</v>
      </c>
      <c r="M809" s="10">
        <f>IFERROR(__xludf.DUMMYFUNCTION("""COMPUTED_VALUE"""),39154.666666666664)</f>
        <v>39154.66667</v>
      </c>
      <c r="N809" s="2">
        <f>IFERROR(__xludf.DUMMYFUNCTION("""COMPUTED_VALUE"""),2350.57)</f>
        <v>2350.57</v>
      </c>
      <c r="S809" s="15"/>
    </row>
    <row r="810">
      <c r="A810" s="10">
        <f t="shared" si="8"/>
        <v>38792.66667</v>
      </c>
      <c r="B810" s="2" t="str">
        <f t="shared" si="2"/>
        <v/>
      </c>
      <c r="C810" s="2" t="str">
        <f t="shared" si="3"/>
        <v>SP500</v>
      </c>
      <c r="D810" s="2">
        <f t="shared" si="4"/>
        <v>2299.56</v>
      </c>
      <c r="E810" s="2">
        <f t="shared" si="5"/>
        <v>2299.56</v>
      </c>
      <c r="G810" s="10">
        <f t="shared" si="9"/>
        <v>38792.64583</v>
      </c>
      <c r="H810" s="6">
        <f t="shared" si="6"/>
        <v>1335.98</v>
      </c>
      <c r="I810" s="2">
        <f t="shared" si="7"/>
        <v>1335.98</v>
      </c>
      <c r="M810" s="10">
        <f>IFERROR(__xludf.DUMMYFUNCTION("""COMPUTED_VALUE"""),39155.666666666664)</f>
        <v>39155.66667</v>
      </c>
      <c r="N810" s="2">
        <f>IFERROR(__xludf.DUMMYFUNCTION("""COMPUTED_VALUE"""),2371.74)</f>
        <v>2371.74</v>
      </c>
      <c r="S810" s="15"/>
    </row>
    <row r="811">
      <c r="A811" s="10">
        <f t="shared" si="8"/>
        <v>38793.66667</v>
      </c>
      <c r="B811" s="2" t="str">
        <f t="shared" si="2"/>
        <v/>
      </c>
      <c r="C811" s="2" t="str">
        <f t="shared" si="3"/>
        <v>SP500</v>
      </c>
      <c r="D811" s="2">
        <f t="shared" si="4"/>
        <v>2306.48</v>
      </c>
      <c r="E811" s="2">
        <f t="shared" si="5"/>
        <v>2306.48</v>
      </c>
      <c r="G811" s="10">
        <f t="shared" si="9"/>
        <v>38793.64583</v>
      </c>
      <c r="H811" s="6">
        <f t="shared" si="6"/>
        <v>1341.12</v>
      </c>
      <c r="I811" s="2">
        <f t="shared" si="7"/>
        <v>1341.12</v>
      </c>
      <c r="M811" s="10">
        <f>IFERROR(__xludf.DUMMYFUNCTION("""COMPUTED_VALUE"""),39156.666666666664)</f>
        <v>39156.66667</v>
      </c>
      <c r="N811" s="2">
        <f>IFERROR(__xludf.DUMMYFUNCTION("""COMPUTED_VALUE"""),2378.7)</f>
        <v>2378.7</v>
      </c>
      <c r="S811" s="15"/>
    </row>
    <row r="812">
      <c r="A812" s="10">
        <f t="shared" si="8"/>
        <v>38794.66667</v>
      </c>
      <c r="B812" s="2" t="str">
        <f t="shared" si="2"/>
        <v/>
      </c>
      <c r="C812" s="2" t="str">
        <f t="shared" si="3"/>
        <v>SP500</v>
      </c>
      <c r="D812" s="2" t="str">
        <f t="shared" si="4"/>
        <v/>
      </c>
      <c r="E812" s="2">
        <f t="shared" si="5"/>
        <v>2306.48</v>
      </c>
      <c r="G812" s="10">
        <f t="shared" si="9"/>
        <v>38794.64583</v>
      </c>
      <c r="H812" s="6" t="str">
        <f t="shared" si="6"/>
        <v/>
      </c>
      <c r="I812" s="2">
        <f t="shared" si="7"/>
        <v>1341.12</v>
      </c>
      <c r="M812" s="10">
        <f>IFERROR(__xludf.DUMMYFUNCTION("""COMPUTED_VALUE"""),39157.666666666664)</f>
        <v>39157.66667</v>
      </c>
      <c r="N812" s="2">
        <f>IFERROR(__xludf.DUMMYFUNCTION("""COMPUTED_VALUE"""),2372.66)</f>
        <v>2372.66</v>
      </c>
      <c r="S812" s="15"/>
    </row>
    <row r="813">
      <c r="A813" s="10">
        <f t="shared" si="8"/>
        <v>38795.66667</v>
      </c>
      <c r="B813" s="2" t="str">
        <f t="shared" si="2"/>
        <v/>
      </c>
      <c r="C813" s="2" t="str">
        <f t="shared" si="3"/>
        <v>SP500</v>
      </c>
      <c r="D813" s="2" t="str">
        <f t="shared" si="4"/>
        <v/>
      </c>
      <c r="E813" s="2">
        <f t="shared" si="5"/>
        <v>2306.48</v>
      </c>
      <c r="G813" s="10">
        <f t="shared" si="9"/>
        <v>38795.64583</v>
      </c>
      <c r="H813" s="6" t="str">
        <f t="shared" si="6"/>
        <v/>
      </c>
      <c r="I813" s="2">
        <f t="shared" si="7"/>
        <v>1341.12</v>
      </c>
      <c r="M813" s="10">
        <f>IFERROR(__xludf.DUMMYFUNCTION("""COMPUTED_VALUE"""),39160.666666666664)</f>
        <v>39160.66667</v>
      </c>
      <c r="N813" s="2">
        <f>IFERROR(__xludf.DUMMYFUNCTION("""COMPUTED_VALUE"""),2394.41)</f>
        <v>2394.41</v>
      </c>
      <c r="S813" s="15"/>
    </row>
    <row r="814">
      <c r="A814" s="10">
        <f t="shared" si="8"/>
        <v>38796.66667</v>
      </c>
      <c r="B814" s="2" t="str">
        <f t="shared" si="2"/>
        <v/>
      </c>
      <c r="C814" s="2" t="str">
        <f t="shared" si="3"/>
        <v>SP500</v>
      </c>
      <c r="D814" s="2">
        <f t="shared" si="4"/>
        <v>2314.11</v>
      </c>
      <c r="E814" s="2">
        <f t="shared" si="5"/>
        <v>2314.11</v>
      </c>
      <c r="G814" s="10">
        <f t="shared" si="9"/>
        <v>38796.64583</v>
      </c>
      <c r="H814" s="6">
        <f t="shared" si="6"/>
        <v>1346.69</v>
      </c>
      <c r="I814" s="2">
        <f t="shared" si="7"/>
        <v>1346.69</v>
      </c>
      <c r="M814" s="10">
        <f>IFERROR(__xludf.DUMMYFUNCTION("""COMPUTED_VALUE"""),39161.666666666664)</f>
        <v>39161.66667</v>
      </c>
      <c r="N814" s="2">
        <f>IFERROR(__xludf.DUMMYFUNCTION("""COMPUTED_VALUE"""),2408.21)</f>
        <v>2408.21</v>
      </c>
      <c r="S814" s="15"/>
    </row>
    <row r="815">
      <c r="A815" s="10">
        <f t="shared" si="8"/>
        <v>38797.66667</v>
      </c>
      <c r="B815" s="2" t="str">
        <f t="shared" si="2"/>
        <v/>
      </c>
      <c r="C815" s="2" t="str">
        <f t="shared" si="3"/>
        <v>SP500</v>
      </c>
      <c r="D815" s="2">
        <f t="shared" si="4"/>
        <v>2294.23</v>
      </c>
      <c r="E815" s="2">
        <f t="shared" si="5"/>
        <v>2294.23</v>
      </c>
      <c r="G815" s="10">
        <f t="shared" si="9"/>
        <v>38797.64583</v>
      </c>
      <c r="H815" s="6">
        <f t="shared" si="6"/>
        <v>1336.65</v>
      </c>
      <c r="I815" s="2">
        <f t="shared" si="7"/>
        <v>1336.65</v>
      </c>
      <c r="M815" s="10">
        <f>IFERROR(__xludf.DUMMYFUNCTION("""COMPUTED_VALUE"""),39162.666666666664)</f>
        <v>39162.66667</v>
      </c>
      <c r="N815" s="2">
        <f>IFERROR(__xludf.DUMMYFUNCTION("""COMPUTED_VALUE"""),2455.92)</f>
        <v>2455.92</v>
      </c>
      <c r="S815" s="15"/>
    </row>
    <row r="816">
      <c r="A816" s="10">
        <f t="shared" si="8"/>
        <v>38798.66667</v>
      </c>
      <c r="B816" s="2" t="str">
        <f t="shared" si="2"/>
        <v/>
      </c>
      <c r="C816" s="2" t="str">
        <f t="shared" si="3"/>
        <v>SP500</v>
      </c>
      <c r="D816" s="2">
        <f t="shared" si="4"/>
        <v>2303.35</v>
      </c>
      <c r="E816" s="2">
        <f t="shared" si="5"/>
        <v>2303.35</v>
      </c>
      <c r="G816" s="10">
        <f t="shared" si="9"/>
        <v>38798.64583</v>
      </c>
      <c r="H816" s="6">
        <f t="shared" si="6"/>
        <v>1309.83</v>
      </c>
      <c r="I816" s="2">
        <f t="shared" si="7"/>
        <v>1309.83</v>
      </c>
      <c r="M816" s="10">
        <f>IFERROR(__xludf.DUMMYFUNCTION("""COMPUTED_VALUE"""),39163.666666666664)</f>
        <v>39163.66667</v>
      </c>
      <c r="N816" s="2">
        <f>IFERROR(__xludf.DUMMYFUNCTION("""COMPUTED_VALUE"""),2451.74)</f>
        <v>2451.74</v>
      </c>
      <c r="S816" s="15"/>
    </row>
    <row r="817">
      <c r="A817" s="10">
        <f t="shared" si="8"/>
        <v>38799.66667</v>
      </c>
      <c r="B817" s="2" t="str">
        <f t="shared" si="2"/>
        <v/>
      </c>
      <c r="C817" s="2" t="str">
        <f t="shared" si="3"/>
        <v>SP500</v>
      </c>
      <c r="D817" s="2">
        <f t="shared" si="4"/>
        <v>2300.15</v>
      </c>
      <c r="E817" s="2">
        <f t="shared" si="5"/>
        <v>2300.15</v>
      </c>
      <c r="G817" s="10">
        <f t="shared" si="9"/>
        <v>38799.64583</v>
      </c>
      <c r="H817" s="6">
        <f t="shared" si="6"/>
        <v>1312.26</v>
      </c>
      <c r="I817" s="2">
        <f t="shared" si="7"/>
        <v>1312.26</v>
      </c>
      <c r="M817" s="10">
        <f>IFERROR(__xludf.DUMMYFUNCTION("""COMPUTED_VALUE"""),39164.666666666664)</f>
        <v>39164.66667</v>
      </c>
      <c r="N817" s="2">
        <f>IFERROR(__xludf.DUMMYFUNCTION("""COMPUTED_VALUE"""),2448.93)</f>
        <v>2448.93</v>
      </c>
      <c r="S817" s="15"/>
    </row>
    <row r="818">
      <c r="A818" s="10">
        <f t="shared" si="8"/>
        <v>38800.66667</v>
      </c>
      <c r="B818" s="2" t="str">
        <f t="shared" si="2"/>
        <v/>
      </c>
      <c r="C818" s="2" t="str">
        <f t="shared" si="3"/>
        <v>SP500</v>
      </c>
      <c r="D818" s="2">
        <f t="shared" si="4"/>
        <v>2312.82</v>
      </c>
      <c r="E818" s="2">
        <f t="shared" si="5"/>
        <v>2312.82</v>
      </c>
      <c r="G818" s="10">
        <f t="shared" si="9"/>
        <v>38800.64583</v>
      </c>
      <c r="H818" s="6">
        <f t="shared" si="6"/>
        <v>1321.23</v>
      </c>
      <c r="I818" s="2">
        <f t="shared" si="7"/>
        <v>1321.23</v>
      </c>
      <c r="M818" s="10">
        <f>IFERROR(__xludf.DUMMYFUNCTION("""COMPUTED_VALUE"""),39167.666666666664)</f>
        <v>39167.66667</v>
      </c>
      <c r="N818" s="2">
        <f>IFERROR(__xludf.DUMMYFUNCTION("""COMPUTED_VALUE"""),2455.63)</f>
        <v>2455.63</v>
      </c>
      <c r="S818" s="15"/>
    </row>
    <row r="819">
      <c r="A819" s="10">
        <f t="shared" si="8"/>
        <v>38801.66667</v>
      </c>
      <c r="B819" s="2" t="str">
        <f t="shared" si="2"/>
        <v/>
      </c>
      <c r="C819" s="2" t="str">
        <f t="shared" si="3"/>
        <v>SP500</v>
      </c>
      <c r="D819" s="2" t="str">
        <f t="shared" si="4"/>
        <v/>
      </c>
      <c r="E819" s="2">
        <f t="shared" si="5"/>
        <v>2312.82</v>
      </c>
      <c r="G819" s="10">
        <f t="shared" si="9"/>
        <v>38801.64583</v>
      </c>
      <c r="H819" s="6" t="str">
        <f t="shared" si="6"/>
        <v/>
      </c>
      <c r="I819" s="2">
        <f t="shared" si="7"/>
        <v>1321.23</v>
      </c>
      <c r="M819" s="10">
        <f>IFERROR(__xludf.DUMMYFUNCTION("""COMPUTED_VALUE"""),39168.666666666664)</f>
        <v>39168.66667</v>
      </c>
      <c r="N819" s="2">
        <f>IFERROR(__xludf.DUMMYFUNCTION("""COMPUTED_VALUE"""),2437.43)</f>
        <v>2437.43</v>
      </c>
      <c r="S819" s="15"/>
    </row>
    <row r="820">
      <c r="A820" s="10">
        <f t="shared" si="8"/>
        <v>38802.66667</v>
      </c>
      <c r="B820" s="2" t="str">
        <f t="shared" si="2"/>
        <v/>
      </c>
      <c r="C820" s="2" t="str">
        <f t="shared" si="3"/>
        <v>SP500</v>
      </c>
      <c r="D820" s="2" t="str">
        <f t="shared" si="4"/>
        <v/>
      </c>
      <c r="E820" s="2">
        <f t="shared" si="5"/>
        <v>2312.82</v>
      </c>
      <c r="G820" s="10">
        <f t="shared" si="9"/>
        <v>38802.64583</v>
      </c>
      <c r="H820" s="6" t="str">
        <f t="shared" si="6"/>
        <v/>
      </c>
      <c r="I820" s="2">
        <f t="shared" si="7"/>
        <v>1321.23</v>
      </c>
      <c r="M820" s="10">
        <f>IFERROR(__xludf.DUMMYFUNCTION("""COMPUTED_VALUE"""),39169.666666666664)</f>
        <v>39169.66667</v>
      </c>
      <c r="N820" s="2">
        <f>IFERROR(__xludf.DUMMYFUNCTION("""COMPUTED_VALUE"""),2417.1)</f>
        <v>2417.1</v>
      </c>
      <c r="S820" s="15"/>
    </row>
    <row r="821">
      <c r="A821" s="10">
        <f t="shared" si="8"/>
        <v>38803.66667</v>
      </c>
      <c r="B821" s="2" t="str">
        <f t="shared" si="2"/>
        <v/>
      </c>
      <c r="C821" s="2" t="str">
        <f t="shared" si="3"/>
        <v>SP500</v>
      </c>
      <c r="D821" s="2">
        <f t="shared" si="4"/>
        <v>2315.58</v>
      </c>
      <c r="E821" s="2">
        <f t="shared" si="5"/>
        <v>2315.58</v>
      </c>
      <c r="G821" s="10">
        <f t="shared" si="9"/>
        <v>38803.64583</v>
      </c>
      <c r="H821" s="6">
        <f t="shared" si="6"/>
        <v>1330.34</v>
      </c>
      <c r="I821" s="2">
        <f t="shared" si="7"/>
        <v>1330.34</v>
      </c>
      <c r="M821" s="10">
        <f>IFERROR(__xludf.DUMMYFUNCTION("""COMPUTED_VALUE"""),39170.666666666664)</f>
        <v>39170.66667</v>
      </c>
      <c r="N821" s="2">
        <f>IFERROR(__xludf.DUMMYFUNCTION("""COMPUTED_VALUE"""),2417.88)</f>
        <v>2417.88</v>
      </c>
      <c r="S821" s="15"/>
    </row>
    <row r="822">
      <c r="A822" s="10">
        <f t="shared" si="8"/>
        <v>38804.66667</v>
      </c>
      <c r="B822" s="2" t="str">
        <f t="shared" si="2"/>
        <v/>
      </c>
      <c r="C822" s="2" t="str">
        <f t="shared" si="3"/>
        <v>SP500</v>
      </c>
      <c r="D822" s="2">
        <f t="shared" si="4"/>
        <v>2304.46</v>
      </c>
      <c r="E822" s="2">
        <f t="shared" si="5"/>
        <v>2304.46</v>
      </c>
      <c r="G822" s="10">
        <f t="shared" si="9"/>
        <v>38804.64583</v>
      </c>
      <c r="H822" s="6">
        <f t="shared" si="6"/>
        <v>1331.31</v>
      </c>
      <c r="I822" s="2">
        <f t="shared" si="7"/>
        <v>1331.31</v>
      </c>
      <c r="M822" s="10">
        <f>IFERROR(__xludf.DUMMYFUNCTION("""COMPUTED_VALUE"""),39171.666666666664)</f>
        <v>39171.66667</v>
      </c>
      <c r="N822" s="2">
        <f>IFERROR(__xludf.DUMMYFUNCTION("""COMPUTED_VALUE"""),2421.64)</f>
        <v>2421.64</v>
      </c>
      <c r="S822" s="15"/>
    </row>
    <row r="823">
      <c r="A823" s="10">
        <f t="shared" si="8"/>
        <v>38805.66667</v>
      </c>
      <c r="B823" s="2" t="str">
        <f t="shared" si="2"/>
        <v/>
      </c>
      <c r="C823" s="2" t="str">
        <f t="shared" si="3"/>
        <v>SP500</v>
      </c>
      <c r="D823" s="2">
        <f t="shared" si="4"/>
        <v>2337.78</v>
      </c>
      <c r="E823" s="2">
        <f t="shared" si="5"/>
        <v>2337.78</v>
      </c>
      <c r="G823" s="10">
        <f t="shared" si="9"/>
        <v>38805.64583</v>
      </c>
      <c r="H823" s="6">
        <f t="shared" si="6"/>
        <v>1332.72</v>
      </c>
      <c r="I823" s="2">
        <f t="shared" si="7"/>
        <v>1332.72</v>
      </c>
      <c r="M823" s="10">
        <f>IFERROR(__xludf.DUMMYFUNCTION("""COMPUTED_VALUE"""),39174.666666666664)</f>
        <v>39174.66667</v>
      </c>
      <c r="N823" s="2">
        <f>IFERROR(__xludf.DUMMYFUNCTION("""COMPUTED_VALUE"""),2422.26)</f>
        <v>2422.26</v>
      </c>
      <c r="S823" s="15"/>
    </row>
    <row r="824">
      <c r="A824" s="10">
        <f t="shared" si="8"/>
        <v>38806.66667</v>
      </c>
      <c r="B824" s="2" t="str">
        <f t="shared" si="2"/>
        <v/>
      </c>
      <c r="C824" s="2" t="str">
        <f t="shared" si="3"/>
        <v>SP500</v>
      </c>
      <c r="D824" s="2">
        <f t="shared" si="4"/>
        <v>2340.82</v>
      </c>
      <c r="E824" s="2">
        <f t="shared" si="5"/>
        <v>2340.82</v>
      </c>
      <c r="G824" s="10">
        <f t="shared" si="9"/>
        <v>38806.64583</v>
      </c>
      <c r="H824" s="6">
        <f t="shared" si="6"/>
        <v>1338.14</v>
      </c>
      <c r="I824" s="2">
        <f t="shared" si="7"/>
        <v>1338.14</v>
      </c>
      <c r="M824" s="10">
        <f>IFERROR(__xludf.DUMMYFUNCTION("""COMPUTED_VALUE"""),39175.666666666664)</f>
        <v>39175.66667</v>
      </c>
      <c r="N824" s="2">
        <f>IFERROR(__xludf.DUMMYFUNCTION("""COMPUTED_VALUE"""),2450.33)</f>
        <v>2450.33</v>
      </c>
      <c r="S824" s="15"/>
    </row>
    <row r="825">
      <c r="A825" s="10">
        <f t="shared" si="8"/>
        <v>38807.66667</v>
      </c>
      <c r="B825" s="2" t="str">
        <f t="shared" si="2"/>
        <v/>
      </c>
      <c r="C825" s="2" t="str">
        <f t="shared" si="3"/>
        <v>SP500</v>
      </c>
      <c r="D825" s="2">
        <f t="shared" si="4"/>
        <v>2339.79</v>
      </c>
      <c r="E825" s="2">
        <f t="shared" si="5"/>
        <v>2339.79</v>
      </c>
      <c r="G825" s="10">
        <f t="shared" si="9"/>
        <v>38807.64583</v>
      </c>
      <c r="H825" s="6">
        <f t="shared" si="6"/>
        <v>1359.6</v>
      </c>
      <c r="I825" s="2">
        <f t="shared" si="7"/>
        <v>1359.6</v>
      </c>
      <c r="M825" s="10">
        <f>IFERROR(__xludf.DUMMYFUNCTION("""COMPUTED_VALUE"""),39176.666666666664)</f>
        <v>39176.66667</v>
      </c>
      <c r="N825" s="2">
        <f>IFERROR(__xludf.DUMMYFUNCTION("""COMPUTED_VALUE"""),2458.69)</f>
        <v>2458.69</v>
      </c>
      <c r="S825" s="15"/>
    </row>
    <row r="826">
      <c r="A826" s="10">
        <f t="shared" si="8"/>
        <v>38808.66667</v>
      </c>
      <c r="B826" s="2" t="str">
        <f t="shared" si="2"/>
        <v/>
      </c>
      <c r="C826" s="2" t="str">
        <f t="shared" si="3"/>
        <v>SP500</v>
      </c>
      <c r="D826" s="2" t="str">
        <f t="shared" si="4"/>
        <v/>
      </c>
      <c r="E826" s="2">
        <f t="shared" si="5"/>
        <v>2339.79</v>
      </c>
      <c r="G826" s="10">
        <f t="shared" si="9"/>
        <v>38808.64583</v>
      </c>
      <c r="H826" s="6" t="str">
        <f t="shared" si="6"/>
        <v/>
      </c>
      <c r="I826" s="2">
        <f t="shared" si="7"/>
        <v>1359.6</v>
      </c>
      <c r="M826" s="10">
        <f>IFERROR(__xludf.DUMMYFUNCTION("""COMPUTED_VALUE"""),39177.666666666664)</f>
        <v>39177.66667</v>
      </c>
      <c r="N826" s="2">
        <f>IFERROR(__xludf.DUMMYFUNCTION("""COMPUTED_VALUE"""),2471.34)</f>
        <v>2471.34</v>
      </c>
      <c r="S826" s="15"/>
    </row>
    <row r="827">
      <c r="A827" s="10">
        <f t="shared" si="8"/>
        <v>38809.66667</v>
      </c>
      <c r="B827" s="2" t="str">
        <f t="shared" si="2"/>
        <v/>
      </c>
      <c r="C827" s="2" t="str">
        <f t="shared" si="3"/>
        <v>SP500</v>
      </c>
      <c r="D827" s="2" t="str">
        <f t="shared" si="4"/>
        <v/>
      </c>
      <c r="E827" s="2">
        <f t="shared" si="5"/>
        <v>2339.79</v>
      </c>
      <c r="G827" s="10">
        <f t="shared" si="9"/>
        <v>38809.64583</v>
      </c>
      <c r="H827" s="6" t="str">
        <f t="shared" si="6"/>
        <v/>
      </c>
      <c r="I827" s="2">
        <f t="shared" si="7"/>
        <v>1359.6</v>
      </c>
      <c r="M827" s="10">
        <f>IFERROR(__xludf.DUMMYFUNCTION("""COMPUTED_VALUE"""),39181.666666666664)</f>
        <v>39181.66667</v>
      </c>
      <c r="N827" s="2">
        <f>IFERROR(__xludf.DUMMYFUNCTION("""COMPUTED_VALUE"""),2469.18)</f>
        <v>2469.18</v>
      </c>
      <c r="S827" s="15"/>
    </row>
    <row r="828">
      <c r="A828" s="10">
        <f t="shared" si="8"/>
        <v>38810.66667</v>
      </c>
      <c r="B828" s="2" t="str">
        <f t="shared" si="2"/>
        <v/>
      </c>
      <c r="C828" s="2" t="str">
        <f t="shared" si="3"/>
        <v>SP500</v>
      </c>
      <c r="D828" s="2">
        <f t="shared" si="4"/>
        <v>2336.74</v>
      </c>
      <c r="E828" s="2">
        <f t="shared" si="5"/>
        <v>2336.74</v>
      </c>
      <c r="G828" s="10">
        <f t="shared" si="9"/>
        <v>38810.64583</v>
      </c>
      <c r="H828" s="6">
        <f t="shared" si="6"/>
        <v>1379.75</v>
      </c>
      <c r="I828" s="2">
        <f t="shared" si="7"/>
        <v>1379.75</v>
      </c>
      <c r="M828" s="10">
        <f>IFERROR(__xludf.DUMMYFUNCTION("""COMPUTED_VALUE"""),39182.666666666664)</f>
        <v>39182.66667</v>
      </c>
      <c r="N828" s="2">
        <f>IFERROR(__xludf.DUMMYFUNCTION("""COMPUTED_VALUE"""),2477.61)</f>
        <v>2477.61</v>
      </c>
      <c r="S828" s="15"/>
    </row>
    <row r="829">
      <c r="A829" s="10">
        <f t="shared" si="8"/>
        <v>38811.66667</v>
      </c>
      <c r="B829" s="2" t="str">
        <f t="shared" si="2"/>
        <v/>
      </c>
      <c r="C829" s="2" t="str">
        <f t="shared" si="3"/>
        <v>SP500</v>
      </c>
      <c r="D829" s="2">
        <f t="shared" si="4"/>
        <v>2345.36</v>
      </c>
      <c r="E829" s="2">
        <f t="shared" si="5"/>
        <v>2345.36</v>
      </c>
      <c r="G829" s="10">
        <f t="shared" si="9"/>
        <v>38811.64583</v>
      </c>
      <c r="H829" s="6">
        <f t="shared" si="6"/>
        <v>1385.64</v>
      </c>
      <c r="I829" s="2">
        <f t="shared" si="7"/>
        <v>1385.64</v>
      </c>
      <c r="M829" s="10">
        <f>IFERROR(__xludf.DUMMYFUNCTION("""COMPUTED_VALUE"""),39183.666666666664)</f>
        <v>39183.66667</v>
      </c>
      <c r="N829" s="2">
        <f>IFERROR(__xludf.DUMMYFUNCTION("""COMPUTED_VALUE"""),2459.31)</f>
        <v>2459.31</v>
      </c>
      <c r="S829" s="15"/>
    </row>
    <row r="830">
      <c r="A830" s="10">
        <f t="shared" si="8"/>
        <v>38812.66667</v>
      </c>
      <c r="B830" s="2" t="str">
        <f t="shared" si="2"/>
        <v/>
      </c>
      <c r="C830" s="2" t="str">
        <f t="shared" si="3"/>
        <v>SP500</v>
      </c>
      <c r="D830" s="2">
        <f t="shared" si="4"/>
        <v>2359.75</v>
      </c>
      <c r="E830" s="2">
        <f t="shared" si="5"/>
        <v>2359.75</v>
      </c>
      <c r="G830" s="10">
        <f t="shared" si="9"/>
        <v>38812.64583</v>
      </c>
      <c r="H830" s="6">
        <f t="shared" si="6"/>
        <v>1388.77</v>
      </c>
      <c r="I830" s="2">
        <f t="shared" si="7"/>
        <v>1388.77</v>
      </c>
      <c r="M830" s="10">
        <f>IFERROR(__xludf.DUMMYFUNCTION("""COMPUTED_VALUE"""),39184.666666666664)</f>
        <v>39184.66667</v>
      </c>
      <c r="N830" s="2">
        <f>IFERROR(__xludf.DUMMYFUNCTION("""COMPUTED_VALUE"""),2480.32)</f>
        <v>2480.32</v>
      </c>
      <c r="S830" s="15"/>
    </row>
    <row r="831">
      <c r="A831" s="10">
        <f t="shared" si="8"/>
        <v>38813.66667</v>
      </c>
      <c r="B831" s="2" t="str">
        <f t="shared" si="2"/>
        <v/>
      </c>
      <c r="C831" s="2" t="str">
        <f t="shared" si="3"/>
        <v>SP500</v>
      </c>
      <c r="D831" s="2">
        <f t="shared" si="4"/>
        <v>2361.17</v>
      </c>
      <c r="E831" s="2">
        <f t="shared" si="5"/>
        <v>2361.17</v>
      </c>
      <c r="G831" s="10">
        <f t="shared" si="9"/>
        <v>38813.64583</v>
      </c>
      <c r="H831" s="6">
        <f t="shared" si="6"/>
        <v>1397</v>
      </c>
      <c r="I831" s="2">
        <f t="shared" si="7"/>
        <v>1397</v>
      </c>
      <c r="M831" s="10">
        <f>IFERROR(__xludf.DUMMYFUNCTION("""COMPUTED_VALUE"""),39185.666666666664)</f>
        <v>39185.66667</v>
      </c>
      <c r="N831" s="2">
        <f>IFERROR(__xludf.DUMMYFUNCTION("""COMPUTED_VALUE"""),2491.94)</f>
        <v>2491.94</v>
      </c>
      <c r="S831" s="15"/>
    </row>
    <row r="832">
      <c r="A832" s="10">
        <f t="shared" si="8"/>
        <v>38814.66667</v>
      </c>
      <c r="B832" s="2" t="str">
        <f t="shared" si="2"/>
        <v/>
      </c>
      <c r="C832" s="2" t="str">
        <f t="shared" si="3"/>
        <v>SP500</v>
      </c>
      <c r="D832" s="2">
        <f t="shared" si="4"/>
        <v>2339.02</v>
      </c>
      <c r="E832" s="2">
        <f t="shared" si="5"/>
        <v>2339.02</v>
      </c>
      <c r="G832" s="10">
        <f t="shared" si="9"/>
        <v>38814.64583</v>
      </c>
      <c r="H832" s="6">
        <f t="shared" si="6"/>
        <v>1402.36</v>
      </c>
      <c r="I832" s="2">
        <f t="shared" si="7"/>
        <v>1402.36</v>
      </c>
      <c r="M832" s="10">
        <f>IFERROR(__xludf.DUMMYFUNCTION("""COMPUTED_VALUE"""),39188.666666666664)</f>
        <v>39188.66667</v>
      </c>
      <c r="N832" s="2">
        <f>IFERROR(__xludf.DUMMYFUNCTION("""COMPUTED_VALUE"""),2518.33)</f>
        <v>2518.33</v>
      </c>
      <c r="S832" s="15"/>
    </row>
    <row r="833">
      <c r="A833" s="10">
        <f t="shared" si="8"/>
        <v>38815.66667</v>
      </c>
      <c r="B833" s="2" t="str">
        <f t="shared" si="2"/>
        <v/>
      </c>
      <c r="C833" s="2" t="str">
        <f t="shared" si="3"/>
        <v>SP500</v>
      </c>
      <c r="D833" s="2" t="str">
        <f t="shared" si="4"/>
        <v/>
      </c>
      <c r="E833" s="2">
        <f t="shared" si="5"/>
        <v>2339.02</v>
      </c>
      <c r="G833" s="10">
        <f t="shared" si="9"/>
        <v>38815.64583</v>
      </c>
      <c r="H833" s="6" t="str">
        <f t="shared" si="6"/>
        <v/>
      </c>
      <c r="I833" s="2">
        <f t="shared" si="7"/>
        <v>1402.36</v>
      </c>
      <c r="M833" s="10">
        <f>IFERROR(__xludf.DUMMYFUNCTION("""COMPUTED_VALUE"""),39189.666666666664)</f>
        <v>39189.66667</v>
      </c>
      <c r="N833" s="2">
        <f>IFERROR(__xludf.DUMMYFUNCTION("""COMPUTED_VALUE"""),2516.95)</f>
        <v>2516.95</v>
      </c>
      <c r="S833" s="15"/>
    </row>
    <row r="834">
      <c r="A834" s="10">
        <f t="shared" si="8"/>
        <v>38816.66667</v>
      </c>
      <c r="B834" s="2" t="str">
        <f t="shared" si="2"/>
        <v/>
      </c>
      <c r="C834" s="2" t="str">
        <f t="shared" si="3"/>
        <v>SP500</v>
      </c>
      <c r="D834" s="2" t="str">
        <f t="shared" si="4"/>
        <v/>
      </c>
      <c r="E834" s="2">
        <f t="shared" si="5"/>
        <v>2339.02</v>
      </c>
      <c r="G834" s="10">
        <f t="shared" si="9"/>
        <v>38816.64583</v>
      </c>
      <c r="H834" s="6" t="str">
        <f t="shared" si="6"/>
        <v/>
      </c>
      <c r="I834" s="2">
        <f t="shared" si="7"/>
        <v>1402.36</v>
      </c>
      <c r="M834" s="10">
        <f>IFERROR(__xludf.DUMMYFUNCTION("""COMPUTED_VALUE"""),39190.666666666664)</f>
        <v>39190.66667</v>
      </c>
      <c r="N834" s="2">
        <f>IFERROR(__xludf.DUMMYFUNCTION("""COMPUTED_VALUE"""),2510.5)</f>
        <v>2510.5</v>
      </c>
      <c r="S834" s="15"/>
    </row>
    <row r="835">
      <c r="A835" s="10">
        <f t="shared" si="8"/>
        <v>38817.66667</v>
      </c>
      <c r="B835" s="2" t="str">
        <f t="shared" si="2"/>
        <v/>
      </c>
      <c r="C835" s="2" t="str">
        <f t="shared" si="3"/>
        <v>SP500</v>
      </c>
      <c r="D835" s="2">
        <f t="shared" si="4"/>
        <v>2333.27</v>
      </c>
      <c r="E835" s="2">
        <f t="shared" si="5"/>
        <v>2333.27</v>
      </c>
      <c r="G835" s="10">
        <f t="shared" si="9"/>
        <v>38817.64583</v>
      </c>
      <c r="H835" s="6">
        <f t="shared" si="6"/>
        <v>1398.29</v>
      </c>
      <c r="I835" s="2">
        <f t="shared" si="7"/>
        <v>1398.29</v>
      </c>
      <c r="M835" s="10">
        <f>IFERROR(__xludf.DUMMYFUNCTION("""COMPUTED_VALUE"""),39191.666666666664)</f>
        <v>39191.66667</v>
      </c>
      <c r="N835" s="2">
        <f>IFERROR(__xludf.DUMMYFUNCTION("""COMPUTED_VALUE"""),2505.35)</f>
        <v>2505.35</v>
      </c>
      <c r="S835" s="15"/>
    </row>
    <row r="836">
      <c r="A836" s="10">
        <f t="shared" si="8"/>
        <v>38818.66667</v>
      </c>
      <c r="B836" s="2" t="str">
        <f t="shared" si="2"/>
        <v/>
      </c>
      <c r="C836" s="2" t="str">
        <f t="shared" si="3"/>
        <v>SP500</v>
      </c>
      <c r="D836" s="2">
        <f t="shared" si="4"/>
        <v>2310.35</v>
      </c>
      <c r="E836" s="2">
        <f t="shared" si="5"/>
        <v>2310.35</v>
      </c>
      <c r="G836" s="10">
        <f t="shared" si="9"/>
        <v>38818.64583</v>
      </c>
      <c r="H836" s="6">
        <f t="shared" si="6"/>
        <v>1386.08</v>
      </c>
      <c r="I836" s="2">
        <f t="shared" si="7"/>
        <v>1386.08</v>
      </c>
      <c r="M836" s="10">
        <f>IFERROR(__xludf.DUMMYFUNCTION("""COMPUTED_VALUE"""),39192.666666666664)</f>
        <v>39192.66667</v>
      </c>
      <c r="N836" s="2">
        <f>IFERROR(__xludf.DUMMYFUNCTION("""COMPUTED_VALUE"""),2526.39)</f>
        <v>2526.39</v>
      </c>
      <c r="S836" s="15"/>
    </row>
    <row r="837">
      <c r="A837" s="10">
        <f t="shared" si="8"/>
        <v>38819.66667</v>
      </c>
      <c r="B837" s="2" t="str">
        <f t="shared" si="2"/>
        <v/>
      </c>
      <c r="C837" s="2" t="str">
        <f t="shared" si="3"/>
        <v>SP500</v>
      </c>
      <c r="D837" s="2">
        <f t="shared" si="4"/>
        <v>2314.68</v>
      </c>
      <c r="E837" s="2">
        <f t="shared" si="5"/>
        <v>2314.68</v>
      </c>
      <c r="G837" s="10">
        <f t="shared" si="9"/>
        <v>38819.64583</v>
      </c>
      <c r="H837" s="6">
        <f t="shared" si="6"/>
        <v>1383.59</v>
      </c>
      <c r="I837" s="2">
        <f t="shared" si="7"/>
        <v>1383.59</v>
      </c>
      <c r="M837" s="10">
        <f>IFERROR(__xludf.DUMMYFUNCTION("""COMPUTED_VALUE"""),39195.666666666664)</f>
        <v>39195.66667</v>
      </c>
      <c r="N837" s="2">
        <f>IFERROR(__xludf.DUMMYFUNCTION("""COMPUTED_VALUE"""),2523.67)</f>
        <v>2523.67</v>
      </c>
      <c r="S837" s="15"/>
    </row>
    <row r="838">
      <c r="A838" s="10">
        <f t="shared" si="8"/>
        <v>38820.66667</v>
      </c>
      <c r="B838" s="2" t="str">
        <f t="shared" si="2"/>
        <v/>
      </c>
      <c r="C838" s="2" t="str">
        <f t="shared" si="3"/>
        <v>SP500</v>
      </c>
      <c r="D838" s="2">
        <f t="shared" si="4"/>
        <v>2326.11</v>
      </c>
      <c r="E838" s="2">
        <f t="shared" si="5"/>
        <v>2326.11</v>
      </c>
      <c r="G838" s="10">
        <f t="shared" si="9"/>
        <v>38820.64583</v>
      </c>
      <c r="H838" s="6">
        <f t="shared" si="6"/>
        <v>1405.72</v>
      </c>
      <c r="I838" s="2">
        <f t="shared" si="7"/>
        <v>1405.72</v>
      </c>
      <c r="M838" s="10">
        <f>IFERROR(__xludf.DUMMYFUNCTION("""COMPUTED_VALUE"""),39196.666666666664)</f>
        <v>39196.66667</v>
      </c>
      <c r="N838" s="2">
        <f>IFERROR(__xludf.DUMMYFUNCTION("""COMPUTED_VALUE"""),2524.54)</f>
        <v>2524.54</v>
      </c>
      <c r="S838" s="15"/>
    </row>
    <row r="839">
      <c r="A839" s="10">
        <f t="shared" si="8"/>
        <v>38821.66667</v>
      </c>
      <c r="B839" s="2" t="str">
        <f t="shared" si="2"/>
        <v/>
      </c>
      <c r="C839" s="2" t="str">
        <f t="shared" si="3"/>
        <v>SP500</v>
      </c>
      <c r="D839" s="2" t="str">
        <f t="shared" si="4"/>
        <v/>
      </c>
      <c r="E839" s="2">
        <f t="shared" si="5"/>
        <v>2326.11</v>
      </c>
      <c r="G839" s="10">
        <f t="shared" si="9"/>
        <v>38821.64583</v>
      </c>
      <c r="H839" s="6">
        <f t="shared" si="6"/>
        <v>1432.72</v>
      </c>
      <c r="I839" s="2">
        <f t="shared" si="7"/>
        <v>1432.72</v>
      </c>
      <c r="M839" s="10">
        <f>IFERROR(__xludf.DUMMYFUNCTION("""COMPUTED_VALUE"""),39197.666666666664)</f>
        <v>39197.66667</v>
      </c>
      <c r="N839" s="2">
        <f>IFERROR(__xludf.DUMMYFUNCTION("""COMPUTED_VALUE"""),2547.89)</f>
        <v>2547.89</v>
      </c>
      <c r="S839" s="15"/>
    </row>
    <row r="840">
      <c r="A840" s="10">
        <f t="shared" si="8"/>
        <v>38822.66667</v>
      </c>
      <c r="B840" s="2" t="str">
        <f t="shared" si="2"/>
        <v/>
      </c>
      <c r="C840" s="2" t="str">
        <f t="shared" si="3"/>
        <v>SP500</v>
      </c>
      <c r="D840" s="2" t="str">
        <f t="shared" si="4"/>
        <v/>
      </c>
      <c r="E840" s="2">
        <f t="shared" si="5"/>
        <v>2326.11</v>
      </c>
      <c r="G840" s="10">
        <f t="shared" si="9"/>
        <v>38822.64583</v>
      </c>
      <c r="H840" s="6" t="str">
        <f t="shared" si="6"/>
        <v/>
      </c>
      <c r="I840" s="2">
        <f t="shared" si="7"/>
        <v>1432.72</v>
      </c>
      <c r="M840" s="10">
        <f>IFERROR(__xludf.DUMMYFUNCTION("""COMPUTED_VALUE"""),39198.666666666664)</f>
        <v>39198.66667</v>
      </c>
      <c r="N840" s="2">
        <f>IFERROR(__xludf.DUMMYFUNCTION("""COMPUTED_VALUE"""),2554.46)</f>
        <v>2554.46</v>
      </c>
      <c r="S840" s="15"/>
    </row>
    <row r="841">
      <c r="A841" s="10">
        <f t="shared" si="8"/>
        <v>38823.66667</v>
      </c>
      <c r="B841" s="2" t="str">
        <f t="shared" si="2"/>
        <v/>
      </c>
      <c r="C841" s="2" t="str">
        <f t="shared" si="3"/>
        <v>SP500</v>
      </c>
      <c r="D841" s="2" t="str">
        <f t="shared" si="4"/>
        <v/>
      </c>
      <c r="E841" s="2">
        <f t="shared" si="5"/>
        <v>2326.11</v>
      </c>
      <c r="G841" s="10">
        <f t="shared" si="9"/>
        <v>38823.64583</v>
      </c>
      <c r="H841" s="6" t="str">
        <f t="shared" si="6"/>
        <v/>
      </c>
      <c r="I841" s="2">
        <f t="shared" si="7"/>
        <v>1432.72</v>
      </c>
      <c r="M841" s="10">
        <f>IFERROR(__xludf.DUMMYFUNCTION("""COMPUTED_VALUE"""),39199.666666666664)</f>
        <v>39199.66667</v>
      </c>
      <c r="N841" s="2">
        <f>IFERROR(__xludf.DUMMYFUNCTION("""COMPUTED_VALUE"""),2557.21)</f>
        <v>2557.21</v>
      </c>
      <c r="S841" s="15"/>
    </row>
    <row r="842">
      <c r="A842" s="10">
        <f t="shared" si="8"/>
        <v>38824.66667</v>
      </c>
      <c r="B842" s="2" t="str">
        <f t="shared" si="2"/>
        <v/>
      </c>
      <c r="C842" s="2" t="str">
        <f t="shared" si="3"/>
        <v>SP500</v>
      </c>
      <c r="D842" s="2">
        <f t="shared" si="4"/>
        <v>2311.16</v>
      </c>
      <c r="E842" s="2">
        <f t="shared" si="5"/>
        <v>2311.16</v>
      </c>
      <c r="G842" s="10">
        <f t="shared" si="9"/>
        <v>38824.64583</v>
      </c>
      <c r="H842" s="6">
        <f t="shared" si="6"/>
        <v>1422.63</v>
      </c>
      <c r="I842" s="2">
        <f t="shared" si="7"/>
        <v>1422.63</v>
      </c>
      <c r="M842" s="10">
        <f>IFERROR(__xludf.DUMMYFUNCTION("""COMPUTED_VALUE"""),39202.666666666664)</f>
        <v>39202.66667</v>
      </c>
      <c r="N842" s="2">
        <f>IFERROR(__xludf.DUMMYFUNCTION("""COMPUTED_VALUE"""),2525.09)</f>
        <v>2525.09</v>
      </c>
      <c r="S842" s="15"/>
    </row>
    <row r="843">
      <c r="A843" s="10">
        <f t="shared" si="8"/>
        <v>38825.66667</v>
      </c>
      <c r="B843" s="2" t="str">
        <f t="shared" si="2"/>
        <v/>
      </c>
      <c r="C843" s="2" t="str">
        <f t="shared" si="3"/>
        <v>SP500</v>
      </c>
      <c r="D843" s="2">
        <f t="shared" si="4"/>
        <v>2356.14</v>
      </c>
      <c r="E843" s="2">
        <f t="shared" si="5"/>
        <v>2356.14</v>
      </c>
      <c r="G843" s="10">
        <f t="shared" si="9"/>
        <v>38825.64583</v>
      </c>
      <c r="H843" s="6">
        <f t="shared" si="6"/>
        <v>1427</v>
      </c>
      <c r="I843" s="2">
        <f t="shared" si="7"/>
        <v>1427</v>
      </c>
      <c r="M843" s="10">
        <f>IFERROR(__xludf.DUMMYFUNCTION("""COMPUTED_VALUE"""),39203.666666666664)</f>
        <v>39203.66667</v>
      </c>
      <c r="N843" s="2">
        <f>IFERROR(__xludf.DUMMYFUNCTION("""COMPUTED_VALUE"""),2531.53)</f>
        <v>2531.53</v>
      </c>
      <c r="S843" s="15"/>
    </row>
    <row r="844">
      <c r="A844" s="10">
        <f t="shared" si="8"/>
        <v>38826.66667</v>
      </c>
      <c r="B844" s="2" t="str">
        <f t="shared" si="2"/>
        <v/>
      </c>
      <c r="C844" s="2" t="str">
        <f t="shared" si="3"/>
        <v>SP500</v>
      </c>
      <c r="D844" s="2">
        <f t="shared" si="4"/>
        <v>2370.88</v>
      </c>
      <c r="E844" s="2">
        <f t="shared" si="5"/>
        <v>2370.88</v>
      </c>
      <c r="G844" s="10">
        <f t="shared" si="9"/>
        <v>38826.64583</v>
      </c>
      <c r="H844" s="6">
        <f t="shared" si="6"/>
        <v>1437.84</v>
      </c>
      <c r="I844" s="2">
        <f t="shared" si="7"/>
        <v>1437.84</v>
      </c>
      <c r="M844" s="10">
        <f>IFERROR(__xludf.DUMMYFUNCTION("""COMPUTED_VALUE"""),39204.666666666664)</f>
        <v>39204.66667</v>
      </c>
      <c r="N844" s="2">
        <f>IFERROR(__xludf.DUMMYFUNCTION("""COMPUTED_VALUE"""),2557.84)</f>
        <v>2557.84</v>
      </c>
      <c r="S844" s="15"/>
    </row>
    <row r="845">
      <c r="A845" s="10">
        <f t="shared" si="8"/>
        <v>38827.66667</v>
      </c>
      <c r="B845" s="2" t="str">
        <f t="shared" si="2"/>
        <v/>
      </c>
      <c r="C845" s="2" t="str">
        <f t="shared" si="3"/>
        <v>SP500</v>
      </c>
      <c r="D845" s="2">
        <f t="shared" si="4"/>
        <v>2362.55</v>
      </c>
      <c r="E845" s="2">
        <f t="shared" si="5"/>
        <v>2362.55</v>
      </c>
      <c r="G845" s="10">
        <f t="shared" si="9"/>
        <v>38827.64583</v>
      </c>
      <c r="H845" s="6">
        <f t="shared" si="6"/>
        <v>1434.15</v>
      </c>
      <c r="I845" s="2">
        <f t="shared" si="7"/>
        <v>1434.15</v>
      </c>
      <c r="M845" s="10">
        <f>IFERROR(__xludf.DUMMYFUNCTION("""COMPUTED_VALUE"""),39205.666666666664)</f>
        <v>39205.66667</v>
      </c>
      <c r="N845" s="2">
        <f>IFERROR(__xludf.DUMMYFUNCTION("""COMPUTED_VALUE"""),2565.46)</f>
        <v>2565.46</v>
      </c>
      <c r="S845" s="15"/>
    </row>
    <row r="846">
      <c r="A846" s="10">
        <f t="shared" si="8"/>
        <v>38828.66667</v>
      </c>
      <c r="B846" s="2" t="str">
        <f t="shared" si="2"/>
        <v/>
      </c>
      <c r="C846" s="2" t="str">
        <f t="shared" si="3"/>
        <v>SP500</v>
      </c>
      <c r="D846" s="2">
        <f t="shared" si="4"/>
        <v>2342.86</v>
      </c>
      <c r="E846" s="2">
        <f t="shared" si="5"/>
        <v>2342.86</v>
      </c>
      <c r="G846" s="10">
        <f t="shared" si="9"/>
        <v>38828.64583</v>
      </c>
      <c r="H846" s="6">
        <f t="shared" si="6"/>
        <v>1451.31</v>
      </c>
      <c r="I846" s="2">
        <f t="shared" si="7"/>
        <v>1451.31</v>
      </c>
      <c r="M846" s="10">
        <f>IFERROR(__xludf.DUMMYFUNCTION("""COMPUTED_VALUE"""),39206.666666666664)</f>
        <v>39206.66667</v>
      </c>
      <c r="N846" s="2">
        <f>IFERROR(__xludf.DUMMYFUNCTION("""COMPUTED_VALUE"""),2572.15)</f>
        <v>2572.15</v>
      </c>
      <c r="S846" s="15"/>
    </row>
    <row r="847">
      <c r="A847" s="10">
        <f t="shared" si="8"/>
        <v>38829.66667</v>
      </c>
      <c r="B847" s="2" t="str">
        <f t="shared" si="2"/>
        <v/>
      </c>
      <c r="C847" s="2" t="str">
        <f t="shared" si="3"/>
        <v>SP500</v>
      </c>
      <c r="D847" s="2" t="str">
        <f t="shared" si="4"/>
        <v/>
      </c>
      <c r="E847" s="2">
        <f t="shared" si="5"/>
        <v>2342.86</v>
      </c>
      <c r="G847" s="10">
        <f t="shared" si="9"/>
        <v>38829.64583</v>
      </c>
      <c r="H847" s="6" t="str">
        <f t="shared" si="6"/>
        <v/>
      </c>
      <c r="I847" s="2">
        <f t="shared" si="7"/>
        <v>1451.31</v>
      </c>
      <c r="M847" s="10">
        <f>IFERROR(__xludf.DUMMYFUNCTION("""COMPUTED_VALUE"""),39209.666666666664)</f>
        <v>39209.66667</v>
      </c>
      <c r="N847" s="2">
        <f>IFERROR(__xludf.DUMMYFUNCTION("""COMPUTED_VALUE"""),2570.95)</f>
        <v>2570.95</v>
      </c>
      <c r="S847" s="15"/>
    </row>
    <row r="848">
      <c r="A848" s="10">
        <f t="shared" si="8"/>
        <v>38830.66667</v>
      </c>
      <c r="B848" s="2" t="str">
        <f t="shared" si="2"/>
        <v/>
      </c>
      <c r="C848" s="2" t="str">
        <f t="shared" si="3"/>
        <v>SP500</v>
      </c>
      <c r="D848" s="2" t="str">
        <f t="shared" si="4"/>
        <v/>
      </c>
      <c r="E848" s="2">
        <f t="shared" si="5"/>
        <v>2342.86</v>
      </c>
      <c r="G848" s="10">
        <f t="shared" si="9"/>
        <v>38830.64583</v>
      </c>
      <c r="H848" s="6" t="str">
        <f t="shared" si="6"/>
        <v/>
      </c>
      <c r="I848" s="2">
        <f t="shared" si="7"/>
        <v>1451.31</v>
      </c>
      <c r="M848" s="10">
        <f>IFERROR(__xludf.DUMMYFUNCTION("""COMPUTED_VALUE"""),39210.666666666664)</f>
        <v>39210.66667</v>
      </c>
      <c r="N848" s="2">
        <f>IFERROR(__xludf.DUMMYFUNCTION("""COMPUTED_VALUE"""),2571.75)</f>
        <v>2571.75</v>
      </c>
      <c r="S848" s="15"/>
    </row>
    <row r="849">
      <c r="A849" s="10">
        <f t="shared" si="8"/>
        <v>38831.66667</v>
      </c>
      <c r="B849" s="2" t="str">
        <f t="shared" si="2"/>
        <v/>
      </c>
      <c r="C849" s="2" t="str">
        <f t="shared" si="3"/>
        <v>SP500</v>
      </c>
      <c r="D849" s="2">
        <f t="shared" si="4"/>
        <v>2333.38</v>
      </c>
      <c r="E849" s="2">
        <f t="shared" si="5"/>
        <v>2333.38</v>
      </c>
      <c r="G849" s="10">
        <f t="shared" si="9"/>
        <v>38831.64583</v>
      </c>
      <c r="H849" s="6">
        <f t="shared" si="6"/>
        <v>1430.94</v>
      </c>
      <c r="I849" s="2">
        <f t="shared" si="7"/>
        <v>1430.94</v>
      </c>
      <c r="M849" s="10">
        <f>IFERROR(__xludf.DUMMYFUNCTION("""COMPUTED_VALUE"""),39211.666666666664)</f>
        <v>39211.66667</v>
      </c>
      <c r="N849" s="2">
        <f>IFERROR(__xludf.DUMMYFUNCTION("""COMPUTED_VALUE"""),2576.34)</f>
        <v>2576.34</v>
      </c>
      <c r="S849" s="15"/>
    </row>
    <row r="850">
      <c r="A850" s="10">
        <f t="shared" si="8"/>
        <v>38832.66667</v>
      </c>
      <c r="B850" s="2" t="str">
        <f t="shared" si="2"/>
        <v/>
      </c>
      <c r="C850" s="2" t="str">
        <f t="shared" si="3"/>
        <v>SP500</v>
      </c>
      <c r="D850" s="2">
        <f t="shared" si="4"/>
        <v>2330.3</v>
      </c>
      <c r="E850" s="2">
        <f t="shared" si="5"/>
        <v>2330.3</v>
      </c>
      <c r="G850" s="10">
        <f t="shared" si="9"/>
        <v>38832.64583</v>
      </c>
      <c r="H850" s="6">
        <f t="shared" si="6"/>
        <v>1431.15</v>
      </c>
      <c r="I850" s="2">
        <f t="shared" si="7"/>
        <v>1431.15</v>
      </c>
      <c r="M850" s="10">
        <f>IFERROR(__xludf.DUMMYFUNCTION("""COMPUTED_VALUE"""),39212.666666666664)</f>
        <v>39212.66667</v>
      </c>
      <c r="N850" s="2">
        <f>IFERROR(__xludf.DUMMYFUNCTION("""COMPUTED_VALUE"""),2533.74)</f>
        <v>2533.74</v>
      </c>
      <c r="S850" s="15"/>
    </row>
    <row r="851">
      <c r="A851" s="10">
        <f t="shared" si="8"/>
        <v>38833.66667</v>
      </c>
      <c r="B851" s="2" t="str">
        <f t="shared" si="2"/>
        <v/>
      </c>
      <c r="C851" s="2" t="str">
        <f t="shared" si="3"/>
        <v>SP500</v>
      </c>
      <c r="D851" s="2">
        <f t="shared" si="4"/>
        <v>2333.63</v>
      </c>
      <c r="E851" s="2">
        <f t="shared" si="5"/>
        <v>2333.63</v>
      </c>
      <c r="G851" s="10">
        <f t="shared" si="9"/>
        <v>38833.64583</v>
      </c>
      <c r="H851" s="6">
        <f t="shared" si="6"/>
        <v>1451.22</v>
      </c>
      <c r="I851" s="2">
        <f t="shared" si="7"/>
        <v>1451.22</v>
      </c>
      <c r="M851" s="10">
        <f>IFERROR(__xludf.DUMMYFUNCTION("""COMPUTED_VALUE"""),39213.666666666664)</f>
        <v>39213.66667</v>
      </c>
      <c r="N851" s="2">
        <f>IFERROR(__xludf.DUMMYFUNCTION("""COMPUTED_VALUE"""),2562.22)</f>
        <v>2562.22</v>
      </c>
      <c r="S851" s="15"/>
    </row>
    <row r="852">
      <c r="A852" s="10">
        <f t="shared" si="8"/>
        <v>38834.66667</v>
      </c>
      <c r="B852" s="2" t="str">
        <f t="shared" si="2"/>
        <v/>
      </c>
      <c r="C852" s="2" t="str">
        <f t="shared" si="3"/>
        <v>SP500</v>
      </c>
      <c r="D852" s="2">
        <f t="shared" si="4"/>
        <v>2344.95</v>
      </c>
      <c r="E852" s="2">
        <f t="shared" si="5"/>
        <v>2344.95</v>
      </c>
      <c r="G852" s="10">
        <f t="shared" si="9"/>
        <v>38834.64583</v>
      </c>
      <c r="H852" s="6">
        <f t="shared" si="6"/>
        <v>1452.53</v>
      </c>
      <c r="I852" s="2">
        <f t="shared" si="7"/>
        <v>1452.53</v>
      </c>
      <c r="M852" s="10">
        <f>IFERROR(__xludf.DUMMYFUNCTION("""COMPUTED_VALUE"""),39216.666666666664)</f>
        <v>39216.66667</v>
      </c>
      <c r="N852" s="2">
        <f>IFERROR(__xludf.DUMMYFUNCTION("""COMPUTED_VALUE"""),2546.44)</f>
        <v>2546.44</v>
      </c>
      <c r="S852" s="15"/>
    </row>
    <row r="853">
      <c r="A853" s="10">
        <f t="shared" si="8"/>
        <v>38835.66667</v>
      </c>
      <c r="B853" s="2" t="str">
        <f t="shared" si="2"/>
        <v/>
      </c>
      <c r="C853" s="2" t="str">
        <f t="shared" si="3"/>
        <v>SP500</v>
      </c>
      <c r="D853" s="2">
        <f t="shared" si="4"/>
        <v>2322.57</v>
      </c>
      <c r="E853" s="2">
        <f t="shared" si="5"/>
        <v>2322.57</v>
      </c>
      <c r="G853" s="10">
        <f t="shared" si="9"/>
        <v>38835.64583</v>
      </c>
      <c r="H853" s="6">
        <f t="shared" si="6"/>
        <v>1419.73</v>
      </c>
      <c r="I853" s="2">
        <f t="shared" si="7"/>
        <v>1419.73</v>
      </c>
      <c r="M853" s="10">
        <f>IFERROR(__xludf.DUMMYFUNCTION("""COMPUTED_VALUE"""),39217.666666666664)</f>
        <v>39217.66667</v>
      </c>
      <c r="N853" s="2">
        <f>IFERROR(__xludf.DUMMYFUNCTION("""COMPUTED_VALUE"""),2525.29)</f>
        <v>2525.29</v>
      </c>
      <c r="S853" s="15"/>
    </row>
    <row r="854">
      <c r="A854" s="10">
        <f t="shared" si="8"/>
        <v>38836.66667</v>
      </c>
      <c r="B854" s="2" t="str">
        <f t="shared" si="2"/>
        <v/>
      </c>
      <c r="C854" s="2" t="str">
        <f t="shared" si="3"/>
        <v>SP500</v>
      </c>
      <c r="D854" s="2" t="str">
        <f t="shared" si="4"/>
        <v/>
      </c>
      <c r="E854" s="2">
        <f t="shared" si="5"/>
        <v>2322.57</v>
      </c>
      <c r="G854" s="10">
        <f t="shared" si="9"/>
        <v>38836.64583</v>
      </c>
      <c r="H854" s="6" t="str">
        <f t="shared" si="6"/>
        <v/>
      </c>
      <c r="I854" s="2">
        <f t="shared" si="7"/>
        <v>1419.73</v>
      </c>
      <c r="M854" s="10">
        <f>IFERROR(__xludf.DUMMYFUNCTION("""COMPUTED_VALUE"""),39218.666666666664)</f>
        <v>39218.66667</v>
      </c>
      <c r="N854" s="2">
        <f>IFERROR(__xludf.DUMMYFUNCTION("""COMPUTED_VALUE"""),2547.42)</f>
        <v>2547.42</v>
      </c>
      <c r="S854" s="15"/>
    </row>
    <row r="855">
      <c r="A855" s="10">
        <f t="shared" si="8"/>
        <v>38837.66667</v>
      </c>
      <c r="B855" s="2" t="str">
        <f t="shared" si="2"/>
        <v/>
      </c>
      <c r="C855" s="2" t="str">
        <f t="shared" si="3"/>
        <v>SP500</v>
      </c>
      <c r="D855" s="2" t="str">
        <f t="shared" si="4"/>
        <v/>
      </c>
      <c r="E855" s="2">
        <f t="shared" si="5"/>
        <v>2322.57</v>
      </c>
      <c r="G855" s="10">
        <f t="shared" si="9"/>
        <v>38837.64583</v>
      </c>
      <c r="H855" s="6" t="str">
        <f t="shared" si="6"/>
        <v/>
      </c>
      <c r="I855" s="2">
        <f t="shared" si="7"/>
        <v>1419.73</v>
      </c>
      <c r="M855" s="10">
        <f>IFERROR(__xludf.DUMMYFUNCTION("""COMPUTED_VALUE"""),39219.666666666664)</f>
        <v>39219.66667</v>
      </c>
      <c r="N855" s="2">
        <f>IFERROR(__xludf.DUMMYFUNCTION("""COMPUTED_VALUE"""),2539.38)</f>
        <v>2539.38</v>
      </c>
      <c r="S855" s="15"/>
    </row>
    <row r="856">
      <c r="A856" s="10">
        <f t="shared" si="8"/>
        <v>38838.66667</v>
      </c>
      <c r="B856" s="2" t="str">
        <f t="shared" si="2"/>
        <v/>
      </c>
      <c r="C856" s="2" t="str">
        <f t="shared" si="3"/>
        <v>SP500</v>
      </c>
      <c r="D856" s="2">
        <f t="shared" si="4"/>
        <v>2304.79</v>
      </c>
      <c r="E856" s="2">
        <f t="shared" si="5"/>
        <v>2304.79</v>
      </c>
      <c r="G856" s="10">
        <f t="shared" si="9"/>
        <v>38838.64583</v>
      </c>
      <c r="H856" s="6" t="str">
        <f t="shared" si="6"/>
        <v/>
      </c>
      <c r="I856" s="2">
        <f t="shared" si="7"/>
        <v>1419.73</v>
      </c>
      <c r="M856" s="10">
        <f>IFERROR(__xludf.DUMMYFUNCTION("""COMPUTED_VALUE"""),39220.666666666664)</f>
        <v>39220.66667</v>
      </c>
      <c r="N856" s="2">
        <f>IFERROR(__xludf.DUMMYFUNCTION("""COMPUTED_VALUE"""),2558.45)</f>
        <v>2558.45</v>
      </c>
      <c r="S856" s="15"/>
    </row>
    <row r="857">
      <c r="A857" s="10">
        <f t="shared" si="8"/>
        <v>38839.66667</v>
      </c>
      <c r="B857" s="2" t="str">
        <f t="shared" si="2"/>
        <v/>
      </c>
      <c r="C857" s="2" t="str">
        <f t="shared" si="3"/>
        <v>SP500</v>
      </c>
      <c r="D857" s="2">
        <f t="shared" si="4"/>
        <v>2309.84</v>
      </c>
      <c r="E857" s="2">
        <f t="shared" si="5"/>
        <v>2309.84</v>
      </c>
      <c r="G857" s="10">
        <f t="shared" si="9"/>
        <v>38839.64583</v>
      </c>
      <c r="H857" s="6">
        <f t="shared" si="6"/>
        <v>1434.9</v>
      </c>
      <c r="I857" s="2">
        <f t="shared" si="7"/>
        <v>1434.9</v>
      </c>
      <c r="M857" s="10">
        <f>IFERROR(__xludf.DUMMYFUNCTION("""COMPUTED_VALUE"""),39223.666666666664)</f>
        <v>39223.66667</v>
      </c>
      <c r="N857" s="2">
        <f>IFERROR(__xludf.DUMMYFUNCTION("""COMPUTED_VALUE"""),2578.79)</f>
        <v>2578.79</v>
      </c>
      <c r="S857" s="15"/>
    </row>
    <row r="858">
      <c r="A858" s="10">
        <f t="shared" si="8"/>
        <v>38840.66667</v>
      </c>
      <c r="B858" s="2" t="str">
        <f t="shared" si="2"/>
        <v/>
      </c>
      <c r="C858" s="2" t="str">
        <f t="shared" si="3"/>
        <v>SP500</v>
      </c>
      <c r="D858" s="2">
        <f t="shared" si="4"/>
        <v>2303.97</v>
      </c>
      <c r="E858" s="2">
        <f t="shared" si="5"/>
        <v>2303.97</v>
      </c>
      <c r="G858" s="10">
        <f t="shared" si="9"/>
        <v>38840.64583</v>
      </c>
      <c r="H858" s="6">
        <f t="shared" si="6"/>
        <v>1435.17</v>
      </c>
      <c r="I858" s="2">
        <f t="shared" si="7"/>
        <v>1435.17</v>
      </c>
      <c r="M858" s="10">
        <f>IFERROR(__xludf.DUMMYFUNCTION("""COMPUTED_VALUE"""),39224.666666666664)</f>
        <v>39224.66667</v>
      </c>
      <c r="N858" s="2">
        <f>IFERROR(__xludf.DUMMYFUNCTION("""COMPUTED_VALUE"""),2588.02)</f>
        <v>2588.02</v>
      </c>
      <c r="S858" s="15"/>
    </row>
    <row r="859">
      <c r="A859" s="10">
        <f t="shared" si="8"/>
        <v>38841.66667</v>
      </c>
      <c r="B859" s="2" t="str">
        <f t="shared" si="2"/>
        <v/>
      </c>
      <c r="C859" s="2" t="str">
        <f t="shared" si="3"/>
        <v>SP500</v>
      </c>
      <c r="D859" s="2">
        <f t="shared" si="4"/>
        <v>2323.9</v>
      </c>
      <c r="E859" s="2">
        <f t="shared" si="5"/>
        <v>2323.9</v>
      </c>
      <c r="G859" s="10">
        <f t="shared" si="9"/>
        <v>38841.64583</v>
      </c>
      <c r="H859" s="6">
        <f t="shared" si="6"/>
        <v>1441.02</v>
      </c>
      <c r="I859" s="2">
        <f t="shared" si="7"/>
        <v>1441.02</v>
      </c>
      <c r="M859" s="10">
        <f>IFERROR(__xludf.DUMMYFUNCTION("""COMPUTED_VALUE"""),39225.666666666664)</f>
        <v>39225.66667</v>
      </c>
      <c r="N859" s="2">
        <f>IFERROR(__xludf.DUMMYFUNCTION("""COMPUTED_VALUE"""),2577.05)</f>
        <v>2577.05</v>
      </c>
      <c r="S859" s="15"/>
    </row>
    <row r="860">
      <c r="A860" s="10">
        <f t="shared" si="8"/>
        <v>38842.66667</v>
      </c>
      <c r="B860" s="2" t="str">
        <f t="shared" si="2"/>
        <v/>
      </c>
      <c r="C860" s="2" t="str">
        <f t="shared" si="3"/>
        <v>SP500</v>
      </c>
      <c r="D860" s="2">
        <f t="shared" si="4"/>
        <v>2342.57</v>
      </c>
      <c r="E860" s="2">
        <f t="shared" si="5"/>
        <v>2342.57</v>
      </c>
      <c r="G860" s="10">
        <f t="shared" si="9"/>
        <v>38842.64583</v>
      </c>
      <c r="H860" s="6" t="str">
        <f t="shared" si="6"/>
        <v/>
      </c>
      <c r="I860" s="2">
        <f t="shared" si="7"/>
        <v>1441.02</v>
      </c>
      <c r="M860" s="10">
        <f>IFERROR(__xludf.DUMMYFUNCTION("""COMPUTED_VALUE"""),39226.666666666664)</f>
        <v>39226.66667</v>
      </c>
      <c r="N860" s="2">
        <f>IFERROR(__xludf.DUMMYFUNCTION("""COMPUTED_VALUE"""),2537.92)</f>
        <v>2537.92</v>
      </c>
      <c r="S860" s="15"/>
    </row>
    <row r="861">
      <c r="A861" s="10">
        <f t="shared" si="8"/>
        <v>38843.66667</v>
      </c>
      <c r="B861" s="2" t="str">
        <f t="shared" si="2"/>
        <v/>
      </c>
      <c r="C861" s="2" t="str">
        <f t="shared" si="3"/>
        <v>SP500</v>
      </c>
      <c r="D861" s="2" t="str">
        <f t="shared" si="4"/>
        <v/>
      </c>
      <c r="E861" s="2">
        <f t="shared" si="5"/>
        <v>2342.57</v>
      </c>
      <c r="G861" s="10">
        <f t="shared" si="9"/>
        <v>38843.64583</v>
      </c>
      <c r="H861" s="6" t="str">
        <f t="shared" si="6"/>
        <v/>
      </c>
      <c r="I861" s="2">
        <f t="shared" si="7"/>
        <v>1441.02</v>
      </c>
      <c r="M861" s="10">
        <f>IFERROR(__xludf.DUMMYFUNCTION("""COMPUTED_VALUE"""),39227.666666666664)</f>
        <v>39227.66667</v>
      </c>
      <c r="N861" s="2">
        <f>IFERROR(__xludf.DUMMYFUNCTION("""COMPUTED_VALUE"""),2557.19)</f>
        <v>2557.19</v>
      </c>
      <c r="S861" s="15"/>
    </row>
    <row r="862">
      <c r="A862" s="10">
        <f t="shared" si="8"/>
        <v>38844.66667</v>
      </c>
      <c r="B862" s="2" t="str">
        <f t="shared" si="2"/>
        <v/>
      </c>
      <c r="C862" s="2" t="str">
        <f t="shared" si="3"/>
        <v>SP500</v>
      </c>
      <c r="D862" s="2" t="str">
        <f t="shared" si="4"/>
        <v/>
      </c>
      <c r="E862" s="2">
        <f t="shared" si="5"/>
        <v>2342.57</v>
      </c>
      <c r="G862" s="10">
        <f t="shared" si="9"/>
        <v>38844.64583</v>
      </c>
      <c r="H862" s="6" t="str">
        <f t="shared" si="6"/>
        <v/>
      </c>
      <c r="I862" s="2">
        <f t="shared" si="7"/>
        <v>1441.02</v>
      </c>
      <c r="M862" s="10">
        <f>IFERROR(__xludf.DUMMYFUNCTION("""COMPUTED_VALUE"""),39231.666666666664)</f>
        <v>39231.66667</v>
      </c>
      <c r="N862" s="2">
        <f>IFERROR(__xludf.DUMMYFUNCTION("""COMPUTED_VALUE"""),2572.06)</f>
        <v>2572.06</v>
      </c>
      <c r="S862" s="15"/>
    </row>
    <row r="863">
      <c r="A863" s="10">
        <f t="shared" si="8"/>
        <v>38845.66667</v>
      </c>
      <c r="B863" s="2" t="str">
        <f t="shared" si="2"/>
        <v/>
      </c>
      <c r="C863" s="2" t="str">
        <f t="shared" si="3"/>
        <v>SP500</v>
      </c>
      <c r="D863" s="2">
        <f t="shared" si="4"/>
        <v>2344.99</v>
      </c>
      <c r="E863" s="2">
        <f t="shared" si="5"/>
        <v>2344.99</v>
      </c>
      <c r="G863" s="10">
        <f t="shared" si="9"/>
        <v>38845.64583</v>
      </c>
      <c r="H863" s="6">
        <f t="shared" si="6"/>
        <v>1452.23</v>
      </c>
      <c r="I863" s="2">
        <f t="shared" si="7"/>
        <v>1452.23</v>
      </c>
      <c r="M863" s="10">
        <f>IFERROR(__xludf.DUMMYFUNCTION("""COMPUTED_VALUE"""),39232.666666666664)</f>
        <v>39232.66667</v>
      </c>
      <c r="N863" s="2">
        <f>IFERROR(__xludf.DUMMYFUNCTION("""COMPUTED_VALUE"""),2592.59)</f>
        <v>2592.59</v>
      </c>
      <c r="S863" s="15"/>
    </row>
    <row r="864">
      <c r="A864" s="10">
        <f t="shared" si="8"/>
        <v>38846.66667</v>
      </c>
      <c r="B864" s="2" t="str">
        <f t="shared" si="2"/>
        <v/>
      </c>
      <c r="C864" s="2" t="str">
        <f t="shared" si="3"/>
        <v>SP500</v>
      </c>
      <c r="D864" s="2">
        <f t="shared" si="4"/>
        <v>2338.25</v>
      </c>
      <c r="E864" s="2">
        <f t="shared" si="5"/>
        <v>2338.25</v>
      </c>
      <c r="G864" s="10">
        <f t="shared" si="9"/>
        <v>38846.64583</v>
      </c>
      <c r="H864" s="6">
        <f t="shared" si="6"/>
        <v>1450.44</v>
      </c>
      <c r="I864" s="2">
        <f t="shared" si="7"/>
        <v>1450.44</v>
      </c>
      <c r="M864" s="10">
        <f>IFERROR(__xludf.DUMMYFUNCTION("""COMPUTED_VALUE"""),39233.666666666664)</f>
        <v>39233.66667</v>
      </c>
      <c r="N864" s="2">
        <f>IFERROR(__xludf.DUMMYFUNCTION("""COMPUTED_VALUE"""),2604.52)</f>
        <v>2604.52</v>
      </c>
      <c r="S864" s="15"/>
    </row>
    <row r="865">
      <c r="A865" s="10">
        <f t="shared" si="8"/>
        <v>38847.66667</v>
      </c>
      <c r="B865" s="2" t="str">
        <f t="shared" si="2"/>
        <v/>
      </c>
      <c r="C865" s="2" t="str">
        <f t="shared" si="3"/>
        <v>SP500</v>
      </c>
      <c r="D865" s="2">
        <f t="shared" si="4"/>
        <v>2320.74</v>
      </c>
      <c r="E865" s="2">
        <f t="shared" si="5"/>
        <v>2320.74</v>
      </c>
      <c r="G865" s="10">
        <f t="shared" si="9"/>
        <v>38847.64583</v>
      </c>
      <c r="H865" s="6">
        <f t="shared" si="6"/>
        <v>1451.09</v>
      </c>
      <c r="I865" s="2">
        <f t="shared" si="7"/>
        <v>1451.09</v>
      </c>
      <c r="M865" s="10">
        <f>IFERROR(__xludf.DUMMYFUNCTION("""COMPUTED_VALUE"""),39234.666666666664)</f>
        <v>39234.66667</v>
      </c>
      <c r="N865" s="2">
        <f>IFERROR(__xludf.DUMMYFUNCTION("""COMPUTED_VALUE"""),2613.92)</f>
        <v>2613.92</v>
      </c>
      <c r="S865" s="15"/>
    </row>
    <row r="866">
      <c r="A866" s="10">
        <f t="shared" si="8"/>
        <v>38848.66667</v>
      </c>
      <c r="B866" s="2" t="str">
        <f t="shared" si="2"/>
        <v/>
      </c>
      <c r="C866" s="2" t="str">
        <f t="shared" si="3"/>
        <v>SP500</v>
      </c>
      <c r="D866" s="2">
        <f t="shared" si="4"/>
        <v>2272.7</v>
      </c>
      <c r="E866" s="2">
        <f t="shared" si="5"/>
        <v>2272.7</v>
      </c>
      <c r="G866" s="10">
        <f t="shared" si="9"/>
        <v>38848.64583</v>
      </c>
      <c r="H866" s="6">
        <f t="shared" si="6"/>
        <v>1464.7</v>
      </c>
      <c r="I866" s="2">
        <f t="shared" si="7"/>
        <v>1464.7</v>
      </c>
      <c r="M866" s="10">
        <f>IFERROR(__xludf.DUMMYFUNCTION("""COMPUTED_VALUE"""),39237.666666666664)</f>
        <v>39237.66667</v>
      </c>
      <c r="N866" s="2">
        <f>IFERROR(__xludf.DUMMYFUNCTION("""COMPUTED_VALUE"""),2618.29)</f>
        <v>2618.29</v>
      </c>
      <c r="S866" s="15"/>
    </row>
    <row r="867">
      <c r="A867" s="10">
        <f t="shared" si="8"/>
        <v>38849.66667</v>
      </c>
      <c r="B867" s="2" t="str">
        <f t="shared" si="2"/>
        <v/>
      </c>
      <c r="C867" s="2" t="str">
        <f t="shared" si="3"/>
        <v>SP500</v>
      </c>
      <c r="D867" s="2">
        <f t="shared" si="4"/>
        <v>2243.78</v>
      </c>
      <c r="E867" s="2">
        <f t="shared" si="5"/>
        <v>2243.78</v>
      </c>
      <c r="G867" s="10">
        <f t="shared" si="9"/>
        <v>38849.64583</v>
      </c>
      <c r="H867" s="6">
        <f t="shared" si="6"/>
        <v>1445.2</v>
      </c>
      <c r="I867" s="2">
        <f t="shared" si="7"/>
        <v>1445.2</v>
      </c>
      <c r="M867" s="10">
        <f>IFERROR(__xludf.DUMMYFUNCTION("""COMPUTED_VALUE"""),39238.666666666664)</f>
        <v>39238.66667</v>
      </c>
      <c r="N867" s="2">
        <f>IFERROR(__xludf.DUMMYFUNCTION("""COMPUTED_VALUE"""),2611.23)</f>
        <v>2611.23</v>
      </c>
      <c r="S867" s="15"/>
    </row>
    <row r="868">
      <c r="A868" s="10">
        <f t="shared" si="8"/>
        <v>38850.66667</v>
      </c>
      <c r="B868" s="2" t="str">
        <f t="shared" si="2"/>
        <v/>
      </c>
      <c r="C868" s="2" t="str">
        <f t="shared" si="3"/>
        <v>SP500</v>
      </c>
      <c r="D868" s="2" t="str">
        <f t="shared" si="4"/>
        <v/>
      </c>
      <c r="E868" s="2">
        <f t="shared" si="5"/>
        <v>2243.78</v>
      </c>
      <c r="G868" s="10">
        <f t="shared" si="9"/>
        <v>38850.64583</v>
      </c>
      <c r="H868" s="6" t="str">
        <f t="shared" si="6"/>
        <v/>
      </c>
      <c r="I868" s="2">
        <f t="shared" si="7"/>
        <v>1445.2</v>
      </c>
      <c r="M868" s="10">
        <f>IFERROR(__xludf.DUMMYFUNCTION("""COMPUTED_VALUE"""),39239.666666666664)</f>
        <v>39239.66667</v>
      </c>
      <c r="N868" s="2">
        <f>IFERROR(__xludf.DUMMYFUNCTION("""COMPUTED_VALUE"""),2587.18)</f>
        <v>2587.18</v>
      </c>
      <c r="S868" s="15"/>
    </row>
    <row r="869">
      <c r="A869" s="10">
        <f t="shared" si="8"/>
        <v>38851.66667</v>
      </c>
      <c r="B869" s="2" t="str">
        <f t="shared" si="2"/>
        <v/>
      </c>
      <c r="C869" s="2" t="str">
        <f t="shared" si="3"/>
        <v>SP500</v>
      </c>
      <c r="D869" s="2" t="str">
        <f t="shared" si="4"/>
        <v/>
      </c>
      <c r="E869" s="2">
        <f t="shared" si="5"/>
        <v>2243.78</v>
      </c>
      <c r="G869" s="10">
        <f t="shared" si="9"/>
        <v>38851.64583</v>
      </c>
      <c r="H869" s="6" t="str">
        <f t="shared" si="6"/>
        <v/>
      </c>
      <c r="I869" s="2">
        <f t="shared" si="7"/>
        <v>1445.2</v>
      </c>
      <c r="M869" s="10">
        <f>IFERROR(__xludf.DUMMYFUNCTION("""COMPUTED_VALUE"""),39240.666666666664)</f>
        <v>39240.66667</v>
      </c>
      <c r="N869" s="2">
        <f>IFERROR(__xludf.DUMMYFUNCTION("""COMPUTED_VALUE"""),2541.38)</f>
        <v>2541.38</v>
      </c>
      <c r="S869" s="15"/>
    </row>
    <row r="870">
      <c r="A870" s="10">
        <f t="shared" si="8"/>
        <v>38852.66667</v>
      </c>
      <c r="B870" s="2" t="str">
        <f t="shared" si="2"/>
        <v/>
      </c>
      <c r="C870" s="2" t="str">
        <f t="shared" si="3"/>
        <v>SP500</v>
      </c>
      <c r="D870" s="2">
        <f t="shared" si="4"/>
        <v>2238.52</v>
      </c>
      <c r="E870" s="2">
        <f t="shared" si="5"/>
        <v>2238.52</v>
      </c>
      <c r="G870" s="10">
        <f t="shared" si="9"/>
        <v>38852.64583</v>
      </c>
      <c r="H870" s="6">
        <f t="shared" si="6"/>
        <v>1413.98</v>
      </c>
      <c r="I870" s="2">
        <f t="shared" si="7"/>
        <v>1413.98</v>
      </c>
      <c r="M870" s="10">
        <f>IFERROR(__xludf.DUMMYFUNCTION("""COMPUTED_VALUE"""),39241.666666666664)</f>
        <v>39241.66667</v>
      </c>
      <c r="N870" s="2">
        <f>IFERROR(__xludf.DUMMYFUNCTION("""COMPUTED_VALUE"""),2573.54)</f>
        <v>2573.54</v>
      </c>
      <c r="S870" s="15"/>
    </row>
    <row r="871">
      <c r="A871" s="10">
        <f t="shared" si="8"/>
        <v>38853.66667</v>
      </c>
      <c r="B871" s="2" t="str">
        <f t="shared" si="2"/>
        <v/>
      </c>
      <c r="C871" s="2" t="str">
        <f t="shared" si="3"/>
        <v>SP500</v>
      </c>
      <c r="D871" s="2">
        <f t="shared" si="4"/>
        <v>2229.13</v>
      </c>
      <c r="E871" s="2">
        <f t="shared" si="5"/>
        <v>2229.13</v>
      </c>
      <c r="G871" s="10">
        <f t="shared" si="9"/>
        <v>38853.64583</v>
      </c>
      <c r="H871" s="6">
        <f t="shared" si="6"/>
        <v>1382.11</v>
      </c>
      <c r="I871" s="2">
        <f t="shared" si="7"/>
        <v>1382.11</v>
      </c>
      <c r="M871" s="10">
        <f>IFERROR(__xludf.DUMMYFUNCTION("""COMPUTED_VALUE"""),39244.666666666664)</f>
        <v>39244.66667</v>
      </c>
      <c r="N871" s="2">
        <f>IFERROR(__xludf.DUMMYFUNCTION("""COMPUTED_VALUE"""),2572.15)</f>
        <v>2572.15</v>
      </c>
      <c r="S871" s="15"/>
    </row>
    <row r="872">
      <c r="A872" s="10">
        <f t="shared" si="8"/>
        <v>38854.66667</v>
      </c>
      <c r="B872" s="2" t="str">
        <f t="shared" si="2"/>
        <v/>
      </c>
      <c r="C872" s="2" t="str">
        <f t="shared" si="3"/>
        <v>SP500</v>
      </c>
      <c r="D872" s="2">
        <f t="shared" si="4"/>
        <v>2195.8</v>
      </c>
      <c r="E872" s="2">
        <f t="shared" si="5"/>
        <v>2195.8</v>
      </c>
      <c r="G872" s="10">
        <f t="shared" si="9"/>
        <v>38854.64583</v>
      </c>
      <c r="H872" s="6">
        <f t="shared" si="6"/>
        <v>1401.47</v>
      </c>
      <c r="I872" s="2">
        <f t="shared" si="7"/>
        <v>1401.47</v>
      </c>
      <c r="M872" s="10">
        <f>IFERROR(__xludf.DUMMYFUNCTION("""COMPUTED_VALUE"""),39245.666666666664)</f>
        <v>39245.66667</v>
      </c>
      <c r="N872" s="2">
        <f>IFERROR(__xludf.DUMMYFUNCTION("""COMPUTED_VALUE"""),2549.77)</f>
        <v>2549.77</v>
      </c>
      <c r="S872" s="15"/>
    </row>
    <row r="873">
      <c r="A873" s="10">
        <f t="shared" si="8"/>
        <v>38855.66667</v>
      </c>
      <c r="B873" s="2" t="str">
        <f t="shared" si="2"/>
        <v/>
      </c>
      <c r="C873" s="2" t="str">
        <f t="shared" si="3"/>
        <v>SP500</v>
      </c>
      <c r="D873" s="2">
        <f t="shared" si="4"/>
        <v>2180.32</v>
      </c>
      <c r="E873" s="2">
        <f t="shared" si="5"/>
        <v>2180.32</v>
      </c>
      <c r="G873" s="10">
        <f t="shared" si="9"/>
        <v>38855.64583</v>
      </c>
      <c r="H873" s="6">
        <f t="shared" si="6"/>
        <v>1365.15</v>
      </c>
      <c r="I873" s="2">
        <f t="shared" si="7"/>
        <v>1365.15</v>
      </c>
      <c r="M873" s="10">
        <f>IFERROR(__xludf.DUMMYFUNCTION("""COMPUTED_VALUE"""),39246.666666666664)</f>
        <v>39246.66667</v>
      </c>
      <c r="N873" s="2">
        <f>IFERROR(__xludf.DUMMYFUNCTION("""COMPUTED_VALUE"""),2582.31)</f>
        <v>2582.31</v>
      </c>
      <c r="S873" s="15"/>
    </row>
    <row r="874">
      <c r="A874" s="10">
        <f t="shared" si="8"/>
        <v>38856.66667</v>
      </c>
      <c r="B874" s="2" t="str">
        <f t="shared" si="2"/>
        <v/>
      </c>
      <c r="C874" s="2" t="str">
        <f t="shared" si="3"/>
        <v>SP500</v>
      </c>
      <c r="D874" s="2">
        <f t="shared" si="4"/>
        <v>2193.88</v>
      </c>
      <c r="E874" s="2">
        <f t="shared" si="5"/>
        <v>2193.88</v>
      </c>
      <c r="G874" s="10">
        <f t="shared" si="9"/>
        <v>38856.64583</v>
      </c>
      <c r="H874" s="6">
        <f t="shared" si="6"/>
        <v>1372.29</v>
      </c>
      <c r="I874" s="2">
        <f t="shared" si="7"/>
        <v>1372.29</v>
      </c>
      <c r="M874" s="10">
        <f>IFERROR(__xludf.DUMMYFUNCTION("""COMPUTED_VALUE"""),39247.666666666664)</f>
        <v>39247.66667</v>
      </c>
      <c r="N874" s="2">
        <f>IFERROR(__xludf.DUMMYFUNCTION("""COMPUTED_VALUE"""),2599.41)</f>
        <v>2599.41</v>
      </c>
      <c r="S874" s="15"/>
    </row>
    <row r="875">
      <c r="A875" s="10">
        <f t="shared" si="8"/>
        <v>38857.66667</v>
      </c>
      <c r="B875" s="2" t="str">
        <f t="shared" si="2"/>
        <v/>
      </c>
      <c r="C875" s="2" t="str">
        <f t="shared" si="3"/>
        <v>SP500</v>
      </c>
      <c r="D875" s="2" t="str">
        <f t="shared" si="4"/>
        <v/>
      </c>
      <c r="E875" s="2">
        <f t="shared" si="5"/>
        <v>2193.88</v>
      </c>
      <c r="G875" s="10">
        <f t="shared" si="9"/>
        <v>38857.64583</v>
      </c>
      <c r="H875" s="6" t="str">
        <f t="shared" si="6"/>
        <v/>
      </c>
      <c r="I875" s="2">
        <f t="shared" si="7"/>
        <v>1372.29</v>
      </c>
      <c r="M875" s="10">
        <f>IFERROR(__xludf.DUMMYFUNCTION("""COMPUTED_VALUE"""),39248.666666666664)</f>
        <v>39248.66667</v>
      </c>
      <c r="N875" s="2">
        <f>IFERROR(__xludf.DUMMYFUNCTION("""COMPUTED_VALUE"""),2626.71)</f>
        <v>2626.71</v>
      </c>
      <c r="S875" s="15"/>
    </row>
    <row r="876">
      <c r="A876" s="10">
        <f t="shared" si="8"/>
        <v>38858.66667</v>
      </c>
      <c r="B876" s="2" t="str">
        <f t="shared" si="2"/>
        <v/>
      </c>
      <c r="C876" s="2" t="str">
        <f t="shared" si="3"/>
        <v>SP500</v>
      </c>
      <c r="D876" s="2" t="str">
        <f t="shared" si="4"/>
        <v/>
      </c>
      <c r="E876" s="2">
        <f t="shared" si="5"/>
        <v>2193.88</v>
      </c>
      <c r="G876" s="10">
        <f t="shared" si="9"/>
        <v>38858.64583</v>
      </c>
      <c r="H876" s="6" t="str">
        <f t="shared" si="6"/>
        <v/>
      </c>
      <c r="I876" s="2">
        <f t="shared" si="7"/>
        <v>1372.29</v>
      </c>
      <c r="M876" s="10">
        <f>IFERROR(__xludf.DUMMYFUNCTION("""COMPUTED_VALUE"""),39251.666666666664)</f>
        <v>39251.66667</v>
      </c>
      <c r="N876" s="2">
        <f>IFERROR(__xludf.DUMMYFUNCTION("""COMPUTED_VALUE"""),2626.6)</f>
        <v>2626.6</v>
      </c>
      <c r="S876" s="15"/>
    </row>
    <row r="877">
      <c r="A877" s="10">
        <f t="shared" si="8"/>
        <v>38859.66667</v>
      </c>
      <c r="B877" s="2" t="str">
        <f t="shared" si="2"/>
        <v/>
      </c>
      <c r="C877" s="2" t="str">
        <f t="shared" si="3"/>
        <v>SP500</v>
      </c>
      <c r="D877" s="2">
        <f t="shared" si="4"/>
        <v>2172.86</v>
      </c>
      <c r="E877" s="2">
        <f t="shared" si="5"/>
        <v>2172.86</v>
      </c>
      <c r="G877" s="10">
        <f t="shared" si="9"/>
        <v>38859.64583</v>
      </c>
      <c r="H877" s="6">
        <f t="shared" si="6"/>
        <v>1338.59</v>
      </c>
      <c r="I877" s="2">
        <f t="shared" si="7"/>
        <v>1338.59</v>
      </c>
      <c r="M877" s="10">
        <f>IFERROR(__xludf.DUMMYFUNCTION("""COMPUTED_VALUE"""),39252.666666666664)</f>
        <v>39252.66667</v>
      </c>
      <c r="N877" s="2">
        <f>IFERROR(__xludf.DUMMYFUNCTION("""COMPUTED_VALUE"""),2626.76)</f>
        <v>2626.76</v>
      </c>
      <c r="S877" s="15"/>
    </row>
    <row r="878">
      <c r="A878" s="10">
        <f t="shared" si="8"/>
        <v>38860.66667</v>
      </c>
      <c r="B878" s="2" t="str">
        <f t="shared" si="2"/>
        <v/>
      </c>
      <c r="C878" s="2" t="str">
        <f t="shared" si="3"/>
        <v>SP500</v>
      </c>
      <c r="D878" s="2">
        <f t="shared" si="4"/>
        <v>2158.76</v>
      </c>
      <c r="E878" s="2">
        <f t="shared" si="5"/>
        <v>2158.76</v>
      </c>
      <c r="G878" s="10">
        <f t="shared" si="9"/>
        <v>38860.64583</v>
      </c>
      <c r="H878" s="6">
        <f t="shared" si="6"/>
        <v>1329.86</v>
      </c>
      <c r="I878" s="2">
        <f t="shared" si="7"/>
        <v>1329.86</v>
      </c>
      <c r="M878" s="10">
        <f>IFERROR(__xludf.DUMMYFUNCTION("""COMPUTED_VALUE"""),39253.666666666664)</f>
        <v>39253.66667</v>
      </c>
      <c r="N878" s="2">
        <f>IFERROR(__xludf.DUMMYFUNCTION("""COMPUTED_VALUE"""),2599.96)</f>
        <v>2599.96</v>
      </c>
      <c r="S878" s="15"/>
    </row>
    <row r="879">
      <c r="A879" s="10">
        <f t="shared" si="8"/>
        <v>38861.66667</v>
      </c>
      <c r="B879" s="2" t="str">
        <f t="shared" si="2"/>
        <v/>
      </c>
      <c r="C879" s="2" t="str">
        <f t="shared" si="3"/>
        <v>SP500</v>
      </c>
      <c r="D879" s="2">
        <f t="shared" si="4"/>
        <v>2169.17</v>
      </c>
      <c r="E879" s="2">
        <f t="shared" si="5"/>
        <v>2169.17</v>
      </c>
      <c r="G879" s="10">
        <f t="shared" si="9"/>
        <v>38861.64583</v>
      </c>
      <c r="H879" s="6">
        <f t="shared" si="6"/>
        <v>1333.38</v>
      </c>
      <c r="I879" s="2">
        <f t="shared" si="7"/>
        <v>1333.38</v>
      </c>
      <c r="M879" s="10">
        <f>IFERROR(__xludf.DUMMYFUNCTION("""COMPUTED_VALUE"""),39254.666666666664)</f>
        <v>39254.66667</v>
      </c>
      <c r="N879" s="2">
        <f>IFERROR(__xludf.DUMMYFUNCTION("""COMPUTED_VALUE"""),2616.96)</f>
        <v>2616.96</v>
      </c>
      <c r="S879" s="15"/>
    </row>
    <row r="880">
      <c r="A880" s="10">
        <f t="shared" si="8"/>
        <v>38862.66667</v>
      </c>
      <c r="B880" s="2" t="str">
        <f t="shared" si="2"/>
        <v/>
      </c>
      <c r="C880" s="2" t="str">
        <f t="shared" si="3"/>
        <v>SP500</v>
      </c>
      <c r="D880" s="2">
        <f t="shared" si="4"/>
        <v>2198.24</v>
      </c>
      <c r="E880" s="2">
        <f t="shared" si="5"/>
        <v>2198.24</v>
      </c>
      <c r="G880" s="10">
        <f t="shared" si="9"/>
        <v>38862.64583</v>
      </c>
      <c r="H880" s="6">
        <f t="shared" si="6"/>
        <v>1295.76</v>
      </c>
      <c r="I880" s="2">
        <f t="shared" si="7"/>
        <v>1295.76</v>
      </c>
      <c r="M880" s="10">
        <f>IFERROR(__xludf.DUMMYFUNCTION("""COMPUTED_VALUE"""),39255.666666666664)</f>
        <v>39255.66667</v>
      </c>
      <c r="N880" s="2">
        <f>IFERROR(__xludf.DUMMYFUNCTION("""COMPUTED_VALUE"""),2588.96)</f>
        <v>2588.96</v>
      </c>
      <c r="S880" s="15"/>
    </row>
    <row r="881">
      <c r="A881" s="10">
        <f t="shared" si="8"/>
        <v>38863.66667</v>
      </c>
      <c r="B881" s="2" t="str">
        <f t="shared" si="2"/>
        <v/>
      </c>
      <c r="C881" s="2" t="str">
        <f t="shared" si="3"/>
        <v>SP500</v>
      </c>
      <c r="D881" s="2">
        <f t="shared" si="4"/>
        <v>2210.37</v>
      </c>
      <c r="E881" s="2">
        <f t="shared" si="5"/>
        <v>2210.37</v>
      </c>
      <c r="G881" s="10">
        <f t="shared" si="9"/>
        <v>38863.64583</v>
      </c>
      <c r="H881" s="6">
        <f t="shared" si="6"/>
        <v>1322.43</v>
      </c>
      <c r="I881" s="2">
        <f t="shared" si="7"/>
        <v>1322.43</v>
      </c>
      <c r="M881" s="10">
        <f>IFERROR(__xludf.DUMMYFUNCTION("""COMPUTED_VALUE"""),39258.666666666664)</f>
        <v>39258.66667</v>
      </c>
      <c r="N881" s="2">
        <f>IFERROR(__xludf.DUMMYFUNCTION("""COMPUTED_VALUE"""),2577.08)</f>
        <v>2577.08</v>
      </c>
      <c r="S881" s="15"/>
    </row>
    <row r="882">
      <c r="A882" s="10">
        <f t="shared" si="8"/>
        <v>38864.66667</v>
      </c>
      <c r="B882" s="2" t="str">
        <f t="shared" si="2"/>
        <v/>
      </c>
      <c r="C882" s="2" t="str">
        <f t="shared" si="3"/>
        <v>SP500</v>
      </c>
      <c r="D882" s="2" t="str">
        <f t="shared" si="4"/>
        <v/>
      </c>
      <c r="E882" s="2">
        <f t="shared" si="5"/>
        <v>2210.37</v>
      </c>
      <c r="G882" s="10">
        <f t="shared" si="9"/>
        <v>38864.64583</v>
      </c>
      <c r="H882" s="6" t="str">
        <f t="shared" si="6"/>
        <v/>
      </c>
      <c r="I882" s="2">
        <f t="shared" si="7"/>
        <v>1322.43</v>
      </c>
      <c r="M882" s="10">
        <f>IFERROR(__xludf.DUMMYFUNCTION("""COMPUTED_VALUE"""),39259.666666666664)</f>
        <v>39259.66667</v>
      </c>
      <c r="N882" s="2">
        <f>IFERROR(__xludf.DUMMYFUNCTION("""COMPUTED_VALUE"""),2574.16)</f>
        <v>2574.16</v>
      </c>
      <c r="S882" s="15"/>
    </row>
    <row r="883">
      <c r="A883" s="10">
        <f t="shared" si="8"/>
        <v>38865.66667</v>
      </c>
      <c r="B883" s="2" t="str">
        <f t="shared" si="2"/>
        <v/>
      </c>
      <c r="C883" s="2" t="str">
        <f t="shared" si="3"/>
        <v>SP500</v>
      </c>
      <c r="D883" s="2" t="str">
        <f t="shared" si="4"/>
        <v/>
      </c>
      <c r="E883" s="2">
        <f t="shared" si="5"/>
        <v>2210.37</v>
      </c>
      <c r="G883" s="10">
        <f t="shared" si="9"/>
        <v>38865.64583</v>
      </c>
      <c r="H883" s="6" t="str">
        <f t="shared" si="6"/>
        <v/>
      </c>
      <c r="I883" s="2">
        <f t="shared" si="7"/>
        <v>1322.43</v>
      </c>
      <c r="M883" s="10">
        <f>IFERROR(__xludf.DUMMYFUNCTION("""COMPUTED_VALUE"""),39260.666666666664)</f>
        <v>39260.66667</v>
      </c>
      <c r="N883" s="2">
        <f>IFERROR(__xludf.DUMMYFUNCTION("""COMPUTED_VALUE"""),2605.35)</f>
        <v>2605.35</v>
      </c>
      <c r="S883" s="15"/>
    </row>
    <row r="884">
      <c r="A884" s="10">
        <f t="shared" si="8"/>
        <v>38866.66667</v>
      </c>
      <c r="B884" s="2" t="str">
        <f t="shared" si="2"/>
        <v/>
      </c>
      <c r="C884" s="2" t="str">
        <f t="shared" si="3"/>
        <v>SP500</v>
      </c>
      <c r="D884" s="2" t="str">
        <f t="shared" si="4"/>
        <v/>
      </c>
      <c r="E884" s="2">
        <f t="shared" si="5"/>
        <v>2210.37</v>
      </c>
      <c r="G884" s="10">
        <f t="shared" si="9"/>
        <v>38866.64583</v>
      </c>
      <c r="H884" s="6">
        <f t="shared" si="6"/>
        <v>1329.22</v>
      </c>
      <c r="I884" s="2">
        <f t="shared" si="7"/>
        <v>1329.22</v>
      </c>
      <c r="M884" s="10">
        <f>IFERROR(__xludf.DUMMYFUNCTION("""COMPUTED_VALUE"""),39261.666666666664)</f>
        <v>39261.66667</v>
      </c>
      <c r="N884" s="2">
        <f>IFERROR(__xludf.DUMMYFUNCTION("""COMPUTED_VALUE"""),2608.37)</f>
        <v>2608.37</v>
      </c>
      <c r="S884" s="15"/>
    </row>
    <row r="885">
      <c r="A885" s="10">
        <f t="shared" si="8"/>
        <v>38867.66667</v>
      </c>
      <c r="B885" s="2" t="str">
        <f t="shared" si="2"/>
        <v/>
      </c>
      <c r="C885" s="2" t="str">
        <f t="shared" si="3"/>
        <v>SP500</v>
      </c>
      <c r="D885" s="2">
        <f t="shared" si="4"/>
        <v>2164.74</v>
      </c>
      <c r="E885" s="2">
        <f t="shared" si="5"/>
        <v>2164.74</v>
      </c>
      <c r="G885" s="10">
        <f t="shared" si="9"/>
        <v>38867.64583</v>
      </c>
      <c r="H885" s="6">
        <f t="shared" si="6"/>
        <v>1317.7</v>
      </c>
      <c r="I885" s="2">
        <f t="shared" si="7"/>
        <v>1317.7</v>
      </c>
      <c r="M885" s="10">
        <f>IFERROR(__xludf.DUMMYFUNCTION("""COMPUTED_VALUE"""),39262.666666666664)</f>
        <v>39262.66667</v>
      </c>
      <c r="N885" s="2">
        <f>IFERROR(__xludf.DUMMYFUNCTION("""COMPUTED_VALUE"""),2603.23)</f>
        <v>2603.23</v>
      </c>
      <c r="S885" s="15"/>
    </row>
    <row r="886">
      <c r="A886" s="10">
        <f t="shared" si="8"/>
        <v>38868.66667</v>
      </c>
      <c r="B886" s="2" t="str">
        <f t="shared" si="2"/>
        <v/>
      </c>
      <c r="C886" s="2" t="str">
        <f t="shared" si="3"/>
        <v>SP500</v>
      </c>
      <c r="D886" s="2">
        <f t="shared" si="4"/>
        <v>2178.88</v>
      </c>
      <c r="E886" s="2">
        <f t="shared" si="5"/>
        <v>2178.88</v>
      </c>
      <c r="G886" s="10">
        <f t="shared" si="9"/>
        <v>38868.64583</v>
      </c>
      <c r="H886" s="6" t="str">
        <f t="shared" si="6"/>
        <v/>
      </c>
      <c r="I886" s="2">
        <f t="shared" si="7"/>
        <v>1317.7</v>
      </c>
      <c r="M886" s="10">
        <f>IFERROR(__xludf.DUMMYFUNCTION("""COMPUTED_VALUE"""),39265.666666666664)</f>
        <v>39265.66667</v>
      </c>
      <c r="N886" s="2">
        <f>IFERROR(__xludf.DUMMYFUNCTION("""COMPUTED_VALUE"""),2632.3)</f>
        <v>2632.3</v>
      </c>
      <c r="S886" s="15"/>
    </row>
    <row r="887">
      <c r="A887" s="10">
        <f t="shared" si="8"/>
        <v>38869.66667</v>
      </c>
      <c r="B887" s="2" t="str">
        <f t="shared" si="2"/>
        <v/>
      </c>
      <c r="C887" s="2" t="str">
        <f t="shared" si="3"/>
        <v>SP500</v>
      </c>
      <c r="D887" s="2">
        <f t="shared" si="4"/>
        <v>2219.86</v>
      </c>
      <c r="E887" s="2">
        <f t="shared" si="5"/>
        <v>2219.86</v>
      </c>
      <c r="G887" s="10">
        <f t="shared" si="9"/>
        <v>38869.64583</v>
      </c>
      <c r="H887" s="6">
        <f t="shared" si="6"/>
        <v>1295.09</v>
      </c>
      <c r="I887" s="2">
        <f t="shared" si="7"/>
        <v>1295.09</v>
      </c>
      <c r="M887" s="10">
        <f>IFERROR(__xludf.DUMMYFUNCTION("""COMPUTED_VALUE"""),39266.666666666664)</f>
        <v>39266.66667</v>
      </c>
      <c r="N887" s="2">
        <f>IFERROR(__xludf.DUMMYFUNCTION("""COMPUTED_VALUE"""),2644.95)</f>
        <v>2644.95</v>
      </c>
      <c r="S887" s="15"/>
    </row>
    <row r="888">
      <c r="A888" s="10">
        <f t="shared" si="8"/>
        <v>38870.66667</v>
      </c>
      <c r="B888" s="2" t="str">
        <f t="shared" si="2"/>
        <v/>
      </c>
      <c r="C888" s="2" t="str">
        <f t="shared" si="3"/>
        <v>SP500</v>
      </c>
      <c r="D888" s="2">
        <f t="shared" si="4"/>
        <v>2219.41</v>
      </c>
      <c r="E888" s="2">
        <f t="shared" si="5"/>
        <v>2219.41</v>
      </c>
      <c r="G888" s="10">
        <f t="shared" si="9"/>
        <v>38870.64583</v>
      </c>
      <c r="H888" s="6">
        <f t="shared" si="6"/>
        <v>1309.04</v>
      </c>
      <c r="I888" s="2">
        <f t="shared" si="7"/>
        <v>1309.04</v>
      </c>
      <c r="M888" s="10">
        <f>IFERROR(__xludf.DUMMYFUNCTION("""COMPUTED_VALUE"""),39268.666666666664)</f>
        <v>39268.66667</v>
      </c>
      <c r="N888" s="2">
        <f>IFERROR(__xludf.DUMMYFUNCTION("""COMPUTED_VALUE"""),2656.65)</f>
        <v>2656.65</v>
      </c>
      <c r="S888" s="15"/>
    </row>
    <row r="889">
      <c r="A889" s="10">
        <f t="shared" si="8"/>
        <v>38871.66667</v>
      </c>
      <c r="B889" s="2" t="str">
        <f t="shared" si="2"/>
        <v/>
      </c>
      <c r="C889" s="2" t="str">
        <f t="shared" si="3"/>
        <v>SP500</v>
      </c>
      <c r="D889" s="2" t="str">
        <f t="shared" si="4"/>
        <v/>
      </c>
      <c r="E889" s="2">
        <f t="shared" si="5"/>
        <v>2219.41</v>
      </c>
      <c r="G889" s="10">
        <f t="shared" si="9"/>
        <v>38871.64583</v>
      </c>
      <c r="H889" s="6" t="str">
        <f t="shared" si="6"/>
        <v/>
      </c>
      <c r="I889" s="2">
        <f t="shared" si="7"/>
        <v>1309.04</v>
      </c>
      <c r="M889" s="10">
        <f>IFERROR(__xludf.DUMMYFUNCTION("""COMPUTED_VALUE"""),39269.666666666664)</f>
        <v>39269.66667</v>
      </c>
      <c r="N889" s="2">
        <f>IFERROR(__xludf.DUMMYFUNCTION("""COMPUTED_VALUE"""),2666.51)</f>
        <v>2666.51</v>
      </c>
      <c r="S889" s="15"/>
    </row>
    <row r="890">
      <c r="A890" s="10">
        <f t="shared" si="8"/>
        <v>38872.66667</v>
      </c>
      <c r="B890" s="2" t="str">
        <f t="shared" si="2"/>
        <v/>
      </c>
      <c r="C890" s="2" t="str">
        <f t="shared" si="3"/>
        <v>SP500</v>
      </c>
      <c r="D890" s="2" t="str">
        <f t="shared" si="4"/>
        <v/>
      </c>
      <c r="E890" s="2">
        <f t="shared" si="5"/>
        <v>2219.41</v>
      </c>
      <c r="G890" s="10">
        <f t="shared" si="9"/>
        <v>38872.64583</v>
      </c>
      <c r="H890" s="6" t="str">
        <f t="shared" si="6"/>
        <v/>
      </c>
      <c r="I890" s="2">
        <f t="shared" si="7"/>
        <v>1309.04</v>
      </c>
      <c r="M890" s="10">
        <f>IFERROR(__xludf.DUMMYFUNCTION("""COMPUTED_VALUE"""),39272.666666666664)</f>
        <v>39272.66667</v>
      </c>
      <c r="N890" s="2">
        <f>IFERROR(__xludf.DUMMYFUNCTION("""COMPUTED_VALUE"""),2670.02)</f>
        <v>2670.02</v>
      </c>
      <c r="S890" s="15"/>
    </row>
    <row r="891">
      <c r="A891" s="10">
        <f t="shared" si="8"/>
        <v>38873.66667</v>
      </c>
      <c r="B891" s="2" t="str">
        <f t="shared" si="2"/>
        <v/>
      </c>
      <c r="C891" s="2" t="str">
        <f t="shared" si="3"/>
        <v>SP500</v>
      </c>
      <c r="D891" s="2">
        <f t="shared" si="4"/>
        <v>2169.62</v>
      </c>
      <c r="E891" s="2">
        <f t="shared" si="5"/>
        <v>2169.62</v>
      </c>
      <c r="G891" s="10">
        <f t="shared" si="9"/>
        <v>38873.64583</v>
      </c>
      <c r="H891" s="6">
        <f t="shared" si="6"/>
        <v>1301.62</v>
      </c>
      <c r="I891" s="2">
        <f t="shared" si="7"/>
        <v>1301.62</v>
      </c>
      <c r="M891" s="10">
        <f>IFERROR(__xludf.DUMMYFUNCTION("""COMPUTED_VALUE"""),39273.666666666664)</f>
        <v>39273.66667</v>
      </c>
      <c r="N891" s="2">
        <f>IFERROR(__xludf.DUMMYFUNCTION("""COMPUTED_VALUE"""),2639.16)</f>
        <v>2639.16</v>
      </c>
      <c r="S891" s="15"/>
    </row>
    <row r="892">
      <c r="A892" s="10">
        <f t="shared" si="8"/>
        <v>38874.66667</v>
      </c>
      <c r="B892" s="2" t="str">
        <f t="shared" si="2"/>
        <v/>
      </c>
      <c r="C892" s="2" t="str">
        <f t="shared" si="3"/>
        <v>SP500</v>
      </c>
      <c r="D892" s="2">
        <f t="shared" si="4"/>
        <v>2162.78</v>
      </c>
      <c r="E892" s="2">
        <f t="shared" si="5"/>
        <v>2162.78</v>
      </c>
      <c r="G892" s="10">
        <f t="shared" si="9"/>
        <v>38874.64583</v>
      </c>
      <c r="H892" s="6" t="str">
        <f t="shared" si="6"/>
        <v/>
      </c>
      <c r="I892" s="2">
        <f t="shared" si="7"/>
        <v>1301.62</v>
      </c>
      <c r="M892" s="10">
        <f>IFERROR(__xludf.DUMMYFUNCTION("""COMPUTED_VALUE"""),39274.666666666664)</f>
        <v>39274.66667</v>
      </c>
      <c r="N892" s="2">
        <f>IFERROR(__xludf.DUMMYFUNCTION("""COMPUTED_VALUE"""),2651.79)</f>
        <v>2651.79</v>
      </c>
      <c r="S892" s="15"/>
    </row>
    <row r="893">
      <c r="A893" s="10">
        <f t="shared" si="8"/>
        <v>38875.66667</v>
      </c>
      <c r="B893" s="2" t="str">
        <f t="shared" si="2"/>
        <v/>
      </c>
      <c r="C893" s="2" t="str">
        <f t="shared" si="3"/>
        <v>SP500</v>
      </c>
      <c r="D893" s="2">
        <f t="shared" si="4"/>
        <v>2151.8</v>
      </c>
      <c r="E893" s="2">
        <f t="shared" si="5"/>
        <v>2151.8</v>
      </c>
      <c r="G893" s="10">
        <f t="shared" si="9"/>
        <v>38875.64583</v>
      </c>
      <c r="H893" s="6">
        <f t="shared" si="6"/>
        <v>1266.84</v>
      </c>
      <c r="I893" s="2">
        <f t="shared" si="7"/>
        <v>1266.84</v>
      </c>
      <c r="M893" s="10">
        <f>IFERROR(__xludf.DUMMYFUNCTION("""COMPUTED_VALUE"""),39275.666666666664)</f>
        <v>39275.66667</v>
      </c>
      <c r="N893" s="2">
        <f>IFERROR(__xludf.DUMMYFUNCTION("""COMPUTED_VALUE"""),2701.73)</f>
        <v>2701.73</v>
      </c>
      <c r="S893" s="15"/>
    </row>
    <row r="894">
      <c r="A894" s="10">
        <f t="shared" si="8"/>
        <v>38876.66667</v>
      </c>
      <c r="B894" s="2" t="str">
        <f t="shared" si="2"/>
        <v/>
      </c>
      <c r="C894" s="2" t="str">
        <f t="shared" si="3"/>
        <v>SP500</v>
      </c>
      <c r="D894" s="2">
        <f t="shared" si="4"/>
        <v>2145.32</v>
      </c>
      <c r="E894" s="2">
        <f t="shared" si="5"/>
        <v>2145.32</v>
      </c>
      <c r="G894" s="10">
        <f t="shared" si="9"/>
        <v>38876.64583</v>
      </c>
      <c r="H894" s="6">
        <f t="shared" si="6"/>
        <v>1223.13</v>
      </c>
      <c r="I894" s="2">
        <f t="shared" si="7"/>
        <v>1223.13</v>
      </c>
      <c r="M894" s="10">
        <f>IFERROR(__xludf.DUMMYFUNCTION("""COMPUTED_VALUE"""),39276.666666666664)</f>
        <v>39276.66667</v>
      </c>
      <c r="N894" s="2">
        <f>IFERROR(__xludf.DUMMYFUNCTION("""COMPUTED_VALUE"""),2707.0)</f>
        <v>2707</v>
      </c>
      <c r="S894" s="15"/>
    </row>
    <row r="895">
      <c r="A895" s="10">
        <f t="shared" si="8"/>
        <v>38877.66667</v>
      </c>
      <c r="B895" s="2" t="str">
        <f t="shared" si="2"/>
        <v/>
      </c>
      <c r="C895" s="2" t="str">
        <f t="shared" si="3"/>
        <v>SP500</v>
      </c>
      <c r="D895" s="2">
        <f t="shared" si="4"/>
        <v>2135.06</v>
      </c>
      <c r="E895" s="2">
        <f t="shared" si="5"/>
        <v>2135.06</v>
      </c>
      <c r="G895" s="10">
        <f t="shared" si="9"/>
        <v>38877.64583</v>
      </c>
      <c r="H895" s="6">
        <f t="shared" si="6"/>
        <v>1235.65</v>
      </c>
      <c r="I895" s="2">
        <f t="shared" si="7"/>
        <v>1235.65</v>
      </c>
      <c r="M895" s="10">
        <f>IFERROR(__xludf.DUMMYFUNCTION("""COMPUTED_VALUE"""),39279.666666666664)</f>
        <v>39279.66667</v>
      </c>
      <c r="N895" s="2">
        <f>IFERROR(__xludf.DUMMYFUNCTION("""COMPUTED_VALUE"""),2697.33)</f>
        <v>2697.33</v>
      </c>
      <c r="S895" s="15"/>
    </row>
    <row r="896">
      <c r="A896" s="10">
        <f t="shared" si="8"/>
        <v>38878.66667</v>
      </c>
      <c r="B896" s="2" t="str">
        <f t="shared" si="2"/>
        <v/>
      </c>
      <c r="C896" s="2" t="str">
        <f t="shared" si="3"/>
        <v>SP500</v>
      </c>
      <c r="D896" s="2" t="str">
        <f t="shared" si="4"/>
        <v/>
      </c>
      <c r="E896" s="2">
        <f t="shared" si="5"/>
        <v>2135.06</v>
      </c>
      <c r="G896" s="10">
        <f t="shared" si="9"/>
        <v>38878.64583</v>
      </c>
      <c r="H896" s="6" t="str">
        <f t="shared" si="6"/>
        <v/>
      </c>
      <c r="I896" s="2">
        <f t="shared" si="7"/>
        <v>1235.65</v>
      </c>
      <c r="M896" s="10">
        <f>IFERROR(__xludf.DUMMYFUNCTION("""COMPUTED_VALUE"""),39280.666666666664)</f>
        <v>39280.66667</v>
      </c>
      <c r="N896" s="2">
        <f>IFERROR(__xludf.DUMMYFUNCTION("""COMPUTED_VALUE"""),2712.29)</f>
        <v>2712.29</v>
      </c>
      <c r="S896" s="15"/>
    </row>
    <row r="897">
      <c r="A897" s="10">
        <f t="shared" si="8"/>
        <v>38879.66667</v>
      </c>
      <c r="B897" s="2" t="str">
        <f t="shared" si="2"/>
        <v/>
      </c>
      <c r="C897" s="2" t="str">
        <f t="shared" si="3"/>
        <v>SP500</v>
      </c>
      <c r="D897" s="2" t="str">
        <f t="shared" si="4"/>
        <v/>
      </c>
      <c r="E897" s="2">
        <f t="shared" si="5"/>
        <v>2135.06</v>
      </c>
      <c r="G897" s="10">
        <f t="shared" si="9"/>
        <v>38879.64583</v>
      </c>
      <c r="H897" s="6" t="str">
        <f t="shared" si="6"/>
        <v/>
      </c>
      <c r="I897" s="2">
        <f t="shared" si="7"/>
        <v>1235.65</v>
      </c>
      <c r="M897" s="10">
        <f>IFERROR(__xludf.DUMMYFUNCTION("""COMPUTED_VALUE"""),39281.666666666664)</f>
        <v>39281.66667</v>
      </c>
      <c r="N897" s="2">
        <f>IFERROR(__xludf.DUMMYFUNCTION("""COMPUTED_VALUE"""),2699.49)</f>
        <v>2699.49</v>
      </c>
      <c r="S897" s="15"/>
    </row>
    <row r="898">
      <c r="A898" s="10">
        <f t="shared" si="8"/>
        <v>38880.66667</v>
      </c>
      <c r="B898" s="2" t="str">
        <f t="shared" si="2"/>
        <v/>
      </c>
      <c r="C898" s="2" t="str">
        <f t="shared" si="3"/>
        <v>SP500</v>
      </c>
      <c r="D898" s="2">
        <f t="shared" si="4"/>
        <v>2091.32</v>
      </c>
      <c r="E898" s="2">
        <f t="shared" si="5"/>
        <v>2091.32</v>
      </c>
      <c r="G898" s="10">
        <f t="shared" si="9"/>
        <v>38880.64583</v>
      </c>
      <c r="H898" s="6">
        <f t="shared" si="6"/>
        <v>1239.84</v>
      </c>
      <c r="I898" s="2">
        <f t="shared" si="7"/>
        <v>1239.84</v>
      </c>
      <c r="M898" s="10">
        <f>IFERROR(__xludf.DUMMYFUNCTION("""COMPUTED_VALUE"""),39282.666666666664)</f>
        <v>39282.66667</v>
      </c>
      <c r="N898" s="2">
        <f>IFERROR(__xludf.DUMMYFUNCTION("""COMPUTED_VALUE"""),2720.04)</f>
        <v>2720.04</v>
      </c>
      <c r="S898" s="15"/>
    </row>
    <row r="899">
      <c r="A899" s="10">
        <f t="shared" si="8"/>
        <v>38881.66667</v>
      </c>
      <c r="B899" s="2" t="str">
        <f t="shared" si="2"/>
        <v/>
      </c>
      <c r="C899" s="2" t="str">
        <f t="shared" si="3"/>
        <v>SP500</v>
      </c>
      <c r="D899" s="2">
        <f t="shared" si="4"/>
        <v>2072.47</v>
      </c>
      <c r="E899" s="2">
        <f t="shared" si="5"/>
        <v>2072.47</v>
      </c>
      <c r="G899" s="10">
        <f t="shared" si="9"/>
        <v>38881.64583</v>
      </c>
      <c r="H899" s="6">
        <f t="shared" si="6"/>
        <v>1203.86</v>
      </c>
      <c r="I899" s="2">
        <f t="shared" si="7"/>
        <v>1203.86</v>
      </c>
      <c r="M899" s="10">
        <f>IFERROR(__xludf.DUMMYFUNCTION("""COMPUTED_VALUE"""),39283.666666666664)</f>
        <v>39283.66667</v>
      </c>
      <c r="N899" s="2">
        <f>IFERROR(__xludf.DUMMYFUNCTION("""COMPUTED_VALUE"""),2687.6)</f>
        <v>2687.6</v>
      </c>
      <c r="S899" s="15"/>
    </row>
    <row r="900">
      <c r="A900" s="10">
        <f t="shared" si="8"/>
        <v>38882.66667</v>
      </c>
      <c r="B900" s="2" t="str">
        <f t="shared" si="2"/>
        <v/>
      </c>
      <c r="C900" s="2" t="str">
        <f t="shared" si="3"/>
        <v>SP500</v>
      </c>
      <c r="D900" s="2">
        <f t="shared" si="4"/>
        <v>2086</v>
      </c>
      <c r="E900" s="2">
        <f t="shared" si="5"/>
        <v>2086</v>
      </c>
      <c r="G900" s="10">
        <f t="shared" si="9"/>
        <v>38882.64583</v>
      </c>
      <c r="H900" s="6">
        <f t="shared" si="6"/>
        <v>1221.73</v>
      </c>
      <c r="I900" s="2">
        <f t="shared" si="7"/>
        <v>1221.73</v>
      </c>
      <c r="M900" s="10">
        <f>IFERROR(__xludf.DUMMYFUNCTION("""COMPUTED_VALUE"""),39286.666666666664)</f>
        <v>39286.66667</v>
      </c>
      <c r="N900" s="2">
        <f>IFERROR(__xludf.DUMMYFUNCTION("""COMPUTED_VALUE"""),2690.58)</f>
        <v>2690.58</v>
      </c>
      <c r="S900" s="15"/>
    </row>
    <row r="901">
      <c r="A901" s="10">
        <f t="shared" si="8"/>
        <v>38883.66667</v>
      </c>
      <c r="B901" s="2" t="str">
        <f t="shared" si="2"/>
        <v/>
      </c>
      <c r="C901" s="2" t="str">
        <f t="shared" si="3"/>
        <v>SP500</v>
      </c>
      <c r="D901" s="2">
        <f t="shared" si="4"/>
        <v>2144.15</v>
      </c>
      <c r="E901" s="2">
        <f t="shared" si="5"/>
        <v>2144.15</v>
      </c>
      <c r="G901" s="10">
        <f t="shared" si="9"/>
        <v>38883.64583</v>
      </c>
      <c r="H901" s="6">
        <f t="shared" si="6"/>
        <v>1219.4</v>
      </c>
      <c r="I901" s="2">
        <f t="shared" si="7"/>
        <v>1219.4</v>
      </c>
      <c r="M901" s="10">
        <f>IFERROR(__xludf.DUMMYFUNCTION("""COMPUTED_VALUE"""),39287.666666666664)</f>
        <v>39287.66667</v>
      </c>
      <c r="N901" s="2">
        <f>IFERROR(__xludf.DUMMYFUNCTION("""COMPUTED_VALUE"""),2639.86)</f>
        <v>2639.86</v>
      </c>
      <c r="S901" s="15"/>
    </row>
    <row r="902">
      <c r="A902" s="10">
        <f t="shared" si="8"/>
        <v>38884.66667</v>
      </c>
      <c r="B902" s="2" t="str">
        <f t="shared" si="2"/>
        <v/>
      </c>
      <c r="C902" s="2" t="str">
        <f t="shared" si="3"/>
        <v>SP500</v>
      </c>
      <c r="D902" s="2">
        <f t="shared" si="4"/>
        <v>2129.95</v>
      </c>
      <c r="E902" s="2">
        <f t="shared" si="5"/>
        <v>2129.95</v>
      </c>
      <c r="G902" s="10">
        <f t="shared" si="9"/>
        <v>38884.64583</v>
      </c>
      <c r="H902" s="6">
        <f t="shared" si="6"/>
        <v>1262.19</v>
      </c>
      <c r="I902" s="2">
        <f t="shared" si="7"/>
        <v>1262.19</v>
      </c>
      <c r="M902" s="10">
        <f>IFERROR(__xludf.DUMMYFUNCTION("""COMPUTED_VALUE"""),39288.666666666664)</f>
        <v>39288.66667</v>
      </c>
      <c r="N902" s="2">
        <f>IFERROR(__xludf.DUMMYFUNCTION("""COMPUTED_VALUE"""),2648.17)</f>
        <v>2648.17</v>
      </c>
      <c r="S902" s="15"/>
    </row>
    <row r="903">
      <c r="A903" s="10">
        <f t="shared" si="8"/>
        <v>38885.66667</v>
      </c>
      <c r="B903" s="2" t="str">
        <f t="shared" si="2"/>
        <v/>
      </c>
      <c r="C903" s="2" t="str">
        <f t="shared" si="3"/>
        <v>SP500</v>
      </c>
      <c r="D903" s="2" t="str">
        <f t="shared" si="4"/>
        <v/>
      </c>
      <c r="E903" s="2">
        <f t="shared" si="5"/>
        <v>2129.95</v>
      </c>
      <c r="G903" s="10">
        <f t="shared" si="9"/>
        <v>38885.64583</v>
      </c>
      <c r="H903" s="6" t="str">
        <f t="shared" si="6"/>
        <v/>
      </c>
      <c r="I903" s="2">
        <f t="shared" si="7"/>
        <v>1262.19</v>
      </c>
      <c r="M903" s="10">
        <f>IFERROR(__xludf.DUMMYFUNCTION("""COMPUTED_VALUE"""),39289.666666666664)</f>
        <v>39289.66667</v>
      </c>
      <c r="N903" s="2">
        <f>IFERROR(__xludf.DUMMYFUNCTION("""COMPUTED_VALUE"""),2599.34)</f>
        <v>2599.34</v>
      </c>
      <c r="S903" s="15"/>
    </row>
    <row r="904">
      <c r="A904" s="10">
        <f t="shared" si="8"/>
        <v>38886.66667</v>
      </c>
      <c r="B904" s="2" t="str">
        <f t="shared" si="2"/>
        <v/>
      </c>
      <c r="C904" s="2" t="str">
        <f t="shared" si="3"/>
        <v>SP500</v>
      </c>
      <c r="D904" s="2" t="str">
        <f t="shared" si="4"/>
        <v/>
      </c>
      <c r="E904" s="2">
        <f t="shared" si="5"/>
        <v>2129.95</v>
      </c>
      <c r="G904" s="10">
        <f t="shared" si="9"/>
        <v>38886.64583</v>
      </c>
      <c r="H904" s="6" t="str">
        <f t="shared" si="6"/>
        <v/>
      </c>
      <c r="I904" s="2">
        <f t="shared" si="7"/>
        <v>1262.19</v>
      </c>
      <c r="M904" s="10">
        <f>IFERROR(__xludf.DUMMYFUNCTION("""COMPUTED_VALUE"""),39290.666666666664)</f>
        <v>39290.66667</v>
      </c>
      <c r="N904" s="2">
        <f>IFERROR(__xludf.DUMMYFUNCTION("""COMPUTED_VALUE"""),2562.24)</f>
        <v>2562.24</v>
      </c>
      <c r="S904" s="15"/>
    </row>
    <row r="905">
      <c r="A905" s="10">
        <f t="shared" si="8"/>
        <v>38887.66667</v>
      </c>
      <c r="B905" s="2" t="str">
        <f t="shared" si="2"/>
        <v/>
      </c>
      <c r="C905" s="2" t="str">
        <f t="shared" si="3"/>
        <v>SP500</v>
      </c>
      <c r="D905" s="2">
        <f t="shared" si="4"/>
        <v>2110.42</v>
      </c>
      <c r="E905" s="2">
        <f t="shared" si="5"/>
        <v>2110.42</v>
      </c>
      <c r="G905" s="10">
        <f t="shared" si="9"/>
        <v>38887.64583</v>
      </c>
      <c r="H905" s="6">
        <f t="shared" si="6"/>
        <v>1251.67</v>
      </c>
      <c r="I905" s="2">
        <f t="shared" si="7"/>
        <v>1251.67</v>
      </c>
      <c r="M905" s="10">
        <f>IFERROR(__xludf.DUMMYFUNCTION("""COMPUTED_VALUE"""),39293.666666666664)</f>
        <v>39293.66667</v>
      </c>
      <c r="N905" s="2">
        <f>IFERROR(__xludf.DUMMYFUNCTION("""COMPUTED_VALUE"""),2583.28)</f>
        <v>2583.28</v>
      </c>
      <c r="S905" s="15"/>
    </row>
    <row r="906">
      <c r="A906" s="10">
        <f t="shared" si="8"/>
        <v>38888.66667</v>
      </c>
      <c r="B906" s="2" t="str">
        <f t="shared" si="2"/>
        <v/>
      </c>
      <c r="C906" s="2" t="str">
        <f t="shared" si="3"/>
        <v>SP500</v>
      </c>
      <c r="D906" s="2">
        <f t="shared" si="4"/>
        <v>2107.06</v>
      </c>
      <c r="E906" s="2">
        <f t="shared" si="5"/>
        <v>2107.06</v>
      </c>
      <c r="G906" s="10">
        <f t="shared" si="9"/>
        <v>38888.64583</v>
      </c>
      <c r="H906" s="6">
        <f t="shared" si="6"/>
        <v>1225.83</v>
      </c>
      <c r="I906" s="2">
        <f t="shared" si="7"/>
        <v>1225.83</v>
      </c>
      <c r="M906" s="10">
        <f>IFERROR(__xludf.DUMMYFUNCTION("""COMPUTED_VALUE"""),39294.666666666664)</f>
        <v>39294.66667</v>
      </c>
      <c r="N906" s="2">
        <f>IFERROR(__xludf.DUMMYFUNCTION("""COMPUTED_VALUE"""),2546.27)</f>
        <v>2546.27</v>
      </c>
      <c r="S906" s="15"/>
    </row>
    <row r="907">
      <c r="A907" s="10">
        <f t="shared" si="8"/>
        <v>38889.66667</v>
      </c>
      <c r="B907" s="2" t="str">
        <f t="shared" si="2"/>
        <v/>
      </c>
      <c r="C907" s="2" t="str">
        <f t="shared" si="3"/>
        <v>SP500</v>
      </c>
      <c r="D907" s="2">
        <f t="shared" si="4"/>
        <v>2141.2</v>
      </c>
      <c r="E907" s="2">
        <f t="shared" si="5"/>
        <v>2141.2</v>
      </c>
      <c r="G907" s="10">
        <f t="shared" si="9"/>
        <v>38889.64583</v>
      </c>
      <c r="H907" s="6">
        <f t="shared" si="6"/>
        <v>1227.19</v>
      </c>
      <c r="I907" s="2">
        <f t="shared" si="7"/>
        <v>1227.19</v>
      </c>
      <c r="M907" s="10">
        <f>IFERROR(__xludf.DUMMYFUNCTION("""COMPUTED_VALUE"""),39295.666666666664)</f>
        <v>39295.66667</v>
      </c>
      <c r="N907" s="2">
        <f>IFERROR(__xludf.DUMMYFUNCTION("""COMPUTED_VALUE"""),2553.87)</f>
        <v>2553.87</v>
      </c>
      <c r="S907" s="15"/>
    </row>
    <row r="908">
      <c r="A908" s="10">
        <f t="shared" si="8"/>
        <v>38890.66667</v>
      </c>
      <c r="B908" s="2" t="str">
        <f t="shared" si="2"/>
        <v/>
      </c>
      <c r="C908" s="2" t="str">
        <f t="shared" si="3"/>
        <v>SP500</v>
      </c>
      <c r="D908" s="2">
        <f t="shared" si="4"/>
        <v>2122.98</v>
      </c>
      <c r="E908" s="2">
        <f t="shared" si="5"/>
        <v>2122.98</v>
      </c>
      <c r="G908" s="10">
        <f t="shared" si="9"/>
        <v>38890.64583</v>
      </c>
      <c r="H908" s="6">
        <f t="shared" si="6"/>
        <v>1238.83</v>
      </c>
      <c r="I908" s="2">
        <f t="shared" si="7"/>
        <v>1238.83</v>
      </c>
      <c r="M908" s="10">
        <f>IFERROR(__xludf.DUMMYFUNCTION("""COMPUTED_VALUE"""),39296.666666666664)</f>
        <v>39296.66667</v>
      </c>
      <c r="N908" s="2">
        <f>IFERROR(__xludf.DUMMYFUNCTION("""COMPUTED_VALUE"""),2575.98)</f>
        <v>2575.98</v>
      </c>
      <c r="S908" s="15"/>
    </row>
    <row r="909">
      <c r="A909" s="10">
        <f t="shared" si="8"/>
        <v>38891.66667</v>
      </c>
      <c r="B909" s="2" t="str">
        <f t="shared" si="2"/>
        <v/>
      </c>
      <c r="C909" s="2" t="str">
        <f t="shared" si="3"/>
        <v>SP500</v>
      </c>
      <c r="D909" s="2">
        <f t="shared" si="4"/>
        <v>2121.47</v>
      </c>
      <c r="E909" s="2">
        <f t="shared" si="5"/>
        <v>2121.47</v>
      </c>
      <c r="G909" s="10">
        <f t="shared" si="9"/>
        <v>38891.64583</v>
      </c>
      <c r="H909" s="6">
        <f t="shared" si="6"/>
        <v>1228.62</v>
      </c>
      <c r="I909" s="2">
        <f t="shared" si="7"/>
        <v>1228.62</v>
      </c>
      <c r="M909" s="10">
        <f>IFERROR(__xludf.DUMMYFUNCTION("""COMPUTED_VALUE"""),39297.666666666664)</f>
        <v>39297.66667</v>
      </c>
      <c r="N909" s="2">
        <f>IFERROR(__xludf.DUMMYFUNCTION("""COMPUTED_VALUE"""),2511.25)</f>
        <v>2511.25</v>
      </c>
      <c r="S909" s="15"/>
    </row>
    <row r="910">
      <c r="A910" s="10">
        <f t="shared" si="8"/>
        <v>38892.66667</v>
      </c>
      <c r="B910" s="2" t="str">
        <f t="shared" si="2"/>
        <v/>
      </c>
      <c r="C910" s="2" t="str">
        <f t="shared" si="3"/>
        <v>SP500</v>
      </c>
      <c r="D910" s="2" t="str">
        <f t="shared" si="4"/>
        <v/>
      </c>
      <c r="E910" s="2">
        <f t="shared" si="5"/>
        <v>2121.47</v>
      </c>
      <c r="G910" s="10">
        <f t="shared" si="9"/>
        <v>38892.64583</v>
      </c>
      <c r="H910" s="6" t="str">
        <f t="shared" si="6"/>
        <v/>
      </c>
      <c r="I910" s="2">
        <f t="shared" si="7"/>
        <v>1228.62</v>
      </c>
      <c r="M910" s="10">
        <f>IFERROR(__xludf.DUMMYFUNCTION("""COMPUTED_VALUE"""),39300.666666666664)</f>
        <v>39300.66667</v>
      </c>
      <c r="N910" s="2">
        <f>IFERROR(__xludf.DUMMYFUNCTION("""COMPUTED_VALUE"""),2547.33)</f>
        <v>2547.33</v>
      </c>
      <c r="S910" s="15"/>
    </row>
    <row r="911">
      <c r="A911" s="10">
        <f t="shared" si="8"/>
        <v>38893.66667</v>
      </c>
      <c r="B911" s="2" t="str">
        <f t="shared" si="2"/>
        <v/>
      </c>
      <c r="C911" s="2" t="str">
        <f t="shared" si="3"/>
        <v>SP500</v>
      </c>
      <c r="D911" s="2" t="str">
        <f t="shared" si="4"/>
        <v/>
      </c>
      <c r="E911" s="2">
        <f t="shared" si="5"/>
        <v>2121.47</v>
      </c>
      <c r="G911" s="10">
        <f t="shared" si="9"/>
        <v>38893.64583</v>
      </c>
      <c r="H911" s="6" t="str">
        <f t="shared" si="6"/>
        <v/>
      </c>
      <c r="I911" s="2">
        <f t="shared" si="7"/>
        <v>1228.62</v>
      </c>
      <c r="M911" s="10">
        <f>IFERROR(__xludf.DUMMYFUNCTION("""COMPUTED_VALUE"""),39301.666666666664)</f>
        <v>39301.66667</v>
      </c>
      <c r="N911" s="2">
        <f>IFERROR(__xludf.DUMMYFUNCTION("""COMPUTED_VALUE"""),2561.6)</f>
        <v>2561.6</v>
      </c>
      <c r="S911" s="15"/>
    </row>
    <row r="912">
      <c r="A912" s="10">
        <f t="shared" si="8"/>
        <v>38894.66667</v>
      </c>
      <c r="B912" s="2" t="str">
        <f t="shared" si="2"/>
        <v/>
      </c>
      <c r="C912" s="2" t="str">
        <f t="shared" si="3"/>
        <v>SP500</v>
      </c>
      <c r="D912" s="2">
        <f t="shared" si="4"/>
        <v>2133.67</v>
      </c>
      <c r="E912" s="2">
        <f t="shared" si="5"/>
        <v>2133.67</v>
      </c>
      <c r="G912" s="10">
        <f t="shared" si="9"/>
        <v>38894.64583</v>
      </c>
      <c r="H912" s="6">
        <f t="shared" si="6"/>
        <v>1238.05</v>
      </c>
      <c r="I912" s="2">
        <f t="shared" si="7"/>
        <v>1238.05</v>
      </c>
      <c r="M912" s="10">
        <f>IFERROR(__xludf.DUMMYFUNCTION("""COMPUTED_VALUE"""),39302.666666666664)</f>
        <v>39302.66667</v>
      </c>
      <c r="N912" s="2">
        <f>IFERROR(__xludf.DUMMYFUNCTION("""COMPUTED_VALUE"""),2612.98)</f>
        <v>2612.98</v>
      </c>
      <c r="S912" s="15"/>
    </row>
    <row r="913">
      <c r="A913" s="10">
        <f t="shared" si="8"/>
        <v>38895.66667</v>
      </c>
      <c r="B913" s="2" t="str">
        <f t="shared" si="2"/>
        <v/>
      </c>
      <c r="C913" s="2" t="str">
        <f t="shared" si="3"/>
        <v>SP500</v>
      </c>
      <c r="D913" s="2">
        <f t="shared" si="4"/>
        <v>2100.25</v>
      </c>
      <c r="E913" s="2">
        <f t="shared" si="5"/>
        <v>2100.25</v>
      </c>
      <c r="G913" s="10">
        <f t="shared" si="9"/>
        <v>38895.64583</v>
      </c>
      <c r="H913" s="6">
        <f t="shared" si="6"/>
        <v>1247.54</v>
      </c>
      <c r="I913" s="2">
        <f t="shared" si="7"/>
        <v>1247.54</v>
      </c>
      <c r="M913" s="10">
        <f>IFERROR(__xludf.DUMMYFUNCTION("""COMPUTED_VALUE"""),39303.666666666664)</f>
        <v>39303.66667</v>
      </c>
      <c r="N913" s="2">
        <f>IFERROR(__xludf.DUMMYFUNCTION("""COMPUTED_VALUE"""),2556.49)</f>
        <v>2556.49</v>
      </c>
      <c r="S913" s="15"/>
    </row>
    <row r="914">
      <c r="A914" s="10">
        <f t="shared" si="8"/>
        <v>38896.66667</v>
      </c>
      <c r="B914" s="2" t="str">
        <f t="shared" si="2"/>
        <v/>
      </c>
      <c r="C914" s="2" t="str">
        <f t="shared" si="3"/>
        <v>SP500</v>
      </c>
      <c r="D914" s="2">
        <f t="shared" si="4"/>
        <v>2111.84</v>
      </c>
      <c r="E914" s="2">
        <f t="shared" si="5"/>
        <v>2111.84</v>
      </c>
      <c r="G914" s="10">
        <f t="shared" si="9"/>
        <v>38896.64583</v>
      </c>
      <c r="H914" s="6">
        <f t="shared" si="6"/>
        <v>1238.71</v>
      </c>
      <c r="I914" s="2">
        <f t="shared" si="7"/>
        <v>1238.71</v>
      </c>
      <c r="M914" s="10">
        <f>IFERROR(__xludf.DUMMYFUNCTION("""COMPUTED_VALUE"""),39304.666666666664)</f>
        <v>39304.66667</v>
      </c>
      <c r="N914" s="2">
        <f>IFERROR(__xludf.DUMMYFUNCTION("""COMPUTED_VALUE"""),2544.89)</f>
        <v>2544.89</v>
      </c>
      <c r="S914" s="15"/>
    </row>
    <row r="915">
      <c r="A915" s="10">
        <f t="shared" si="8"/>
        <v>38897.66667</v>
      </c>
      <c r="B915" s="2" t="str">
        <f t="shared" si="2"/>
        <v/>
      </c>
      <c r="C915" s="2" t="str">
        <f t="shared" si="3"/>
        <v>SP500</v>
      </c>
      <c r="D915" s="2">
        <f t="shared" si="4"/>
        <v>2174.38</v>
      </c>
      <c r="E915" s="2">
        <f t="shared" si="5"/>
        <v>2174.38</v>
      </c>
      <c r="G915" s="10">
        <f t="shared" si="9"/>
        <v>38897.64583</v>
      </c>
      <c r="H915" s="6">
        <f t="shared" si="6"/>
        <v>1263.02</v>
      </c>
      <c r="I915" s="2">
        <f t="shared" si="7"/>
        <v>1263.02</v>
      </c>
      <c r="M915" s="10">
        <f>IFERROR(__xludf.DUMMYFUNCTION("""COMPUTED_VALUE"""),39307.666666666664)</f>
        <v>39307.66667</v>
      </c>
      <c r="N915" s="2">
        <f>IFERROR(__xludf.DUMMYFUNCTION("""COMPUTED_VALUE"""),2542.24)</f>
        <v>2542.24</v>
      </c>
      <c r="S915" s="15"/>
    </row>
    <row r="916">
      <c r="A916" s="10">
        <f t="shared" si="8"/>
        <v>38898.66667</v>
      </c>
      <c r="B916" s="2" t="str">
        <f t="shared" si="2"/>
        <v/>
      </c>
      <c r="C916" s="2" t="str">
        <f t="shared" si="3"/>
        <v>SP500</v>
      </c>
      <c r="D916" s="2">
        <f t="shared" si="4"/>
        <v>2172.09</v>
      </c>
      <c r="E916" s="2">
        <f t="shared" si="5"/>
        <v>2172.09</v>
      </c>
      <c r="G916" s="10">
        <f t="shared" si="9"/>
        <v>38898.64583</v>
      </c>
      <c r="H916" s="6">
        <f t="shared" si="6"/>
        <v>1295.15</v>
      </c>
      <c r="I916" s="2">
        <f t="shared" si="7"/>
        <v>1295.15</v>
      </c>
      <c r="M916" s="10">
        <f>IFERROR(__xludf.DUMMYFUNCTION("""COMPUTED_VALUE"""),39308.666666666664)</f>
        <v>39308.66667</v>
      </c>
      <c r="N916" s="2">
        <f>IFERROR(__xludf.DUMMYFUNCTION("""COMPUTED_VALUE"""),2499.12)</f>
        <v>2499.12</v>
      </c>
      <c r="S916" s="15"/>
    </row>
    <row r="917">
      <c r="A917" s="10">
        <f t="shared" si="8"/>
        <v>38899.66667</v>
      </c>
      <c r="B917" s="2" t="str">
        <f t="shared" si="2"/>
        <v/>
      </c>
      <c r="C917" s="2" t="str">
        <f t="shared" si="3"/>
        <v>SP500</v>
      </c>
      <c r="D917" s="2" t="str">
        <f t="shared" si="4"/>
        <v/>
      </c>
      <c r="E917" s="2">
        <f t="shared" si="5"/>
        <v>2172.09</v>
      </c>
      <c r="G917" s="10">
        <f t="shared" si="9"/>
        <v>38899.64583</v>
      </c>
      <c r="H917" s="6" t="str">
        <f t="shared" si="6"/>
        <v/>
      </c>
      <c r="I917" s="2">
        <f t="shared" si="7"/>
        <v>1295.15</v>
      </c>
      <c r="M917" s="10">
        <f>IFERROR(__xludf.DUMMYFUNCTION("""COMPUTED_VALUE"""),39309.666666666664)</f>
        <v>39309.66667</v>
      </c>
      <c r="N917" s="2">
        <f>IFERROR(__xludf.DUMMYFUNCTION("""COMPUTED_VALUE"""),2458.83)</f>
        <v>2458.83</v>
      </c>
      <c r="S917" s="15"/>
    </row>
    <row r="918">
      <c r="A918" s="10">
        <f t="shared" si="8"/>
        <v>38900.66667</v>
      </c>
      <c r="B918" s="2" t="str">
        <f t="shared" si="2"/>
        <v/>
      </c>
      <c r="C918" s="2" t="str">
        <f t="shared" si="3"/>
        <v>SP500</v>
      </c>
      <c r="D918" s="2" t="str">
        <f t="shared" si="4"/>
        <v/>
      </c>
      <c r="E918" s="2">
        <f t="shared" si="5"/>
        <v>2172.09</v>
      </c>
      <c r="G918" s="10">
        <f t="shared" si="9"/>
        <v>38900.64583</v>
      </c>
      <c r="H918" s="6" t="str">
        <f t="shared" si="6"/>
        <v/>
      </c>
      <c r="I918" s="2">
        <f t="shared" si="7"/>
        <v>1295.15</v>
      </c>
      <c r="M918" s="10">
        <f>IFERROR(__xludf.DUMMYFUNCTION("""COMPUTED_VALUE"""),39310.666666666664)</f>
        <v>39310.66667</v>
      </c>
      <c r="N918" s="2">
        <f>IFERROR(__xludf.DUMMYFUNCTION("""COMPUTED_VALUE"""),2451.07)</f>
        <v>2451.07</v>
      </c>
      <c r="S918" s="15"/>
    </row>
    <row r="919">
      <c r="A919" s="10">
        <f t="shared" si="8"/>
        <v>38901.66667</v>
      </c>
      <c r="B919" s="2" t="str">
        <f t="shared" si="2"/>
        <v/>
      </c>
      <c r="C919" s="2" t="str">
        <f t="shared" si="3"/>
        <v>SP500</v>
      </c>
      <c r="D919" s="2">
        <f t="shared" si="4"/>
        <v>2190.43</v>
      </c>
      <c r="E919" s="2">
        <f t="shared" si="5"/>
        <v>2190.43</v>
      </c>
      <c r="G919" s="10">
        <f t="shared" si="9"/>
        <v>38901.64583</v>
      </c>
      <c r="H919" s="6">
        <f t="shared" si="6"/>
        <v>1294.61</v>
      </c>
      <c r="I919" s="2">
        <f t="shared" si="7"/>
        <v>1294.61</v>
      </c>
      <c r="M919" s="10">
        <f>IFERROR(__xludf.DUMMYFUNCTION("""COMPUTED_VALUE"""),39311.666666666664)</f>
        <v>39311.66667</v>
      </c>
      <c r="N919" s="2">
        <f>IFERROR(__xludf.DUMMYFUNCTION("""COMPUTED_VALUE"""),2505.03)</f>
        <v>2505.03</v>
      </c>
      <c r="S919" s="15"/>
    </row>
    <row r="920">
      <c r="A920" s="10">
        <f t="shared" si="8"/>
        <v>38902.66667</v>
      </c>
      <c r="B920" s="2" t="str">
        <f t="shared" si="2"/>
        <v/>
      </c>
      <c r="C920" s="2" t="str">
        <f t="shared" si="3"/>
        <v>SP500</v>
      </c>
      <c r="D920" s="2" t="str">
        <f t="shared" si="4"/>
        <v/>
      </c>
      <c r="E920" s="2">
        <f t="shared" si="5"/>
        <v>2190.43</v>
      </c>
      <c r="G920" s="10">
        <f t="shared" si="9"/>
        <v>38902.64583</v>
      </c>
      <c r="H920" s="6">
        <f t="shared" si="6"/>
        <v>1285.92</v>
      </c>
      <c r="I920" s="2">
        <f t="shared" si="7"/>
        <v>1285.92</v>
      </c>
      <c r="M920" s="10">
        <f>IFERROR(__xludf.DUMMYFUNCTION("""COMPUTED_VALUE"""),39314.666666666664)</f>
        <v>39314.66667</v>
      </c>
      <c r="N920" s="2">
        <f>IFERROR(__xludf.DUMMYFUNCTION("""COMPUTED_VALUE"""),2508.59)</f>
        <v>2508.59</v>
      </c>
      <c r="S920" s="15"/>
    </row>
    <row r="921">
      <c r="A921" s="10">
        <f t="shared" si="8"/>
        <v>38903.66667</v>
      </c>
      <c r="B921" s="2" t="str">
        <f t="shared" si="2"/>
        <v/>
      </c>
      <c r="C921" s="2" t="str">
        <f t="shared" si="3"/>
        <v>SP500</v>
      </c>
      <c r="D921" s="2">
        <f t="shared" si="4"/>
        <v>2153.34</v>
      </c>
      <c r="E921" s="2">
        <f t="shared" si="5"/>
        <v>2153.34</v>
      </c>
      <c r="G921" s="10">
        <f t="shared" si="9"/>
        <v>38903.64583</v>
      </c>
      <c r="H921" s="6">
        <f t="shared" si="6"/>
        <v>1279.85</v>
      </c>
      <c r="I921" s="2">
        <f t="shared" si="7"/>
        <v>1279.85</v>
      </c>
      <c r="M921" s="10">
        <f>IFERROR(__xludf.DUMMYFUNCTION("""COMPUTED_VALUE"""),39315.666666666664)</f>
        <v>39315.66667</v>
      </c>
      <c r="N921" s="2">
        <f>IFERROR(__xludf.DUMMYFUNCTION("""COMPUTED_VALUE"""),2521.3)</f>
        <v>2521.3</v>
      </c>
      <c r="S921" s="15"/>
    </row>
    <row r="922">
      <c r="A922" s="10">
        <f t="shared" si="8"/>
        <v>38904.66667</v>
      </c>
      <c r="B922" s="2" t="str">
        <f t="shared" si="2"/>
        <v/>
      </c>
      <c r="C922" s="2" t="str">
        <f t="shared" si="3"/>
        <v>SP500</v>
      </c>
      <c r="D922" s="2">
        <f t="shared" si="4"/>
        <v>2155.09</v>
      </c>
      <c r="E922" s="2">
        <f t="shared" si="5"/>
        <v>2155.09</v>
      </c>
      <c r="G922" s="10">
        <f t="shared" si="9"/>
        <v>38904.64583</v>
      </c>
      <c r="H922" s="6">
        <f t="shared" si="6"/>
        <v>1263.96</v>
      </c>
      <c r="I922" s="2">
        <f t="shared" si="7"/>
        <v>1263.96</v>
      </c>
      <c r="M922" s="10">
        <f>IFERROR(__xludf.DUMMYFUNCTION("""COMPUTED_VALUE"""),39316.666666666664)</f>
        <v>39316.66667</v>
      </c>
      <c r="N922" s="2">
        <f>IFERROR(__xludf.DUMMYFUNCTION("""COMPUTED_VALUE"""),2552.8)</f>
        <v>2552.8</v>
      </c>
      <c r="S922" s="15"/>
    </row>
    <row r="923">
      <c r="A923" s="10">
        <f t="shared" si="8"/>
        <v>38905.66667</v>
      </c>
      <c r="B923" s="2" t="str">
        <f t="shared" si="2"/>
        <v/>
      </c>
      <c r="C923" s="2" t="str">
        <f t="shared" si="3"/>
        <v>SP500</v>
      </c>
      <c r="D923" s="2">
        <f t="shared" si="4"/>
        <v>2130.06</v>
      </c>
      <c r="E923" s="2">
        <f t="shared" si="5"/>
        <v>2130.06</v>
      </c>
      <c r="G923" s="10">
        <f t="shared" si="9"/>
        <v>38905.64583</v>
      </c>
      <c r="H923" s="6">
        <f t="shared" si="6"/>
        <v>1273.93</v>
      </c>
      <c r="I923" s="2">
        <f t="shared" si="7"/>
        <v>1273.93</v>
      </c>
      <c r="M923" s="10">
        <f>IFERROR(__xludf.DUMMYFUNCTION("""COMPUTED_VALUE"""),39317.666666666664)</f>
        <v>39317.66667</v>
      </c>
      <c r="N923" s="2">
        <f>IFERROR(__xludf.DUMMYFUNCTION("""COMPUTED_VALUE"""),2541.7)</f>
        <v>2541.7</v>
      </c>
      <c r="S923" s="15"/>
    </row>
    <row r="924">
      <c r="A924" s="10">
        <f t="shared" si="8"/>
        <v>38906.66667</v>
      </c>
      <c r="B924" s="2" t="str">
        <f t="shared" si="2"/>
        <v/>
      </c>
      <c r="C924" s="2" t="str">
        <f t="shared" si="3"/>
        <v>SP500</v>
      </c>
      <c r="D924" s="2" t="str">
        <f t="shared" si="4"/>
        <v/>
      </c>
      <c r="E924" s="2">
        <f t="shared" si="5"/>
        <v>2130.06</v>
      </c>
      <c r="G924" s="10">
        <f t="shared" si="9"/>
        <v>38906.64583</v>
      </c>
      <c r="H924" s="6" t="str">
        <f t="shared" si="6"/>
        <v/>
      </c>
      <c r="I924" s="2">
        <f t="shared" si="7"/>
        <v>1273.93</v>
      </c>
      <c r="M924" s="10">
        <f>IFERROR(__xludf.DUMMYFUNCTION("""COMPUTED_VALUE"""),39318.666666666664)</f>
        <v>39318.66667</v>
      </c>
      <c r="N924" s="2">
        <f>IFERROR(__xludf.DUMMYFUNCTION("""COMPUTED_VALUE"""),2576.69)</f>
        <v>2576.69</v>
      </c>
      <c r="S924" s="15"/>
    </row>
    <row r="925">
      <c r="A925" s="10">
        <f t="shared" si="8"/>
        <v>38907.66667</v>
      </c>
      <c r="B925" s="2" t="str">
        <f t="shared" si="2"/>
        <v/>
      </c>
      <c r="C925" s="2" t="str">
        <f t="shared" si="3"/>
        <v>SP500</v>
      </c>
      <c r="D925" s="2" t="str">
        <f t="shared" si="4"/>
        <v/>
      </c>
      <c r="E925" s="2">
        <f t="shared" si="5"/>
        <v>2130.06</v>
      </c>
      <c r="G925" s="10">
        <f t="shared" si="9"/>
        <v>38907.64583</v>
      </c>
      <c r="H925" s="6" t="str">
        <f t="shared" si="6"/>
        <v/>
      </c>
      <c r="I925" s="2">
        <f t="shared" si="7"/>
        <v>1273.93</v>
      </c>
      <c r="M925" s="10">
        <f>IFERROR(__xludf.DUMMYFUNCTION("""COMPUTED_VALUE"""),39321.666666666664)</f>
        <v>39321.66667</v>
      </c>
      <c r="N925" s="2">
        <f>IFERROR(__xludf.DUMMYFUNCTION("""COMPUTED_VALUE"""),2561.25)</f>
        <v>2561.25</v>
      </c>
      <c r="S925" s="15"/>
    </row>
    <row r="926">
      <c r="A926" s="10">
        <f t="shared" si="8"/>
        <v>38908.66667</v>
      </c>
      <c r="B926" s="2" t="str">
        <f t="shared" si="2"/>
        <v/>
      </c>
      <c r="C926" s="2" t="str">
        <f t="shared" si="3"/>
        <v>SP500</v>
      </c>
      <c r="D926" s="2">
        <f t="shared" si="4"/>
        <v>2116.93</v>
      </c>
      <c r="E926" s="2">
        <f t="shared" si="5"/>
        <v>2116.93</v>
      </c>
      <c r="G926" s="10">
        <f t="shared" si="9"/>
        <v>38908.64583</v>
      </c>
      <c r="H926" s="6">
        <f t="shared" si="6"/>
        <v>1299.29</v>
      </c>
      <c r="I926" s="2">
        <f t="shared" si="7"/>
        <v>1299.29</v>
      </c>
      <c r="M926" s="10">
        <f>IFERROR(__xludf.DUMMYFUNCTION("""COMPUTED_VALUE"""),39322.666666666664)</f>
        <v>39322.66667</v>
      </c>
      <c r="N926" s="2">
        <f>IFERROR(__xludf.DUMMYFUNCTION("""COMPUTED_VALUE"""),2500.64)</f>
        <v>2500.64</v>
      </c>
      <c r="S926" s="15"/>
    </row>
    <row r="927">
      <c r="A927" s="10">
        <f t="shared" si="8"/>
        <v>38909.66667</v>
      </c>
      <c r="B927" s="2" t="str">
        <f t="shared" si="2"/>
        <v/>
      </c>
      <c r="C927" s="2" t="str">
        <f t="shared" si="3"/>
        <v>SP500</v>
      </c>
      <c r="D927" s="2">
        <f t="shared" si="4"/>
        <v>2128.86</v>
      </c>
      <c r="E927" s="2">
        <f t="shared" si="5"/>
        <v>2128.86</v>
      </c>
      <c r="G927" s="10">
        <f t="shared" si="9"/>
        <v>38909.64583</v>
      </c>
      <c r="H927" s="6">
        <f t="shared" si="6"/>
        <v>1300.44</v>
      </c>
      <c r="I927" s="2">
        <f t="shared" si="7"/>
        <v>1300.44</v>
      </c>
      <c r="M927" s="10">
        <f>IFERROR(__xludf.DUMMYFUNCTION("""COMPUTED_VALUE"""),39323.666666666664)</f>
        <v>39323.66667</v>
      </c>
      <c r="N927" s="2">
        <f>IFERROR(__xludf.DUMMYFUNCTION("""COMPUTED_VALUE"""),2563.16)</f>
        <v>2563.16</v>
      </c>
      <c r="S927" s="15"/>
    </row>
    <row r="928">
      <c r="A928" s="10">
        <f t="shared" si="8"/>
        <v>38910.66667</v>
      </c>
      <c r="B928" s="2" t="str">
        <f t="shared" si="2"/>
        <v/>
      </c>
      <c r="C928" s="2" t="str">
        <f t="shared" si="3"/>
        <v>SP500</v>
      </c>
      <c r="D928" s="2">
        <f t="shared" si="4"/>
        <v>2090.24</v>
      </c>
      <c r="E928" s="2">
        <f t="shared" si="5"/>
        <v>2090.24</v>
      </c>
      <c r="G928" s="10">
        <f t="shared" si="9"/>
        <v>38910.64583</v>
      </c>
      <c r="H928" s="6">
        <f t="shared" si="6"/>
        <v>1296.69</v>
      </c>
      <c r="I928" s="2">
        <f t="shared" si="7"/>
        <v>1296.69</v>
      </c>
      <c r="M928" s="10">
        <f>IFERROR(__xludf.DUMMYFUNCTION("""COMPUTED_VALUE"""),39324.666666666664)</f>
        <v>39324.66667</v>
      </c>
      <c r="N928" s="2">
        <f>IFERROR(__xludf.DUMMYFUNCTION("""COMPUTED_VALUE"""),2565.3)</f>
        <v>2565.3</v>
      </c>
      <c r="S928" s="15"/>
    </row>
    <row r="929">
      <c r="A929" s="10">
        <f t="shared" si="8"/>
        <v>38911.66667</v>
      </c>
      <c r="B929" s="2" t="str">
        <f t="shared" si="2"/>
        <v/>
      </c>
      <c r="C929" s="2" t="str">
        <f t="shared" si="3"/>
        <v>SP500</v>
      </c>
      <c r="D929" s="2">
        <f t="shared" si="4"/>
        <v>2054.11</v>
      </c>
      <c r="E929" s="2">
        <f t="shared" si="5"/>
        <v>2054.11</v>
      </c>
      <c r="G929" s="10">
        <f t="shared" si="9"/>
        <v>38911.64583</v>
      </c>
      <c r="H929" s="6">
        <f t="shared" si="6"/>
        <v>1285.02</v>
      </c>
      <c r="I929" s="2">
        <f t="shared" si="7"/>
        <v>1285.02</v>
      </c>
      <c r="M929" s="10">
        <f>IFERROR(__xludf.DUMMYFUNCTION("""COMPUTED_VALUE"""),39325.666666666664)</f>
        <v>39325.66667</v>
      </c>
      <c r="N929" s="2">
        <f>IFERROR(__xludf.DUMMYFUNCTION("""COMPUTED_VALUE"""),2596.36)</f>
        <v>2596.36</v>
      </c>
      <c r="S929" s="15"/>
    </row>
    <row r="930">
      <c r="A930" s="10">
        <f t="shared" si="8"/>
        <v>38912.66667</v>
      </c>
      <c r="B930" s="2" t="str">
        <f t="shared" si="2"/>
        <v/>
      </c>
      <c r="C930" s="2" t="str">
        <f t="shared" si="3"/>
        <v>SP500</v>
      </c>
      <c r="D930" s="2">
        <f t="shared" si="4"/>
        <v>2037.35</v>
      </c>
      <c r="E930" s="2">
        <f t="shared" si="5"/>
        <v>2037.35</v>
      </c>
      <c r="G930" s="10">
        <f t="shared" si="9"/>
        <v>38912.64583</v>
      </c>
      <c r="H930" s="6">
        <f t="shared" si="6"/>
        <v>1255.13</v>
      </c>
      <c r="I930" s="2">
        <f t="shared" si="7"/>
        <v>1255.13</v>
      </c>
      <c r="M930" s="10">
        <f>IFERROR(__xludf.DUMMYFUNCTION("""COMPUTED_VALUE"""),39329.666666666664)</f>
        <v>39329.66667</v>
      </c>
      <c r="N930" s="2">
        <f>IFERROR(__xludf.DUMMYFUNCTION("""COMPUTED_VALUE"""),2630.24)</f>
        <v>2630.24</v>
      </c>
      <c r="S930" s="15"/>
    </row>
    <row r="931">
      <c r="A931" s="10">
        <f t="shared" si="8"/>
        <v>38913.66667</v>
      </c>
      <c r="B931" s="2" t="str">
        <f t="shared" si="2"/>
        <v/>
      </c>
      <c r="C931" s="2" t="str">
        <f t="shared" si="3"/>
        <v>SP500</v>
      </c>
      <c r="D931" s="2" t="str">
        <f t="shared" si="4"/>
        <v/>
      </c>
      <c r="E931" s="2">
        <f t="shared" si="5"/>
        <v>2037.35</v>
      </c>
      <c r="G931" s="10">
        <f t="shared" si="9"/>
        <v>38913.64583</v>
      </c>
      <c r="H931" s="6" t="str">
        <f t="shared" si="6"/>
        <v/>
      </c>
      <c r="I931" s="2">
        <f t="shared" si="7"/>
        <v>1255.13</v>
      </c>
      <c r="M931" s="10">
        <f>IFERROR(__xludf.DUMMYFUNCTION("""COMPUTED_VALUE"""),39330.666666666664)</f>
        <v>39330.66667</v>
      </c>
      <c r="N931" s="2">
        <f>IFERROR(__xludf.DUMMYFUNCTION("""COMPUTED_VALUE"""),2605.95)</f>
        <v>2605.95</v>
      </c>
      <c r="S931" s="15"/>
    </row>
    <row r="932">
      <c r="A932" s="10">
        <f t="shared" si="8"/>
        <v>38914.66667</v>
      </c>
      <c r="B932" s="2" t="str">
        <f t="shared" si="2"/>
        <v/>
      </c>
      <c r="C932" s="2" t="str">
        <f t="shared" si="3"/>
        <v>SP500</v>
      </c>
      <c r="D932" s="2" t="str">
        <f t="shared" si="4"/>
        <v/>
      </c>
      <c r="E932" s="2">
        <f t="shared" si="5"/>
        <v>2037.35</v>
      </c>
      <c r="G932" s="10">
        <f t="shared" si="9"/>
        <v>38914.64583</v>
      </c>
      <c r="H932" s="6" t="str">
        <f t="shared" si="6"/>
        <v/>
      </c>
      <c r="I932" s="2">
        <f t="shared" si="7"/>
        <v>1255.13</v>
      </c>
      <c r="M932" s="10">
        <f>IFERROR(__xludf.DUMMYFUNCTION("""COMPUTED_VALUE"""),39331.666666666664)</f>
        <v>39331.66667</v>
      </c>
      <c r="N932" s="2">
        <f>IFERROR(__xludf.DUMMYFUNCTION("""COMPUTED_VALUE"""),2614.32)</f>
        <v>2614.32</v>
      </c>
      <c r="S932" s="15"/>
    </row>
    <row r="933">
      <c r="A933" s="10">
        <f t="shared" si="8"/>
        <v>38915.66667</v>
      </c>
      <c r="B933" s="2" t="str">
        <f t="shared" si="2"/>
        <v/>
      </c>
      <c r="C933" s="2" t="str">
        <f t="shared" si="3"/>
        <v>SP500</v>
      </c>
      <c r="D933" s="2">
        <f t="shared" si="4"/>
        <v>2037.72</v>
      </c>
      <c r="E933" s="2">
        <f t="shared" si="5"/>
        <v>2037.72</v>
      </c>
      <c r="G933" s="10">
        <f t="shared" si="9"/>
        <v>38915.64583</v>
      </c>
      <c r="H933" s="6" t="str">
        <f t="shared" si="6"/>
        <v/>
      </c>
      <c r="I933" s="2">
        <f t="shared" si="7"/>
        <v>1255.13</v>
      </c>
      <c r="M933" s="10">
        <f>IFERROR(__xludf.DUMMYFUNCTION("""COMPUTED_VALUE"""),39332.666666666664)</f>
        <v>39332.66667</v>
      </c>
      <c r="N933" s="2">
        <f>IFERROR(__xludf.DUMMYFUNCTION("""COMPUTED_VALUE"""),2565.7)</f>
        <v>2565.7</v>
      </c>
      <c r="S933" s="15"/>
    </row>
    <row r="934">
      <c r="A934" s="10">
        <f t="shared" si="8"/>
        <v>38916.66667</v>
      </c>
      <c r="B934" s="2" t="str">
        <f t="shared" si="2"/>
        <v/>
      </c>
      <c r="C934" s="2" t="str">
        <f t="shared" si="3"/>
        <v>SP500</v>
      </c>
      <c r="D934" s="2">
        <f t="shared" si="4"/>
        <v>2043.22</v>
      </c>
      <c r="E934" s="2">
        <f t="shared" si="5"/>
        <v>2043.22</v>
      </c>
      <c r="G934" s="10">
        <f t="shared" si="9"/>
        <v>38916.64583</v>
      </c>
      <c r="H934" s="6">
        <f t="shared" si="6"/>
        <v>1233.42</v>
      </c>
      <c r="I934" s="2">
        <f t="shared" si="7"/>
        <v>1233.42</v>
      </c>
      <c r="M934" s="10">
        <f>IFERROR(__xludf.DUMMYFUNCTION("""COMPUTED_VALUE"""),39335.666666666664)</f>
        <v>39335.66667</v>
      </c>
      <c r="N934" s="2">
        <f>IFERROR(__xludf.DUMMYFUNCTION("""COMPUTED_VALUE"""),2559.11)</f>
        <v>2559.11</v>
      </c>
      <c r="S934" s="15"/>
    </row>
    <row r="935">
      <c r="A935" s="10">
        <f t="shared" si="8"/>
        <v>38917.66667</v>
      </c>
      <c r="B935" s="2" t="str">
        <f t="shared" si="2"/>
        <v/>
      </c>
      <c r="C935" s="2" t="str">
        <f t="shared" si="3"/>
        <v>SP500</v>
      </c>
      <c r="D935" s="2">
        <f t="shared" si="4"/>
        <v>2080.71</v>
      </c>
      <c r="E935" s="2">
        <f t="shared" si="5"/>
        <v>2080.71</v>
      </c>
      <c r="G935" s="10">
        <f t="shared" si="9"/>
        <v>38917.64583</v>
      </c>
      <c r="H935" s="6">
        <f t="shared" si="6"/>
        <v>1233.65</v>
      </c>
      <c r="I935" s="2">
        <f t="shared" si="7"/>
        <v>1233.65</v>
      </c>
      <c r="M935" s="10">
        <f>IFERROR(__xludf.DUMMYFUNCTION("""COMPUTED_VALUE"""),39336.666666666664)</f>
        <v>39336.66667</v>
      </c>
      <c r="N935" s="2">
        <f>IFERROR(__xludf.DUMMYFUNCTION("""COMPUTED_VALUE"""),2597.47)</f>
        <v>2597.47</v>
      </c>
      <c r="S935" s="15"/>
    </row>
    <row r="936">
      <c r="A936" s="10">
        <f t="shared" si="8"/>
        <v>38918.66667</v>
      </c>
      <c r="B936" s="2" t="str">
        <f t="shared" si="2"/>
        <v/>
      </c>
      <c r="C936" s="2" t="str">
        <f t="shared" si="3"/>
        <v>SP500</v>
      </c>
      <c r="D936" s="2">
        <f t="shared" si="4"/>
        <v>2039.42</v>
      </c>
      <c r="E936" s="2">
        <f t="shared" si="5"/>
        <v>2039.42</v>
      </c>
      <c r="G936" s="10">
        <f t="shared" si="9"/>
        <v>38918.64583</v>
      </c>
      <c r="H936" s="6">
        <f t="shared" si="6"/>
        <v>1273.3</v>
      </c>
      <c r="I936" s="2">
        <f t="shared" si="7"/>
        <v>1273.3</v>
      </c>
      <c r="M936" s="10">
        <f>IFERROR(__xludf.DUMMYFUNCTION("""COMPUTED_VALUE"""),39337.666666666664)</f>
        <v>39337.66667</v>
      </c>
      <c r="N936" s="2">
        <f>IFERROR(__xludf.DUMMYFUNCTION("""COMPUTED_VALUE"""),2592.07)</f>
        <v>2592.07</v>
      </c>
      <c r="S936" s="15"/>
    </row>
    <row r="937">
      <c r="A937" s="10">
        <f t="shared" si="8"/>
        <v>38919.66667</v>
      </c>
      <c r="B937" s="2" t="str">
        <f t="shared" si="2"/>
        <v/>
      </c>
      <c r="C937" s="2" t="str">
        <f t="shared" si="3"/>
        <v>SP500</v>
      </c>
      <c r="D937" s="2">
        <f t="shared" si="4"/>
        <v>2020.39</v>
      </c>
      <c r="E937" s="2">
        <f t="shared" si="5"/>
        <v>2020.39</v>
      </c>
      <c r="G937" s="10">
        <f t="shared" si="9"/>
        <v>38919.64583</v>
      </c>
      <c r="H937" s="6">
        <f t="shared" si="6"/>
        <v>1271.33</v>
      </c>
      <c r="I937" s="2">
        <f t="shared" si="7"/>
        <v>1271.33</v>
      </c>
      <c r="M937" s="10">
        <f>IFERROR(__xludf.DUMMYFUNCTION("""COMPUTED_VALUE"""),39338.666666666664)</f>
        <v>39338.66667</v>
      </c>
      <c r="N937" s="2">
        <f>IFERROR(__xludf.DUMMYFUNCTION("""COMPUTED_VALUE"""),2601.06)</f>
        <v>2601.06</v>
      </c>
      <c r="S937" s="15"/>
    </row>
    <row r="938">
      <c r="A938" s="10">
        <f t="shared" si="8"/>
        <v>38920.66667</v>
      </c>
      <c r="B938" s="2" t="str">
        <f t="shared" si="2"/>
        <v/>
      </c>
      <c r="C938" s="2" t="str">
        <f t="shared" si="3"/>
        <v>SP500</v>
      </c>
      <c r="D938" s="2" t="str">
        <f t="shared" si="4"/>
        <v/>
      </c>
      <c r="E938" s="2">
        <f t="shared" si="5"/>
        <v>2020.39</v>
      </c>
      <c r="G938" s="10">
        <f t="shared" si="9"/>
        <v>38920.64583</v>
      </c>
      <c r="H938" s="6" t="str">
        <f t="shared" si="6"/>
        <v/>
      </c>
      <c r="I938" s="2">
        <f t="shared" si="7"/>
        <v>1271.33</v>
      </c>
      <c r="M938" s="10">
        <f>IFERROR(__xludf.DUMMYFUNCTION("""COMPUTED_VALUE"""),39339.666666666664)</f>
        <v>39339.66667</v>
      </c>
      <c r="N938" s="2">
        <f>IFERROR(__xludf.DUMMYFUNCTION("""COMPUTED_VALUE"""),2602.18)</f>
        <v>2602.18</v>
      </c>
      <c r="S938" s="15"/>
    </row>
    <row r="939">
      <c r="A939" s="10">
        <f t="shared" si="8"/>
        <v>38921.66667</v>
      </c>
      <c r="B939" s="2" t="str">
        <f t="shared" si="2"/>
        <v/>
      </c>
      <c r="C939" s="2" t="str">
        <f t="shared" si="3"/>
        <v>SP500</v>
      </c>
      <c r="D939" s="2" t="str">
        <f t="shared" si="4"/>
        <v/>
      </c>
      <c r="E939" s="2">
        <f t="shared" si="5"/>
        <v>2020.39</v>
      </c>
      <c r="G939" s="10">
        <f t="shared" si="9"/>
        <v>38921.64583</v>
      </c>
      <c r="H939" s="6" t="str">
        <f t="shared" si="6"/>
        <v/>
      </c>
      <c r="I939" s="2">
        <f t="shared" si="7"/>
        <v>1271.33</v>
      </c>
      <c r="M939" s="10">
        <f>IFERROR(__xludf.DUMMYFUNCTION("""COMPUTED_VALUE"""),39342.666666666664)</f>
        <v>39342.66667</v>
      </c>
      <c r="N939" s="2">
        <f>IFERROR(__xludf.DUMMYFUNCTION("""COMPUTED_VALUE"""),2581.66)</f>
        <v>2581.66</v>
      </c>
      <c r="S939" s="15"/>
    </row>
    <row r="940">
      <c r="A940" s="10">
        <f t="shared" si="8"/>
        <v>38922.66667</v>
      </c>
      <c r="B940" s="2" t="str">
        <f t="shared" si="2"/>
        <v/>
      </c>
      <c r="C940" s="2" t="str">
        <f t="shared" si="3"/>
        <v>SP500</v>
      </c>
      <c r="D940" s="2">
        <f t="shared" si="4"/>
        <v>2061.84</v>
      </c>
      <c r="E940" s="2">
        <f t="shared" si="5"/>
        <v>2061.84</v>
      </c>
      <c r="G940" s="10">
        <f t="shared" si="9"/>
        <v>38922.64583</v>
      </c>
      <c r="H940" s="6">
        <f t="shared" si="6"/>
        <v>1263.35</v>
      </c>
      <c r="I940" s="2">
        <f t="shared" si="7"/>
        <v>1263.35</v>
      </c>
      <c r="M940" s="10">
        <f>IFERROR(__xludf.DUMMYFUNCTION("""COMPUTED_VALUE"""),39343.666666666664)</f>
        <v>39343.66667</v>
      </c>
      <c r="N940" s="2">
        <f>IFERROR(__xludf.DUMMYFUNCTION("""COMPUTED_VALUE"""),2651.66)</f>
        <v>2651.66</v>
      </c>
      <c r="S940" s="15"/>
    </row>
    <row r="941">
      <c r="A941" s="10">
        <f t="shared" si="8"/>
        <v>38923.66667</v>
      </c>
      <c r="B941" s="2" t="str">
        <f t="shared" si="2"/>
        <v/>
      </c>
      <c r="C941" s="2" t="str">
        <f t="shared" si="3"/>
        <v>SP500</v>
      </c>
      <c r="D941" s="2">
        <f t="shared" si="4"/>
        <v>2073.9</v>
      </c>
      <c r="E941" s="2">
        <f t="shared" si="5"/>
        <v>2073.9</v>
      </c>
      <c r="G941" s="10">
        <f t="shared" si="9"/>
        <v>38923.64583</v>
      </c>
      <c r="H941" s="6">
        <f t="shared" si="6"/>
        <v>1279.77</v>
      </c>
      <c r="I941" s="2">
        <f t="shared" si="7"/>
        <v>1279.77</v>
      </c>
      <c r="M941" s="10">
        <f>IFERROR(__xludf.DUMMYFUNCTION("""COMPUTED_VALUE"""),39344.666666666664)</f>
        <v>39344.66667</v>
      </c>
      <c r="N941" s="2">
        <f>IFERROR(__xludf.DUMMYFUNCTION("""COMPUTED_VALUE"""),2666.48)</f>
        <v>2666.48</v>
      </c>
      <c r="S941" s="15"/>
    </row>
    <row r="942">
      <c r="A942" s="10">
        <f t="shared" si="8"/>
        <v>38924.66667</v>
      </c>
      <c r="B942" s="2" t="str">
        <f t="shared" si="2"/>
        <v/>
      </c>
      <c r="C942" s="2" t="str">
        <f t="shared" si="3"/>
        <v>SP500</v>
      </c>
      <c r="D942" s="2">
        <f t="shared" si="4"/>
        <v>2070.46</v>
      </c>
      <c r="E942" s="2">
        <f t="shared" si="5"/>
        <v>2070.46</v>
      </c>
      <c r="G942" s="10">
        <f t="shared" si="9"/>
        <v>38924.64583</v>
      </c>
      <c r="H942" s="6">
        <f t="shared" si="6"/>
        <v>1279.08</v>
      </c>
      <c r="I942" s="2">
        <f t="shared" si="7"/>
        <v>1279.08</v>
      </c>
      <c r="M942" s="10">
        <f>IFERROR(__xludf.DUMMYFUNCTION("""COMPUTED_VALUE"""),39345.666666666664)</f>
        <v>39345.66667</v>
      </c>
      <c r="N942" s="2">
        <f>IFERROR(__xludf.DUMMYFUNCTION("""COMPUTED_VALUE"""),2654.29)</f>
        <v>2654.29</v>
      </c>
      <c r="S942" s="15"/>
    </row>
    <row r="943">
      <c r="A943" s="10">
        <f t="shared" si="8"/>
        <v>38925.66667</v>
      </c>
      <c r="B943" s="2" t="str">
        <f t="shared" si="2"/>
        <v/>
      </c>
      <c r="C943" s="2" t="str">
        <f t="shared" si="3"/>
        <v>SP500</v>
      </c>
      <c r="D943" s="2">
        <f t="shared" si="4"/>
        <v>2054.47</v>
      </c>
      <c r="E943" s="2">
        <f t="shared" si="5"/>
        <v>2054.47</v>
      </c>
      <c r="G943" s="10">
        <f t="shared" si="9"/>
        <v>38925.64583</v>
      </c>
      <c r="H943" s="6">
        <f t="shared" si="6"/>
        <v>1296.27</v>
      </c>
      <c r="I943" s="2">
        <f t="shared" si="7"/>
        <v>1296.27</v>
      </c>
      <c r="M943" s="10">
        <f>IFERROR(__xludf.DUMMYFUNCTION("""COMPUTED_VALUE"""),39346.666666666664)</f>
        <v>39346.66667</v>
      </c>
      <c r="N943" s="2">
        <f>IFERROR(__xludf.DUMMYFUNCTION("""COMPUTED_VALUE"""),2671.22)</f>
        <v>2671.22</v>
      </c>
      <c r="S943" s="15"/>
    </row>
    <row r="944">
      <c r="A944" s="10">
        <f t="shared" si="8"/>
        <v>38926.66667</v>
      </c>
      <c r="B944" s="2" t="str">
        <f t="shared" si="2"/>
        <v/>
      </c>
      <c r="C944" s="2" t="str">
        <f t="shared" si="3"/>
        <v>SP500</v>
      </c>
      <c r="D944" s="2">
        <f t="shared" si="4"/>
        <v>2094.14</v>
      </c>
      <c r="E944" s="2">
        <f t="shared" si="5"/>
        <v>2094.14</v>
      </c>
      <c r="G944" s="10">
        <f t="shared" si="9"/>
        <v>38926.64583</v>
      </c>
      <c r="H944" s="6">
        <f t="shared" si="6"/>
        <v>1297.07</v>
      </c>
      <c r="I944" s="2">
        <f t="shared" si="7"/>
        <v>1297.07</v>
      </c>
      <c r="M944" s="10">
        <f>IFERROR(__xludf.DUMMYFUNCTION("""COMPUTED_VALUE"""),39349.666666666664)</f>
        <v>39349.66667</v>
      </c>
      <c r="N944" s="2">
        <f>IFERROR(__xludf.DUMMYFUNCTION("""COMPUTED_VALUE"""),2667.95)</f>
        <v>2667.95</v>
      </c>
      <c r="S944" s="15"/>
    </row>
    <row r="945">
      <c r="A945" s="10">
        <f t="shared" si="8"/>
        <v>38927.66667</v>
      </c>
      <c r="B945" s="2" t="str">
        <f t="shared" si="2"/>
        <v/>
      </c>
      <c r="C945" s="2" t="str">
        <f t="shared" si="3"/>
        <v>SP500</v>
      </c>
      <c r="D945" s="2" t="str">
        <f t="shared" si="4"/>
        <v/>
      </c>
      <c r="E945" s="2">
        <f t="shared" si="5"/>
        <v>2094.14</v>
      </c>
      <c r="G945" s="10">
        <f t="shared" si="9"/>
        <v>38927.64583</v>
      </c>
      <c r="H945" s="6" t="str">
        <f t="shared" si="6"/>
        <v/>
      </c>
      <c r="I945" s="2">
        <f t="shared" si="7"/>
        <v>1297.07</v>
      </c>
      <c r="M945" s="10">
        <f>IFERROR(__xludf.DUMMYFUNCTION("""COMPUTED_VALUE"""),39350.666666666664)</f>
        <v>39350.66667</v>
      </c>
      <c r="N945" s="2">
        <f>IFERROR(__xludf.DUMMYFUNCTION("""COMPUTED_VALUE"""),2683.45)</f>
        <v>2683.45</v>
      </c>
      <c r="S945" s="15"/>
    </row>
    <row r="946">
      <c r="A946" s="10">
        <f t="shared" si="8"/>
        <v>38928.66667</v>
      </c>
      <c r="B946" s="2" t="str">
        <f t="shared" si="2"/>
        <v/>
      </c>
      <c r="C946" s="2" t="str">
        <f t="shared" si="3"/>
        <v>SP500</v>
      </c>
      <c r="D946" s="2" t="str">
        <f t="shared" si="4"/>
        <v/>
      </c>
      <c r="E946" s="2">
        <f t="shared" si="5"/>
        <v>2094.14</v>
      </c>
      <c r="G946" s="10">
        <f t="shared" si="9"/>
        <v>38928.64583</v>
      </c>
      <c r="H946" s="6" t="str">
        <f t="shared" si="6"/>
        <v/>
      </c>
      <c r="I946" s="2">
        <f t="shared" si="7"/>
        <v>1297.07</v>
      </c>
      <c r="M946" s="10">
        <f>IFERROR(__xludf.DUMMYFUNCTION("""COMPUTED_VALUE"""),39351.666666666664)</f>
        <v>39351.66667</v>
      </c>
      <c r="N946" s="2">
        <f>IFERROR(__xludf.DUMMYFUNCTION("""COMPUTED_VALUE"""),2699.03)</f>
        <v>2699.03</v>
      </c>
      <c r="S946" s="15"/>
    </row>
    <row r="947">
      <c r="A947" s="10">
        <f t="shared" si="8"/>
        <v>38929.66667</v>
      </c>
      <c r="B947" s="2" t="str">
        <f t="shared" si="2"/>
        <v/>
      </c>
      <c r="C947" s="2" t="str">
        <f t="shared" si="3"/>
        <v>SP500</v>
      </c>
      <c r="D947" s="2">
        <f t="shared" si="4"/>
        <v>2091.47</v>
      </c>
      <c r="E947" s="2">
        <f t="shared" si="5"/>
        <v>2091.47</v>
      </c>
      <c r="G947" s="10">
        <f t="shared" si="9"/>
        <v>38929.64583</v>
      </c>
      <c r="H947" s="6">
        <f t="shared" si="6"/>
        <v>1297.82</v>
      </c>
      <c r="I947" s="2">
        <f t="shared" si="7"/>
        <v>1297.82</v>
      </c>
      <c r="M947" s="10">
        <f>IFERROR(__xludf.DUMMYFUNCTION("""COMPUTED_VALUE"""),39352.666666666664)</f>
        <v>39352.66667</v>
      </c>
      <c r="N947" s="2">
        <f>IFERROR(__xludf.DUMMYFUNCTION("""COMPUTED_VALUE"""),2709.59)</f>
        <v>2709.59</v>
      </c>
      <c r="S947" s="15"/>
    </row>
    <row r="948">
      <c r="A948" s="10">
        <f t="shared" si="8"/>
        <v>38930.66667</v>
      </c>
      <c r="B948" s="2" t="str">
        <f t="shared" si="2"/>
        <v/>
      </c>
      <c r="C948" s="2" t="str">
        <f t="shared" si="3"/>
        <v>SP500</v>
      </c>
      <c r="D948" s="2">
        <f t="shared" si="4"/>
        <v>2061.99</v>
      </c>
      <c r="E948" s="2">
        <f t="shared" si="5"/>
        <v>2061.99</v>
      </c>
      <c r="G948" s="10">
        <f t="shared" si="9"/>
        <v>38930.64583</v>
      </c>
      <c r="H948" s="6">
        <f t="shared" si="6"/>
        <v>1287.36</v>
      </c>
      <c r="I948" s="2">
        <f t="shared" si="7"/>
        <v>1287.36</v>
      </c>
      <c r="M948" s="10">
        <f>IFERROR(__xludf.DUMMYFUNCTION("""COMPUTED_VALUE"""),39353.666666666664)</f>
        <v>39353.66667</v>
      </c>
      <c r="N948" s="2">
        <f>IFERROR(__xludf.DUMMYFUNCTION("""COMPUTED_VALUE"""),2701.5)</f>
        <v>2701.5</v>
      </c>
      <c r="S948" s="15"/>
    </row>
    <row r="949">
      <c r="A949" s="10">
        <f t="shared" si="8"/>
        <v>38931.66667</v>
      </c>
      <c r="B949" s="2" t="str">
        <f t="shared" si="2"/>
        <v/>
      </c>
      <c r="C949" s="2" t="str">
        <f t="shared" si="3"/>
        <v>SP500</v>
      </c>
      <c r="D949" s="2">
        <f t="shared" si="4"/>
        <v>2078.81</v>
      </c>
      <c r="E949" s="2">
        <f t="shared" si="5"/>
        <v>2078.81</v>
      </c>
      <c r="G949" s="10">
        <f t="shared" si="9"/>
        <v>38931.64583</v>
      </c>
      <c r="H949" s="6">
        <f t="shared" si="6"/>
        <v>1295.11</v>
      </c>
      <c r="I949" s="2">
        <f t="shared" si="7"/>
        <v>1295.11</v>
      </c>
      <c r="M949" s="10">
        <f>IFERROR(__xludf.DUMMYFUNCTION("""COMPUTED_VALUE"""),39356.666666666664)</f>
        <v>39356.66667</v>
      </c>
      <c r="N949" s="2">
        <f>IFERROR(__xludf.DUMMYFUNCTION("""COMPUTED_VALUE"""),2740.99)</f>
        <v>2740.99</v>
      </c>
      <c r="S949" s="15"/>
    </row>
    <row r="950">
      <c r="A950" s="10">
        <f t="shared" si="8"/>
        <v>38932.66667</v>
      </c>
      <c r="B950" s="2" t="str">
        <f t="shared" si="2"/>
        <v/>
      </c>
      <c r="C950" s="2" t="str">
        <f t="shared" si="3"/>
        <v>SP500</v>
      </c>
      <c r="D950" s="2">
        <f t="shared" si="4"/>
        <v>2092.34</v>
      </c>
      <c r="E950" s="2">
        <f t="shared" si="5"/>
        <v>2092.34</v>
      </c>
      <c r="G950" s="10">
        <f t="shared" si="9"/>
        <v>38932.64583</v>
      </c>
      <c r="H950" s="6">
        <f t="shared" si="6"/>
        <v>1292.05</v>
      </c>
      <c r="I950" s="2">
        <f t="shared" si="7"/>
        <v>1292.05</v>
      </c>
      <c r="M950" s="10">
        <f>IFERROR(__xludf.DUMMYFUNCTION("""COMPUTED_VALUE"""),39357.666666666664)</f>
        <v>39357.66667</v>
      </c>
      <c r="N950" s="2">
        <f>IFERROR(__xludf.DUMMYFUNCTION("""COMPUTED_VALUE"""),2747.11)</f>
        <v>2747.11</v>
      </c>
      <c r="S950" s="15"/>
    </row>
    <row r="951">
      <c r="A951" s="10">
        <f t="shared" si="8"/>
        <v>38933.66667</v>
      </c>
      <c r="B951" s="2" t="str">
        <f t="shared" si="2"/>
        <v/>
      </c>
      <c r="C951" s="2" t="str">
        <f t="shared" si="3"/>
        <v>SP500</v>
      </c>
      <c r="D951" s="2">
        <f t="shared" si="4"/>
        <v>2085.05</v>
      </c>
      <c r="E951" s="2">
        <f t="shared" si="5"/>
        <v>2085.05</v>
      </c>
      <c r="G951" s="10">
        <f t="shared" si="9"/>
        <v>38933.64583</v>
      </c>
      <c r="H951" s="6">
        <f t="shared" si="6"/>
        <v>1304.51</v>
      </c>
      <c r="I951" s="2">
        <f t="shared" si="7"/>
        <v>1304.51</v>
      </c>
      <c r="M951" s="10">
        <f>IFERROR(__xludf.DUMMYFUNCTION("""COMPUTED_VALUE"""),39358.666666666664)</f>
        <v>39358.66667</v>
      </c>
      <c r="N951" s="2">
        <f>IFERROR(__xludf.DUMMYFUNCTION("""COMPUTED_VALUE"""),2729.43)</f>
        <v>2729.43</v>
      </c>
      <c r="S951" s="15"/>
    </row>
    <row r="952">
      <c r="A952" s="10">
        <f t="shared" si="8"/>
        <v>38934.66667</v>
      </c>
      <c r="B952" s="2" t="str">
        <f t="shared" si="2"/>
        <v/>
      </c>
      <c r="C952" s="2" t="str">
        <f t="shared" si="3"/>
        <v>SP500</v>
      </c>
      <c r="D952" s="2" t="str">
        <f t="shared" si="4"/>
        <v/>
      </c>
      <c r="E952" s="2">
        <f t="shared" si="5"/>
        <v>2085.05</v>
      </c>
      <c r="G952" s="10">
        <f t="shared" si="9"/>
        <v>38934.64583</v>
      </c>
      <c r="H952" s="6" t="str">
        <f t="shared" si="6"/>
        <v/>
      </c>
      <c r="I952" s="2">
        <f t="shared" si="7"/>
        <v>1304.51</v>
      </c>
      <c r="M952" s="10">
        <f>IFERROR(__xludf.DUMMYFUNCTION("""COMPUTED_VALUE"""),39359.666666666664)</f>
        <v>39359.66667</v>
      </c>
      <c r="N952" s="2">
        <f>IFERROR(__xludf.DUMMYFUNCTION("""COMPUTED_VALUE"""),2733.57)</f>
        <v>2733.57</v>
      </c>
      <c r="S952" s="15"/>
    </row>
    <row r="953">
      <c r="A953" s="10">
        <f t="shared" si="8"/>
        <v>38935.66667</v>
      </c>
      <c r="B953" s="2" t="str">
        <f t="shared" si="2"/>
        <v/>
      </c>
      <c r="C953" s="2" t="str">
        <f t="shared" si="3"/>
        <v>SP500</v>
      </c>
      <c r="D953" s="2" t="str">
        <f t="shared" si="4"/>
        <v/>
      </c>
      <c r="E953" s="2">
        <f t="shared" si="5"/>
        <v>2085.05</v>
      </c>
      <c r="G953" s="10">
        <f t="shared" si="9"/>
        <v>38935.64583</v>
      </c>
      <c r="H953" s="6" t="str">
        <f t="shared" si="6"/>
        <v/>
      </c>
      <c r="I953" s="2">
        <f t="shared" si="7"/>
        <v>1304.51</v>
      </c>
      <c r="M953" s="10">
        <f>IFERROR(__xludf.DUMMYFUNCTION("""COMPUTED_VALUE"""),39360.666666666664)</f>
        <v>39360.66667</v>
      </c>
      <c r="N953" s="2">
        <f>IFERROR(__xludf.DUMMYFUNCTION("""COMPUTED_VALUE"""),2780.32)</f>
        <v>2780.32</v>
      </c>
      <c r="S953" s="15"/>
    </row>
    <row r="954">
      <c r="A954" s="10">
        <f t="shared" si="8"/>
        <v>38936.66667</v>
      </c>
      <c r="B954" s="2" t="str">
        <f t="shared" si="2"/>
        <v/>
      </c>
      <c r="C954" s="2" t="str">
        <f t="shared" si="3"/>
        <v>SP500</v>
      </c>
      <c r="D954" s="2">
        <f t="shared" si="4"/>
        <v>2072.5</v>
      </c>
      <c r="E954" s="2">
        <f t="shared" si="5"/>
        <v>2072.5</v>
      </c>
      <c r="G954" s="10">
        <f t="shared" si="9"/>
        <v>38936.64583</v>
      </c>
      <c r="H954" s="6">
        <f t="shared" si="6"/>
        <v>1289.54</v>
      </c>
      <c r="I954" s="2">
        <f t="shared" si="7"/>
        <v>1289.54</v>
      </c>
      <c r="M954" s="10">
        <f>IFERROR(__xludf.DUMMYFUNCTION("""COMPUTED_VALUE"""),39363.666666666664)</f>
        <v>39363.66667</v>
      </c>
      <c r="N954" s="2">
        <f>IFERROR(__xludf.DUMMYFUNCTION("""COMPUTED_VALUE"""),2787.37)</f>
        <v>2787.37</v>
      </c>
      <c r="S954" s="15"/>
    </row>
    <row r="955">
      <c r="A955" s="10">
        <f t="shared" si="8"/>
        <v>38937.66667</v>
      </c>
      <c r="B955" s="2" t="str">
        <f t="shared" si="2"/>
        <v/>
      </c>
      <c r="C955" s="2" t="str">
        <f t="shared" si="3"/>
        <v>SP500</v>
      </c>
      <c r="D955" s="2">
        <f t="shared" si="4"/>
        <v>2060.85</v>
      </c>
      <c r="E955" s="2">
        <f t="shared" si="5"/>
        <v>2060.85</v>
      </c>
      <c r="G955" s="10">
        <f t="shared" si="9"/>
        <v>38937.64583</v>
      </c>
      <c r="H955" s="6">
        <f t="shared" si="6"/>
        <v>1311.1</v>
      </c>
      <c r="I955" s="2">
        <f t="shared" si="7"/>
        <v>1311.1</v>
      </c>
      <c r="M955" s="10">
        <f>IFERROR(__xludf.DUMMYFUNCTION("""COMPUTED_VALUE"""),39364.666666666664)</f>
        <v>39364.66667</v>
      </c>
      <c r="N955" s="2">
        <f>IFERROR(__xludf.DUMMYFUNCTION("""COMPUTED_VALUE"""),2803.91)</f>
        <v>2803.91</v>
      </c>
      <c r="S955" s="15"/>
    </row>
    <row r="956">
      <c r="A956" s="10">
        <f t="shared" si="8"/>
        <v>38938.66667</v>
      </c>
      <c r="B956" s="2" t="str">
        <f t="shared" si="2"/>
        <v/>
      </c>
      <c r="C956" s="2" t="str">
        <f t="shared" si="3"/>
        <v>SP500</v>
      </c>
      <c r="D956" s="2">
        <f t="shared" si="4"/>
        <v>2060.28</v>
      </c>
      <c r="E956" s="2">
        <f t="shared" si="5"/>
        <v>2060.28</v>
      </c>
      <c r="G956" s="10">
        <f t="shared" si="9"/>
        <v>38938.64583</v>
      </c>
      <c r="H956" s="6">
        <f t="shared" si="6"/>
        <v>1314.93</v>
      </c>
      <c r="I956" s="2">
        <f t="shared" si="7"/>
        <v>1314.93</v>
      </c>
      <c r="M956" s="10">
        <f>IFERROR(__xludf.DUMMYFUNCTION("""COMPUTED_VALUE"""),39365.666666666664)</f>
        <v>39365.66667</v>
      </c>
      <c r="N956" s="2">
        <f>IFERROR(__xludf.DUMMYFUNCTION("""COMPUTED_VALUE"""),2811.61)</f>
        <v>2811.61</v>
      </c>
      <c r="S956" s="15"/>
    </row>
    <row r="957">
      <c r="A957" s="10">
        <f t="shared" si="8"/>
        <v>38939.66667</v>
      </c>
      <c r="B957" s="2" t="str">
        <f t="shared" si="2"/>
        <v/>
      </c>
      <c r="C957" s="2" t="str">
        <f t="shared" si="3"/>
        <v>SP500</v>
      </c>
      <c r="D957" s="2">
        <f t="shared" si="4"/>
        <v>2071.74</v>
      </c>
      <c r="E957" s="2">
        <f t="shared" si="5"/>
        <v>2071.74</v>
      </c>
      <c r="G957" s="10">
        <f t="shared" si="9"/>
        <v>38939.64583</v>
      </c>
      <c r="H957" s="6">
        <f t="shared" si="6"/>
        <v>1304.31</v>
      </c>
      <c r="I957" s="2">
        <f t="shared" si="7"/>
        <v>1304.31</v>
      </c>
      <c r="M957" s="10">
        <f>IFERROR(__xludf.DUMMYFUNCTION("""COMPUTED_VALUE"""),39366.666666666664)</f>
        <v>39366.66667</v>
      </c>
      <c r="N957" s="2">
        <f>IFERROR(__xludf.DUMMYFUNCTION("""COMPUTED_VALUE"""),2772.2)</f>
        <v>2772.2</v>
      </c>
      <c r="S957" s="15"/>
    </row>
    <row r="958">
      <c r="A958" s="10">
        <f t="shared" si="8"/>
        <v>38940.66667</v>
      </c>
      <c r="B958" s="2" t="str">
        <f t="shared" si="2"/>
        <v/>
      </c>
      <c r="C958" s="2" t="str">
        <f t="shared" si="3"/>
        <v>SP500</v>
      </c>
      <c r="D958" s="2">
        <f t="shared" si="4"/>
        <v>2057.71</v>
      </c>
      <c r="E958" s="2">
        <f t="shared" si="5"/>
        <v>2057.71</v>
      </c>
      <c r="G958" s="10">
        <f t="shared" si="9"/>
        <v>38940.64583</v>
      </c>
      <c r="H958" s="6">
        <f t="shared" si="6"/>
        <v>1292.1</v>
      </c>
      <c r="I958" s="2">
        <f t="shared" si="7"/>
        <v>1292.1</v>
      </c>
      <c r="M958" s="10">
        <f>IFERROR(__xludf.DUMMYFUNCTION("""COMPUTED_VALUE"""),39367.666666666664)</f>
        <v>39367.66667</v>
      </c>
      <c r="N958" s="2">
        <f>IFERROR(__xludf.DUMMYFUNCTION("""COMPUTED_VALUE"""),2805.68)</f>
        <v>2805.68</v>
      </c>
      <c r="S958" s="15"/>
    </row>
    <row r="959">
      <c r="A959" s="10">
        <f t="shared" si="8"/>
        <v>38941.66667</v>
      </c>
      <c r="B959" s="2" t="str">
        <f t="shared" si="2"/>
        <v/>
      </c>
      <c r="C959" s="2" t="str">
        <f t="shared" si="3"/>
        <v>SP500</v>
      </c>
      <c r="D959" s="2" t="str">
        <f t="shared" si="4"/>
        <v/>
      </c>
      <c r="E959" s="2">
        <f t="shared" si="5"/>
        <v>2057.71</v>
      </c>
      <c r="G959" s="10">
        <f t="shared" si="9"/>
        <v>38941.64583</v>
      </c>
      <c r="H959" s="6" t="str">
        <f t="shared" si="6"/>
        <v/>
      </c>
      <c r="I959" s="2">
        <f t="shared" si="7"/>
        <v>1292.1</v>
      </c>
      <c r="M959" s="10">
        <f>IFERROR(__xludf.DUMMYFUNCTION("""COMPUTED_VALUE"""),39370.666666666664)</f>
        <v>39370.66667</v>
      </c>
      <c r="N959" s="2">
        <f>IFERROR(__xludf.DUMMYFUNCTION("""COMPUTED_VALUE"""),2780.05)</f>
        <v>2780.05</v>
      </c>
      <c r="S959" s="15"/>
    </row>
    <row r="960">
      <c r="A960" s="10">
        <f t="shared" si="8"/>
        <v>38942.66667</v>
      </c>
      <c r="B960" s="2" t="str">
        <f t="shared" si="2"/>
        <v/>
      </c>
      <c r="C960" s="2" t="str">
        <f t="shared" si="3"/>
        <v>SP500</v>
      </c>
      <c r="D960" s="2" t="str">
        <f t="shared" si="4"/>
        <v/>
      </c>
      <c r="E960" s="2">
        <f t="shared" si="5"/>
        <v>2057.71</v>
      </c>
      <c r="G960" s="10">
        <f t="shared" si="9"/>
        <v>38942.64583</v>
      </c>
      <c r="H960" s="6" t="str">
        <f t="shared" si="6"/>
        <v/>
      </c>
      <c r="I960" s="2">
        <f t="shared" si="7"/>
        <v>1292.1</v>
      </c>
      <c r="M960" s="10">
        <f>IFERROR(__xludf.DUMMYFUNCTION("""COMPUTED_VALUE"""),39371.666666666664)</f>
        <v>39371.66667</v>
      </c>
      <c r="N960" s="2">
        <f>IFERROR(__xludf.DUMMYFUNCTION("""COMPUTED_VALUE"""),2763.91)</f>
        <v>2763.91</v>
      </c>
      <c r="S960" s="15"/>
    </row>
    <row r="961">
      <c r="A961" s="10">
        <f t="shared" si="8"/>
        <v>38943.66667</v>
      </c>
      <c r="B961" s="2" t="str">
        <f t="shared" si="2"/>
        <v/>
      </c>
      <c r="C961" s="2" t="str">
        <f t="shared" si="3"/>
        <v>SP500</v>
      </c>
      <c r="D961" s="2">
        <f t="shared" si="4"/>
        <v>2069.04</v>
      </c>
      <c r="E961" s="2">
        <f t="shared" si="5"/>
        <v>2069.04</v>
      </c>
      <c r="G961" s="10">
        <f t="shared" si="9"/>
        <v>38943.64583</v>
      </c>
      <c r="H961" s="6">
        <f t="shared" si="6"/>
        <v>1295.11</v>
      </c>
      <c r="I961" s="2">
        <f t="shared" si="7"/>
        <v>1295.11</v>
      </c>
      <c r="M961" s="10">
        <f>IFERROR(__xludf.DUMMYFUNCTION("""COMPUTED_VALUE"""),39372.666666666664)</f>
        <v>39372.66667</v>
      </c>
      <c r="N961" s="2">
        <f>IFERROR(__xludf.DUMMYFUNCTION("""COMPUTED_VALUE"""),2792.67)</f>
        <v>2792.67</v>
      </c>
      <c r="S961" s="15"/>
    </row>
    <row r="962">
      <c r="A962" s="10">
        <f t="shared" si="8"/>
        <v>38944.66667</v>
      </c>
      <c r="B962" s="2" t="str">
        <f t="shared" si="2"/>
        <v/>
      </c>
      <c r="C962" s="2" t="str">
        <f t="shared" si="3"/>
        <v>SP500</v>
      </c>
      <c r="D962" s="2">
        <f t="shared" si="4"/>
        <v>2115.01</v>
      </c>
      <c r="E962" s="2">
        <f t="shared" si="5"/>
        <v>2115.01</v>
      </c>
      <c r="G962" s="10">
        <f t="shared" si="9"/>
        <v>38944.64583</v>
      </c>
      <c r="H962" s="6" t="str">
        <f t="shared" si="6"/>
        <v/>
      </c>
      <c r="I962" s="2">
        <f t="shared" si="7"/>
        <v>1295.11</v>
      </c>
      <c r="M962" s="10">
        <f>IFERROR(__xludf.DUMMYFUNCTION("""COMPUTED_VALUE"""),39373.666666666664)</f>
        <v>39373.66667</v>
      </c>
      <c r="N962" s="2">
        <f>IFERROR(__xludf.DUMMYFUNCTION("""COMPUTED_VALUE"""),2799.31)</f>
        <v>2799.31</v>
      </c>
      <c r="S962" s="15"/>
    </row>
    <row r="963">
      <c r="A963" s="10">
        <f t="shared" si="8"/>
        <v>38945.66667</v>
      </c>
      <c r="B963" s="2" t="str">
        <f t="shared" si="2"/>
        <v/>
      </c>
      <c r="C963" s="2" t="str">
        <f t="shared" si="3"/>
        <v>SP500</v>
      </c>
      <c r="D963" s="2">
        <f t="shared" si="4"/>
        <v>2149.54</v>
      </c>
      <c r="E963" s="2">
        <f t="shared" si="5"/>
        <v>2149.54</v>
      </c>
      <c r="G963" s="10">
        <f t="shared" si="9"/>
        <v>38945.64583</v>
      </c>
      <c r="H963" s="6">
        <f t="shared" si="6"/>
        <v>1315.61</v>
      </c>
      <c r="I963" s="2">
        <f t="shared" si="7"/>
        <v>1315.61</v>
      </c>
      <c r="M963" s="10">
        <f>IFERROR(__xludf.DUMMYFUNCTION("""COMPUTED_VALUE"""),39374.666666666664)</f>
        <v>39374.66667</v>
      </c>
      <c r="N963" s="2">
        <f>IFERROR(__xludf.DUMMYFUNCTION("""COMPUTED_VALUE"""),2725.16)</f>
        <v>2725.16</v>
      </c>
      <c r="S963" s="15"/>
    </row>
    <row r="964">
      <c r="A964" s="10">
        <f t="shared" si="8"/>
        <v>38946.66667</v>
      </c>
      <c r="B964" s="2" t="str">
        <f t="shared" si="2"/>
        <v/>
      </c>
      <c r="C964" s="2" t="str">
        <f t="shared" si="3"/>
        <v>SP500</v>
      </c>
      <c r="D964" s="2">
        <f t="shared" si="4"/>
        <v>2157.61</v>
      </c>
      <c r="E964" s="2">
        <f t="shared" si="5"/>
        <v>2157.61</v>
      </c>
      <c r="G964" s="10">
        <f t="shared" si="9"/>
        <v>38946.64583</v>
      </c>
      <c r="H964" s="6">
        <f t="shared" si="6"/>
        <v>1327.78</v>
      </c>
      <c r="I964" s="2">
        <f t="shared" si="7"/>
        <v>1327.78</v>
      </c>
      <c r="M964" s="10">
        <f>IFERROR(__xludf.DUMMYFUNCTION("""COMPUTED_VALUE"""),39377.666666666664)</f>
        <v>39377.66667</v>
      </c>
      <c r="N964" s="2">
        <f>IFERROR(__xludf.DUMMYFUNCTION("""COMPUTED_VALUE"""),2753.93)</f>
        <v>2753.93</v>
      </c>
      <c r="S964" s="15"/>
    </row>
    <row r="965">
      <c r="A965" s="10">
        <f t="shared" si="8"/>
        <v>38947.66667</v>
      </c>
      <c r="B965" s="2" t="str">
        <f t="shared" si="2"/>
        <v/>
      </c>
      <c r="C965" s="2" t="str">
        <f t="shared" si="3"/>
        <v>SP500</v>
      </c>
      <c r="D965" s="2">
        <f t="shared" si="4"/>
        <v>2163.95</v>
      </c>
      <c r="E965" s="2">
        <f t="shared" si="5"/>
        <v>2163.95</v>
      </c>
      <c r="G965" s="10">
        <f t="shared" si="9"/>
        <v>38947.64583</v>
      </c>
      <c r="H965" s="6">
        <f t="shared" si="6"/>
        <v>1331.1</v>
      </c>
      <c r="I965" s="2">
        <f t="shared" si="7"/>
        <v>1331.1</v>
      </c>
      <c r="M965" s="10">
        <f>IFERROR(__xludf.DUMMYFUNCTION("""COMPUTED_VALUE"""),39378.666666666664)</f>
        <v>39378.66667</v>
      </c>
      <c r="N965" s="2">
        <f>IFERROR(__xludf.DUMMYFUNCTION("""COMPUTED_VALUE"""),2799.26)</f>
        <v>2799.26</v>
      </c>
      <c r="S965" s="15"/>
    </row>
    <row r="966">
      <c r="A966" s="10">
        <f t="shared" si="8"/>
        <v>38948.66667</v>
      </c>
      <c r="B966" s="2" t="str">
        <f t="shared" si="2"/>
        <v/>
      </c>
      <c r="C966" s="2" t="str">
        <f t="shared" si="3"/>
        <v>SP500</v>
      </c>
      <c r="D966" s="2" t="str">
        <f t="shared" si="4"/>
        <v/>
      </c>
      <c r="E966" s="2">
        <f t="shared" si="5"/>
        <v>2163.95</v>
      </c>
      <c r="G966" s="10">
        <f t="shared" si="9"/>
        <v>38948.64583</v>
      </c>
      <c r="H966" s="6" t="str">
        <f t="shared" si="6"/>
        <v/>
      </c>
      <c r="I966" s="2">
        <f t="shared" si="7"/>
        <v>1331.1</v>
      </c>
      <c r="M966" s="10">
        <f>IFERROR(__xludf.DUMMYFUNCTION("""COMPUTED_VALUE"""),39379.666666666664)</f>
        <v>39379.66667</v>
      </c>
      <c r="N966" s="2">
        <f>IFERROR(__xludf.DUMMYFUNCTION("""COMPUTED_VALUE"""),2774.76)</f>
        <v>2774.76</v>
      </c>
      <c r="S966" s="15"/>
    </row>
    <row r="967">
      <c r="A967" s="10">
        <f t="shared" si="8"/>
        <v>38949.66667</v>
      </c>
      <c r="B967" s="2" t="str">
        <f t="shared" si="2"/>
        <v/>
      </c>
      <c r="C967" s="2" t="str">
        <f t="shared" si="3"/>
        <v>SP500</v>
      </c>
      <c r="D967" s="2" t="str">
        <f t="shared" si="4"/>
        <v/>
      </c>
      <c r="E967" s="2">
        <f t="shared" si="5"/>
        <v>2163.95</v>
      </c>
      <c r="G967" s="10">
        <f t="shared" si="9"/>
        <v>38949.64583</v>
      </c>
      <c r="H967" s="6" t="str">
        <f t="shared" si="6"/>
        <v/>
      </c>
      <c r="I967" s="2">
        <f t="shared" si="7"/>
        <v>1331.1</v>
      </c>
      <c r="M967" s="10">
        <f>IFERROR(__xludf.DUMMYFUNCTION("""COMPUTED_VALUE"""),39380.666666666664)</f>
        <v>39380.66667</v>
      </c>
      <c r="N967" s="2">
        <f>IFERROR(__xludf.DUMMYFUNCTION("""COMPUTED_VALUE"""),2750.86)</f>
        <v>2750.86</v>
      </c>
      <c r="S967" s="15"/>
    </row>
    <row r="968">
      <c r="A968" s="10">
        <f t="shared" si="8"/>
        <v>38950.66667</v>
      </c>
      <c r="B968" s="2" t="str">
        <f t="shared" si="2"/>
        <v/>
      </c>
      <c r="C968" s="2" t="str">
        <f t="shared" si="3"/>
        <v>SP500</v>
      </c>
      <c r="D968" s="2">
        <f t="shared" si="4"/>
        <v>2147.75</v>
      </c>
      <c r="E968" s="2">
        <f t="shared" si="5"/>
        <v>2147.75</v>
      </c>
      <c r="G968" s="10">
        <f t="shared" si="9"/>
        <v>38950.64583</v>
      </c>
      <c r="H968" s="6">
        <f t="shared" si="6"/>
        <v>1321.67</v>
      </c>
      <c r="I968" s="2">
        <f t="shared" si="7"/>
        <v>1321.67</v>
      </c>
      <c r="M968" s="10">
        <f>IFERROR(__xludf.DUMMYFUNCTION("""COMPUTED_VALUE"""),39381.666666666664)</f>
        <v>39381.66667</v>
      </c>
      <c r="N968" s="2">
        <f>IFERROR(__xludf.DUMMYFUNCTION("""COMPUTED_VALUE"""),2804.19)</f>
        <v>2804.19</v>
      </c>
      <c r="S968" s="15"/>
    </row>
    <row r="969">
      <c r="A969" s="10">
        <f t="shared" si="8"/>
        <v>38951.66667</v>
      </c>
      <c r="B969" s="2" t="str">
        <f t="shared" si="2"/>
        <v/>
      </c>
      <c r="C969" s="2" t="str">
        <f t="shared" si="3"/>
        <v>SP500</v>
      </c>
      <c r="D969" s="2">
        <f t="shared" si="4"/>
        <v>2150.02</v>
      </c>
      <c r="E969" s="2">
        <f t="shared" si="5"/>
        <v>2150.02</v>
      </c>
      <c r="G969" s="10">
        <f t="shared" si="9"/>
        <v>38951.64583</v>
      </c>
      <c r="H969" s="6">
        <f t="shared" si="6"/>
        <v>1334.96</v>
      </c>
      <c r="I969" s="2">
        <f t="shared" si="7"/>
        <v>1334.96</v>
      </c>
      <c r="M969" s="10">
        <f>IFERROR(__xludf.DUMMYFUNCTION("""COMPUTED_VALUE"""),39384.666666666664)</f>
        <v>39384.66667</v>
      </c>
      <c r="N969" s="2">
        <f>IFERROR(__xludf.DUMMYFUNCTION("""COMPUTED_VALUE"""),2817.44)</f>
        <v>2817.44</v>
      </c>
      <c r="S969" s="15"/>
    </row>
    <row r="970">
      <c r="A970" s="10">
        <f t="shared" si="8"/>
        <v>38952.66667</v>
      </c>
      <c r="B970" s="2" t="str">
        <f t="shared" si="2"/>
        <v/>
      </c>
      <c r="C970" s="2" t="str">
        <f t="shared" si="3"/>
        <v>SP500</v>
      </c>
      <c r="D970" s="2">
        <f t="shared" si="4"/>
        <v>2134.66</v>
      </c>
      <c r="E970" s="2">
        <f t="shared" si="5"/>
        <v>2134.66</v>
      </c>
      <c r="G970" s="10">
        <f t="shared" si="9"/>
        <v>38952.64583</v>
      </c>
      <c r="H970" s="6">
        <f t="shared" si="6"/>
        <v>1324.95</v>
      </c>
      <c r="I970" s="2">
        <f t="shared" si="7"/>
        <v>1324.95</v>
      </c>
      <c r="M970" s="10">
        <f>IFERROR(__xludf.DUMMYFUNCTION("""COMPUTED_VALUE"""),39385.666666666664)</f>
        <v>39385.66667</v>
      </c>
      <c r="N970" s="2">
        <f>IFERROR(__xludf.DUMMYFUNCTION("""COMPUTED_VALUE"""),2816.71)</f>
        <v>2816.71</v>
      </c>
      <c r="S970" s="15"/>
    </row>
    <row r="971">
      <c r="A971" s="10">
        <f t="shared" si="8"/>
        <v>38953.66667</v>
      </c>
      <c r="B971" s="2" t="str">
        <f t="shared" si="2"/>
        <v/>
      </c>
      <c r="C971" s="2" t="str">
        <f t="shared" si="3"/>
        <v>SP500</v>
      </c>
      <c r="D971" s="2">
        <f t="shared" si="4"/>
        <v>2137.11</v>
      </c>
      <c r="E971" s="2">
        <f t="shared" si="5"/>
        <v>2137.11</v>
      </c>
      <c r="G971" s="10">
        <f t="shared" si="9"/>
        <v>38953.64583</v>
      </c>
      <c r="H971" s="6">
        <f t="shared" si="6"/>
        <v>1315.73</v>
      </c>
      <c r="I971" s="2">
        <f t="shared" si="7"/>
        <v>1315.73</v>
      </c>
      <c r="M971" s="10">
        <f>IFERROR(__xludf.DUMMYFUNCTION("""COMPUTED_VALUE"""),39386.666666666664)</f>
        <v>39386.66667</v>
      </c>
      <c r="N971" s="2">
        <f>IFERROR(__xludf.DUMMYFUNCTION("""COMPUTED_VALUE"""),2859.12)</f>
        <v>2859.12</v>
      </c>
      <c r="S971" s="15"/>
    </row>
    <row r="972">
      <c r="A972" s="10">
        <f t="shared" si="8"/>
        <v>38954.66667</v>
      </c>
      <c r="B972" s="2" t="str">
        <f t="shared" si="2"/>
        <v/>
      </c>
      <c r="C972" s="2" t="str">
        <f t="shared" si="3"/>
        <v>SP500</v>
      </c>
      <c r="D972" s="2">
        <f t="shared" si="4"/>
        <v>2140.29</v>
      </c>
      <c r="E972" s="2">
        <f t="shared" si="5"/>
        <v>2140.29</v>
      </c>
      <c r="G972" s="10">
        <f t="shared" si="9"/>
        <v>38954.64583</v>
      </c>
      <c r="H972" s="6">
        <f t="shared" si="6"/>
        <v>1329.35</v>
      </c>
      <c r="I972" s="2">
        <f t="shared" si="7"/>
        <v>1329.35</v>
      </c>
      <c r="M972" s="10">
        <f>IFERROR(__xludf.DUMMYFUNCTION("""COMPUTED_VALUE"""),39387.666666666664)</f>
        <v>39387.66667</v>
      </c>
      <c r="N972" s="2">
        <f>IFERROR(__xludf.DUMMYFUNCTION("""COMPUTED_VALUE"""),2794.83)</f>
        <v>2794.83</v>
      </c>
      <c r="S972" s="15"/>
    </row>
    <row r="973">
      <c r="A973" s="10">
        <f t="shared" si="8"/>
        <v>38955.66667</v>
      </c>
      <c r="B973" s="2" t="str">
        <f t="shared" si="2"/>
        <v/>
      </c>
      <c r="C973" s="2" t="str">
        <f t="shared" si="3"/>
        <v>SP500</v>
      </c>
      <c r="D973" s="2" t="str">
        <f t="shared" si="4"/>
        <v/>
      </c>
      <c r="E973" s="2">
        <f t="shared" si="5"/>
        <v>2140.29</v>
      </c>
      <c r="G973" s="10">
        <f t="shared" si="9"/>
        <v>38955.64583</v>
      </c>
      <c r="H973" s="6" t="str">
        <f t="shared" si="6"/>
        <v/>
      </c>
      <c r="I973" s="2">
        <f t="shared" si="7"/>
        <v>1329.35</v>
      </c>
      <c r="M973" s="10">
        <f>IFERROR(__xludf.DUMMYFUNCTION("""COMPUTED_VALUE"""),39388.666666666664)</f>
        <v>39388.66667</v>
      </c>
      <c r="N973" s="2">
        <f>IFERROR(__xludf.DUMMYFUNCTION("""COMPUTED_VALUE"""),2810.38)</f>
        <v>2810.38</v>
      </c>
      <c r="S973" s="15"/>
    </row>
    <row r="974">
      <c r="A974" s="10">
        <f t="shared" si="8"/>
        <v>38956.66667</v>
      </c>
      <c r="B974" s="2" t="str">
        <f t="shared" si="2"/>
        <v/>
      </c>
      <c r="C974" s="2" t="str">
        <f t="shared" si="3"/>
        <v>SP500</v>
      </c>
      <c r="D974" s="2" t="str">
        <f t="shared" si="4"/>
        <v/>
      </c>
      <c r="E974" s="2">
        <f t="shared" si="5"/>
        <v>2140.29</v>
      </c>
      <c r="G974" s="10">
        <f t="shared" si="9"/>
        <v>38956.64583</v>
      </c>
      <c r="H974" s="6" t="str">
        <f t="shared" si="6"/>
        <v/>
      </c>
      <c r="I974" s="2">
        <f t="shared" si="7"/>
        <v>1329.35</v>
      </c>
      <c r="M974" s="10">
        <f>IFERROR(__xludf.DUMMYFUNCTION("""COMPUTED_VALUE"""),39391.666666666664)</f>
        <v>39391.66667</v>
      </c>
      <c r="N974" s="2">
        <f>IFERROR(__xludf.DUMMYFUNCTION("""COMPUTED_VALUE"""),2795.18)</f>
        <v>2795.18</v>
      </c>
      <c r="S974" s="15"/>
    </row>
    <row r="975">
      <c r="A975" s="10">
        <f t="shared" si="8"/>
        <v>38957.66667</v>
      </c>
      <c r="B975" s="2" t="str">
        <f t="shared" si="2"/>
        <v/>
      </c>
      <c r="C975" s="2" t="str">
        <f t="shared" si="3"/>
        <v>SP500</v>
      </c>
      <c r="D975" s="2">
        <f t="shared" si="4"/>
        <v>2160.7</v>
      </c>
      <c r="E975" s="2">
        <f t="shared" si="5"/>
        <v>2160.7</v>
      </c>
      <c r="G975" s="10">
        <f t="shared" si="9"/>
        <v>38957.64583</v>
      </c>
      <c r="H975" s="6">
        <f t="shared" si="6"/>
        <v>1327.89</v>
      </c>
      <c r="I975" s="2">
        <f t="shared" si="7"/>
        <v>1327.89</v>
      </c>
      <c r="M975" s="10">
        <f>IFERROR(__xludf.DUMMYFUNCTION("""COMPUTED_VALUE"""),39392.666666666664)</f>
        <v>39392.66667</v>
      </c>
      <c r="N975" s="2">
        <f>IFERROR(__xludf.DUMMYFUNCTION("""COMPUTED_VALUE"""),2825.18)</f>
        <v>2825.18</v>
      </c>
      <c r="S975" s="15"/>
    </row>
    <row r="976">
      <c r="A976" s="10">
        <f t="shared" si="8"/>
        <v>38958.66667</v>
      </c>
      <c r="B976" s="2" t="str">
        <f t="shared" si="2"/>
        <v/>
      </c>
      <c r="C976" s="2" t="str">
        <f t="shared" si="3"/>
        <v>SP500</v>
      </c>
      <c r="D976" s="2">
        <f t="shared" si="4"/>
        <v>2172.3</v>
      </c>
      <c r="E976" s="2">
        <f t="shared" si="5"/>
        <v>2172.3</v>
      </c>
      <c r="G976" s="10">
        <f t="shared" si="9"/>
        <v>38958.64583</v>
      </c>
      <c r="H976" s="6">
        <f t="shared" si="6"/>
        <v>1344.61</v>
      </c>
      <c r="I976" s="2">
        <f t="shared" si="7"/>
        <v>1344.61</v>
      </c>
      <c r="M976" s="10">
        <f>IFERROR(__xludf.DUMMYFUNCTION("""COMPUTED_VALUE"""),39393.666666666664)</f>
        <v>39393.66667</v>
      </c>
      <c r="N976" s="2">
        <f>IFERROR(__xludf.DUMMYFUNCTION("""COMPUTED_VALUE"""),2748.76)</f>
        <v>2748.76</v>
      </c>
      <c r="S976" s="15"/>
    </row>
    <row r="977">
      <c r="A977" s="10">
        <f t="shared" si="8"/>
        <v>38959.66667</v>
      </c>
      <c r="B977" s="2" t="str">
        <f t="shared" si="2"/>
        <v/>
      </c>
      <c r="C977" s="2" t="str">
        <f t="shared" si="3"/>
        <v>SP500</v>
      </c>
      <c r="D977" s="2">
        <f t="shared" si="4"/>
        <v>2185.73</v>
      </c>
      <c r="E977" s="2">
        <f t="shared" si="5"/>
        <v>2185.73</v>
      </c>
      <c r="G977" s="10">
        <f t="shared" si="9"/>
        <v>38959.64583</v>
      </c>
      <c r="H977" s="6">
        <f t="shared" si="6"/>
        <v>1341.35</v>
      </c>
      <c r="I977" s="2">
        <f t="shared" si="7"/>
        <v>1341.35</v>
      </c>
      <c r="M977" s="10">
        <f>IFERROR(__xludf.DUMMYFUNCTION("""COMPUTED_VALUE"""),39394.666666666664)</f>
        <v>39394.66667</v>
      </c>
      <c r="N977" s="2">
        <f>IFERROR(__xludf.DUMMYFUNCTION("""COMPUTED_VALUE"""),2696.0)</f>
        <v>2696</v>
      </c>
      <c r="S977" s="15"/>
    </row>
    <row r="978">
      <c r="A978" s="10">
        <f t="shared" si="8"/>
        <v>38960.66667</v>
      </c>
      <c r="B978" s="2" t="str">
        <f t="shared" si="2"/>
        <v/>
      </c>
      <c r="C978" s="2" t="str">
        <f t="shared" si="3"/>
        <v>SP500</v>
      </c>
      <c r="D978" s="2">
        <f t="shared" si="4"/>
        <v>2183.75</v>
      </c>
      <c r="E978" s="2">
        <f t="shared" si="5"/>
        <v>2183.75</v>
      </c>
      <c r="G978" s="10">
        <f t="shared" si="9"/>
        <v>38960.64583</v>
      </c>
      <c r="H978" s="6">
        <f t="shared" si="6"/>
        <v>1352.74</v>
      </c>
      <c r="I978" s="2">
        <f t="shared" si="7"/>
        <v>1352.74</v>
      </c>
      <c r="M978" s="10">
        <f>IFERROR(__xludf.DUMMYFUNCTION("""COMPUTED_VALUE"""),39395.666666666664)</f>
        <v>39395.66667</v>
      </c>
      <c r="N978" s="2">
        <f>IFERROR(__xludf.DUMMYFUNCTION("""COMPUTED_VALUE"""),2627.94)</f>
        <v>2627.94</v>
      </c>
      <c r="S978" s="15"/>
    </row>
    <row r="979">
      <c r="A979" s="10">
        <f t="shared" si="8"/>
        <v>38961.66667</v>
      </c>
      <c r="B979" s="2" t="str">
        <f t="shared" si="2"/>
        <v/>
      </c>
      <c r="C979" s="2" t="str">
        <f t="shared" si="3"/>
        <v>SP500</v>
      </c>
      <c r="D979" s="2">
        <f t="shared" si="4"/>
        <v>2193.16</v>
      </c>
      <c r="E979" s="2">
        <f t="shared" si="5"/>
        <v>2193.16</v>
      </c>
      <c r="G979" s="10">
        <f t="shared" si="9"/>
        <v>38961.64583</v>
      </c>
      <c r="H979" s="6">
        <f t="shared" si="6"/>
        <v>1356.67</v>
      </c>
      <c r="I979" s="2">
        <f t="shared" si="7"/>
        <v>1356.67</v>
      </c>
      <c r="M979" s="10">
        <f>IFERROR(__xludf.DUMMYFUNCTION("""COMPUTED_VALUE"""),39398.666666666664)</f>
        <v>39398.66667</v>
      </c>
      <c r="N979" s="2">
        <f>IFERROR(__xludf.DUMMYFUNCTION("""COMPUTED_VALUE"""),2584.13)</f>
        <v>2584.13</v>
      </c>
      <c r="S979" s="15"/>
    </row>
    <row r="980">
      <c r="A980" s="10">
        <f t="shared" si="8"/>
        <v>38962.66667</v>
      </c>
      <c r="B980" s="2" t="str">
        <f t="shared" si="2"/>
        <v/>
      </c>
      <c r="C980" s="2" t="str">
        <f t="shared" si="3"/>
        <v>SP500</v>
      </c>
      <c r="D980" s="2" t="str">
        <f t="shared" si="4"/>
        <v/>
      </c>
      <c r="E980" s="2">
        <f t="shared" si="5"/>
        <v>2193.16</v>
      </c>
      <c r="G980" s="10">
        <f t="shared" si="9"/>
        <v>38962.64583</v>
      </c>
      <c r="H980" s="6" t="str">
        <f t="shared" si="6"/>
        <v/>
      </c>
      <c r="I980" s="2">
        <f t="shared" si="7"/>
        <v>1356.67</v>
      </c>
      <c r="M980" s="10">
        <f>IFERROR(__xludf.DUMMYFUNCTION("""COMPUTED_VALUE"""),39399.666666666664)</f>
        <v>39399.66667</v>
      </c>
      <c r="N980" s="2">
        <f>IFERROR(__xludf.DUMMYFUNCTION("""COMPUTED_VALUE"""),2673.65)</f>
        <v>2673.65</v>
      </c>
      <c r="S980" s="15"/>
    </row>
    <row r="981">
      <c r="A981" s="10">
        <f t="shared" si="8"/>
        <v>38963.66667</v>
      </c>
      <c r="B981" s="2" t="str">
        <f t="shared" si="2"/>
        <v/>
      </c>
      <c r="C981" s="2" t="str">
        <f t="shared" si="3"/>
        <v>SP500</v>
      </c>
      <c r="D981" s="2" t="str">
        <f t="shared" si="4"/>
        <v/>
      </c>
      <c r="E981" s="2">
        <f t="shared" si="5"/>
        <v>2193.16</v>
      </c>
      <c r="G981" s="10">
        <f t="shared" si="9"/>
        <v>38963.64583</v>
      </c>
      <c r="H981" s="6" t="str">
        <f t="shared" si="6"/>
        <v/>
      </c>
      <c r="I981" s="2">
        <f t="shared" si="7"/>
        <v>1356.67</v>
      </c>
      <c r="M981" s="10">
        <f>IFERROR(__xludf.DUMMYFUNCTION("""COMPUTED_VALUE"""),39400.666666666664)</f>
        <v>39400.66667</v>
      </c>
      <c r="N981" s="2">
        <f>IFERROR(__xludf.DUMMYFUNCTION("""COMPUTED_VALUE"""),2644.32)</f>
        <v>2644.32</v>
      </c>
      <c r="S981" s="15"/>
    </row>
    <row r="982">
      <c r="A982" s="10">
        <f t="shared" si="8"/>
        <v>38964.66667</v>
      </c>
      <c r="B982" s="2" t="str">
        <f t="shared" si="2"/>
        <v/>
      </c>
      <c r="C982" s="2" t="str">
        <f t="shared" si="3"/>
        <v>SP500</v>
      </c>
      <c r="D982" s="2" t="str">
        <f t="shared" si="4"/>
        <v/>
      </c>
      <c r="E982" s="2">
        <f t="shared" si="5"/>
        <v>2193.16</v>
      </c>
      <c r="G982" s="10">
        <f t="shared" si="9"/>
        <v>38964.64583</v>
      </c>
      <c r="H982" s="6">
        <f t="shared" si="6"/>
        <v>1359.06</v>
      </c>
      <c r="I982" s="2">
        <f t="shared" si="7"/>
        <v>1359.06</v>
      </c>
      <c r="M982" s="10">
        <f>IFERROR(__xludf.DUMMYFUNCTION("""COMPUTED_VALUE"""),39401.666666666664)</f>
        <v>39401.66667</v>
      </c>
      <c r="N982" s="2">
        <f>IFERROR(__xludf.DUMMYFUNCTION("""COMPUTED_VALUE"""),2618.51)</f>
        <v>2618.51</v>
      </c>
      <c r="S982" s="15"/>
    </row>
    <row r="983">
      <c r="A983" s="10">
        <f t="shared" si="8"/>
        <v>38965.66667</v>
      </c>
      <c r="B983" s="2" t="str">
        <f t="shared" si="2"/>
        <v/>
      </c>
      <c r="C983" s="2" t="str">
        <f t="shared" si="3"/>
        <v>SP500</v>
      </c>
      <c r="D983" s="2">
        <f t="shared" si="4"/>
        <v>2205.7</v>
      </c>
      <c r="E983" s="2">
        <f t="shared" si="5"/>
        <v>2205.7</v>
      </c>
      <c r="G983" s="10">
        <f t="shared" si="9"/>
        <v>38965.64583</v>
      </c>
      <c r="H983" s="6">
        <f t="shared" si="6"/>
        <v>1361.24</v>
      </c>
      <c r="I983" s="2">
        <f t="shared" si="7"/>
        <v>1361.24</v>
      </c>
      <c r="M983" s="10">
        <f>IFERROR(__xludf.DUMMYFUNCTION("""COMPUTED_VALUE"""),39402.666666666664)</f>
        <v>39402.66667</v>
      </c>
      <c r="N983" s="2">
        <f>IFERROR(__xludf.DUMMYFUNCTION("""COMPUTED_VALUE"""),2637.24)</f>
        <v>2637.24</v>
      </c>
      <c r="S983" s="15"/>
    </row>
    <row r="984">
      <c r="A984" s="10">
        <f t="shared" si="8"/>
        <v>38966.66667</v>
      </c>
      <c r="B984" s="2" t="str">
        <f t="shared" si="2"/>
        <v/>
      </c>
      <c r="C984" s="2" t="str">
        <f t="shared" si="3"/>
        <v>SP500</v>
      </c>
      <c r="D984" s="2">
        <f t="shared" si="4"/>
        <v>2167.84</v>
      </c>
      <c r="E984" s="2">
        <f t="shared" si="5"/>
        <v>2167.84</v>
      </c>
      <c r="G984" s="10">
        <f t="shared" si="9"/>
        <v>38966.64583</v>
      </c>
      <c r="H984" s="6">
        <f t="shared" si="6"/>
        <v>1357.01</v>
      </c>
      <c r="I984" s="2">
        <f t="shared" si="7"/>
        <v>1357.01</v>
      </c>
      <c r="M984" s="10">
        <f>IFERROR(__xludf.DUMMYFUNCTION("""COMPUTED_VALUE"""),39405.666666666664)</f>
        <v>39405.66667</v>
      </c>
      <c r="N984" s="2">
        <f>IFERROR(__xludf.DUMMYFUNCTION("""COMPUTED_VALUE"""),2593.38)</f>
        <v>2593.38</v>
      </c>
      <c r="S984" s="15"/>
    </row>
    <row r="985">
      <c r="A985" s="10">
        <f t="shared" si="8"/>
        <v>38967.66667</v>
      </c>
      <c r="B985" s="2" t="str">
        <f t="shared" si="2"/>
        <v/>
      </c>
      <c r="C985" s="2" t="str">
        <f t="shared" si="3"/>
        <v>SP500</v>
      </c>
      <c r="D985" s="2">
        <f t="shared" si="4"/>
        <v>2155.29</v>
      </c>
      <c r="E985" s="2">
        <f t="shared" si="5"/>
        <v>2155.29</v>
      </c>
      <c r="G985" s="10">
        <f t="shared" si="9"/>
        <v>38967.64583</v>
      </c>
      <c r="H985" s="6">
        <f t="shared" si="6"/>
        <v>1351.17</v>
      </c>
      <c r="I985" s="2">
        <f t="shared" si="7"/>
        <v>1351.17</v>
      </c>
      <c r="M985" s="10">
        <f>IFERROR(__xludf.DUMMYFUNCTION("""COMPUTED_VALUE"""),39406.666666666664)</f>
        <v>39406.66667</v>
      </c>
      <c r="N985" s="2">
        <f>IFERROR(__xludf.DUMMYFUNCTION("""COMPUTED_VALUE"""),2596.81)</f>
        <v>2596.81</v>
      </c>
      <c r="S985" s="15"/>
    </row>
    <row r="986">
      <c r="A986" s="10">
        <f t="shared" si="8"/>
        <v>38968.66667</v>
      </c>
      <c r="B986" s="2" t="str">
        <f t="shared" si="2"/>
        <v/>
      </c>
      <c r="C986" s="2" t="str">
        <f t="shared" si="3"/>
        <v>SP500</v>
      </c>
      <c r="D986" s="2">
        <f t="shared" si="4"/>
        <v>2165.79</v>
      </c>
      <c r="E986" s="2">
        <f t="shared" si="5"/>
        <v>2165.79</v>
      </c>
      <c r="G986" s="10">
        <f t="shared" si="9"/>
        <v>38968.64583</v>
      </c>
      <c r="H986" s="6">
        <f t="shared" si="6"/>
        <v>1354.89</v>
      </c>
      <c r="I986" s="2">
        <f t="shared" si="7"/>
        <v>1354.89</v>
      </c>
      <c r="M986" s="10">
        <f>IFERROR(__xludf.DUMMYFUNCTION("""COMPUTED_VALUE"""),39407.666666666664)</f>
        <v>39407.66667</v>
      </c>
      <c r="N986" s="2">
        <f>IFERROR(__xludf.DUMMYFUNCTION("""COMPUTED_VALUE"""),2562.15)</f>
        <v>2562.15</v>
      </c>
      <c r="S986" s="15"/>
    </row>
    <row r="987">
      <c r="A987" s="10">
        <f t="shared" si="8"/>
        <v>38969.66667</v>
      </c>
      <c r="B987" s="2" t="str">
        <f t="shared" si="2"/>
        <v/>
      </c>
      <c r="C987" s="2" t="str">
        <f t="shared" si="3"/>
        <v>SP500</v>
      </c>
      <c r="D987" s="2" t="str">
        <f t="shared" si="4"/>
        <v/>
      </c>
      <c r="E987" s="2">
        <f t="shared" si="5"/>
        <v>2165.79</v>
      </c>
      <c r="G987" s="10">
        <f t="shared" si="9"/>
        <v>38969.64583</v>
      </c>
      <c r="H987" s="6" t="str">
        <f t="shared" si="6"/>
        <v/>
      </c>
      <c r="I987" s="2">
        <f t="shared" si="7"/>
        <v>1354.89</v>
      </c>
      <c r="M987" s="10">
        <f>IFERROR(__xludf.DUMMYFUNCTION("""COMPUTED_VALUE"""),39409.666666666664)</f>
        <v>39409.66667</v>
      </c>
      <c r="N987" s="2">
        <f>IFERROR(__xludf.DUMMYFUNCTION("""COMPUTED_VALUE"""),2596.6)</f>
        <v>2596.6</v>
      </c>
      <c r="S987" s="15"/>
    </row>
    <row r="988">
      <c r="A988" s="10">
        <f t="shared" si="8"/>
        <v>38970.66667</v>
      </c>
      <c r="B988" s="2" t="str">
        <f t="shared" si="2"/>
        <v/>
      </c>
      <c r="C988" s="2" t="str">
        <f t="shared" si="3"/>
        <v>SP500</v>
      </c>
      <c r="D988" s="2" t="str">
        <f t="shared" si="4"/>
        <v/>
      </c>
      <c r="E988" s="2">
        <f t="shared" si="5"/>
        <v>2165.79</v>
      </c>
      <c r="G988" s="10">
        <f t="shared" si="9"/>
        <v>38970.64583</v>
      </c>
      <c r="H988" s="6" t="str">
        <f t="shared" si="6"/>
        <v/>
      </c>
      <c r="I988" s="2">
        <f t="shared" si="7"/>
        <v>1354.89</v>
      </c>
      <c r="M988" s="10">
        <f>IFERROR(__xludf.DUMMYFUNCTION("""COMPUTED_VALUE"""),39412.666666666664)</f>
        <v>39412.66667</v>
      </c>
      <c r="N988" s="2">
        <f>IFERROR(__xludf.DUMMYFUNCTION("""COMPUTED_VALUE"""),2540.99)</f>
        <v>2540.99</v>
      </c>
      <c r="S988" s="15"/>
    </row>
    <row r="989">
      <c r="A989" s="10">
        <f t="shared" si="8"/>
        <v>38971.66667</v>
      </c>
      <c r="B989" s="2" t="str">
        <f t="shared" si="2"/>
        <v/>
      </c>
      <c r="C989" s="2" t="str">
        <f t="shared" si="3"/>
        <v>SP500</v>
      </c>
      <c r="D989" s="2">
        <f t="shared" si="4"/>
        <v>2173.25</v>
      </c>
      <c r="E989" s="2">
        <f t="shared" si="5"/>
        <v>2173.25</v>
      </c>
      <c r="G989" s="10">
        <f t="shared" si="9"/>
        <v>38971.64583</v>
      </c>
      <c r="H989" s="6">
        <f t="shared" si="6"/>
        <v>1334.08</v>
      </c>
      <c r="I989" s="2">
        <f t="shared" si="7"/>
        <v>1334.08</v>
      </c>
      <c r="M989" s="10">
        <f>IFERROR(__xludf.DUMMYFUNCTION("""COMPUTED_VALUE"""),39413.666666666664)</f>
        <v>39413.66667</v>
      </c>
      <c r="N989" s="2">
        <f>IFERROR(__xludf.DUMMYFUNCTION("""COMPUTED_VALUE"""),2580.8)</f>
        <v>2580.8</v>
      </c>
      <c r="S989" s="15"/>
    </row>
    <row r="990">
      <c r="A990" s="10">
        <f t="shared" si="8"/>
        <v>38972.66667</v>
      </c>
      <c r="B990" s="2" t="str">
        <f t="shared" si="2"/>
        <v/>
      </c>
      <c r="C990" s="2" t="str">
        <f t="shared" si="3"/>
        <v>SP500</v>
      </c>
      <c r="D990" s="2">
        <f t="shared" si="4"/>
        <v>2215.82</v>
      </c>
      <c r="E990" s="2">
        <f t="shared" si="5"/>
        <v>2215.82</v>
      </c>
      <c r="G990" s="10">
        <f t="shared" si="9"/>
        <v>38972.64583</v>
      </c>
      <c r="H990" s="6">
        <f t="shared" si="6"/>
        <v>1328.04</v>
      </c>
      <c r="I990" s="2">
        <f t="shared" si="7"/>
        <v>1328.04</v>
      </c>
      <c r="M990" s="10">
        <f>IFERROR(__xludf.DUMMYFUNCTION("""COMPUTED_VALUE"""),39414.666666666664)</f>
        <v>39414.66667</v>
      </c>
      <c r="N990" s="2">
        <f>IFERROR(__xludf.DUMMYFUNCTION("""COMPUTED_VALUE"""),2662.91)</f>
        <v>2662.91</v>
      </c>
      <c r="S990" s="15"/>
    </row>
    <row r="991">
      <c r="A991" s="10">
        <f t="shared" si="8"/>
        <v>38973.66667</v>
      </c>
      <c r="B991" s="2" t="str">
        <f t="shared" si="2"/>
        <v/>
      </c>
      <c r="C991" s="2" t="str">
        <f t="shared" si="3"/>
        <v>SP500</v>
      </c>
      <c r="D991" s="2">
        <f t="shared" si="4"/>
        <v>2227.67</v>
      </c>
      <c r="E991" s="2">
        <f t="shared" si="5"/>
        <v>2227.67</v>
      </c>
      <c r="G991" s="10">
        <f t="shared" si="9"/>
        <v>38973.64583</v>
      </c>
      <c r="H991" s="6">
        <f t="shared" si="6"/>
        <v>1333.13</v>
      </c>
      <c r="I991" s="2">
        <f t="shared" si="7"/>
        <v>1333.13</v>
      </c>
      <c r="M991" s="10">
        <f>IFERROR(__xludf.DUMMYFUNCTION("""COMPUTED_VALUE"""),39415.666666666664)</f>
        <v>39415.66667</v>
      </c>
      <c r="N991" s="2">
        <f>IFERROR(__xludf.DUMMYFUNCTION("""COMPUTED_VALUE"""),2668.13)</f>
        <v>2668.13</v>
      </c>
      <c r="S991" s="15"/>
    </row>
    <row r="992">
      <c r="A992" s="10">
        <f t="shared" si="8"/>
        <v>38974.66667</v>
      </c>
      <c r="B992" s="2" t="str">
        <f t="shared" si="2"/>
        <v/>
      </c>
      <c r="C992" s="2" t="str">
        <f t="shared" si="3"/>
        <v>SP500</v>
      </c>
      <c r="D992" s="2">
        <f t="shared" si="4"/>
        <v>2228.73</v>
      </c>
      <c r="E992" s="2">
        <f t="shared" si="5"/>
        <v>2228.73</v>
      </c>
      <c r="G992" s="10">
        <f t="shared" si="9"/>
        <v>38974.64583</v>
      </c>
      <c r="H992" s="6">
        <f t="shared" si="6"/>
        <v>1358.75</v>
      </c>
      <c r="I992" s="2">
        <f t="shared" si="7"/>
        <v>1358.75</v>
      </c>
      <c r="M992" s="10">
        <f>IFERROR(__xludf.DUMMYFUNCTION("""COMPUTED_VALUE"""),39416.666666666664)</f>
        <v>39416.66667</v>
      </c>
      <c r="N992" s="2">
        <f>IFERROR(__xludf.DUMMYFUNCTION("""COMPUTED_VALUE"""),2660.96)</f>
        <v>2660.96</v>
      </c>
      <c r="S992" s="15"/>
    </row>
    <row r="993">
      <c r="A993" s="10">
        <f t="shared" si="8"/>
        <v>38975.66667</v>
      </c>
      <c r="B993" s="2" t="str">
        <f t="shared" si="2"/>
        <v/>
      </c>
      <c r="C993" s="2" t="str">
        <f t="shared" si="3"/>
        <v>SP500</v>
      </c>
      <c r="D993" s="2">
        <f t="shared" si="4"/>
        <v>2235.59</v>
      </c>
      <c r="E993" s="2">
        <f t="shared" si="5"/>
        <v>2235.59</v>
      </c>
      <c r="G993" s="10">
        <f t="shared" si="9"/>
        <v>38975.64583</v>
      </c>
      <c r="H993" s="6">
        <f t="shared" si="6"/>
        <v>1361.1</v>
      </c>
      <c r="I993" s="2">
        <f t="shared" si="7"/>
        <v>1361.1</v>
      </c>
      <c r="M993" s="10">
        <f>IFERROR(__xludf.DUMMYFUNCTION("""COMPUTED_VALUE"""),39419.666666666664)</f>
        <v>39419.66667</v>
      </c>
      <c r="N993" s="2">
        <f>IFERROR(__xludf.DUMMYFUNCTION("""COMPUTED_VALUE"""),2637.13)</f>
        <v>2637.13</v>
      </c>
      <c r="S993" s="15"/>
    </row>
    <row r="994">
      <c r="A994" s="10">
        <f t="shared" si="8"/>
        <v>38976.66667</v>
      </c>
      <c r="B994" s="2" t="str">
        <f t="shared" si="2"/>
        <v/>
      </c>
      <c r="C994" s="2" t="str">
        <f t="shared" si="3"/>
        <v>SP500</v>
      </c>
      <c r="D994" s="2" t="str">
        <f t="shared" si="4"/>
        <v/>
      </c>
      <c r="E994" s="2">
        <f t="shared" si="5"/>
        <v>2235.59</v>
      </c>
      <c r="G994" s="10">
        <f t="shared" si="9"/>
        <v>38976.64583</v>
      </c>
      <c r="H994" s="6" t="str">
        <f t="shared" si="6"/>
        <v/>
      </c>
      <c r="I994" s="2">
        <f t="shared" si="7"/>
        <v>1361.1</v>
      </c>
      <c r="M994" s="10">
        <f>IFERROR(__xludf.DUMMYFUNCTION("""COMPUTED_VALUE"""),39420.666666666664)</f>
        <v>39420.66667</v>
      </c>
      <c r="N994" s="2">
        <f>IFERROR(__xludf.DUMMYFUNCTION("""COMPUTED_VALUE"""),2619.83)</f>
        <v>2619.83</v>
      </c>
      <c r="S994" s="15"/>
    </row>
    <row r="995">
      <c r="A995" s="10">
        <f t="shared" si="8"/>
        <v>38977.66667</v>
      </c>
      <c r="B995" s="2" t="str">
        <f t="shared" si="2"/>
        <v/>
      </c>
      <c r="C995" s="2" t="str">
        <f t="shared" si="3"/>
        <v>SP500</v>
      </c>
      <c r="D995" s="2" t="str">
        <f t="shared" si="4"/>
        <v/>
      </c>
      <c r="E995" s="2">
        <f t="shared" si="5"/>
        <v>2235.59</v>
      </c>
      <c r="G995" s="10">
        <f t="shared" si="9"/>
        <v>38977.64583</v>
      </c>
      <c r="H995" s="6" t="str">
        <f t="shared" si="6"/>
        <v/>
      </c>
      <c r="I995" s="2">
        <f t="shared" si="7"/>
        <v>1361.1</v>
      </c>
      <c r="M995" s="10">
        <f>IFERROR(__xludf.DUMMYFUNCTION("""COMPUTED_VALUE"""),39421.666666666664)</f>
        <v>39421.66667</v>
      </c>
      <c r="N995" s="2">
        <f>IFERROR(__xludf.DUMMYFUNCTION("""COMPUTED_VALUE"""),2666.36)</f>
        <v>2666.36</v>
      </c>
      <c r="S995" s="15"/>
    </row>
    <row r="996">
      <c r="A996" s="10">
        <f t="shared" si="8"/>
        <v>38978.66667</v>
      </c>
      <c r="B996" s="2" t="str">
        <f t="shared" si="2"/>
        <v/>
      </c>
      <c r="C996" s="2" t="str">
        <f t="shared" si="3"/>
        <v>SP500</v>
      </c>
      <c r="D996" s="2">
        <f t="shared" si="4"/>
        <v>2235.75</v>
      </c>
      <c r="E996" s="2">
        <f t="shared" si="5"/>
        <v>2235.75</v>
      </c>
      <c r="G996" s="10">
        <f t="shared" si="9"/>
        <v>38978.64583</v>
      </c>
      <c r="H996" s="6">
        <f t="shared" si="6"/>
        <v>1374.3</v>
      </c>
      <c r="I996" s="2">
        <f t="shared" si="7"/>
        <v>1374.3</v>
      </c>
      <c r="M996" s="10">
        <f>IFERROR(__xludf.DUMMYFUNCTION("""COMPUTED_VALUE"""),39422.666666666664)</f>
        <v>39422.66667</v>
      </c>
      <c r="N996" s="2">
        <f>IFERROR(__xludf.DUMMYFUNCTION("""COMPUTED_VALUE"""),2709.03)</f>
        <v>2709.03</v>
      </c>
      <c r="S996" s="15"/>
    </row>
    <row r="997">
      <c r="A997" s="10">
        <f t="shared" si="8"/>
        <v>38979.66667</v>
      </c>
      <c r="B997" s="2" t="str">
        <f t="shared" si="2"/>
        <v/>
      </c>
      <c r="C997" s="2" t="str">
        <f t="shared" si="3"/>
        <v>SP500</v>
      </c>
      <c r="D997" s="2">
        <f t="shared" si="4"/>
        <v>2222.37</v>
      </c>
      <c r="E997" s="2">
        <f t="shared" si="5"/>
        <v>2222.37</v>
      </c>
      <c r="G997" s="10">
        <f t="shared" si="9"/>
        <v>38979.64583</v>
      </c>
      <c r="H997" s="6">
        <f t="shared" si="6"/>
        <v>1373.95</v>
      </c>
      <c r="I997" s="2">
        <f t="shared" si="7"/>
        <v>1373.95</v>
      </c>
      <c r="M997" s="10">
        <f>IFERROR(__xludf.DUMMYFUNCTION("""COMPUTED_VALUE"""),39423.666666666664)</f>
        <v>39423.66667</v>
      </c>
      <c r="N997" s="2">
        <f>IFERROR(__xludf.DUMMYFUNCTION("""COMPUTED_VALUE"""),2706.16)</f>
        <v>2706.16</v>
      </c>
      <c r="S997" s="15"/>
    </row>
    <row r="998">
      <c r="A998" s="10">
        <f t="shared" si="8"/>
        <v>38980.66667</v>
      </c>
      <c r="B998" s="2" t="str">
        <f t="shared" si="2"/>
        <v/>
      </c>
      <c r="C998" s="2" t="str">
        <f t="shared" si="3"/>
        <v>SP500</v>
      </c>
      <c r="D998" s="2">
        <f t="shared" si="4"/>
        <v>2252.89</v>
      </c>
      <c r="E998" s="2">
        <f t="shared" si="5"/>
        <v>2252.89</v>
      </c>
      <c r="G998" s="10">
        <f t="shared" si="9"/>
        <v>38980.64583</v>
      </c>
      <c r="H998" s="6">
        <f t="shared" si="6"/>
        <v>1366.44</v>
      </c>
      <c r="I998" s="2">
        <f t="shared" si="7"/>
        <v>1366.44</v>
      </c>
      <c r="M998" s="10">
        <f>IFERROR(__xludf.DUMMYFUNCTION("""COMPUTED_VALUE"""),39426.666666666664)</f>
        <v>39426.66667</v>
      </c>
      <c r="N998" s="2">
        <f>IFERROR(__xludf.DUMMYFUNCTION("""COMPUTED_VALUE"""),2718.95)</f>
        <v>2718.95</v>
      </c>
      <c r="S998" s="15"/>
    </row>
    <row r="999">
      <c r="A999" s="10">
        <f t="shared" si="8"/>
        <v>38981.66667</v>
      </c>
      <c r="B999" s="2" t="str">
        <f t="shared" si="2"/>
        <v/>
      </c>
      <c r="C999" s="2" t="str">
        <f t="shared" si="3"/>
        <v>SP500</v>
      </c>
      <c r="D999" s="2">
        <f t="shared" si="4"/>
        <v>2237.75</v>
      </c>
      <c r="E999" s="2">
        <f t="shared" si="5"/>
        <v>2237.75</v>
      </c>
      <c r="G999" s="10">
        <f t="shared" si="9"/>
        <v>38981.64583</v>
      </c>
      <c r="H999" s="6">
        <f t="shared" si="6"/>
        <v>1366.79</v>
      </c>
      <c r="I999" s="2">
        <f t="shared" si="7"/>
        <v>1366.79</v>
      </c>
      <c r="M999" s="10">
        <f>IFERROR(__xludf.DUMMYFUNCTION("""COMPUTED_VALUE"""),39427.666666666664)</f>
        <v>39427.66667</v>
      </c>
      <c r="N999" s="2">
        <f>IFERROR(__xludf.DUMMYFUNCTION("""COMPUTED_VALUE"""),2652.35)</f>
        <v>2652.35</v>
      </c>
      <c r="S999" s="15"/>
    </row>
    <row r="1000">
      <c r="A1000" s="10">
        <f t="shared" si="8"/>
        <v>38982.66667</v>
      </c>
      <c r="B1000" s="2" t="str">
        <f t="shared" si="2"/>
        <v/>
      </c>
      <c r="C1000" s="2" t="str">
        <f t="shared" si="3"/>
        <v>SP500</v>
      </c>
      <c r="D1000" s="2">
        <f t="shared" si="4"/>
        <v>2218.93</v>
      </c>
      <c r="E1000" s="2">
        <f t="shared" si="5"/>
        <v>2218.93</v>
      </c>
      <c r="G1000" s="10">
        <f t="shared" si="9"/>
        <v>38982.64583</v>
      </c>
      <c r="H1000" s="6">
        <f t="shared" si="6"/>
        <v>1348.38</v>
      </c>
      <c r="I1000" s="2">
        <f t="shared" si="7"/>
        <v>1348.38</v>
      </c>
      <c r="M1000" s="10">
        <f>IFERROR(__xludf.DUMMYFUNCTION("""COMPUTED_VALUE"""),39428.666666666664)</f>
        <v>39428.66667</v>
      </c>
      <c r="N1000" s="2">
        <f>IFERROR(__xludf.DUMMYFUNCTION("""COMPUTED_VALUE"""),2671.14)</f>
        <v>2671.14</v>
      </c>
      <c r="S1000" s="15"/>
    </row>
    <row r="1001">
      <c r="A1001" s="10">
        <f t="shared" si="8"/>
        <v>38983.66667</v>
      </c>
      <c r="B1001" s="2" t="str">
        <f t="shared" si="2"/>
        <v/>
      </c>
      <c r="C1001" s="2" t="str">
        <f t="shared" si="3"/>
        <v>SP500</v>
      </c>
      <c r="D1001" s="2" t="str">
        <f t="shared" si="4"/>
        <v/>
      </c>
      <c r="E1001" s="2">
        <f t="shared" si="5"/>
        <v>2218.93</v>
      </c>
      <c r="G1001" s="10">
        <f t="shared" si="9"/>
        <v>38983.64583</v>
      </c>
      <c r="H1001" s="6" t="str">
        <f t="shared" si="6"/>
        <v/>
      </c>
      <c r="I1001" s="2">
        <f t="shared" si="7"/>
        <v>1348.38</v>
      </c>
      <c r="M1001" s="10">
        <f>IFERROR(__xludf.DUMMYFUNCTION("""COMPUTED_VALUE"""),39429.666666666664)</f>
        <v>39429.66667</v>
      </c>
      <c r="N1001" s="2">
        <f>IFERROR(__xludf.DUMMYFUNCTION("""COMPUTED_VALUE"""),2668.49)</f>
        <v>2668.49</v>
      </c>
      <c r="S1001" s="15"/>
    </row>
    <row r="1002">
      <c r="A1002" s="10">
        <f t="shared" si="8"/>
        <v>38984.66667</v>
      </c>
      <c r="B1002" s="2" t="str">
        <f t="shared" si="2"/>
        <v/>
      </c>
      <c r="C1002" s="2" t="str">
        <f t="shared" si="3"/>
        <v>SP500</v>
      </c>
      <c r="D1002" s="2" t="str">
        <f t="shared" si="4"/>
        <v/>
      </c>
      <c r="E1002" s="2">
        <f t="shared" si="5"/>
        <v>2218.93</v>
      </c>
      <c r="G1002" s="10">
        <f t="shared" si="9"/>
        <v>38984.64583</v>
      </c>
      <c r="H1002" s="6" t="str">
        <f t="shared" si="6"/>
        <v/>
      </c>
      <c r="I1002" s="2">
        <f t="shared" si="7"/>
        <v>1348.38</v>
      </c>
      <c r="M1002" s="10">
        <f>IFERROR(__xludf.DUMMYFUNCTION("""COMPUTED_VALUE"""),39430.666666666664)</f>
        <v>39430.66667</v>
      </c>
      <c r="N1002" s="2">
        <f>IFERROR(__xludf.DUMMYFUNCTION("""COMPUTED_VALUE"""),2635.74)</f>
        <v>2635.74</v>
      </c>
      <c r="S1002" s="15"/>
    </row>
    <row r="1003">
      <c r="A1003" s="10">
        <f t="shared" si="8"/>
        <v>38985.66667</v>
      </c>
      <c r="B1003" s="2" t="str">
        <f t="shared" si="2"/>
        <v/>
      </c>
      <c r="C1003" s="2" t="str">
        <f t="shared" si="3"/>
        <v>SP500</v>
      </c>
      <c r="D1003" s="2">
        <f t="shared" si="4"/>
        <v>2249.07</v>
      </c>
      <c r="E1003" s="2">
        <f t="shared" si="5"/>
        <v>2249.07</v>
      </c>
      <c r="G1003" s="10">
        <f t="shared" si="9"/>
        <v>38985.64583</v>
      </c>
      <c r="H1003" s="6">
        <f t="shared" si="6"/>
        <v>1355.21</v>
      </c>
      <c r="I1003" s="2">
        <f t="shared" si="7"/>
        <v>1355.21</v>
      </c>
      <c r="M1003" s="10">
        <f>IFERROR(__xludf.DUMMYFUNCTION("""COMPUTED_VALUE"""),39433.666666666664)</f>
        <v>39433.66667</v>
      </c>
      <c r="N1003" s="2">
        <f>IFERROR(__xludf.DUMMYFUNCTION("""COMPUTED_VALUE"""),2574.46)</f>
        <v>2574.46</v>
      </c>
      <c r="S1003" s="15"/>
    </row>
    <row r="1004">
      <c r="A1004" s="10">
        <f t="shared" si="8"/>
        <v>38986.66667</v>
      </c>
      <c r="B1004" s="2" t="str">
        <f t="shared" si="2"/>
        <v/>
      </c>
      <c r="C1004" s="2" t="str">
        <f t="shared" si="3"/>
        <v>SP500</v>
      </c>
      <c r="D1004" s="2">
        <f t="shared" si="4"/>
        <v>2261.34</v>
      </c>
      <c r="E1004" s="2">
        <f t="shared" si="5"/>
        <v>2261.34</v>
      </c>
      <c r="G1004" s="10">
        <f t="shared" si="9"/>
        <v>38986.64583</v>
      </c>
      <c r="H1004" s="6">
        <f t="shared" si="6"/>
        <v>1343.97</v>
      </c>
      <c r="I1004" s="2">
        <f t="shared" si="7"/>
        <v>1343.97</v>
      </c>
      <c r="M1004" s="10">
        <f>IFERROR(__xludf.DUMMYFUNCTION("""COMPUTED_VALUE"""),39434.666666666664)</f>
        <v>39434.66667</v>
      </c>
      <c r="N1004" s="2">
        <f>IFERROR(__xludf.DUMMYFUNCTION("""COMPUTED_VALUE"""),2596.03)</f>
        <v>2596.03</v>
      </c>
      <c r="S1004" s="15"/>
    </row>
    <row r="1005">
      <c r="A1005" s="10">
        <f t="shared" si="8"/>
        <v>38987.66667</v>
      </c>
      <c r="B1005" s="2" t="str">
        <f t="shared" si="2"/>
        <v/>
      </c>
      <c r="C1005" s="2" t="str">
        <f t="shared" si="3"/>
        <v>SP500</v>
      </c>
      <c r="D1005" s="2">
        <f t="shared" si="4"/>
        <v>2263.39</v>
      </c>
      <c r="E1005" s="2">
        <f t="shared" si="5"/>
        <v>2263.39</v>
      </c>
      <c r="G1005" s="10">
        <f t="shared" si="9"/>
        <v>38987.64583</v>
      </c>
      <c r="H1005" s="6">
        <f t="shared" si="6"/>
        <v>1360.03</v>
      </c>
      <c r="I1005" s="2">
        <f t="shared" si="7"/>
        <v>1360.03</v>
      </c>
      <c r="M1005" s="10">
        <f>IFERROR(__xludf.DUMMYFUNCTION("""COMPUTED_VALUE"""),39435.666666666664)</f>
        <v>39435.66667</v>
      </c>
      <c r="N1005" s="2">
        <f>IFERROR(__xludf.DUMMYFUNCTION("""COMPUTED_VALUE"""),2601.01)</f>
        <v>2601.01</v>
      </c>
      <c r="S1005" s="15"/>
    </row>
    <row r="1006">
      <c r="A1006" s="10">
        <f t="shared" si="8"/>
        <v>38988.66667</v>
      </c>
      <c r="B1006" s="2" t="str">
        <f t="shared" si="2"/>
        <v/>
      </c>
      <c r="C1006" s="2" t="str">
        <f t="shared" si="3"/>
        <v>SP500</v>
      </c>
      <c r="D1006" s="2">
        <f t="shared" si="4"/>
        <v>2270.02</v>
      </c>
      <c r="E1006" s="2">
        <f t="shared" si="5"/>
        <v>2270.02</v>
      </c>
      <c r="G1006" s="10">
        <f t="shared" si="9"/>
        <v>38988.64583</v>
      </c>
      <c r="H1006" s="6">
        <f t="shared" si="6"/>
        <v>1371.43</v>
      </c>
      <c r="I1006" s="2">
        <f t="shared" si="7"/>
        <v>1371.43</v>
      </c>
      <c r="M1006" s="10">
        <f>IFERROR(__xludf.DUMMYFUNCTION("""COMPUTED_VALUE"""),39436.666666666664)</f>
        <v>39436.66667</v>
      </c>
      <c r="N1006" s="2">
        <f>IFERROR(__xludf.DUMMYFUNCTION("""COMPUTED_VALUE"""),2640.86)</f>
        <v>2640.86</v>
      </c>
      <c r="S1006" s="15"/>
    </row>
    <row r="1007">
      <c r="A1007" s="10">
        <f t="shared" si="8"/>
        <v>38989.66667</v>
      </c>
      <c r="B1007" s="2" t="str">
        <f t="shared" si="2"/>
        <v/>
      </c>
      <c r="C1007" s="2" t="str">
        <f t="shared" si="3"/>
        <v>SP500</v>
      </c>
      <c r="D1007" s="2">
        <f t="shared" si="4"/>
        <v>2258.43</v>
      </c>
      <c r="E1007" s="2">
        <f t="shared" si="5"/>
        <v>2258.43</v>
      </c>
      <c r="G1007" s="10">
        <f t="shared" si="9"/>
        <v>38989.64583</v>
      </c>
      <c r="H1007" s="6">
        <f t="shared" si="6"/>
        <v>1371.41</v>
      </c>
      <c r="I1007" s="2">
        <f t="shared" si="7"/>
        <v>1371.41</v>
      </c>
      <c r="M1007" s="10">
        <f>IFERROR(__xludf.DUMMYFUNCTION("""COMPUTED_VALUE"""),39437.666666666664)</f>
        <v>39437.66667</v>
      </c>
      <c r="N1007" s="2">
        <f>IFERROR(__xludf.DUMMYFUNCTION("""COMPUTED_VALUE"""),2691.99)</f>
        <v>2691.99</v>
      </c>
      <c r="S1007" s="15"/>
    </row>
    <row r="1008">
      <c r="A1008" s="10">
        <f t="shared" si="8"/>
        <v>38990.66667</v>
      </c>
      <c r="B1008" s="2" t="str">
        <f t="shared" si="2"/>
        <v/>
      </c>
      <c r="C1008" s="2" t="str">
        <f t="shared" si="3"/>
        <v>SP500</v>
      </c>
      <c r="D1008" s="2" t="str">
        <f t="shared" si="4"/>
        <v/>
      </c>
      <c r="E1008" s="2">
        <f t="shared" si="5"/>
        <v>2258.43</v>
      </c>
      <c r="G1008" s="10">
        <f t="shared" si="9"/>
        <v>38990.64583</v>
      </c>
      <c r="H1008" s="6" t="str">
        <f t="shared" si="6"/>
        <v/>
      </c>
      <c r="I1008" s="2">
        <f t="shared" si="7"/>
        <v>1371.41</v>
      </c>
      <c r="M1008" s="10">
        <f>IFERROR(__xludf.DUMMYFUNCTION("""COMPUTED_VALUE"""),39440.666666666664)</f>
        <v>39440.66667</v>
      </c>
      <c r="N1008" s="2">
        <f>IFERROR(__xludf.DUMMYFUNCTION("""COMPUTED_VALUE"""),2713.5)</f>
        <v>2713.5</v>
      </c>
      <c r="S1008" s="15"/>
    </row>
    <row r="1009">
      <c r="A1009" s="10">
        <f t="shared" si="8"/>
        <v>38991.66667</v>
      </c>
      <c r="B1009" s="2" t="str">
        <f t="shared" si="2"/>
        <v/>
      </c>
      <c r="C1009" s="2" t="str">
        <f t="shared" si="3"/>
        <v>SP500</v>
      </c>
      <c r="D1009" s="2" t="str">
        <f t="shared" si="4"/>
        <v/>
      </c>
      <c r="E1009" s="2">
        <f t="shared" si="5"/>
        <v>2258.43</v>
      </c>
      <c r="G1009" s="10">
        <f t="shared" si="9"/>
        <v>38991.64583</v>
      </c>
      <c r="H1009" s="6" t="str">
        <f t="shared" si="6"/>
        <v/>
      </c>
      <c r="I1009" s="2">
        <f t="shared" si="7"/>
        <v>1371.41</v>
      </c>
      <c r="M1009" s="10">
        <f>IFERROR(__xludf.DUMMYFUNCTION("""COMPUTED_VALUE"""),39442.666666666664)</f>
        <v>39442.66667</v>
      </c>
      <c r="N1009" s="2">
        <f>IFERROR(__xludf.DUMMYFUNCTION("""COMPUTED_VALUE"""),2724.41)</f>
        <v>2724.41</v>
      </c>
      <c r="S1009" s="15"/>
    </row>
    <row r="1010">
      <c r="A1010" s="10">
        <f t="shared" si="8"/>
        <v>38992.66667</v>
      </c>
      <c r="B1010" s="2" t="str">
        <f t="shared" si="2"/>
        <v/>
      </c>
      <c r="C1010" s="2" t="str">
        <f t="shared" si="3"/>
        <v>SP500</v>
      </c>
      <c r="D1010" s="2">
        <f t="shared" si="4"/>
        <v>2237.6</v>
      </c>
      <c r="E1010" s="2">
        <f t="shared" si="5"/>
        <v>2237.6</v>
      </c>
      <c r="G1010" s="10">
        <f t="shared" si="9"/>
        <v>38992.64583</v>
      </c>
      <c r="H1010" s="6">
        <f t="shared" si="6"/>
        <v>1374.22</v>
      </c>
      <c r="I1010" s="2">
        <f t="shared" si="7"/>
        <v>1374.22</v>
      </c>
      <c r="M1010" s="10">
        <f>IFERROR(__xludf.DUMMYFUNCTION("""COMPUTED_VALUE"""),39443.666666666664)</f>
        <v>39443.66667</v>
      </c>
      <c r="N1010" s="2">
        <f>IFERROR(__xludf.DUMMYFUNCTION("""COMPUTED_VALUE"""),2676.79)</f>
        <v>2676.79</v>
      </c>
      <c r="S1010" s="15"/>
    </row>
    <row r="1011">
      <c r="A1011" s="10">
        <f t="shared" si="8"/>
        <v>38993.66667</v>
      </c>
      <c r="B1011" s="2" t="str">
        <f t="shared" si="2"/>
        <v/>
      </c>
      <c r="C1011" s="2" t="str">
        <f t="shared" si="3"/>
        <v>SP500</v>
      </c>
      <c r="D1011" s="2">
        <f t="shared" si="4"/>
        <v>2243.65</v>
      </c>
      <c r="E1011" s="2">
        <f t="shared" si="5"/>
        <v>2243.65</v>
      </c>
      <c r="G1011" s="10">
        <f t="shared" si="9"/>
        <v>38993.64583</v>
      </c>
      <c r="H1011" s="6" t="str">
        <f t="shared" si="6"/>
        <v/>
      </c>
      <c r="I1011" s="2">
        <f t="shared" si="7"/>
        <v>1374.22</v>
      </c>
      <c r="M1011" s="10">
        <f>IFERROR(__xludf.DUMMYFUNCTION("""COMPUTED_VALUE"""),39444.666666666664)</f>
        <v>39444.66667</v>
      </c>
      <c r="N1011" s="2">
        <f>IFERROR(__xludf.DUMMYFUNCTION("""COMPUTED_VALUE"""),2674.46)</f>
        <v>2674.46</v>
      </c>
      <c r="S1011" s="15"/>
    </row>
    <row r="1012">
      <c r="A1012" s="10">
        <f t="shared" si="8"/>
        <v>38994.66667</v>
      </c>
      <c r="B1012" s="2" t="str">
        <f t="shared" si="2"/>
        <v/>
      </c>
      <c r="C1012" s="2" t="str">
        <f t="shared" si="3"/>
        <v>SP500</v>
      </c>
      <c r="D1012" s="2">
        <f t="shared" si="4"/>
        <v>2290.95</v>
      </c>
      <c r="E1012" s="2">
        <f t="shared" si="5"/>
        <v>2290.95</v>
      </c>
      <c r="G1012" s="10">
        <f t="shared" si="9"/>
        <v>38994.64583</v>
      </c>
      <c r="H1012" s="6">
        <f t="shared" si="6"/>
        <v>1352</v>
      </c>
      <c r="I1012" s="2">
        <f t="shared" si="7"/>
        <v>1352</v>
      </c>
      <c r="M1012" s="10">
        <f>IFERROR(__xludf.DUMMYFUNCTION("""COMPUTED_VALUE"""),39447.666666666664)</f>
        <v>39447.66667</v>
      </c>
      <c r="N1012" s="2">
        <f>IFERROR(__xludf.DUMMYFUNCTION("""COMPUTED_VALUE"""),2652.28)</f>
        <v>2652.28</v>
      </c>
      <c r="S1012" s="15"/>
    </row>
    <row r="1013">
      <c r="A1013" s="10">
        <f t="shared" si="8"/>
        <v>38995.66667</v>
      </c>
      <c r="B1013" s="2" t="str">
        <f t="shared" si="2"/>
        <v/>
      </c>
      <c r="C1013" s="2" t="str">
        <f t="shared" si="3"/>
        <v>SP500</v>
      </c>
      <c r="D1013" s="2">
        <f t="shared" si="4"/>
        <v>2306.34</v>
      </c>
      <c r="E1013" s="2">
        <f t="shared" si="5"/>
        <v>2306.34</v>
      </c>
      <c r="G1013" s="10">
        <f t="shared" si="9"/>
        <v>38995.64583</v>
      </c>
      <c r="H1013" s="6" t="str">
        <f t="shared" si="6"/>
        <v/>
      </c>
      <c r="I1013" s="2">
        <f t="shared" si="7"/>
        <v>1352</v>
      </c>
      <c r="M1013" s="10">
        <f>IFERROR(__xludf.DUMMYFUNCTION("""COMPUTED_VALUE"""),39449.666666666664)</f>
        <v>39449.66667</v>
      </c>
      <c r="N1013" s="2">
        <f>IFERROR(__xludf.DUMMYFUNCTION("""COMPUTED_VALUE"""),2609.63)</f>
        <v>2609.63</v>
      </c>
      <c r="S1013" s="15"/>
    </row>
    <row r="1014">
      <c r="A1014" s="10">
        <f t="shared" si="8"/>
        <v>38996.66667</v>
      </c>
      <c r="B1014" s="2" t="str">
        <f t="shared" si="2"/>
        <v/>
      </c>
      <c r="C1014" s="2" t="str">
        <f t="shared" si="3"/>
        <v>SP500</v>
      </c>
      <c r="D1014" s="2">
        <f t="shared" si="4"/>
        <v>2299.99</v>
      </c>
      <c r="E1014" s="2">
        <f t="shared" si="5"/>
        <v>2299.99</v>
      </c>
      <c r="G1014" s="10">
        <f t="shared" si="9"/>
        <v>38996.64583</v>
      </c>
      <c r="H1014" s="6" t="str">
        <f t="shared" si="6"/>
        <v/>
      </c>
      <c r="I1014" s="2">
        <f t="shared" si="7"/>
        <v>1352</v>
      </c>
      <c r="M1014" s="10">
        <f>IFERROR(__xludf.DUMMYFUNCTION("""COMPUTED_VALUE"""),39450.666666666664)</f>
        <v>39450.66667</v>
      </c>
      <c r="N1014" s="2">
        <f>IFERROR(__xludf.DUMMYFUNCTION("""COMPUTED_VALUE"""),2602.68)</f>
        <v>2602.68</v>
      </c>
      <c r="S1014" s="15"/>
    </row>
    <row r="1015">
      <c r="A1015" s="10">
        <f t="shared" si="8"/>
        <v>38997.66667</v>
      </c>
      <c r="B1015" s="2" t="str">
        <f t="shared" si="2"/>
        <v/>
      </c>
      <c r="C1015" s="2" t="str">
        <f t="shared" si="3"/>
        <v>SP500</v>
      </c>
      <c r="D1015" s="2" t="str">
        <f t="shared" si="4"/>
        <v/>
      </c>
      <c r="E1015" s="2">
        <f t="shared" si="5"/>
        <v>2299.99</v>
      </c>
      <c r="G1015" s="10">
        <f t="shared" si="9"/>
        <v>38997.64583</v>
      </c>
      <c r="H1015" s="6" t="str">
        <f t="shared" si="6"/>
        <v/>
      </c>
      <c r="I1015" s="2">
        <f t="shared" si="7"/>
        <v>1352</v>
      </c>
      <c r="M1015" s="10">
        <f>IFERROR(__xludf.DUMMYFUNCTION("""COMPUTED_VALUE"""),39451.666666666664)</f>
        <v>39451.66667</v>
      </c>
      <c r="N1015" s="2">
        <f>IFERROR(__xludf.DUMMYFUNCTION("""COMPUTED_VALUE"""),2504.65)</f>
        <v>2504.65</v>
      </c>
      <c r="S1015" s="15"/>
    </row>
    <row r="1016">
      <c r="A1016" s="10">
        <f t="shared" si="8"/>
        <v>38998.66667</v>
      </c>
      <c r="B1016" s="2" t="str">
        <f t="shared" si="2"/>
        <v/>
      </c>
      <c r="C1016" s="2" t="str">
        <f t="shared" si="3"/>
        <v>SP500</v>
      </c>
      <c r="D1016" s="2" t="str">
        <f t="shared" si="4"/>
        <v/>
      </c>
      <c r="E1016" s="2">
        <f t="shared" si="5"/>
        <v>2299.99</v>
      </c>
      <c r="G1016" s="10">
        <f t="shared" si="9"/>
        <v>38998.64583</v>
      </c>
      <c r="H1016" s="6" t="str">
        <f t="shared" si="6"/>
        <v/>
      </c>
      <c r="I1016" s="2">
        <f t="shared" si="7"/>
        <v>1352</v>
      </c>
      <c r="M1016" s="10">
        <f>IFERROR(__xludf.DUMMYFUNCTION("""COMPUTED_VALUE"""),39454.666666666664)</f>
        <v>39454.66667</v>
      </c>
      <c r="N1016" s="2">
        <f>IFERROR(__xludf.DUMMYFUNCTION("""COMPUTED_VALUE"""),2499.46)</f>
        <v>2499.46</v>
      </c>
      <c r="S1016" s="15"/>
    </row>
    <row r="1017">
      <c r="A1017" s="10">
        <f t="shared" si="8"/>
        <v>38999.66667</v>
      </c>
      <c r="B1017" s="2" t="str">
        <f t="shared" si="2"/>
        <v/>
      </c>
      <c r="C1017" s="2" t="str">
        <f t="shared" si="3"/>
        <v>SP500</v>
      </c>
      <c r="D1017" s="2">
        <f t="shared" si="4"/>
        <v>2311.77</v>
      </c>
      <c r="E1017" s="2">
        <f t="shared" si="5"/>
        <v>2311.77</v>
      </c>
      <c r="G1017" s="10">
        <f t="shared" si="9"/>
        <v>38999.64583</v>
      </c>
      <c r="H1017" s="6">
        <f t="shared" si="6"/>
        <v>1319.4</v>
      </c>
      <c r="I1017" s="2">
        <f t="shared" si="7"/>
        <v>1319.4</v>
      </c>
      <c r="M1017" s="10">
        <f>IFERROR(__xludf.DUMMYFUNCTION("""COMPUTED_VALUE"""),39455.666666666664)</f>
        <v>39455.66667</v>
      </c>
      <c r="N1017" s="2">
        <f>IFERROR(__xludf.DUMMYFUNCTION("""COMPUTED_VALUE"""),2440.51)</f>
        <v>2440.51</v>
      </c>
      <c r="S1017" s="15"/>
    </row>
    <row r="1018">
      <c r="A1018" s="10">
        <f t="shared" si="8"/>
        <v>39000.66667</v>
      </c>
      <c r="B1018" s="2" t="str">
        <f t="shared" si="2"/>
        <v/>
      </c>
      <c r="C1018" s="2" t="str">
        <f t="shared" si="3"/>
        <v>SP500</v>
      </c>
      <c r="D1018" s="2">
        <f t="shared" si="4"/>
        <v>2315.43</v>
      </c>
      <c r="E1018" s="2">
        <f t="shared" si="5"/>
        <v>2315.43</v>
      </c>
      <c r="G1018" s="10">
        <f t="shared" si="9"/>
        <v>39000.64583</v>
      </c>
      <c r="H1018" s="6">
        <f t="shared" si="6"/>
        <v>1328.37</v>
      </c>
      <c r="I1018" s="2">
        <f t="shared" si="7"/>
        <v>1328.37</v>
      </c>
      <c r="M1018" s="10">
        <f>IFERROR(__xludf.DUMMYFUNCTION("""COMPUTED_VALUE"""),39456.666666666664)</f>
        <v>39456.66667</v>
      </c>
      <c r="N1018" s="2">
        <f>IFERROR(__xludf.DUMMYFUNCTION("""COMPUTED_VALUE"""),2474.55)</f>
        <v>2474.55</v>
      </c>
      <c r="S1018" s="15"/>
    </row>
    <row r="1019">
      <c r="A1019" s="10">
        <f t="shared" si="8"/>
        <v>39001.66667</v>
      </c>
      <c r="B1019" s="2" t="str">
        <f t="shared" si="2"/>
        <v/>
      </c>
      <c r="C1019" s="2" t="str">
        <f t="shared" si="3"/>
        <v>SP500</v>
      </c>
      <c r="D1019" s="2">
        <f t="shared" si="4"/>
        <v>2308.27</v>
      </c>
      <c r="E1019" s="2">
        <f t="shared" si="5"/>
        <v>2308.27</v>
      </c>
      <c r="G1019" s="10">
        <f t="shared" si="9"/>
        <v>39001.64583</v>
      </c>
      <c r="H1019" s="6">
        <f t="shared" si="6"/>
        <v>1325.49</v>
      </c>
      <c r="I1019" s="2">
        <f t="shared" si="7"/>
        <v>1325.49</v>
      </c>
      <c r="M1019" s="10">
        <f>IFERROR(__xludf.DUMMYFUNCTION("""COMPUTED_VALUE"""),39457.666666666664)</f>
        <v>39457.66667</v>
      </c>
      <c r="N1019" s="2">
        <f>IFERROR(__xludf.DUMMYFUNCTION("""COMPUTED_VALUE"""),2488.52)</f>
        <v>2488.52</v>
      </c>
      <c r="S1019" s="15"/>
    </row>
    <row r="1020">
      <c r="A1020" s="10">
        <f t="shared" si="8"/>
        <v>39002.66667</v>
      </c>
      <c r="B1020" s="2" t="str">
        <f t="shared" si="2"/>
        <v/>
      </c>
      <c r="C1020" s="2" t="str">
        <f t="shared" si="3"/>
        <v>SP500</v>
      </c>
      <c r="D1020" s="2">
        <f t="shared" si="4"/>
        <v>2346.18</v>
      </c>
      <c r="E1020" s="2">
        <f t="shared" si="5"/>
        <v>2346.18</v>
      </c>
      <c r="G1020" s="10">
        <f t="shared" si="9"/>
        <v>39002.64583</v>
      </c>
      <c r="H1020" s="6">
        <f t="shared" si="6"/>
        <v>1331.78</v>
      </c>
      <c r="I1020" s="2">
        <f t="shared" si="7"/>
        <v>1331.78</v>
      </c>
      <c r="M1020" s="10">
        <f>IFERROR(__xludf.DUMMYFUNCTION("""COMPUTED_VALUE"""),39458.666666666664)</f>
        <v>39458.66667</v>
      </c>
      <c r="N1020" s="2">
        <f>IFERROR(__xludf.DUMMYFUNCTION("""COMPUTED_VALUE"""),2439.94)</f>
        <v>2439.94</v>
      </c>
      <c r="S1020" s="15"/>
    </row>
    <row r="1021">
      <c r="A1021" s="10">
        <f t="shared" si="8"/>
        <v>39003.66667</v>
      </c>
      <c r="B1021" s="2" t="str">
        <f t="shared" si="2"/>
        <v/>
      </c>
      <c r="C1021" s="2" t="str">
        <f t="shared" si="3"/>
        <v>SP500</v>
      </c>
      <c r="D1021" s="2">
        <f t="shared" si="4"/>
        <v>2357.29</v>
      </c>
      <c r="E1021" s="2">
        <f t="shared" si="5"/>
        <v>2357.29</v>
      </c>
      <c r="G1021" s="10">
        <f t="shared" si="9"/>
        <v>39003.64583</v>
      </c>
      <c r="H1021" s="6">
        <f t="shared" si="6"/>
        <v>1348.6</v>
      </c>
      <c r="I1021" s="2">
        <f t="shared" si="7"/>
        <v>1348.6</v>
      </c>
      <c r="M1021" s="10">
        <f>IFERROR(__xludf.DUMMYFUNCTION("""COMPUTED_VALUE"""),39461.666666666664)</f>
        <v>39461.66667</v>
      </c>
      <c r="N1021" s="2">
        <f>IFERROR(__xludf.DUMMYFUNCTION("""COMPUTED_VALUE"""),2478.3)</f>
        <v>2478.3</v>
      </c>
      <c r="S1021" s="15"/>
    </row>
    <row r="1022">
      <c r="A1022" s="10">
        <f t="shared" si="8"/>
        <v>39004.66667</v>
      </c>
      <c r="B1022" s="2" t="str">
        <f t="shared" si="2"/>
        <v/>
      </c>
      <c r="C1022" s="2" t="str">
        <f t="shared" si="3"/>
        <v>SP500</v>
      </c>
      <c r="D1022" s="2" t="str">
        <f t="shared" si="4"/>
        <v/>
      </c>
      <c r="E1022" s="2">
        <f t="shared" si="5"/>
        <v>2357.29</v>
      </c>
      <c r="G1022" s="10">
        <f t="shared" si="9"/>
        <v>39004.64583</v>
      </c>
      <c r="H1022" s="6" t="str">
        <f t="shared" si="6"/>
        <v/>
      </c>
      <c r="I1022" s="2">
        <f t="shared" si="7"/>
        <v>1348.6</v>
      </c>
      <c r="M1022" s="10">
        <f>IFERROR(__xludf.DUMMYFUNCTION("""COMPUTED_VALUE"""),39462.666666666664)</f>
        <v>39462.66667</v>
      </c>
      <c r="N1022" s="2">
        <f>IFERROR(__xludf.DUMMYFUNCTION("""COMPUTED_VALUE"""),2417.59)</f>
        <v>2417.59</v>
      </c>
      <c r="S1022" s="15"/>
    </row>
    <row r="1023">
      <c r="A1023" s="10">
        <f t="shared" si="8"/>
        <v>39005.66667</v>
      </c>
      <c r="B1023" s="2" t="str">
        <f t="shared" si="2"/>
        <v/>
      </c>
      <c r="C1023" s="2" t="str">
        <f t="shared" si="3"/>
        <v>SP500</v>
      </c>
      <c r="D1023" s="2" t="str">
        <f t="shared" si="4"/>
        <v/>
      </c>
      <c r="E1023" s="2">
        <f t="shared" si="5"/>
        <v>2357.29</v>
      </c>
      <c r="G1023" s="10">
        <f t="shared" si="9"/>
        <v>39005.64583</v>
      </c>
      <c r="H1023" s="6" t="str">
        <f t="shared" si="6"/>
        <v/>
      </c>
      <c r="I1023" s="2">
        <f t="shared" si="7"/>
        <v>1348.6</v>
      </c>
      <c r="M1023" s="10">
        <f>IFERROR(__xludf.DUMMYFUNCTION("""COMPUTED_VALUE"""),39463.666666666664)</f>
        <v>39463.66667</v>
      </c>
      <c r="N1023" s="2">
        <f>IFERROR(__xludf.DUMMYFUNCTION("""COMPUTED_VALUE"""),2394.59)</f>
        <v>2394.59</v>
      </c>
      <c r="S1023" s="15"/>
    </row>
    <row r="1024">
      <c r="A1024" s="10">
        <f t="shared" si="8"/>
        <v>39006.66667</v>
      </c>
      <c r="B1024" s="2" t="str">
        <f t="shared" si="2"/>
        <v/>
      </c>
      <c r="C1024" s="2" t="str">
        <f t="shared" si="3"/>
        <v>SP500</v>
      </c>
      <c r="D1024" s="2">
        <f t="shared" si="4"/>
        <v>2363.84</v>
      </c>
      <c r="E1024" s="2">
        <f t="shared" si="5"/>
        <v>2363.84</v>
      </c>
      <c r="G1024" s="10">
        <f t="shared" si="9"/>
        <v>39006.64583</v>
      </c>
      <c r="H1024" s="6">
        <f t="shared" si="6"/>
        <v>1356.72</v>
      </c>
      <c r="I1024" s="2">
        <f t="shared" si="7"/>
        <v>1356.72</v>
      </c>
      <c r="M1024" s="10">
        <f>IFERROR(__xludf.DUMMYFUNCTION("""COMPUTED_VALUE"""),39464.666666666664)</f>
        <v>39464.66667</v>
      </c>
      <c r="N1024" s="2">
        <f>IFERROR(__xludf.DUMMYFUNCTION("""COMPUTED_VALUE"""),2346.9)</f>
        <v>2346.9</v>
      </c>
      <c r="S1024" s="15"/>
    </row>
    <row r="1025">
      <c r="A1025" s="10">
        <f t="shared" si="8"/>
        <v>39007.66667</v>
      </c>
      <c r="B1025" s="2" t="str">
        <f t="shared" si="2"/>
        <v/>
      </c>
      <c r="C1025" s="2" t="str">
        <f t="shared" si="3"/>
        <v>SP500</v>
      </c>
      <c r="D1025" s="2">
        <f t="shared" si="4"/>
        <v>2344.95</v>
      </c>
      <c r="E1025" s="2">
        <f t="shared" si="5"/>
        <v>2344.95</v>
      </c>
      <c r="G1025" s="10">
        <f t="shared" si="9"/>
        <v>39007.64583</v>
      </c>
      <c r="H1025" s="6">
        <f t="shared" si="6"/>
        <v>1351.3</v>
      </c>
      <c r="I1025" s="2">
        <f t="shared" si="7"/>
        <v>1351.3</v>
      </c>
      <c r="M1025" s="10">
        <f>IFERROR(__xludf.DUMMYFUNCTION("""COMPUTED_VALUE"""),39465.666666666664)</f>
        <v>39465.66667</v>
      </c>
      <c r="N1025" s="2">
        <f>IFERROR(__xludf.DUMMYFUNCTION("""COMPUTED_VALUE"""),2340.02)</f>
        <v>2340.02</v>
      </c>
      <c r="S1025" s="15"/>
    </row>
    <row r="1026">
      <c r="A1026" s="10">
        <f t="shared" si="8"/>
        <v>39008.66667</v>
      </c>
      <c r="B1026" s="2" t="str">
        <f t="shared" si="2"/>
        <v/>
      </c>
      <c r="C1026" s="2" t="str">
        <f t="shared" si="3"/>
        <v>SP500</v>
      </c>
      <c r="D1026" s="2">
        <f t="shared" si="4"/>
        <v>2337.15</v>
      </c>
      <c r="E1026" s="2">
        <f t="shared" si="5"/>
        <v>2337.15</v>
      </c>
      <c r="G1026" s="10">
        <f t="shared" si="9"/>
        <v>39008.64583</v>
      </c>
      <c r="H1026" s="6">
        <f t="shared" si="6"/>
        <v>1354.26</v>
      </c>
      <c r="I1026" s="2">
        <f t="shared" si="7"/>
        <v>1354.26</v>
      </c>
      <c r="M1026" s="10">
        <f>IFERROR(__xludf.DUMMYFUNCTION("""COMPUTED_VALUE"""),39469.666666666664)</f>
        <v>39469.66667</v>
      </c>
      <c r="N1026" s="2">
        <f>IFERROR(__xludf.DUMMYFUNCTION("""COMPUTED_VALUE"""),2292.27)</f>
        <v>2292.27</v>
      </c>
      <c r="S1026" s="15"/>
    </row>
    <row r="1027">
      <c r="A1027" s="10">
        <f t="shared" si="8"/>
        <v>39009.66667</v>
      </c>
      <c r="B1027" s="2" t="str">
        <f t="shared" si="2"/>
        <v/>
      </c>
      <c r="C1027" s="2" t="str">
        <f t="shared" si="3"/>
        <v>SP500</v>
      </c>
      <c r="D1027" s="2">
        <f t="shared" si="4"/>
        <v>2340.94</v>
      </c>
      <c r="E1027" s="2">
        <f t="shared" si="5"/>
        <v>2340.94</v>
      </c>
      <c r="G1027" s="10">
        <f t="shared" si="9"/>
        <v>39009.64583</v>
      </c>
      <c r="H1027" s="6">
        <f t="shared" si="6"/>
        <v>1354.06</v>
      </c>
      <c r="I1027" s="2">
        <f t="shared" si="7"/>
        <v>1354.06</v>
      </c>
      <c r="M1027" s="10">
        <f>IFERROR(__xludf.DUMMYFUNCTION("""COMPUTED_VALUE"""),39470.666666666664)</f>
        <v>39470.66667</v>
      </c>
      <c r="N1027" s="2">
        <f>IFERROR(__xludf.DUMMYFUNCTION("""COMPUTED_VALUE"""),2316.41)</f>
        <v>2316.41</v>
      </c>
      <c r="S1027" s="15"/>
    </row>
    <row r="1028">
      <c r="A1028" s="10">
        <f t="shared" si="8"/>
        <v>39010.66667</v>
      </c>
      <c r="B1028" s="2" t="str">
        <f t="shared" si="2"/>
        <v/>
      </c>
      <c r="C1028" s="2" t="str">
        <f t="shared" si="3"/>
        <v>SP500</v>
      </c>
      <c r="D1028" s="2">
        <f t="shared" si="4"/>
        <v>2342.3</v>
      </c>
      <c r="E1028" s="2">
        <f t="shared" si="5"/>
        <v>2342.3</v>
      </c>
      <c r="G1028" s="10">
        <f t="shared" si="9"/>
        <v>39010.64583</v>
      </c>
      <c r="H1028" s="6">
        <f t="shared" si="6"/>
        <v>1364.24</v>
      </c>
      <c r="I1028" s="2">
        <f t="shared" si="7"/>
        <v>1364.24</v>
      </c>
      <c r="M1028" s="10">
        <f>IFERROR(__xludf.DUMMYFUNCTION("""COMPUTED_VALUE"""),39471.666666666664)</f>
        <v>39471.66667</v>
      </c>
      <c r="N1028" s="2">
        <f>IFERROR(__xludf.DUMMYFUNCTION("""COMPUTED_VALUE"""),2360.92)</f>
        <v>2360.92</v>
      </c>
      <c r="S1028" s="15"/>
    </row>
    <row r="1029">
      <c r="A1029" s="10">
        <f t="shared" si="8"/>
        <v>39011.66667</v>
      </c>
      <c r="B1029" s="2" t="str">
        <f t="shared" si="2"/>
        <v/>
      </c>
      <c r="C1029" s="2" t="str">
        <f t="shared" si="3"/>
        <v>SP500</v>
      </c>
      <c r="D1029" s="2" t="str">
        <f t="shared" si="4"/>
        <v/>
      </c>
      <c r="E1029" s="2">
        <f t="shared" si="5"/>
        <v>2342.3</v>
      </c>
      <c r="G1029" s="10">
        <f t="shared" si="9"/>
        <v>39011.64583</v>
      </c>
      <c r="H1029" s="6" t="str">
        <f t="shared" si="6"/>
        <v/>
      </c>
      <c r="I1029" s="2">
        <f t="shared" si="7"/>
        <v>1364.24</v>
      </c>
      <c r="M1029" s="10">
        <f>IFERROR(__xludf.DUMMYFUNCTION("""COMPUTED_VALUE"""),39472.666666666664)</f>
        <v>39472.66667</v>
      </c>
      <c r="N1029" s="2">
        <f>IFERROR(__xludf.DUMMYFUNCTION("""COMPUTED_VALUE"""),2326.2)</f>
        <v>2326.2</v>
      </c>
      <c r="S1029" s="15"/>
    </row>
    <row r="1030">
      <c r="A1030" s="10">
        <f t="shared" si="8"/>
        <v>39012.66667</v>
      </c>
      <c r="B1030" s="2" t="str">
        <f t="shared" si="2"/>
        <v/>
      </c>
      <c r="C1030" s="2" t="str">
        <f t="shared" si="3"/>
        <v>SP500</v>
      </c>
      <c r="D1030" s="2" t="str">
        <f t="shared" si="4"/>
        <v/>
      </c>
      <c r="E1030" s="2">
        <f t="shared" si="5"/>
        <v>2342.3</v>
      </c>
      <c r="G1030" s="10">
        <f t="shared" si="9"/>
        <v>39012.64583</v>
      </c>
      <c r="H1030" s="6" t="str">
        <f t="shared" si="6"/>
        <v/>
      </c>
      <c r="I1030" s="2">
        <f t="shared" si="7"/>
        <v>1364.24</v>
      </c>
      <c r="M1030" s="10">
        <f>IFERROR(__xludf.DUMMYFUNCTION("""COMPUTED_VALUE"""),39475.666666666664)</f>
        <v>39475.66667</v>
      </c>
      <c r="N1030" s="2">
        <f>IFERROR(__xludf.DUMMYFUNCTION("""COMPUTED_VALUE"""),2349.91)</f>
        <v>2349.91</v>
      </c>
      <c r="S1030" s="15"/>
    </row>
    <row r="1031">
      <c r="A1031" s="10">
        <f t="shared" si="8"/>
        <v>39013.66667</v>
      </c>
      <c r="B1031" s="2" t="str">
        <f t="shared" si="2"/>
        <v/>
      </c>
      <c r="C1031" s="2" t="str">
        <f t="shared" si="3"/>
        <v>SP500</v>
      </c>
      <c r="D1031" s="2">
        <f t="shared" si="4"/>
        <v>2355.56</v>
      </c>
      <c r="E1031" s="2">
        <f t="shared" si="5"/>
        <v>2355.56</v>
      </c>
      <c r="G1031" s="10">
        <f t="shared" si="9"/>
        <v>39013.64583</v>
      </c>
      <c r="H1031" s="6">
        <f t="shared" si="6"/>
        <v>1364.95</v>
      </c>
      <c r="I1031" s="2">
        <f t="shared" si="7"/>
        <v>1364.95</v>
      </c>
      <c r="M1031" s="10">
        <f>IFERROR(__xludf.DUMMYFUNCTION("""COMPUTED_VALUE"""),39476.666666666664)</f>
        <v>39476.66667</v>
      </c>
      <c r="N1031" s="2">
        <f>IFERROR(__xludf.DUMMYFUNCTION("""COMPUTED_VALUE"""),2358.06)</f>
        <v>2358.06</v>
      </c>
      <c r="S1031" s="15"/>
    </row>
    <row r="1032">
      <c r="A1032" s="10">
        <f t="shared" si="8"/>
        <v>39014.66667</v>
      </c>
      <c r="B1032" s="2" t="str">
        <f t="shared" si="2"/>
        <v/>
      </c>
      <c r="C1032" s="2" t="str">
        <f t="shared" si="3"/>
        <v>SP500</v>
      </c>
      <c r="D1032" s="2">
        <f t="shared" si="4"/>
        <v>2344.84</v>
      </c>
      <c r="E1032" s="2">
        <f t="shared" si="5"/>
        <v>2344.84</v>
      </c>
      <c r="G1032" s="10">
        <f t="shared" si="9"/>
        <v>39014.64583</v>
      </c>
      <c r="H1032" s="6">
        <f t="shared" si="6"/>
        <v>1366.5</v>
      </c>
      <c r="I1032" s="2">
        <f t="shared" si="7"/>
        <v>1366.5</v>
      </c>
      <c r="M1032" s="10">
        <f>IFERROR(__xludf.DUMMYFUNCTION("""COMPUTED_VALUE"""),39477.666666666664)</f>
        <v>39477.66667</v>
      </c>
      <c r="N1032" s="2">
        <f>IFERROR(__xludf.DUMMYFUNCTION("""COMPUTED_VALUE"""),2349.0)</f>
        <v>2349</v>
      </c>
      <c r="S1032" s="15"/>
    </row>
    <row r="1033">
      <c r="A1033" s="10">
        <f t="shared" si="8"/>
        <v>39015.66667</v>
      </c>
      <c r="B1033" s="2" t="str">
        <f t="shared" si="2"/>
        <v/>
      </c>
      <c r="C1033" s="2" t="str">
        <f t="shared" si="3"/>
        <v>SP500</v>
      </c>
      <c r="D1033" s="2">
        <f t="shared" si="4"/>
        <v>2356.59</v>
      </c>
      <c r="E1033" s="2">
        <f t="shared" si="5"/>
        <v>2356.59</v>
      </c>
      <c r="G1033" s="10">
        <f t="shared" si="9"/>
        <v>39015.64583</v>
      </c>
      <c r="H1033" s="6">
        <f t="shared" si="6"/>
        <v>1371.43</v>
      </c>
      <c r="I1033" s="2">
        <f t="shared" si="7"/>
        <v>1371.43</v>
      </c>
      <c r="M1033" s="10">
        <f>IFERROR(__xludf.DUMMYFUNCTION("""COMPUTED_VALUE"""),39478.666666666664)</f>
        <v>39478.66667</v>
      </c>
      <c r="N1033" s="2">
        <f>IFERROR(__xludf.DUMMYFUNCTION("""COMPUTED_VALUE"""),2389.86)</f>
        <v>2389.86</v>
      </c>
      <c r="S1033" s="15"/>
    </row>
    <row r="1034">
      <c r="A1034" s="10">
        <f t="shared" si="8"/>
        <v>39016.66667</v>
      </c>
      <c r="B1034" s="2" t="str">
        <f t="shared" si="2"/>
        <v/>
      </c>
      <c r="C1034" s="2" t="str">
        <f t="shared" si="3"/>
        <v>SP500</v>
      </c>
      <c r="D1034" s="2">
        <f t="shared" si="4"/>
        <v>2379.1</v>
      </c>
      <c r="E1034" s="2">
        <f t="shared" si="5"/>
        <v>2379.1</v>
      </c>
      <c r="G1034" s="10">
        <f t="shared" si="9"/>
        <v>39016.64583</v>
      </c>
      <c r="H1034" s="6">
        <f t="shared" si="6"/>
        <v>1373.65</v>
      </c>
      <c r="I1034" s="2">
        <f t="shared" si="7"/>
        <v>1373.65</v>
      </c>
      <c r="M1034" s="10">
        <f>IFERROR(__xludf.DUMMYFUNCTION("""COMPUTED_VALUE"""),39479.666666666664)</f>
        <v>39479.66667</v>
      </c>
      <c r="N1034" s="2">
        <f>IFERROR(__xludf.DUMMYFUNCTION("""COMPUTED_VALUE"""),2413.36)</f>
        <v>2413.36</v>
      </c>
      <c r="S1034" s="15"/>
    </row>
    <row r="1035">
      <c r="A1035" s="10">
        <f t="shared" si="8"/>
        <v>39017.66667</v>
      </c>
      <c r="B1035" s="2" t="str">
        <f t="shared" si="2"/>
        <v/>
      </c>
      <c r="C1035" s="2" t="str">
        <f t="shared" si="3"/>
        <v>SP500</v>
      </c>
      <c r="D1035" s="2">
        <f t="shared" si="4"/>
        <v>2350.62</v>
      </c>
      <c r="E1035" s="2">
        <f t="shared" si="5"/>
        <v>2350.62</v>
      </c>
      <c r="G1035" s="10">
        <f t="shared" si="9"/>
        <v>39017.64583</v>
      </c>
      <c r="H1035" s="6">
        <f t="shared" si="6"/>
        <v>1369.09</v>
      </c>
      <c r="I1035" s="2">
        <f t="shared" si="7"/>
        <v>1369.09</v>
      </c>
      <c r="M1035" s="10">
        <f>IFERROR(__xludf.DUMMYFUNCTION("""COMPUTED_VALUE"""),39482.666666666664)</f>
        <v>39482.66667</v>
      </c>
      <c r="N1035" s="2">
        <f>IFERROR(__xludf.DUMMYFUNCTION("""COMPUTED_VALUE"""),2382.85)</f>
        <v>2382.85</v>
      </c>
      <c r="S1035" s="15"/>
    </row>
    <row r="1036">
      <c r="A1036" s="10">
        <f t="shared" si="8"/>
        <v>39018.66667</v>
      </c>
      <c r="B1036" s="2" t="str">
        <f t="shared" si="2"/>
        <v/>
      </c>
      <c r="C1036" s="2" t="str">
        <f t="shared" si="3"/>
        <v>SP500</v>
      </c>
      <c r="D1036" s="2" t="str">
        <f t="shared" si="4"/>
        <v/>
      </c>
      <c r="E1036" s="2">
        <f t="shared" si="5"/>
        <v>2350.62</v>
      </c>
      <c r="G1036" s="10">
        <f t="shared" si="9"/>
        <v>39018.64583</v>
      </c>
      <c r="H1036" s="6" t="str">
        <f t="shared" si="6"/>
        <v/>
      </c>
      <c r="I1036" s="2">
        <f t="shared" si="7"/>
        <v>1369.09</v>
      </c>
      <c r="M1036" s="10">
        <f>IFERROR(__xludf.DUMMYFUNCTION("""COMPUTED_VALUE"""),39483.666666666664)</f>
        <v>39483.66667</v>
      </c>
      <c r="N1036" s="2">
        <f>IFERROR(__xludf.DUMMYFUNCTION("""COMPUTED_VALUE"""),2309.57)</f>
        <v>2309.57</v>
      </c>
      <c r="S1036" s="15"/>
    </row>
    <row r="1037">
      <c r="A1037" s="10">
        <f t="shared" si="8"/>
        <v>39019.66667</v>
      </c>
      <c r="B1037" s="2" t="str">
        <f t="shared" si="2"/>
        <v/>
      </c>
      <c r="C1037" s="2" t="str">
        <f t="shared" si="3"/>
        <v>SP500</v>
      </c>
      <c r="D1037" s="2" t="str">
        <f t="shared" si="4"/>
        <v/>
      </c>
      <c r="E1037" s="2">
        <f t="shared" si="5"/>
        <v>2350.62</v>
      </c>
      <c r="G1037" s="10">
        <f t="shared" si="9"/>
        <v>39019.64583</v>
      </c>
      <c r="H1037" s="6" t="str">
        <f t="shared" si="6"/>
        <v/>
      </c>
      <c r="I1037" s="2">
        <f t="shared" si="7"/>
        <v>1369.09</v>
      </c>
      <c r="M1037" s="10">
        <f>IFERROR(__xludf.DUMMYFUNCTION("""COMPUTED_VALUE"""),39484.666666666664)</f>
        <v>39484.66667</v>
      </c>
      <c r="N1037" s="2">
        <f>IFERROR(__xludf.DUMMYFUNCTION("""COMPUTED_VALUE"""),2278.75)</f>
        <v>2278.75</v>
      </c>
      <c r="S1037" s="15"/>
    </row>
    <row r="1038">
      <c r="A1038" s="10">
        <f t="shared" si="8"/>
        <v>39020.66667</v>
      </c>
      <c r="B1038" s="2" t="str">
        <f t="shared" si="2"/>
        <v/>
      </c>
      <c r="C1038" s="2" t="str">
        <f t="shared" si="3"/>
        <v>SP500</v>
      </c>
      <c r="D1038" s="2">
        <f t="shared" si="4"/>
        <v>2363.77</v>
      </c>
      <c r="E1038" s="2">
        <f t="shared" si="5"/>
        <v>2363.77</v>
      </c>
      <c r="G1038" s="10">
        <f t="shared" si="9"/>
        <v>39020.64583</v>
      </c>
      <c r="H1038" s="6">
        <f t="shared" si="6"/>
        <v>1356.11</v>
      </c>
      <c r="I1038" s="2">
        <f t="shared" si="7"/>
        <v>1356.11</v>
      </c>
      <c r="M1038" s="10">
        <f>IFERROR(__xludf.DUMMYFUNCTION("""COMPUTED_VALUE"""),39485.666666666664)</f>
        <v>39485.66667</v>
      </c>
      <c r="N1038" s="2">
        <f>IFERROR(__xludf.DUMMYFUNCTION("""COMPUTED_VALUE"""),2293.03)</f>
        <v>2293.03</v>
      </c>
      <c r="S1038" s="15"/>
    </row>
    <row r="1039">
      <c r="A1039" s="10">
        <f t="shared" si="8"/>
        <v>39021.66667</v>
      </c>
      <c r="B1039" s="2" t="str">
        <f t="shared" si="2"/>
        <v/>
      </c>
      <c r="C1039" s="2" t="str">
        <f t="shared" si="3"/>
        <v>SP500</v>
      </c>
      <c r="D1039" s="2">
        <f t="shared" si="4"/>
        <v>2366.71</v>
      </c>
      <c r="E1039" s="2">
        <f t="shared" si="5"/>
        <v>2366.71</v>
      </c>
      <c r="G1039" s="10">
        <f t="shared" si="9"/>
        <v>39021.64583</v>
      </c>
      <c r="H1039" s="6">
        <f t="shared" si="6"/>
        <v>1364.55</v>
      </c>
      <c r="I1039" s="2">
        <f t="shared" si="7"/>
        <v>1364.55</v>
      </c>
      <c r="M1039" s="10">
        <f>IFERROR(__xludf.DUMMYFUNCTION("""COMPUTED_VALUE"""),39486.666666666664)</f>
        <v>39486.66667</v>
      </c>
      <c r="N1039" s="2">
        <f>IFERROR(__xludf.DUMMYFUNCTION("""COMPUTED_VALUE"""),2304.85)</f>
        <v>2304.85</v>
      </c>
      <c r="S1039" s="15"/>
    </row>
    <row r="1040">
      <c r="A1040" s="10">
        <f t="shared" si="8"/>
        <v>39022.66667</v>
      </c>
      <c r="B1040" s="2" t="str">
        <f t="shared" si="2"/>
        <v/>
      </c>
      <c r="C1040" s="2" t="str">
        <f t="shared" si="3"/>
        <v>SP500</v>
      </c>
      <c r="D1040" s="2">
        <f t="shared" si="4"/>
        <v>2334.35</v>
      </c>
      <c r="E1040" s="2">
        <f t="shared" si="5"/>
        <v>2334.35</v>
      </c>
      <c r="G1040" s="10">
        <f t="shared" si="9"/>
        <v>39022.64583</v>
      </c>
      <c r="H1040" s="6">
        <f t="shared" si="6"/>
        <v>1374.35</v>
      </c>
      <c r="I1040" s="2">
        <f t="shared" si="7"/>
        <v>1374.35</v>
      </c>
      <c r="M1040" s="10">
        <f>IFERROR(__xludf.DUMMYFUNCTION("""COMPUTED_VALUE"""),39489.666666666664)</f>
        <v>39489.66667</v>
      </c>
      <c r="N1040" s="2">
        <f>IFERROR(__xludf.DUMMYFUNCTION("""COMPUTED_VALUE"""),2320.06)</f>
        <v>2320.06</v>
      </c>
      <c r="S1040" s="15"/>
    </row>
    <row r="1041">
      <c r="A1041" s="10">
        <f t="shared" si="8"/>
        <v>39023.66667</v>
      </c>
      <c r="B1041" s="2" t="str">
        <f t="shared" si="2"/>
        <v/>
      </c>
      <c r="C1041" s="2" t="str">
        <f t="shared" si="3"/>
        <v>SP500</v>
      </c>
      <c r="D1041" s="2">
        <f t="shared" si="4"/>
        <v>2334.02</v>
      </c>
      <c r="E1041" s="2">
        <f t="shared" si="5"/>
        <v>2334.02</v>
      </c>
      <c r="G1041" s="10">
        <f t="shared" si="9"/>
        <v>39023.64583</v>
      </c>
      <c r="H1041" s="6">
        <f t="shared" si="6"/>
        <v>1383.73</v>
      </c>
      <c r="I1041" s="2">
        <f t="shared" si="7"/>
        <v>1383.73</v>
      </c>
      <c r="M1041" s="10">
        <f>IFERROR(__xludf.DUMMYFUNCTION("""COMPUTED_VALUE"""),39490.666666666664)</f>
        <v>39490.66667</v>
      </c>
      <c r="N1041" s="2">
        <f>IFERROR(__xludf.DUMMYFUNCTION("""COMPUTED_VALUE"""),2320.04)</f>
        <v>2320.04</v>
      </c>
      <c r="S1041" s="15"/>
    </row>
    <row r="1042">
      <c r="A1042" s="10">
        <f t="shared" si="8"/>
        <v>39024.66667</v>
      </c>
      <c r="B1042" s="2" t="str">
        <f t="shared" si="2"/>
        <v/>
      </c>
      <c r="C1042" s="2" t="str">
        <f t="shared" si="3"/>
        <v>SP500</v>
      </c>
      <c r="D1042" s="2">
        <f t="shared" si="4"/>
        <v>2330.79</v>
      </c>
      <c r="E1042" s="2">
        <f t="shared" si="5"/>
        <v>2330.79</v>
      </c>
      <c r="G1042" s="10">
        <f t="shared" si="9"/>
        <v>39024.64583</v>
      </c>
      <c r="H1042" s="6">
        <f t="shared" si="6"/>
        <v>1383.88</v>
      </c>
      <c r="I1042" s="2">
        <f t="shared" si="7"/>
        <v>1383.88</v>
      </c>
      <c r="M1042" s="10">
        <f>IFERROR(__xludf.DUMMYFUNCTION("""COMPUTED_VALUE"""),39491.666666666664)</f>
        <v>39491.66667</v>
      </c>
      <c r="N1042" s="2">
        <f>IFERROR(__xludf.DUMMYFUNCTION("""COMPUTED_VALUE"""),2373.93)</f>
        <v>2373.93</v>
      </c>
      <c r="S1042" s="15"/>
    </row>
    <row r="1043">
      <c r="A1043" s="10">
        <f t="shared" si="8"/>
        <v>39025.66667</v>
      </c>
      <c r="B1043" s="2" t="str">
        <f t="shared" si="2"/>
        <v/>
      </c>
      <c r="C1043" s="2" t="str">
        <f t="shared" si="3"/>
        <v>SP500</v>
      </c>
      <c r="D1043" s="2" t="str">
        <f t="shared" si="4"/>
        <v/>
      </c>
      <c r="E1043" s="2">
        <f t="shared" si="5"/>
        <v>2330.79</v>
      </c>
      <c r="G1043" s="10">
        <f t="shared" si="9"/>
        <v>39025.64583</v>
      </c>
      <c r="H1043" s="6" t="str">
        <f t="shared" si="6"/>
        <v/>
      </c>
      <c r="I1043" s="2">
        <f t="shared" si="7"/>
        <v>1383.88</v>
      </c>
      <c r="M1043" s="10">
        <f>IFERROR(__xludf.DUMMYFUNCTION("""COMPUTED_VALUE"""),39492.666666666664)</f>
        <v>39492.66667</v>
      </c>
      <c r="N1043" s="2">
        <f>IFERROR(__xludf.DUMMYFUNCTION("""COMPUTED_VALUE"""),2332.54)</f>
        <v>2332.54</v>
      </c>
      <c r="S1043" s="13"/>
    </row>
    <row r="1044">
      <c r="A1044" s="10">
        <f t="shared" si="8"/>
        <v>39026.66667</v>
      </c>
      <c r="B1044" s="2" t="str">
        <f t="shared" si="2"/>
        <v/>
      </c>
      <c r="C1044" s="2" t="str">
        <f t="shared" si="3"/>
        <v>SP500</v>
      </c>
      <c r="D1044" s="2" t="str">
        <f t="shared" si="4"/>
        <v/>
      </c>
      <c r="E1044" s="2">
        <f t="shared" si="5"/>
        <v>2330.79</v>
      </c>
      <c r="G1044" s="10">
        <f t="shared" si="9"/>
        <v>39026.64583</v>
      </c>
      <c r="H1044" s="6" t="str">
        <f t="shared" si="6"/>
        <v/>
      </c>
      <c r="I1044" s="2">
        <f t="shared" si="7"/>
        <v>1383.88</v>
      </c>
      <c r="M1044" s="10">
        <f>IFERROR(__xludf.DUMMYFUNCTION("""COMPUTED_VALUE"""),39493.666666666664)</f>
        <v>39493.66667</v>
      </c>
      <c r="N1044" s="2">
        <f>IFERROR(__xludf.DUMMYFUNCTION("""COMPUTED_VALUE"""),2321.8)</f>
        <v>2321.8</v>
      </c>
      <c r="S1044" s="13"/>
    </row>
    <row r="1045">
      <c r="A1045" s="10">
        <f t="shared" si="8"/>
        <v>39027.66667</v>
      </c>
      <c r="B1045" s="2" t="str">
        <f t="shared" si="2"/>
        <v/>
      </c>
      <c r="C1045" s="2" t="str">
        <f t="shared" si="3"/>
        <v>SP500</v>
      </c>
      <c r="D1045" s="2">
        <f t="shared" si="4"/>
        <v>2365.95</v>
      </c>
      <c r="E1045" s="2">
        <f t="shared" si="5"/>
        <v>2365.95</v>
      </c>
      <c r="G1045" s="10">
        <f t="shared" si="9"/>
        <v>39027.64583</v>
      </c>
      <c r="H1045" s="6">
        <f t="shared" si="6"/>
        <v>1379.19</v>
      </c>
      <c r="I1045" s="2">
        <f t="shared" si="7"/>
        <v>1379.19</v>
      </c>
      <c r="M1045" s="10">
        <f>IFERROR(__xludf.DUMMYFUNCTION("""COMPUTED_VALUE"""),39497.666666666664)</f>
        <v>39497.66667</v>
      </c>
      <c r="N1045" s="2">
        <f>IFERROR(__xludf.DUMMYFUNCTION("""COMPUTED_VALUE"""),2306.2)</f>
        <v>2306.2</v>
      </c>
      <c r="S1045" s="13"/>
    </row>
    <row r="1046">
      <c r="A1046" s="10">
        <f t="shared" si="8"/>
        <v>39028.66667</v>
      </c>
      <c r="B1046" s="2" t="str">
        <f t="shared" si="2"/>
        <v/>
      </c>
      <c r="C1046" s="2" t="str">
        <f t="shared" si="3"/>
        <v>SP500</v>
      </c>
      <c r="D1046" s="2">
        <f t="shared" si="4"/>
        <v>2375.88</v>
      </c>
      <c r="E1046" s="2">
        <f t="shared" si="5"/>
        <v>2375.88</v>
      </c>
      <c r="G1046" s="10">
        <f t="shared" si="9"/>
        <v>39028.64583</v>
      </c>
      <c r="H1046" s="6">
        <f t="shared" si="6"/>
        <v>1387.44</v>
      </c>
      <c r="I1046" s="2">
        <f t="shared" si="7"/>
        <v>1387.44</v>
      </c>
      <c r="M1046" s="10">
        <f>IFERROR(__xludf.DUMMYFUNCTION("""COMPUTED_VALUE"""),39498.666666666664)</f>
        <v>39498.66667</v>
      </c>
      <c r="N1046" s="2">
        <f>IFERROR(__xludf.DUMMYFUNCTION("""COMPUTED_VALUE"""),2327.1)</f>
        <v>2327.1</v>
      </c>
      <c r="S1046" s="15"/>
    </row>
    <row r="1047">
      <c r="A1047" s="10">
        <f t="shared" si="8"/>
        <v>39029.66667</v>
      </c>
      <c r="B1047" s="2" t="str">
        <f t="shared" si="2"/>
        <v/>
      </c>
      <c r="C1047" s="2" t="str">
        <f t="shared" si="3"/>
        <v>SP500</v>
      </c>
      <c r="D1047" s="2">
        <f t="shared" si="4"/>
        <v>2384.94</v>
      </c>
      <c r="E1047" s="2">
        <f t="shared" si="5"/>
        <v>2384.94</v>
      </c>
      <c r="G1047" s="10">
        <f t="shared" si="9"/>
        <v>39029.64583</v>
      </c>
      <c r="H1047" s="6">
        <f t="shared" si="6"/>
        <v>1380.07</v>
      </c>
      <c r="I1047" s="2">
        <f t="shared" si="7"/>
        <v>1380.07</v>
      </c>
      <c r="M1047" s="10">
        <f>IFERROR(__xludf.DUMMYFUNCTION("""COMPUTED_VALUE"""),39499.666666666664)</f>
        <v>39499.66667</v>
      </c>
      <c r="N1047" s="2">
        <f>IFERROR(__xludf.DUMMYFUNCTION("""COMPUTED_VALUE"""),2299.78)</f>
        <v>2299.78</v>
      </c>
      <c r="S1047" s="15"/>
    </row>
    <row r="1048">
      <c r="A1048" s="10">
        <f t="shared" si="8"/>
        <v>39030.66667</v>
      </c>
      <c r="B1048" s="2" t="str">
        <f t="shared" si="2"/>
        <v/>
      </c>
      <c r="C1048" s="2" t="str">
        <f t="shared" si="3"/>
        <v>SP500</v>
      </c>
      <c r="D1048" s="2">
        <f t="shared" si="4"/>
        <v>2376.01</v>
      </c>
      <c r="E1048" s="2">
        <f t="shared" si="5"/>
        <v>2376.01</v>
      </c>
      <c r="G1048" s="10">
        <f t="shared" si="9"/>
        <v>39030.64583</v>
      </c>
      <c r="H1048" s="6">
        <f t="shared" si="6"/>
        <v>1399.44</v>
      </c>
      <c r="I1048" s="2">
        <f t="shared" si="7"/>
        <v>1399.44</v>
      </c>
      <c r="M1048" s="10">
        <f>IFERROR(__xludf.DUMMYFUNCTION("""COMPUTED_VALUE"""),39500.666666666664)</f>
        <v>39500.66667</v>
      </c>
      <c r="N1048" s="2">
        <f>IFERROR(__xludf.DUMMYFUNCTION("""COMPUTED_VALUE"""),2303.35)</f>
        <v>2303.35</v>
      </c>
      <c r="S1048" s="15"/>
    </row>
    <row r="1049">
      <c r="A1049" s="10">
        <f t="shared" si="8"/>
        <v>39031.66667</v>
      </c>
      <c r="B1049" s="2" t="str">
        <f t="shared" si="2"/>
        <v/>
      </c>
      <c r="C1049" s="2" t="str">
        <f t="shared" si="3"/>
        <v>SP500</v>
      </c>
      <c r="D1049" s="2">
        <f t="shared" si="4"/>
        <v>2389.72</v>
      </c>
      <c r="E1049" s="2">
        <f t="shared" si="5"/>
        <v>2389.72</v>
      </c>
      <c r="G1049" s="10">
        <f t="shared" si="9"/>
        <v>39031.64583</v>
      </c>
      <c r="H1049" s="6">
        <f t="shared" si="6"/>
        <v>1395.73</v>
      </c>
      <c r="I1049" s="2">
        <f t="shared" si="7"/>
        <v>1395.73</v>
      </c>
      <c r="M1049" s="10">
        <f>IFERROR(__xludf.DUMMYFUNCTION("""COMPUTED_VALUE"""),39503.666666666664)</f>
        <v>39503.66667</v>
      </c>
      <c r="N1049" s="2">
        <f>IFERROR(__xludf.DUMMYFUNCTION("""COMPUTED_VALUE"""),2327.48)</f>
        <v>2327.48</v>
      </c>
      <c r="S1049" s="13"/>
    </row>
    <row r="1050">
      <c r="A1050" s="10">
        <f t="shared" si="8"/>
        <v>39032.66667</v>
      </c>
      <c r="B1050" s="2" t="str">
        <f t="shared" si="2"/>
        <v/>
      </c>
      <c r="C1050" s="2" t="str">
        <f t="shared" si="3"/>
        <v>SP500</v>
      </c>
      <c r="D1050" s="2" t="str">
        <f t="shared" si="4"/>
        <v/>
      </c>
      <c r="E1050" s="2">
        <f t="shared" si="5"/>
        <v>2389.72</v>
      </c>
      <c r="G1050" s="10">
        <f t="shared" si="9"/>
        <v>39032.64583</v>
      </c>
      <c r="H1050" s="6" t="str">
        <f t="shared" si="6"/>
        <v/>
      </c>
      <c r="I1050" s="2">
        <f t="shared" si="7"/>
        <v>1395.73</v>
      </c>
      <c r="M1050" s="10">
        <f>IFERROR(__xludf.DUMMYFUNCTION("""COMPUTED_VALUE"""),39504.666666666664)</f>
        <v>39504.66667</v>
      </c>
      <c r="N1050" s="2">
        <f>IFERROR(__xludf.DUMMYFUNCTION("""COMPUTED_VALUE"""),2344.99)</f>
        <v>2344.99</v>
      </c>
      <c r="S1050" s="13"/>
    </row>
    <row r="1051">
      <c r="A1051" s="10">
        <f t="shared" si="8"/>
        <v>39033.66667</v>
      </c>
      <c r="B1051" s="2" t="str">
        <f t="shared" si="2"/>
        <v/>
      </c>
      <c r="C1051" s="2" t="str">
        <f t="shared" si="3"/>
        <v>SP500</v>
      </c>
      <c r="D1051" s="2" t="str">
        <f t="shared" si="4"/>
        <v/>
      </c>
      <c r="E1051" s="2">
        <f t="shared" si="5"/>
        <v>2389.72</v>
      </c>
      <c r="G1051" s="10">
        <f t="shared" si="9"/>
        <v>39033.64583</v>
      </c>
      <c r="H1051" s="6" t="str">
        <f t="shared" si="6"/>
        <v/>
      </c>
      <c r="I1051" s="2">
        <f t="shared" si="7"/>
        <v>1395.73</v>
      </c>
      <c r="M1051" s="10">
        <f>IFERROR(__xludf.DUMMYFUNCTION("""COMPUTED_VALUE"""),39505.666666666664)</f>
        <v>39505.66667</v>
      </c>
      <c r="N1051" s="2">
        <f>IFERROR(__xludf.DUMMYFUNCTION("""COMPUTED_VALUE"""),2353.78)</f>
        <v>2353.78</v>
      </c>
      <c r="S1051" s="15"/>
    </row>
    <row r="1052">
      <c r="A1052" s="10">
        <f t="shared" si="8"/>
        <v>39034.66667</v>
      </c>
      <c r="B1052" s="2" t="str">
        <f t="shared" si="2"/>
        <v/>
      </c>
      <c r="C1052" s="2" t="str">
        <f t="shared" si="3"/>
        <v>SP500</v>
      </c>
      <c r="D1052" s="2">
        <f t="shared" si="4"/>
        <v>2406.38</v>
      </c>
      <c r="E1052" s="2">
        <f t="shared" si="5"/>
        <v>2406.38</v>
      </c>
      <c r="G1052" s="10">
        <f t="shared" si="9"/>
        <v>39034.64583</v>
      </c>
      <c r="H1052" s="6">
        <f t="shared" si="6"/>
        <v>1396.69</v>
      </c>
      <c r="I1052" s="2">
        <f t="shared" si="7"/>
        <v>1396.69</v>
      </c>
      <c r="M1052" s="10">
        <f>IFERROR(__xludf.DUMMYFUNCTION("""COMPUTED_VALUE"""),39506.666666666664)</f>
        <v>39506.66667</v>
      </c>
      <c r="N1052" s="2">
        <f>IFERROR(__xludf.DUMMYFUNCTION("""COMPUTED_VALUE"""),2331.57)</f>
        <v>2331.57</v>
      </c>
      <c r="S1052" s="15"/>
    </row>
    <row r="1053">
      <c r="A1053" s="10">
        <f t="shared" si="8"/>
        <v>39035.66667</v>
      </c>
      <c r="B1053" s="2" t="str">
        <f t="shared" si="2"/>
        <v/>
      </c>
      <c r="C1053" s="2" t="str">
        <f t="shared" si="3"/>
        <v>SP500</v>
      </c>
      <c r="D1053" s="2">
        <f t="shared" si="4"/>
        <v>2430.66</v>
      </c>
      <c r="E1053" s="2">
        <f t="shared" si="5"/>
        <v>2430.66</v>
      </c>
      <c r="G1053" s="10">
        <f t="shared" si="9"/>
        <v>39035.64583</v>
      </c>
      <c r="H1053" s="6">
        <f t="shared" si="6"/>
        <v>1407.37</v>
      </c>
      <c r="I1053" s="2">
        <f t="shared" si="7"/>
        <v>1407.37</v>
      </c>
      <c r="M1053" s="10">
        <f>IFERROR(__xludf.DUMMYFUNCTION("""COMPUTED_VALUE"""),39507.666666666664)</f>
        <v>39507.66667</v>
      </c>
      <c r="N1053" s="2">
        <f>IFERROR(__xludf.DUMMYFUNCTION("""COMPUTED_VALUE"""),2271.48)</f>
        <v>2271.48</v>
      </c>
      <c r="S1053" s="15"/>
    </row>
    <row r="1054">
      <c r="A1054" s="10">
        <f t="shared" si="8"/>
        <v>39036.66667</v>
      </c>
      <c r="B1054" s="2" t="str">
        <f t="shared" si="2"/>
        <v/>
      </c>
      <c r="C1054" s="2" t="str">
        <f t="shared" si="3"/>
        <v>SP500</v>
      </c>
      <c r="D1054" s="2">
        <f t="shared" si="4"/>
        <v>2442.75</v>
      </c>
      <c r="E1054" s="2">
        <f t="shared" si="5"/>
        <v>2442.75</v>
      </c>
      <c r="G1054" s="10">
        <f t="shared" si="9"/>
        <v>39036.64583</v>
      </c>
      <c r="H1054" s="6">
        <f t="shared" si="6"/>
        <v>1412.54</v>
      </c>
      <c r="I1054" s="2">
        <f t="shared" si="7"/>
        <v>1412.54</v>
      </c>
      <c r="M1054" s="10">
        <f>IFERROR(__xludf.DUMMYFUNCTION("""COMPUTED_VALUE"""),39510.666666666664)</f>
        <v>39510.66667</v>
      </c>
      <c r="N1054" s="2">
        <f>IFERROR(__xludf.DUMMYFUNCTION("""COMPUTED_VALUE"""),2258.6)</f>
        <v>2258.6</v>
      </c>
      <c r="S1054" s="13"/>
    </row>
    <row r="1055">
      <c r="A1055" s="10">
        <f t="shared" si="8"/>
        <v>39037.66667</v>
      </c>
      <c r="B1055" s="2" t="str">
        <f t="shared" si="2"/>
        <v/>
      </c>
      <c r="C1055" s="2" t="str">
        <f t="shared" si="3"/>
        <v>SP500</v>
      </c>
      <c r="D1055" s="2">
        <f t="shared" si="4"/>
        <v>2449.06</v>
      </c>
      <c r="E1055" s="2">
        <f t="shared" si="5"/>
        <v>2449.06</v>
      </c>
      <c r="G1055" s="10">
        <f t="shared" si="9"/>
        <v>39037.64583</v>
      </c>
      <c r="H1055" s="6">
        <f t="shared" si="6"/>
        <v>1410.75</v>
      </c>
      <c r="I1055" s="2">
        <f t="shared" si="7"/>
        <v>1410.75</v>
      </c>
      <c r="M1055" s="10">
        <f>IFERROR(__xludf.DUMMYFUNCTION("""COMPUTED_VALUE"""),39511.666666666664)</f>
        <v>39511.66667</v>
      </c>
      <c r="N1055" s="2">
        <f>IFERROR(__xludf.DUMMYFUNCTION("""COMPUTED_VALUE"""),2260.28)</f>
        <v>2260.28</v>
      </c>
      <c r="S1055" s="13"/>
    </row>
    <row r="1056">
      <c r="A1056" s="10">
        <f t="shared" si="8"/>
        <v>39038.66667</v>
      </c>
      <c r="B1056" s="2" t="str">
        <f t="shared" si="2"/>
        <v/>
      </c>
      <c r="C1056" s="2" t="str">
        <f t="shared" si="3"/>
        <v>SP500</v>
      </c>
      <c r="D1056" s="2">
        <f t="shared" si="4"/>
        <v>2445.86</v>
      </c>
      <c r="E1056" s="2">
        <f t="shared" si="5"/>
        <v>2445.86</v>
      </c>
      <c r="G1056" s="10">
        <f t="shared" si="9"/>
        <v>39038.64583</v>
      </c>
      <c r="H1056" s="6">
        <f t="shared" si="6"/>
        <v>1412.22</v>
      </c>
      <c r="I1056" s="2">
        <f t="shared" si="7"/>
        <v>1412.22</v>
      </c>
      <c r="M1056" s="10">
        <f>IFERROR(__xludf.DUMMYFUNCTION("""COMPUTED_VALUE"""),39512.666666666664)</f>
        <v>39512.66667</v>
      </c>
      <c r="N1056" s="2">
        <f>IFERROR(__xludf.DUMMYFUNCTION("""COMPUTED_VALUE"""),2272.81)</f>
        <v>2272.81</v>
      </c>
      <c r="S1056" s="13"/>
    </row>
    <row r="1057">
      <c r="A1057" s="10">
        <f t="shared" si="8"/>
        <v>39039.66667</v>
      </c>
      <c r="B1057" s="2" t="str">
        <f t="shared" si="2"/>
        <v/>
      </c>
      <c r="C1057" s="2" t="str">
        <f t="shared" si="3"/>
        <v>SP500</v>
      </c>
      <c r="D1057" s="2" t="str">
        <f t="shared" si="4"/>
        <v/>
      </c>
      <c r="E1057" s="2">
        <f t="shared" si="5"/>
        <v>2445.86</v>
      </c>
      <c r="G1057" s="10">
        <f t="shared" si="9"/>
        <v>39039.64583</v>
      </c>
      <c r="H1057" s="6" t="str">
        <f t="shared" si="6"/>
        <v/>
      </c>
      <c r="I1057" s="2">
        <f t="shared" si="7"/>
        <v>1412.22</v>
      </c>
      <c r="M1057" s="10">
        <f>IFERROR(__xludf.DUMMYFUNCTION("""COMPUTED_VALUE"""),39513.666666666664)</f>
        <v>39513.66667</v>
      </c>
      <c r="N1057" s="2">
        <f>IFERROR(__xludf.DUMMYFUNCTION("""COMPUTED_VALUE"""),2220.5)</f>
        <v>2220.5</v>
      </c>
      <c r="S1057" s="13"/>
    </row>
    <row r="1058">
      <c r="A1058" s="10">
        <f t="shared" si="8"/>
        <v>39040.66667</v>
      </c>
      <c r="B1058" s="2" t="str">
        <f t="shared" si="2"/>
        <v/>
      </c>
      <c r="C1058" s="2" t="str">
        <f t="shared" si="3"/>
        <v>SP500</v>
      </c>
      <c r="D1058" s="2" t="str">
        <f t="shared" si="4"/>
        <v/>
      </c>
      <c r="E1058" s="2">
        <f t="shared" si="5"/>
        <v>2445.86</v>
      </c>
      <c r="G1058" s="10">
        <f t="shared" si="9"/>
        <v>39040.64583</v>
      </c>
      <c r="H1058" s="6" t="str">
        <f t="shared" si="6"/>
        <v/>
      </c>
      <c r="I1058" s="2">
        <f t="shared" si="7"/>
        <v>1412.22</v>
      </c>
      <c r="M1058" s="10">
        <f>IFERROR(__xludf.DUMMYFUNCTION("""COMPUTED_VALUE"""),39514.666666666664)</f>
        <v>39514.66667</v>
      </c>
      <c r="N1058" s="2">
        <f>IFERROR(__xludf.DUMMYFUNCTION("""COMPUTED_VALUE"""),2212.49)</f>
        <v>2212.49</v>
      </c>
      <c r="S1058" s="13"/>
    </row>
    <row r="1059">
      <c r="A1059" s="10">
        <f t="shared" si="8"/>
        <v>39041.66667</v>
      </c>
      <c r="B1059" s="2" t="str">
        <f t="shared" si="2"/>
        <v/>
      </c>
      <c r="C1059" s="2" t="str">
        <f t="shared" si="3"/>
        <v>SP500</v>
      </c>
      <c r="D1059" s="2">
        <f t="shared" si="4"/>
        <v>2452.72</v>
      </c>
      <c r="E1059" s="2">
        <f t="shared" si="5"/>
        <v>2452.72</v>
      </c>
      <c r="G1059" s="10">
        <f t="shared" si="9"/>
        <v>39041.64583</v>
      </c>
      <c r="H1059" s="6">
        <f t="shared" si="6"/>
        <v>1402.21</v>
      </c>
      <c r="I1059" s="2">
        <f t="shared" si="7"/>
        <v>1402.21</v>
      </c>
      <c r="M1059" s="10">
        <f>IFERROR(__xludf.DUMMYFUNCTION("""COMPUTED_VALUE"""),39517.666666666664)</f>
        <v>39517.66667</v>
      </c>
      <c r="N1059" s="2">
        <f>IFERROR(__xludf.DUMMYFUNCTION("""COMPUTED_VALUE"""),2169.34)</f>
        <v>2169.34</v>
      </c>
      <c r="S1059" s="13"/>
    </row>
    <row r="1060">
      <c r="A1060" s="10">
        <f t="shared" si="8"/>
        <v>39042.66667</v>
      </c>
      <c r="B1060" s="2" t="str">
        <f t="shared" si="2"/>
        <v/>
      </c>
      <c r="C1060" s="2" t="str">
        <f t="shared" si="3"/>
        <v>SP500</v>
      </c>
      <c r="D1060" s="2">
        <f t="shared" si="4"/>
        <v>2454.84</v>
      </c>
      <c r="E1060" s="2">
        <f t="shared" si="5"/>
        <v>2454.84</v>
      </c>
      <c r="G1060" s="10">
        <f t="shared" si="9"/>
        <v>39042.64583</v>
      </c>
      <c r="H1060" s="6">
        <f t="shared" si="6"/>
        <v>1405.9</v>
      </c>
      <c r="I1060" s="2">
        <f t="shared" si="7"/>
        <v>1405.9</v>
      </c>
      <c r="M1060" s="10">
        <f>IFERROR(__xludf.DUMMYFUNCTION("""COMPUTED_VALUE"""),39518.666666666664)</f>
        <v>39518.66667</v>
      </c>
      <c r="N1060" s="2">
        <f>IFERROR(__xludf.DUMMYFUNCTION("""COMPUTED_VALUE"""),2255.76)</f>
        <v>2255.76</v>
      </c>
      <c r="S1060" s="13"/>
    </row>
    <row r="1061">
      <c r="A1061" s="10">
        <f t="shared" si="8"/>
        <v>39043.66667</v>
      </c>
      <c r="B1061" s="2" t="str">
        <f t="shared" si="2"/>
        <v/>
      </c>
      <c r="C1061" s="2" t="str">
        <f t="shared" si="3"/>
        <v>SP500</v>
      </c>
      <c r="D1061" s="2">
        <f t="shared" si="4"/>
        <v>2465.98</v>
      </c>
      <c r="E1061" s="2">
        <f t="shared" si="5"/>
        <v>2465.98</v>
      </c>
      <c r="G1061" s="10">
        <f t="shared" si="9"/>
        <v>39043.64583</v>
      </c>
      <c r="H1061" s="6">
        <f t="shared" si="6"/>
        <v>1422.54</v>
      </c>
      <c r="I1061" s="2">
        <f t="shared" si="7"/>
        <v>1422.54</v>
      </c>
      <c r="M1061" s="10">
        <f>IFERROR(__xludf.DUMMYFUNCTION("""COMPUTED_VALUE"""),39519.666666666664)</f>
        <v>39519.66667</v>
      </c>
      <c r="N1061" s="2">
        <f>IFERROR(__xludf.DUMMYFUNCTION("""COMPUTED_VALUE"""),2243.87)</f>
        <v>2243.87</v>
      </c>
      <c r="S1061" s="13"/>
    </row>
    <row r="1062">
      <c r="A1062" s="10">
        <f t="shared" si="8"/>
        <v>39044.66667</v>
      </c>
      <c r="B1062" s="2" t="str">
        <f t="shared" si="2"/>
        <v/>
      </c>
      <c r="C1062" s="2" t="str">
        <f t="shared" si="3"/>
        <v>SP500</v>
      </c>
      <c r="D1062" s="2" t="str">
        <f t="shared" si="4"/>
        <v/>
      </c>
      <c r="E1062" s="2">
        <f t="shared" si="5"/>
        <v>2465.98</v>
      </c>
      <c r="G1062" s="10">
        <f t="shared" si="9"/>
        <v>39044.64583</v>
      </c>
      <c r="H1062" s="6">
        <f t="shared" si="6"/>
        <v>1419.23</v>
      </c>
      <c r="I1062" s="2">
        <f t="shared" si="7"/>
        <v>1419.23</v>
      </c>
      <c r="M1062" s="10">
        <f>IFERROR(__xludf.DUMMYFUNCTION("""COMPUTED_VALUE"""),39520.666666666664)</f>
        <v>39520.66667</v>
      </c>
      <c r="N1062" s="2">
        <f>IFERROR(__xludf.DUMMYFUNCTION("""COMPUTED_VALUE"""),2263.61)</f>
        <v>2263.61</v>
      </c>
      <c r="S1062" s="13"/>
    </row>
    <row r="1063">
      <c r="A1063" s="10">
        <f t="shared" si="8"/>
        <v>39045.66667</v>
      </c>
      <c r="B1063" s="2" t="str">
        <f t="shared" si="2"/>
        <v/>
      </c>
      <c r="C1063" s="2" t="str">
        <f t="shared" si="3"/>
        <v>SP500</v>
      </c>
      <c r="D1063" s="2">
        <f t="shared" si="4"/>
        <v>2460.26</v>
      </c>
      <c r="E1063" s="2">
        <f t="shared" si="5"/>
        <v>2460.26</v>
      </c>
      <c r="G1063" s="10">
        <f t="shared" si="9"/>
        <v>39045.64583</v>
      </c>
      <c r="H1063" s="6">
        <f t="shared" si="6"/>
        <v>1421.73</v>
      </c>
      <c r="I1063" s="2">
        <f t="shared" si="7"/>
        <v>1421.73</v>
      </c>
      <c r="M1063" s="10">
        <f>IFERROR(__xludf.DUMMYFUNCTION("""COMPUTED_VALUE"""),39521.666666666664)</f>
        <v>39521.66667</v>
      </c>
      <c r="N1063" s="2">
        <f>IFERROR(__xludf.DUMMYFUNCTION("""COMPUTED_VALUE"""),2212.49)</f>
        <v>2212.49</v>
      </c>
      <c r="S1063" s="13"/>
    </row>
    <row r="1064">
      <c r="A1064" s="10">
        <f t="shared" si="8"/>
        <v>39046.66667</v>
      </c>
      <c r="B1064" s="2" t="str">
        <f t="shared" si="2"/>
        <v/>
      </c>
      <c r="C1064" s="2" t="str">
        <f t="shared" si="3"/>
        <v>SP500</v>
      </c>
      <c r="D1064" s="2" t="str">
        <f t="shared" si="4"/>
        <v/>
      </c>
      <c r="E1064" s="2">
        <f t="shared" si="5"/>
        <v>2460.26</v>
      </c>
      <c r="G1064" s="10">
        <f t="shared" si="9"/>
        <v>39046.64583</v>
      </c>
      <c r="H1064" s="6" t="str">
        <f t="shared" si="6"/>
        <v/>
      </c>
      <c r="I1064" s="2">
        <f t="shared" si="7"/>
        <v>1421.73</v>
      </c>
      <c r="M1064" s="10">
        <f>IFERROR(__xludf.DUMMYFUNCTION("""COMPUTED_VALUE"""),39524.666666666664)</f>
        <v>39524.66667</v>
      </c>
      <c r="N1064" s="2">
        <f>IFERROR(__xludf.DUMMYFUNCTION("""COMPUTED_VALUE"""),2177.01)</f>
        <v>2177.01</v>
      </c>
      <c r="S1064" s="13"/>
    </row>
    <row r="1065">
      <c r="A1065" s="10">
        <f t="shared" si="8"/>
        <v>39047.66667</v>
      </c>
      <c r="B1065" s="2" t="str">
        <f t="shared" si="2"/>
        <v/>
      </c>
      <c r="C1065" s="2" t="str">
        <f t="shared" si="3"/>
        <v>SP500</v>
      </c>
      <c r="D1065" s="2" t="str">
        <f t="shared" si="4"/>
        <v/>
      </c>
      <c r="E1065" s="2">
        <f t="shared" si="5"/>
        <v>2460.26</v>
      </c>
      <c r="G1065" s="10">
        <f t="shared" si="9"/>
        <v>39047.64583</v>
      </c>
      <c r="H1065" s="6" t="str">
        <f t="shared" si="6"/>
        <v/>
      </c>
      <c r="I1065" s="2">
        <f t="shared" si="7"/>
        <v>1421.73</v>
      </c>
      <c r="M1065" s="10">
        <f>IFERROR(__xludf.DUMMYFUNCTION("""COMPUTED_VALUE"""),39525.666666666664)</f>
        <v>39525.66667</v>
      </c>
      <c r="N1065" s="2">
        <f>IFERROR(__xludf.DUMMYFUNCTION("""COMPUTED_VALUE"""),2268.26)</f>
        <v>2268.26</v>
      </c>
      <c r="S1065" s="13"/>
    </row>
    <row r="1066">
      <c r="A1066" s="10">
        <f t="shared" si="8"/>
        <v>39048.66667</v>
      </c>
      <c r="B1066" s="2" t="str">
        <f t="shared" si="2"/>
        <v/>
      </c>
      <c r="C1066" s="2" t="str">
        <f t="shared" si="3"/>
        <v>SP500</v>
      </c>
      <c r="D1066" s="2">
        <f t="shared" si="4"/>
        <v>2405.92</v>
      </c>
      <c r="E1066" s="2">
        <f t="shared" si="5"/>
        <v>2405.92</v>
      </c>
      <c r="G1066" s="10">
        <f t="shared" si="9"/>
        <v>39048.64583</v>
      </c>
      <c r="H1066" s="6">
        <f t="shared" si="6"/>
        <v>1425.13</v>
      </c>
      <c r="I1066" s="2">
        <f t="shared" si="7"/>
        <v>1425.13</v>
      </c>
      <c r="M1066" s="10">
        <f>IFERROR(__xludf.DUMMYFUNCTION("""COMPUTED_VALUE"""),39526.666666666664)</f>
        <v>39526.66667</v>
      </c>
      <c r="N1066" s="2">
        <f>IFERROR(__xludf.DUMMYFUNCTION("""COMPUTED_VALUE"""),2209.96)</f>
        <v>2209.96</v>
      </c>
      <c r="S1066" s="13"/>
    </row>
    <row r="1067">
      <c r="A1067" s="10">
        <f t="shared" si="8"/>
        <v>39049.66667</v>
      </c>
      <c r="B1067" s="2" t="str">
        <f t="shared" si="2"/>
        <v/>
      </c>
      <c r="C1067" s="2" t="str">
        <f t="shared" si="3"/>
        <v>SP500</v>
      </c>
      <c r="D1067" s="2">
        <f t="shared" si="4"/>
        <v>2412.61</v>
      </c>
      <c r="E1067" s="2">
        <f t="shared" si="5"/>
        <v>2412.61</v>
      </c>
      <c r="G1067" s="10">
        <f t="shared" si="9"/>
        <v>39049.64583</v>
      </c>
      <c r="H1067" s="6">
        <f t="shared" si="6"/>
        <v>1411.47</v>
      </c>
      <c r="I1067" s="2">
        <f t="shared" si="7"/>
        <v>1411.47</v>
      </c>
      <c r="M1067" s="10">
        <f>IFERROR(__xludf.DUMMYFUNCTION("""COMPUTED_VALUE"""),39527.666666666664)</f>
        <v>39527.66667</v>
      </c>
      <c r="N1067" s="2">
        <f>IFERROR(__xludf.DUMMYFUNCTION("""COMPUTED_VALUE"""),2258.11)</f>
        <v>2258.11</v>
      </c>
      <c r="S1067" s="13"/>
    </row>
    <row r="1068">
      <c r="A1068" s="10">
        <f t="shared" si="8"/>
        <v>39050.66667</v>
      </c>
      <c r="B1068" s="2" t="str">
        <f t="shared" si="2"/>
        <v/>
      </c>
      <c r="C1068" s="2" t="str">
        <f t="shared" si="3"/>
        <v>SP500</v>
      </c>
      <c r="D1068" s="2">
        <f t="shared" si="4"/>
        <v>2432.23</v>
      </c>
      <c r="E1068" s="2">
        <f t="shared" si="5"/>
        <v>2432.23</v>
      </c>
      <c r="G1068" s="10">
        <f t="shared" si="9"/>
        <v>39050.64583</v>
      </c>
      <c r="H1068" s="6">
        <f t="shared" si="6"/>
        <v>1422.55</v>
      </c>
      <c r="I1068" s="2">
        <f t="shared" si="7"/>
        <v>1422.55</v>
      </c>
      <c r="M1068" s="10">
        <f>IFERROR(__xludf.DUMMYFUNCTION("""COMPUTED_VALUE"""),39531.666666666664)</f>
        <v>39531.66667</v>
      </c>
      <c r="N1068" s="2">
        <f>IFERROR(__xludf.DUMMYFUNCTION("""COMPUTED_VALUE"""),2326.75)</f>
        <v>2326.75</v>
      </c>
      <c r="S1068" s="13"/>
    </row>
    <row r="1069">
      <c r="A1069" s="10">
        <f t="shared" si="8"/>
        <v>39051.66667</v>
      </c>
      <c r="B1069" s="2" t="str">
        <f t="shared" si="2"/>
        <v/>
      </c>
      <c r="C1069" s="2" t="str">
        <f t="shared" si="3"/>
        <v>SP500</v>
      </c>
      <c r="D1069" s="2">
        <f t="shared" si="4"/>
        <v>2431.77</v>
      </c>
      <c r="E1069" s="2">
        <f t="shared" si="5"/>
        <v>2431.77</v>
      </c>
      <c r="G1069" s="10">
        <f t="shared" si="9"/>
        <v>39051.64583</v>
      </c>
      <c r="H1069" s="6">
        <f t="shared" si="6"/>
        <v>1432.21</v>
      </c>
      <c r="I1069" s="2">
        <f t="shared" si="7"/>
        <v>1432.21</v>
      </c>
      <c r="M1069" s="10">
        <f>IFERROR(__xludf.DUMMYFUNCTION("""COMPUTED_VALUE"""),39532.666666666664)</f>
        <v>39532.66667</v>
      </c>
      <c r="N1069" s="2">
        <f>IFERROR(__xludf.DUMMYFUNCTION("""COMPUTED_VALUE"""),2341.05)</f>
        <v>2341.05</v>
      </c>
      <c r="S1069" s="13"/>
    </row>
    <row r="1070">
      <c r="A1070" s="10">
        <f t="shared" si="8"/>
        <v>39052.66667</v>
      </c>
      <c r="B1070" s="2" t="str">
        <f t="shared" si="2"/>
        <v/>
      </c>
      <c r="C1070" s="2" t="str">
        <f t="shared" si="3"/>
        <v>SP500</v>
      </c>
      <c r="D1070" s="2">
        <f t="shared" si="4"/>
        <v>2413.21</v>
      </c>
      <c r="E1070" s="2">
        <f t="shared" si="5"/>
        <v>2413.21</v>
      </c>
      <c r="G1070" s="10">
        <f t="shared" si="9"/>
        <v>39052.64583</v>
      </c>
      <c r="H1070" s="6">
        <f t="shared" si="6"/>
        <v>1434.36</v>
      </c>
      <c r="I1070" s="2">
        <f t="shared" si="7"/>
        <v>1434.36</v>
      </c>
      <c r="M1070" s="10">
        <f>IFERROR(__xludf.DUMMYFUNCTION("""COMPUTED_VALUE"""),39533.666666666664)</f>
        <v>39533.66667</v>
      </c>
      <c r="N1070" s="2">
        <f>IFERROR(__xludf.DUMMYFUNCTION("""COMPUTED_VALUE"""),2324.36)</f>
        <v>2324.36</v>
      </c>
      <c r="S1070" s="13"/>
    </row>
    <row r="1071">
      <c r="A1071" s="10">
        <f t="shared" si="8"/>
        <v>39053.66667</v>
      </c>
      <c r="B1071" s="2" t="str">
        <f t="shared" si="2"/>
        <v/>
      </c>
      <c r="C1071" s="2" t="str">
        <f t="shared" si="3"/>
        <v>SP500</v>
      </c>
      <c r="D1071" s="2" t="str">
        <f t="shared" si="4"/>
        <v/>
      </c>
      <c r="E1071" s="2">
        <f t="shared" si="5"/>
        <v>2413.21</v>
      </c>
      <c r="G1071" s="10">
        <f t="shared" si="9"/>
        <v>39053.64583</v>
      </c>
      <c r="H1071" s="6" t="str">
        <f t="shared" si="6"/>
        <v/>
      </c>
      <c r="I1071" s="2">
        <f t="shared" si="7"/>
        <v>1434.36</v>
      </c>
      <c r="M1071" s="10">
        <f>IFERROR(__xludf.DUMMYFUNCTION("""COMPUTED_VALUE"""),39534.666666666664)</f>
        <v>39534.66667</v>
      </c>
      <c r="N1071" s="2">
        <f>IFERROR(__xludf.DUMMYFUNCTION("""COMPUTED_VALUE"""),2280.83)</f>
        <v>2280.83</v>
      </c>
      <c r="S1071" s="13"/>
    </row>
    <row r="1072">
      <c r="A1072" s="10">
        <f t="shared" si="8"/>
        <v>39054.66667</v>
      </c>
      <c r="B1072" s="2" t="str">
        <f t="shared" si="2"/>
        <v/>
      </c>
      <c r="C1072" s="2" t="str">
        <f t="shared" si="3"/>
        <v>SP500</v>
      </c>
      <c r="D1072" s="2" t="str">
        <f t="shared" si="4"/>
        <v/>
      </c>
      <c r="E1072" s="2">
        <f t="shared" si="5"/>
        <v>2413.21</v>
      </c>
      <c r="G1072" s="10">
        <f t="shared" si="9"/>
        <v>39054.64583</v>
      </c>
      <c r="H1072" s="6" t="str">
        <f t="shared" si="6"/>
        <v/>
      </c>
      <c r="I1072" s="2">
        <f t="shared" si="7"/>
        <v>1434.36</v>
      </c>
      <c r="M1072" s="10">
        <f>IFERROR(__xludf.DUMMYFUNCTION("""COMPUTED_VALUE"""),39535.666666666664)</f>
        <v>39535.66667</v>
      </c>
      <c r="N1072" s="2">
        <f>IFERROR(__xludf.DUMMYFUNCTION("""COMPUTED_VALUE"""),2261.18)</f>
        <v>2261.18</v>
      </c>
      <c r="S1072" s="13"/>
    </row>
    <row r="1073">
      <c r="A1073" s="10">
        <f t="shared" si="8"/>
        <v>39055.66667</v>
      </c>
      <c r="B1073" s="2" t="str">
        <f t="shared" si="2"/>
        <v/>
      </c>
      <c r="C1073" s="2" t="str">
        <f t="shared" si="3"/>
        <v>SP500</v>
      </c>
      <c r="D1073" s="2">
        <f t="shared" si="4"/>
        <v>2448.39</v>
      </c>
      <c r="E1073" s="2">
        <f t="shared" si="5"/>
        <v>2448.39</v>
      </c>
      <c r="G1073" s="10">
        <f t="shared" si="9"/>
        <v>39055.64583</v>
      </c>
      <c r="H1073" s="6">
        <f t="shared" si="6"/>
        <v>1426.46</v>
      </c>
      <c r="I1073" s="2">
        <f t="shared" si="7"/>
        <v>1426.46</v>
      </c>
      <c r="M1073" s="10">
        <f>IFERROR(__xludf.DUMMYFUNCTION("""COMPUTED_VALUE"""),39538.666666666664)</f>
        <v>39538.66667</v>
      </c>
      <c r="N1073" s="2">
        <f>IFERROR(__xludf.DUMMYFUNCTION("""COMPUTED_VALUE"""),2279.1)</f>
        <v>2279.1</v>
      </c>
      <c r="S1073" s="13"/>
    </row>
    <row r="1074">
      <c r="A1074" s="10">
        <f t="shared" si="8"/>
        <v>39056.66667</v>
      </c>
      <c r="B1074" s="2" t="str">
        <f t="shared" si="2"/>
        <v/>
      </c>
      <c r="C1074" s="2" t="str">
        <f t="shared" si="3"/>
        <v>SP500</v>
      </c>
      <c r="D1074" s="2">
        <f t="shared" si="4"/>
        <v>2452.38</v>
      </c>
      <c r="E1074" s="2">
        <f t="shared" si="5"/>
        <v>2452.38</v>
      </c>
      <c r="G1074" s="10">
        <f t="shared" si="9"/>
        <v>39056.64583</v>
      </c>
      <c r="H1074" s="6">
        <f t="shared" si="6"/>
        <v>1420.59</v>
      </c>
      <c r="I1074" s="2">
        <f t="shared" si="7"/>
        <v>1420.59</v>
      </c>
      <c r="M1074" s="10">
        <f>IFERROR(__xludf.DUMMYFUNCTION("""COMPUTED_VALUE"""),39539.666666666664)</f>
        <v>39539.66667</v>
      </c>
      <c r="N1074" s="2">
        <f>IFERROR(__xludf.DUMMYFUNCTION("""COMPUTED_VALUE"""),2362.75)</f>
        <v>2362.75</v>
      </c>
      <c r="S1074" s="13"/>
    </row>
    <row r="1075">
      <c r="A1075" s="10">
        <f t="shared" si="8"/>
        <v>39057.66667</v>
      </c>
      <c r="B1075" s="2" t="str">
        <f t="shared" si="2"/>
        <v/>
      </c>
      <c r="C1075" s="2" t="str">
        <f t="shared" si="3"/>
        <v>SP500</v>
      </c>
      <c r="D1075" s="2">
        <f t="shared" si="4"/>
        <v>2445.86</v>
      </c>
      <c r="E1075" s="2">
        <f t="shared" si="5"/>
        <v>2445.86</v>
      </c>
      <c r="G1075" s="10">
        <f t="shared" si="9"/>
        <v>39057.64583</v>
      </c>
      <c r="H1075" s="6">
        <f t="shared" si="6"/>
        <v>1413.73</v>
      </c>
      <c r="I1075" s="2">
        <f t="shared" si="7"/>
        <v>1413.73</v>
      </c>
      <c r="M1075" s="10">
        <f>IFERROR(__xludf.DUMMYFUNCTION("""COMPUTED_VALUE"""),39540.666666666664)</f>
        <v>39540.66667</v>
      </c>
      <c r="N1075" s="2">
        <f>IFERROR(__xludf.DUMMYFUNCTION("""COMPUTED_VALUE"""),2361.4)</f>
        <v>2361.4</v>
      </c>
      <c r="S1075" s="13"/>
    </row>
    <row r="1076">
      <c r="A1076" s="10">
        <f t="shared" si="8"/>
        <v>39058.66667</v>
      </c>
      <c r="B1076" s="2" t="str">
        <f t="shared" si="2"/>
        <v/>
      </c>
      <c r="C1076" s="2" t="str">
        <f t="shared" si="3"/>
        <v>SP500</v>
      </c>
      <c r="D1076" s="2">
        <f t="shared" si="4"/>
        <v>2427.69</v>
      </c>
      <c r="E1076" s="2">
        <f t="shared" si="5"/>
        <v>2427.69</v>
      </c>
      <c r="G1076" s="10">
        <f t="shared" si="9"/>
        <v>39058.64583</v>
      </c>
      <c r="H1076" s="6">
        <f t="shared" si="6"/>
        <v>1410.3</v>
      </c>
      <c r="I1076" s="2">
        <f t="shared" si="7"/>
        <v>1410.3</v>
      </c>
      <c r="M1076" s="10">
        <f>IFERROR(__xludf.DUMMYFUNCTION("""COMPUTED_VALUE"""),39541.666666666664)</f>
        <v>39541.66667</v>
      </c>
      <c r="N1076" s="2">
        <f>IFERROR(__xludf.DUMMYFUNCTION("""COMPUTED_VALUE"""),2363.3)</f>
        <v>2363.3</v>
      </c>
      <c r="S1076" s="13"/>
    </row>
    <row r="1077">
      <c r="A1077" s="10">
        <f t="shared" si="8"/>
        <v>39059.66667</v>
      </c>
      <c r="B1077" s="2" t="str">
        <f t="shared" si="2"/>
        <v/>
      </c>
      <c r="C1077" s="2" t="str">
        <f t="shared" si="3"/>
        <v>SP500</v>
      </c>
      <c r="D1077" s="2">
        <f t="shared" si="4"/>
        <v>2437.36</v>
      </c>
      <c r="E1077" s="2">
        <f t="shared" si="5"/>
        <v>2437.36</v>
      </c>
      <c r="G1077" s="10">
        <f t="shared" si="9"/>
        <v>39059.64583</v>
      </c>
      <c r="H1077" s="6">
        <f t="shared" si="6"/>
        <v>1390.43</v>
      </c>
      <c r="I1077" s="2">
        <f t="shared" si="7"/>
        <v>1390.43</v>
      </c>
      <c r="M1077" s="10">
        <f>IFERROR(__xludf.DUMMYFUNCTION("""COMPUTED_VALUE"""),39542.666666666664)</f>
        <v>39542.66667</v>
      </c>
      <c r="N1077" s="2">
        <f>IFERROR(__xludf.DUMMYFUNCTION("""COMPUTED_VALUE"""),2370.98)</f>
        <v>2370.98</v>
      </c>
      <c r="S1077" s="13"/>
    </row>
    <row r="1078">
      <c r="A1078" s="10">
        <f t="shared" si="8"/>
        <v>39060.66667</v>
      </c>
      <c r="B1078" s="2" t="str">
        <f t="shared" si="2"/>
        <v/>
      </c>
      <c r="C1078" s="2" t="str">
        <f t="shared" si="3"/>
        <v>SP500</v>
      </c>
      <c r="D1078" s="2" t="str">
        <f t="shared" si="4"/>
        <v/>
      </c>
      <c r="E1078" s="2">
        <f t="shared" si="5"/>
        <v>2437.36</v>
      </c>
      <c r="G1078" s="10">
        <f t="shared" si="9"/>
        <v>39060.64583</v>
      </c>
      <c r="H1078" s="6" t="str">
        <f t="shared" si="6"/>
        <v/>
      </c>
      <c r="I1078" s="2">
        <f t="shared" si="7"/>
        <v>1390.43</v>
      </c>
      <c r="M1078" s="10">
        <f>IFERROR(__xludf.DUMMYFUNCTION("""COMPUTED_VALUE"""),39545.666666666664)</f>
        <v>39545.66667</v>
      </c>
      <c r="N1078" s="2">
        <f>IFERROR(__xludf.DUMMYFUNCTION("""COMPUTED_VALUE"""),2364.83)</f>
        <v>2364.83</v>
      </c>
      <c r="S1078" s="13"/>
    </row>
    <row r="1079">
      <c r="A1079" s="10">
        <f t="shared" si="8"/>
        <v>39061.66667</v>
      </c>
      <c r="B1079" s="2" t="str">
        <f t="shared" si="2"/>
        <v/>
      </c>
      <c r="C1079" s="2" t="str">
        <f t="shared" si="3"/>
        <v>SP500</v>
      </c>
      <c r="D1079" s="2" t="str">
        <f t="shared" si="4"/>
        <v/>
      </c>
      <c r="E1079" s="2">
        <f t="shared" si="5"/>
        <v>2437.36</v>
      </c>
      <c r="G1079" s="10">
        <f t="shared" si="9"/>
        <v>39061.64583</v>
      </c>
      <c r="H1079" s="6" t="str">
        <f t="shared" si="6"/>
        <v/>
      </c>
      <c r="I1079" s="2">
        <f t="shared" si="7"/>
        <v>1390.43</v>
      </c>
      <c r="M1079" s="10">
        <f>IFERROR(__xludf.DUMMYFUNCTION("""COMPUTED_VALUE"""),39546.666666666664)</f>
        <v>39546.66667</v>
      </c>
      <c r="N1079" s="2">
        <f>IFERROR(__xludf.DUMMYFUNCTION("""COMPUTED_VALUE"""),2348.76)</f>
        <v>2348.76</v>
      </c>
      <c r="S1079" s="13"/>
    </row>
    <row r="1080">
      <c r="A1080" s="10">
        <f t="shared" si="8"/>
        <v>39062.66667</v>
      </c>
      <c r="B1080" s="2" t="str">
        <f t="shared" si="2"/>
        <v/>
      </c>
      <c r="C1080" s="2" t="str">
        <f t="shared" si="3"/>
        <v>SP500</v>
      </c>
      <c r="D1080" s="2">
        <f t="shared" si="4"/>
        <v>2442.86</v>
      </c>
      <c r="E1080" s="2">
        <f t="shared" si="5"/>
        <v>2442.86</v>
      </c>
      <c r="G1080" s="10">
        <f t="shared" si="9"/>
        <v>39062.64583</v>
      </c>
      <c r="H1080" s="6">
        <f t="shared" si="6"/>
        <v>1390.73</v>
      </c>
      <c r="I1080" s="2">
        <f t="shared" si="7"/>
        <v>1390.73</v>
      </c>
      <c r="M1080" s="10">
        <f>IFERROR(__xludf.DUMMYFUNCTION("""COMPUTED_VALUE"""),39547.666666666664)</f>
        <v>39547.66667</v>
      </c>
      <c r="N1080" s="2">
        <f>IFERROR(__xludf.DUMMYFUNCTION("""COMPUTED_VALUE"""),2322.12)</f>
        <v>2322.12</v>
      </c>
      <c r="S1080" s="13"/>
    </row>
    <row r="1081">
      <c r="A1081" s="10">
        <f t="shared" si="8"/>
        <v>39063.66667</v>
      </c>
      <c r="B1081" s="2" t="str">
        <f t="shared" si="2"/>
        <v/>
      </c>
      <c r="C1081" s="2" t="str">
        <f t="shared" si="3"/>
        <v>SP500</v>
      </c>
      <c r="D1081" s="2">
        <f t="shared" si="4"/>
        <v>2431.6</v>
      </c>
      <c r="E1081" s="2">
        <f t="shared" si="5"/>
        <v>2431.6</v>
      </c>
      <c r="G1081" s="10">
        <f t="shared" si="9"/>
        <v>39063.64583</v>
      </c>
      <c r="H1081" s="6">
        <f t="shared" si="6"/>
        <v>1376.98</v>
      </c>
      <c r="I1081" s="2">
        <f t="shared" si="7"/>
        <v>1376.98</v>
      </c>
      <c r="M1081" s="10">
        <f>IFERROR(__xludf.DUMMYFUNCTION("""COMPUTED_VALUE"""),39548.666666666664)</f>
        <v>39548.66667</v>
      </c>
      <c r="N1081" s="2">
        <f>IFERROR(__xludf.DUMMYFUNCTION("""COMPUTED_VALUE"""),2351.7)</f>
        <v>2351.7</v>
      </c>
      <c r="S1081" s="13"/>
    </row>
    <row r="1082">
      <c r="A1082" s="10">
        <f t="shared" si="8"/>
        <v>39064.66667</v>
      </c>
      <c r="B1082" s="2" t="str">
        <f t="shared" si="2"/>
        <v/>
      </c>
      <c r="C1082" s="2" t="str">
        <f t="shared" si="3"/>
        <v>SP500</v>
      </c>
      <c r="D1082" s="2">
        <f t="shared" si="4"/>
        <v>2432.41</v>
      </c>
      <c r="E1082" s="2">
        <f t="shared" si="5"/>
        <v>2432.41</v>
      </c>
      <c r="G1082" s="10">
        <f t="shared" si="9"/>
        <v>39064.64583</v>
      </c>
      <c r="H1082" s="6">
        <f t="shared" si="6"/>
        <v>1383.28</v>
      </c>
      <c r="I1082" s="2">
        <f t="shared" si="7"/>
        <v>1383.28</v>
      </c>
      <c r="M1082" s="10">
        <f>IFERROR(__xludf.DUMMYFUNCTION("""COMPUTED_VALUE"""),39549.666666666664)</f>
        <v>39549.66667</v>
      </c>
      <c r="N1082" s="2">
        <f>IFERROR(__xludf.DUMMYFUNCTION("""COMPUTED_VALUE"""),2290.24)</f>
        <v>2290.24</v>
      </c>
      <c r="S1082" s="13"/>
    </row>
    <row r="1083">
      <c r="A1083" s="10">
        <f t="shared" si="8"/>
        <v>39065.66667</v>
      </c>
      <c r="B1083" s="2" t="str">
        <f t="shared" si="2"/>
        <v/>
      </c>
      <c r="C1083" s="2" t="str">
        <f t="shared" si="3"/>
        <v>SP500</v>
      </c>
      <c r="D1083" s="2">
        <f t="shared" si="4"/>
        <v>2453.85</v>
      </c>
      <c r="E1083" s="2">
        <f t="shared" si="5"/>
        <v>2453.85</v>
      </c>
      <c r="G1083" s="10">
        <f t="shared" si="9"/>
        <v>39065.64583</v>
      </c>
      <c r="H1083" s="6">
        <f t="shared" si="6"/>
        <v>1418.38</v>
      </c>
      <c r="I1083" s="2">
        <f t="shared" si="7"/>
        <v>1418.38</v>
      </c>
      <c r="M1083" s="10">
        <f>IFERROR(__xludf.DUMMYFUNCTION("""COMPUTED_VALUE"""),39552.666666666664)</f>
        <v>39552.66667</v>
      </c>
      <c r="N1083" s="2">
        <f>IFERROR(__xludf.DUMMYFUNCTION("""COMPUTED_VALUE"""),2275.82)</f>
        <v>2275.82</v>
      </c>
      <c r="S1083" s="13"/>
    </row>
    <row r="1084">
      <c r="A1084" s="10">
        <f t="shared" si="8"/>
        <v>39066.66667</v>
      </c>
      <c r="B1084" s="2" t="str">
        <f t="shared" si="2"/>
        <v/>
      </c>
      <c r="C1084" s="2" t="str">
        <f t="shared" si="3"/>
        <v>SP500</v>
      </c>
      <c r="D1084" s="2">
        <f t="shared" si="4"/>
        <v>2457.2</v>
      </c>
      <c r="E1084" s="2">
        <f t="shared" si="5"/>
        <v>2457.2</v>
      </c>
      <c r="G1084" s="10">
        <f t="shared" si="9"/>
        <v>39066.64583</v>
      </c>
      <c r="H1084" s="6">
        <f t="shared" si="6"/>
        <v>1421.87</v>
      </c>
      <c r="I1084" s="2">
        <f t="shared" si="7"/>
        <v>1421.87</v>
      </c>
      <c r="M1084" s="10">
        <f>IFERROR(__xludf.DUMMYFUNCTION("""COMPUTED_VALUE"""),39553.666666666664)</f>
        <v>39553.66667</v>
      </c>
      <c r="N1084" s="2">
        <f>IFERROR(__xludf.DUMMYFUNCTION("""COMPUTED_VALUE"""),2286.04)</f>
        <v>2286.04</v>
      </c>
      <c r="S1084" s="13"/>
    </row>
    <row r="1085">
      <c r="A1085" s="10">
        <f t="shared" si="8"/>
        <v>39067.66667</v>
      </c>
      <c r="B1085" s="2" t="str">
        <f t="shared" si="2"/>
        <v/>
      </c>
      <c r="C1085" s="2" t="str">
        <f t="shared" si="3"/>
        <v>SP500</v>
      </c>
      <c r="D1085" s="2" t="str">
        <f t="shared" si="4"/>
        <v/>
      </c>
      <c r="E1085" s="2">
        <f t="shared" si="5"/>
        <v>2457.2</v>
      </c>
      <c r="G1085" s="10">
        <f t="shared" si="9"/>
        <v>39067.64583</v>
      </c>
      <c r="H1085" s="6" t="str">
        <f t="shared" si="6"/>
        <v/>
      </c>
      <c r="I1085" s="2">
        <f t="shared" si="7"/>
        <v>1421.87</v>
      </c>
      <c r="M1085" s="10">
        <f>IFERROR(__xludf.DUMMYFUNCTION("""COMPUTED_VALUE"""),39554.666666666664)</f>
        <v>39554.66667</v>
      </c>
      <c r="N1085" s="2">
        <f>IFERROR(__xludf.DUMMYFUNCTION("""COMPUTED_VALUE"""),2350.11)</f>
        <v>2350.11</v>
      </c>
      <c r="S1085" s="13"/>
    </row>
    <row r="1086">
      <c r="A1086" s="10">
        <f t="shared" si="8"/>
        <v>39068.66667</v>
      </c>
      <c r="B1086" s="2" t="str">
        <f t="shared" si="2"/>
        <v/>
      </c>
      <c r="C1086" s="2" t="str">
        <f t="shared" si="3"/>
        <v>SP500</v>
      </c>
      <c r="D1086" s="2" t="str">
        <f t="shared" si="4"/>
        <v/>
      </c>
      <c r="E1086" s="2">
        <f t="shared" si="5"/>
        <v>2457.2</v>
      </c>
      <c r="G1086" s="10">
        <f t="shared" si="9"/>
        <v>39068.64583</v>
      </c>
      <c r="H1086" s="6" t="str">
        <f t="shared" si="6"/>
        <v/>
      </c>
      <c r="I1086" s="2">
        <f t="shared" si="7"/>
        <v>1421.87</v>
      </c>
      <c r="M1086" s="10">
        <f>IFERROR(__xludf.DUMMYFUNCTION("""COMPUTED_VALUE"""),39555.666666666664)</f>
        <v>39555.66667</v>
      </c>
      <c r="N1086" s="2">
        <f>IFERROR(__xludf.DUMMYFUNCTION("""COMPUTED_VALUE"""),2341.83)</f>
        <v>2341.83</v>
      </c>
      <c r="S1086" s="13"/>
    </row>
    <row r="1087">
      <c r="A1087" s="10">
        <f t="shared" si="8"/>
        <v>39069.66667</v>
      </c>
      <c r="B1087" s="2" t="str">
        <f t="shared" si="2"/>
        <v/>
      </c>
      <c r="C1087" s="2" t="str">
        <f t="shared" si="3"/>
        <v>SP500</v>
      </c>
      <c r="D1087" s="2">
        <f t="shared" si="4"/>
        <v>2435.57</v>
      </c>
      <c r="E1087" s="2">
        <f t="shared" si="5"/>
        <v>2435.57</v>
      </c>
      <c r="G1087" s="10">
        <f t="shared" si="9"/>
        <v>39069.64583</v>
      </c>
      <c r="H1087" s="6">
        <f t="shared" si="6"/>
        <v>1433.23</v>
      </c>
      <c r="I1087" s="2">
        <f t="shared" si="7"/>
        <v>1433.23</v>
      </c>
      <c r="M1087" s="10">
        <f>IFERROR(__xludf.DUMMYFUNCTION("""COMPUTED_VALUE"""),39556.666666666664)</f>
        <v>39556.66667</v>
      </c>
      <c r="N1087" s="2">
        <f>IFERROR(__xludf.DUMMYFUNCTION("""COMPUTED_VALUE"""),2402.97)</f>
        <v>2402.97</v>
      </c>
      <c r="S1087" s="13"/>
    </row>
    <row r="1088">
      <c r="A1088" s="10">
        <f t="shared" si="8"/>
        <v>39070.66667</v>
      </c>
      <c r="B1088" s="2" t="str">
        <f t="shared" si="2"/>
        <v/>
      </c>
      <c r="C1088" s="2" t="str">
        <f t="shared" si="3"/>
        <v>SP500</v>
      </c>
      <c r="D1088" s="2">
        <f t="shared" si="4"/>
        <v>2429.55</v>
      </c>
      <c r="E1088" s="2">
        <f t="shared" si="5"/>
        <v>2429.55</v>
      </c>
      <c r="G1088" s="10">
        <f t="shared" si="9"/>
        <v>39070.64583</v>
      </c>
      <c r="H1088" s="6">
        <f t="shared" si="6"/>
        <v>1427.76</v>
      </c>
      <c r="I1088" s="2">
        <f t="shared" si="7"/>
        <v>1427.76</v>
      </c>
      <c r="M1088" s="10">
        <f>IFERROR(__xludf.DUMMYFUNCTION("""COMPUTED_VALUE"""),39559.666666666664)</f>
        <v>39559.66667</v>
      </c>
      <c r="N1088" s="2">
        <f>IFERROR(__xludf.DUMMYFUNCTION("""COMPUTED_VALUE"""),2408.04)</f>
        <v>2408.04</v>
      </c>
      <c r="S1088" s="13"/>
    </row>
    <row r="1089">
      <c r="A1089" s="10">
        <f t="shared" si="8"/>
        <v>39071.66667</v>
      </c>
      <c r="B1089" s="2" t="str">
        <f t="shared" si="2"/>
        <v/>
      </c>
      <c r="C1089" s="2" t="str">
        <f t="shared" si="3"/>
        <v>SP500</v>
      </c>
      <c r="D1089" s="2">
        <f t="shared" si="4"/>
        <v>2427.61</v>
      </c>
      <c r="E1089" s="2">
        <f t="shared" si="5"/>
        <v>2427.61</v>
      </c>
      <c r="G1089" s="10">
        <f t="shared" si="9"/>
        <v>39071.64583</v>
      </c>
      <c r="H1089" s="6">
        <f t="shared" si="6"/>
        <v>1442.28</v>
      </c>
      <c r="I1089" s="2">
        <f t="shared" si="7"/>
        <v>1442.28</v>
      </c>
      <c r="M1089" s="10">
        <f>IFERROR(__xludf.DUMMYFUNCTION("""COMPUTED_VALUE"""),39560.666666666664)</f>
        <v>39560.66667</v>
      </c>
      <c r="N1089" s="2">
        <f>IFERROR(__xludf.DUMMYFUNCTION("""COMPUTED_VALUE"""),2376.94)</f>
        <v>2376.94</v>
      </c>
      <c r="S1089" s="13"/>
    </row>
    <row r="1090">
      <c r="A1090" s="10">
        <f t="shared" si="8"/>
        <v>39072.66667</v>
      </c>
      <c r="B1090" s="2" t="str">
        <f t="shared" si="2"/>
        <v/>
      </c>
      <c r="C1090" s="2" t="str">
        <f t="shared" si="3"/>
        <v>SP500</v>
      </c>
      <c r="D1090" s="2">
        <f t="shared" si="4"/>
        <v>2415.85</v>
      </c>
      <c r="E1090" s="2">
        <f t="shared" si="5"/>
        <v>2415.85</v>
      </c>
      <c r="G1090" s="10">
        <f t="shared" si="9"/>
        <v>39072.64583</v>
      </c>
      <c r="H1090" s="6">
        <f t="shared" si="6"/>
        <v>1436.47</v>
      </c>
      <c r="I1090" s="2">
        <f t="shared" si="7"/>
        <v>1436.47</v>
      </c>
      <c r="M1090" s="10">
        <f>IFERROR(__xludf.DUMMYFUNCTION("""COMPUTED_VALUE"""),39561.666666666664)</f>
        <v>39561.66667</v>
      </c>
      <c r="N1090" s="2">
        <f>IFERROR(__xludf.DUMMYFUNCTION("""COMPUTED_VALUE"""),2405.21)</f>
        <v>2405.21</v>
      </c>
      <c r="S1090" s="13"/>
    </row>
    <row r="1091">
      <c r="A1091" s="10">
        <f t="shared" si="8"/>
        <v>39073.66667</v>
      </c>
      <c r="B1091" s="2" t="str">
        <f t="shared" si="2"/>
        <v/>
      </c>
      <c r="C1091" s="2" t="str">
        <f t="shared" si="3"/>
        <v>SP500</v>
      </c>
      <c r="D1091" s="2">
        <f t="shared" si="4"/>
        <v>2401.18</v>
      </c>
      <c r="E1091" s="2">
        <f t="shared" si="5"/>
        <v>2401.18</v>
      </c>
      <c r="G1091" s="10">
        <f t="shared" si="9"/>
        <v>39073.64583</v>
      </c>
      <c r="H1091" s="6">
        <f t="shared" si="6"/>
        <v>1437.49</v>
      </c>
      <c r="I1091" s="2">
        <f t="shared" si="7"/>
        <v>1437.49</v>
      </c>
      <c r="M1091" s="10">
        <f>IFERROR(__xludf.DUMMYFUNCTION("""COMPUTED_VALUE"""),39562.666666666664)</f>
        <v>39562.66667</v>
      </c>
      <c r="N1091" s="2">
        <f>IFERROR(__xludf.DUMMYFUNCTION("""COMPUTED_VALUE"""),2428.92)</f>
        <v>2428.92</v>
      </c>
      <c r="S1091" s="13"/>
    </row>
    <row r="1092">
      <c r="A1092" s="10">
        <f t="shared" si="8"/>
        <v>39074.66667</v>
      </c>
      <c r="B1092" s="2" t="str">
        <f t="shared" si="2"/>
        <v/>
      </c>
      <c r="C1092" s="2" t="str">
        <f t="shared" si="3"/>
        <v>SP500</v>
      </c>
      <c r="D1092" s="2" t="str">
        <f t="shared" si="4"/>
        <v/>
      </c>
      <c r="E1092" s="2">
        <f t="shared" si="5"/>
        <v>2401.18</v>
      </c>
      <c r="G1092" s="10">
        <f t="shared" si="9"/>
        <v>39074.64583</v>
      </c>
      <c r="H1092" s="6" t="str">
        <f t="shared" si="6"/>
        <v/>
      </c>
      <c r="I1092" s="2">
        <f t="shared" si="7"/>
        <v>1437.49</v>
      </c>
      <c r="M1092" s="10">
        <f>IFERROR(__xludf.DUMMYFUNCTION("""COMPUTED_VALUE"""),39563.666666666664)</f>
        <v>39563.66667</v>
      </c>
      <c r="N1092" s="2">
        <f>IFERROR(__xludf.DUMMYFUNCTION("""COMPUTED_VALUE"""),2422.93)</f>
        <v>2422.93</v>
      </c>
      <c r="S1092" s="13"/>
    </row>
    <row r="1093">
      <c r="A1093" s="10">
        <f t="shared" si="8"/>
        <v>39075.66667</v>
      </c>
      <c r="B1093" s="2" t="str">
        <f t="shared" si="2"/>
        <v/>
      </c>
      <c r="C1093" s="2" t="str">
        <f t="shared" si="3"/>
        <v>SP500</v>
      </c>
      <c r="D1093" s="2" t="str">
        <f t="shared" si="4"/>
        <v/>
      </c>
      <c r="E1093" s="2">
        <f t="shared" si="5"/>
        <v>2401.18</v>
      </c>
      <c r="G1093" s="10">
        <f t="shared" si="9"/>
        <v>39075.64583</v>
      </c>
      <c r="H1093" s="6" t="str">
        <f t="shared" si="6"/>
        <v/>
      </c>
      <c r="I1093" s="2">
        <f t="shared" si="7"/>
        <v>1437.49</v>
      </c>
      <c r="M1093" s="10">
        <f>IFERROR(__xludf.DUMMYFUNCTION("""COMPUTED_VALUE"""),39566.666666666664)</f>
        <v>39566.66667</v>
      </c>
      <c r="N1093" s="2">
        <f>IFERROR(__xludf.DUMMYFUNCTION("""COMPUTED_VALUE"""),2424.4)</f>
        <v>2424.4</v>
      </c>
      <c r="S1093" s="13"/>
    </row>
    <row r="1094">
      <c r="A1094" s="10">
        <f t="shared" si="8"/>
        <v>39076.66667</v>
      </c>
      <c r="B1094" s="2" t="str">
        <f t="shared" si="2"/>
        <v/>
      </c>
      <c r="C1094" s="2" t="str">
        <f t="shared" si="3"/>
        <v>SP500</v>
      </c>
      <c r="D1094" s="2" t="str">
        <f t="shared" si="4"/>
        <v/>
      </c>
      <c r="E1094" s="2">
        <f t="shared" si="5"/>
        <v>2401.18</v>
      </c>
      <c r="G1094" s="10">
        <f t="shared" si="9"/>
        <v>39076.64583</v>
      </c>
      <c r="H1094" s="6" t="str">
        <f t="shared" si="6"/>
        <v/>
      </c>
      <c r="I1094" s="2">
        <f t="shared" si="7"/>
        <v>1437.49</v>
      </c>
      <c r="M1094" s="10">
        <f>IFERROR(__xludf.DUMMYFUNCTION("""COMPUTED_VALUE"""),39567.666666666664)</f>
        <v>39567.66667</v>
      </c>
      <c r="N1094" s="2">
        <f>IFERROR(__xludf.DUMMYFUNCTION("""COMPUTED_VALUE"""),2426.1)</f>
        <v>2426.1</v>
      </c>
      <c r="S1094" s="13"/>
    </row>
    <row r="1095">
      <c r="A1095" s="10">
        <f t="shared" si="8"/>
        <v>39077.66667</v>
      </c>
      <c r="B1095" s="2" t="str">
        <f t="shared" si="2"/>
        <v/>
      </c>
      <c r="C1095" s="2" t="str">
        <f t="shared" si="3"/>
        <v>SP500</v>
      </c>
      <c r="D1095" s="2">
        <f t="shared" si="4"/>
        <v>2413.51</v>
      </c>
      <c r="E1095" s="2">
        <f t="shared" si="5"/>
        <v>2413.51</v>
      </c>
      <c r="G1095" s="10">
        <f t="shared" si="9"/>
        <v>39077.64583</v>
      </c>
      <c r="H1095" s="6">
        <f t="shared" si="6"/>
        <v>1433.92</v>
      </c>
      <c r="I1095" s="2">
        <f t="shared" si="7"/>
        <v>1433.92</v>
      </c>
      <c r="M1095" s="10">
        <f>IFERROR(__xludf.DUMMYFUNCTION("""COMPUTED_VALUE"""),39568.666666666664)</f>
        <v>39568.66667</v>
      </c>
      <c r="N1095" s="2">
        <f>IFERROR(__xludf.DUMMYFUNCTION("""COMPUTED_VALUE"""),2412.8)</f>
        <v>2412.8</v>
      </c>
      <c r="S1095" s="13"/>
    </row>
    <row r="1096">
      <c r="A1096" s="10">
        <f t="shared" si="8"/>
        <v>39078.66667</v>
      </c>
      <c r="B1096" s="2" t="str">
        <f t="shared" si="2"/>
        <v/>
      </c>
      <c r="C1096" s="2" t="str">
        <f t="shared" si="3"/>
        <v>SP500</v>
      </c>
      <c r="D1096" s="2">
        <f t="shared" si="4"/>
        <v>2431.22</v>
      </c>
      <c r="E1096" s="2">
        <f t="shared" si="5"/>
        <v>2431.22</v>
      </c>
      <c r="G1096" s="10">
        <f t="shared" si="9"/>
        <v>39078.64583</v>
      </c>
      <c r="H1096" s="6">
        <f t="shared" si="6"/>
        <v>1425.1</v>
      </c>
      <c r="I1096" s="2">
        <f t="shared" si="7"/>
        <v>1425.1</v>
      </c>
      <c r="M1096" s="10">
        <f>IFERROR(__xludf.DUMMYFUNCTION("""COMPUTED_VALUE"""),39569.666666666664)</f>
        <v>39569.66667</v>
      </c>
      <c r="N1096" s="2">
        <f>IFERROR(__xludf.DUMMYFUNCTION("""COMPUTED_VALUE"""),2480.71)</f>
        <v>2480.71</v>
      </c>
      <c r="S1096" s="13"/>
    </row>
    <row r="1097">
      <c r="A1097" s="10">
        <f t="shared" si="8"/>
        <v>39079.66667</v>
      </c>
      <c r="B1097" s="2" t="str">
        <f t="shared" si="2"/>
        <v/>
      </c>
      <c r="C1097" s="2" t="str">
        <f t="shared" si="3"/>
        <v>SP500</v>
      </c>
      <c r="D1097" s="2">
        <f t="shared" si="4"/>
        <v>2425.57</v>
      </c>
      <c r="E1097" s="2">
        <f t="shared" si="5"/>
        <v>2425.57</v>
      </c>
      <c r="G1097" s="10">
        <f t="shared" si="9"/>
        <v>39079.64583</v>
      </c>
      <c r="H1097" s="6">
        <f t="shared" si="6"/>
        <v>1434.46</v>
      </c>
      <c r="I1097" s="2">
        <f t="shared" si="7"/>
        <v>1434.46</v>
      </c>
      <c r="M1097" s="10">
        <f>IFERROR(__xludf.DUMMYFUNCTION("""COMPUTED_VALUE"""),39570.666666666664)</f>
        <v>39570.66667</v>
      </c>
      <c r="N1097" s="2">
        <f>IFERROR(__xludf.DUMMYFUNCTION("""COMPUTED_VALUE"""),2476.99)</f>
        <v>2476.99</v>
      </c>
      <c r="S1097" s="13"/>
    </row>
    <row r="1098">
      <c r="A1098" s="10">
        <f t="shared" si="8"/>
        <v>39080.66667</v>
      </c>
      <c r="B1098" s="2" t="str">
        <f t="shared" si="2"/>
        <v/>
      </c>
      <c r="C1098" s="2" t="str">
        <f t="shared" si="3"/>
        <v>SP500</v>
      </c>
      <c r="D1098" s="2">
        <f t="shared" si="4"/>
        <v>2415.29</v>
      </c>
      <c r="E1098" s="2">
        <f t="shared" si="5"/>
        <v>2415.29</v>
      </c>
      <c r="G1098" s="10">
        <f t="shared" si="9"/>
        <v>39080.64583</v>
      </c>
      <c r="H1098" s="6" t="str">
        <f t="shared" si="6"/>
        <v/>
      </c>
      <c r="I1098" s="2">
        <f t="shared" si="7"/>
        <v>1434.46</v>
      </c>
      <c r="M1098" s="10">
        <f>IFERROR(__xludf.DUMMYFUNCTION("""COMPUTED_VALUE"""),39573.666666666664)</f>
        <v>39573.66667</v>
      </c>
      <c r="N1098" s="2">
        <f>IFERROR(__xludf.DUMMYFUNCTION("""COMPUTED_VALUE"""),2464.12)</f>
        <v>2464.12</v>
      </c>
      <c r="S1098" s="13"/>
    </row>
    <row r="1099">
      <c r="A1099" s="10">
        <f t="shared" si="8"/>
        <v>39081.66667</v>
      </c>
      <c r="B1099" s="2" t="str">
        <f t="shared" si="2"/>
        <v/>
      </c>
      <c r="C1099" s="2" t="str">
        <f t="shared" si="3"/>
        <v>SP500</v>
      </c>
      <c r="D1099" s="2" t="str">
        <f t="shared" si="4"/>
        <v/>
      </c>
      <c r="E1099" s="2">
        <f t="shared" si="5"/>
        <v>2415.29</v>
      </c>
      <c r="G1099" s="10">
        <f t="shared" si="9"/>
        <v>39081.64583</v>
      </c>
      <c r="H1099" s="6" t="str">
        <f t="shared" si="6"/>
        <v/>
      </c>
      <c r="I1099" s="2">
        <f t="shared" si="7"/>
        <v>1434.46</v>
      </c>
      <c r="M1099" s="10">
        <f>IFERROR(__xludf.DUMMYFUNCTION("""COMPUTED_VALUE"""),39574.666666666664)</f>
        <v>39574.66667</v>
      </c>
      <c r="N1099" s="2">
        <f>IFERROR(__xludf.DUMMYFUNCTION("""COMPUTED_VALUE"""),2483.31)</f>
        <v>2483.31</v>
      </c>
      <c r="S1099" s="13"/>
    </row>
    <row r="1100">
      <c r="A1100" s="10">
        <f t="shared" si="8"/>
        <v>39082.66667</v>
      </c>
      <c r="B1100" s="2" t="str">
        <f t="shared" si="2"/>
        <v/>
      </c>
      <c r="C1100" s="2" t="str">
        <f t="shared" si="3"/>
        <v>SP500</v>
      </c>
      <c r="D1100" s="2" t="str">
        <f t="shared" si="4"/>
        <v/>
      </c>
      <c r="E1100" s="2">
        <f t="shared" si="5"/>
        <v>2415.29</v>
      </c>
      <c r="G1100" s="10">
        <f t="shared" si="9"/>
        <v>39082.64583</v>
      </c>
      <c r="H1100" s="6" t="str">
        <f t="shared" si="6"/>
        <v/>
      </c>
      <c r="I1100" s="2">
        <f t="shared" si="7"/>
        <v>1434.46</v>
      </c>
      <c r="M1100" s="10">
        <f>IFERROR(__xludf.DUMMYFUNCTION("""COMPUTED_VALUE"""),39575.666666666664)</f>
        <v>39575.66667</v>
      </c>
      <c r="N1100" s="2">
        <f>IFERROR(__xludf.DUMMYFUNCTION("""COMPUTED_VALUE"""),2438.49)</f>
        <v>2438.49</v>
      </c>
      <c r="S1100" s="13"/>
    </row>
    <row r="1101">
      <c r="A1101" s="10">
        <f t="shared" si="8"/>
        <v>39083.66667</v>
      </c>
      <c r="B1101" s="2" t="str">
        <f t="shared" si="2"/>
        <v/>
      </c>
      <c r="C1101" s="2" t="str">
        <f t="shared" si="3"/>
        <v>SP500</v>
      </c>
      <c r="D1101" s="2" t="str">
        <f t="shared" si="4"/>
        <v/>
      </c>
      <c r="E1101" s="2">
        <f t="shared" si="5"/>
        <v>2415.29</v>
      </c>
      <c r="G1101" s="10">
        <f t="shared" si="9"/>
        <v>39083.64583</v>
      </c>
      <c r="H1101" s="6" t="str">
        <f t="shared" si="6"/>
        <v/>
      </c>
      <c r="I1101" s="2">
        <f t="shared" si="7"/>
        <v>1434.46</v>
      </c>
      <c r="M1101" s="10">
        <f>IFERROR(__xludf.DUMMYFUNCTION("""COMPUTED_VALUE"""),39576.666666666664)</f>
        <v>39576.66667</v>
      </c>
      <c r="N1101" s="2">
        <f>IFERROR(__xludf.DUMMYFUNCTION("""COMPUTED_VALUE"""),2451.24)</f>
        <v>2451.24</v>
      </c>
      <c r="S1101" s="13"/>
    </row>
    <row r="1102">
      <c r="A1102" s="10">
        <f t="shared" si="8"/>
        <v>39084.66667</v>
      </c>
      <c r="B1102" s="2" t="str">
        <f t="shared" si="2"/>
        <v/>
      </c>
      <c r="C1102" s="2" t="str">
        <f t="shared" si="3"/>
        <v>SP500</v>
      </c>
      <c r="D1102" s="2" t="str">
        <f t="shared" si="4"/>
        <v/>
      </c>
      <c r="E1102" s="2">
        <f t="shared" si="5"/>
        <v>2415.29</v>
      </c>
      <c r="G1102" s="10">
        <f t="shared" si="9"/>
        <v>39084.64583</v>
      </c>
      <c r="H1102" s="6">
        <f t="shared" si="6"/>
        <v>1435.26</v>
      </c>
      <c r="I1102" s="2">
        <f t="shared" si="7"/>
        <v>1435.26</v>
      </c>
      <c r="M1102" s="10">
        <f>IFERROR(__xludf.DUMMYFUNCTION("""COMPUTED_VALUE"""),39577.666666666664)</f>
        <v>39577.66667</v>
      </c>
      <c r="N1102" s="2">
        <f>IFERROR(__xludf.DUMMYFUNCTION("""COMPUTED_VALUE"""),2445.52)</f>
        <v>2445.52</v>
      </c>
      <c r="S1102" s="13"/>
    </row>
    <row r="1103">
      <c r="A1103" s="10">
        <f t="shared" si="8"/>
        <v>39085.66667</v>
      </c>
      <c r="B1103" s="2" t="str">
        <f t="shared" si="2"/>
        <v/>
      </c>
      <c r="C1103" s="2" t="str">
        <f t="shared" si="3"/>
        <v>SP500</v>
      </c>
      <c r="D1103" s="2">
        <f t="shared" si="4"/>
        <v>2423.16</v>
      </c>
      <c r="E1103" s="2">
        <f t="shared" si="5"/>
        <v>2423.16</v>
      </c>
      <c r="G1103" s="10">
        <f t="shared" si="9"/>
        <v>39085.64583</v>
      </c>
      <c r="H1103" s="6">
        <f t="shared" si="6"/>
        <v>1409.35</v>
      </c>
      <c r="I1103" s="2">
        <f t="shared" si="7"/>
        <v>1409.35</v>
      </c>
      <c r="M1103" s="10">
        <f>IFERROR(__xludf.DUMMYFUNCTION("""COMPUTED_VALUE"""),39580.666666666664)</f>
        <v>39580.66667</v>
      </c>
      <c r="N1103" s="2">
        <f>IFERROR(__xludf.DUMMYFUNCTION("""COMPUTED_VALUE"""),2488.49)</f>
        <v>2488.49</v>
      </c>
      <c r="S1103" s="13"/>
    </row>
    <row r="1104">
      <c r="A1104" s="10">
        <f t="shared" si="8"/>
        <v>39086.66667</v>
      </c>
      <c r="B1104" s="2" t="str">
        <f t="shared" si="2"/>
        <v/>
      </c>
      <c r="C1104" s="2" t="str">
        <f t="shared" si="3"/>
        <v>SP500</v>
      </c>
      <c r="D1104" s="2">
        <f t="shared" si="4"/>
        <v>2453.43</v>
      </c>
      <c r="E1104" s="2">
        <f t="shared" si="5"/>
        <v>2453.43</v>
      </c>
      <c r="G1104" s="10">
        <f t="shared" si="9"/>
        <v>39086.64583</v>
      </c>
      <c r="H1104" s="6">
        <f t="shared" si="6"/>
        <v>1397.29</v>
      </c>
      <c r="I1104" s="2">
        <f t="shared" si="7"/>
        <v>1397.29</v>
      </c>
      <c r="M1104" s="10">
        <f>IFERROR(__xludf.DUMMYFUNCTION("""COMPUTED_VALUE"""),39581.666666666664)</f>
        <v>39581.66667</v>
      </c>
      <c r="N1104" s="2">
        <f>IFERROR(__xludf.DUMMYFUNCTION("""COMPUTED_VALUE"""),2495.12)</f>
        <v>2495.12</v>
      </c>
      <c r="S1104" s="13"/>
    </row>
    <row r="1105">
      <c r="A1105" s="10">
        <f t="shared" si="8"/>
        <v>39087.66667</v>
      </c>
      <c r="B1105" s="2" t="str">
        <f t="shared" si="2"/>
        <v/>
      </c>
      <c r="C1105" s="2" t="str">
        <f t="shared" si="3"/>
        <v>SP500</v>
      </c>
      <c r="D1105" s="2">
        <f t="shared" si="4"/>
        <v>2434.25</v>
      </c>
      <c r="E1105" s="2">
        <f t="shared" si="5"/>
        <v>2434.25</v>
      </c>
      <c r="G1105" s="10">
        <f t="shared" si="9"/>
        <v>39087.64583</v>
      </c>
      <c r="H1105" s="6">
        <f t="shared" si="6"/>
        <v>1385.76</v>
      </c>
      <c r="I1105" s="2">
        <f t="shared" si="7"/>
        <v>1385.76</v>
      </c>
      <c r="M1105" s="10">
        <f>IFERROR(__xludf.DUMMYFUNCTION("""COMPUTED_VALUE"""),39582.666666666664)</f>
        <v>39582.66667</v>
      </c>
      <c r="N1105" s="2">
        <f>IFERROR(__xludf.DUMMYFUNCTION("""COMPUTED_VALUE"""),2496.7)</f>
        <v>2496.7</v>
      </c>
      <c r="S1105" s="13"/>
    </row>
    <row r="1106">
      <c r="A1106" s="10">
        <f t="shared" si="8"/>
        <v>39088.66667</v>
      </c>
      <c r="B1106" s="2" t="str">
        <f t="shared" si="2"/>
        <v/>
      </c>
      <c r="C1106" s="2" t="str">
        <f t="shared" si="3"/>
        <v>SP500</v>
      </c>
      <c r="D1106" s="2" t="str">
        <f t="shared" si="4"/>
        <v/>
      </c>
      <c r="E1106" s="2">
        <f t="shared" si="5"/>
        <v>2434.25</v>
      </c>
      <c r="G1106" s="10">
        <f t="shared" si="9"/>
        <v>39088.64583</v>
      </c>
      <c r="H1106" s="6" t="str">
        <f t="shared" si="6"/>
        <v/>
      </c>
      <c r="I1106" s="2">
        <f t="shared" si="7"/>
        <v>1385.76</v>
      </c>
      <c r="M1106" s="10">
        <f>IFERROR(__xludf.DUMMYFUNCTION("""COMPUTED_VALUE"""),39583.666666666664)</f>
        <v>39583.66667</v>
      </c>
      <c r="N1106" s="2">
        <f>IFERROR(__xludf.DUMMYFUNCTION("""COMPUTED_VALUE"""),2533.73)</f>
        <v>2533.73</v>
      </c>
      <c r="S1106" s="13"/>
    </row>
    <row r="1107">
      <c r="A1107" s="10">
        <f t="shared" si="8"/>
        <v>39089.66667</v>
      </c>
      <c r="B1107" s="2" t="str">
        <f t="shared" si="2"/>
        <v/>
      </c>
      <c r="C1107" s="2" t="str">
        <f t="shared" si="3"/>
        <v>SP500</v>
      </c>
      <c r="D1107" s="2" t="str">
        <f t="shared" si="4"/>
        <v/>
      </c>
      <c r="E1107" s="2">
        <f t="shared" si="5"/>
        <v>2434.25</v>
      </c>
      <c r="G1107" s="10">
        <f t="shared" si="9"/>
        <v>39089.64583</v>
      </c>
      <c r="H1107" s="6" t="str">
        <f t="shared" si="6"/>
        <v/>
      </c>
      <c r="I1107" s="2">
        <f t="shared" si="7"/>
        <v>1385.76</v>
      </c>
      <c r="M1107" s="10">
        <f>IFERROR(__xludf.DUMMYFUNCTION("""COMPUTED_VALUE"""),39584.666666666664)</f>
        <v>39584.66667</v>
      </c>
      <c r="N1107" s="2">
        <f>IFERROR(__xludf.DUMMYFUNCTION("""COMPUTED_VALUE"""),2528.85)</f>
        <v>2528.85</v>
      </c>
      <c r="S1107" s="13"/>
    </row>
    <row r="1108">
      <c r="A1108" s="10">
        <f t="shared" si="8"/>
        <v>39090.66667</v>
      </c>
      <c r="B1108" s="2" t="str">
        <f t="shared" si="2"/>
        <v/>
      </c>
      <c r="C1108" s="2" t="str">
        <f t="shared" si="3"/>
        <v>SP500</v>
      </c>
      <c r="D1108" s="2">
        <f t="shared" si="4"/>
        <v>2438.2</v>
      </c>
      <c r="E1108" s="2">
        <f t="shared" si="5"/>
        <v>2438.2</v>
      </c>
      <c r="G1108" s="10">
        <f t="shared" si="9"/>
        <v>39090.64583</v>
      </c>
      <c r="H1108" s="6">
        <f t="shared" si="6"/>
        <v>1370.81</v>
      </c>
      <c r="I1108" s="2">
        <f t="shared" si="7"/>
        <v>1370.81</v>
      </c>
      <c r="M1108" s="10">
        <f>IFERROR(__xludf.DUMMYFUNCTION("""COMPUTED_VALUE"""),39587.666666666664)</f>
        <v>39587.66667</v>
      </c>
      <c r="N1108" s="2">
        <f>IFERROR(__xludf.DUMMYFUNCTION("""COMPUTED_VALUE"""),2516.09)</f>
        <v>2516.09</v>
      </c>
      <c r="S1108" s="13"/>
    </row>
    <row r="1109">
      <c r="A1109" s="10">
        <f t="shared" si="8"/>
        <v>39091.66667</v>
      </c>
      <c r="B1109" s="2" t="str">
        <f t="shared" si="2"/>
        <v/>
      </c>
      <c r="C1109" s="2" t="str">
        <f t="shared" si="3"/>
        <v>SP500</v>
      </c>
      <c r="D1109" s="2">
        <f t="shared" si="4"/>
        <v>2443.83</v>
      </c>
      <c r="E1109" s="2">
        <f t="shared" si="5"/>
        <v>2443.83</v>
      </c>
      <c r="G1109" s="10">
        <f t="shared" si="9"/>
        <v>39091.64583</v>
      </c>
      <c r="H1109" s="6">
        <f t="shared" si="6"/>
        <v>1374.34</v>
      </c>
      <c r="I1109" s="2">
        <f t="shared" si="7"/>
        <v>1374.34</v>
      </c>
      <c r="M1109" s="10">
        <f>IFERROR(__xludf.DUMMYFUNCTION("""COMPUTED_VALUE"""),39588.666666666664)</f>
        <v>39588.66667</v>
      </c>
      <c r="N1109" s="2">
        <f>IFERROR(__xludf.DUMMYFUNCTION("""COMPUTED_VALUE"""),2492.26)</f>
        <v>2492.26</v>
      </c>
      <c r="S1109" s="13"/>
    </row>
    <row r="1110">
      <c r="A1110" s="10">
        <f t="shared" si="8"/>
        <v>39092.66667</v>
      </c>
      <c r="B1110" s="2" t="str">
        <f t="shared" si="2"/>
        <v/>
      </c>
      <c r="C1110" s="2" t="str">
        <f t="shared" si="3"/>
        <v>SP500</v>
      </c>
      <c r="D1110" s="2">
        <f t="shared" si="4"/>
        <v>2459.33</v>
      </c>
      <c r="E1110" s="2">
        <f t="shared" si="5"/>
        <v>2459.33</v>
      </c>
      <c r="G1110" s="10">
        <f t="shared" si="9"/>
        <v>39092.64583</v>
      </c>
      <c r="H1110" s="6">
        <f t="shared" si="6"/>
        <v>1355.79</v>
      </c>
      <c r="I1110" s="2">
        <f t="shared" si="7"/>
        <v>1355.79</v>
      </c>
      <c r="M1110" s="10">
        <f>IFERROR(__xludf.DUMMYFUNCTION("""COMPUTED_VALUE"""),39589.666666666664)</f>
        <v>39589.66667</v>
      </c>
      <c r="N1110" s="2">
        <f>IFERROR(__xludf.DUMMYFUNCTION("""COMPUTED_VALUE"""),2448.27)</f>
        <v>2448.27</v>
      </c>
      <c r="S1110" s="13"/>
    </row>
    <row r="1111">
      <c r="A1111" s="10">
        <f t="shared" si="8"/>
        <v>39093.66667</v>
      </c>
      <c r="B1111" s="2" t="str">
        <f t="shared" si="2"/>
        <v/>
      </c>
      <c r="C1111" s="2" t="str">
        <f t="shared" si="3"/>
        <v>SP500</v>
      </c>
      <c r="D1111" s="2">
        <f t="shared" si="4"/>
        <v>2484.85</v>
      </c>
      <c r="E1111" s="2">
        <f t="shared" si="5"/>
        <v>2484.85</v>
      </c>
      <c r="G1111" s="10">
        <f t="shared" si="9"/>
        <v>39093.64583</v>
      </c>
      <c r="H1111" s="6">
        <f t="shared" si="6"/>
        <v>1365.31</v>
      </c>
      <c r="I1111" s="2">
        <f t="shared" si="7"/>
        <v>1365.31</v>
      </c>
      <c r="M1111" s="10">
        <f>IFERROR(__xludf.DUMMYFUNCTION("""COMPUTED_VALUE"""),39590.666666666664)</f>
        <v>39590.66667</v>
      </c>
      <c r="N1111" s="2">
        <f>IFERROR(__xludf.DUMMYFUNCTION("""COMPUTED_VALUE"""),2464.58)</f>
        <v>2464.58</v>
      </c>
      <c r="S1111" s="13"/>
    </row>
    <row r="1112">
      <c r="A1112" s="10">
        <f t="shared" si="8"/>
        <v>39094.66667</v>
      </c>
      <c r="B1112" s="2" t="str">
        <f t="shared" si="2"/>
        <v/>
      </c>
      <c r="C1112" s="2" t="str">
        <f t="shared" si="3"/>
        <v>SP500</v>
      </c>
      <c r="D1112" s="2">
        <f t="shared" si="4"/>
        <v>2502.82</v>
      </c>
      <c r="E1112" s="2">
        <f t="shared" si="5"/>
        <v>2502.82</v>
      </c>
      <c r="G1112" s="10">
        <f t="shared" si="9"/>
        <v>39094.64583</v>
      </c>
      <c r="H1112" s="6">
        <f t="shared" si="6"/>
        <v>1388.37</v>
      </c>
      <c r="I1112" s="2">
        <f t="shared" si="7"/>
        <v>1388.37</v>
      </c>
      <c r="M1112" s="10">
        <f>IFERROR(__xludf.DUMMYFUNCTION("""COMPUTED_VALUE"""),39591.666666666664)</f>
        <v>39591.66667</v>
      </c>
      <c r="N1112" s="2">
        <f>IFERROR(__xludf.DUMMYFUNCTION("""COMPUTED_VALUE"""),2444.67)</f>
        <v>2444.67</v>
      </c>
      <c r="S1112" s="13"/>
    </row>
    <row r="1113">
      <c r="A1113" s="10">
        <f t="shared" si="8"/>
        <v>39095.66667</v>
      </c>
      <c r="B1113" s="2" t="str">
        <f t="shared" si="2"/>
        <v/>
      </c>
      <c r="C1113" s="2" t="str">
        <f t="shared" si="3"/>
        <v>SP500</v>
      </c>
      <c r="D1113" s="2" t="str">
        <f t="shared" si="4"/>
        <v/>
      </c>
      <c r="E1113" s="2">
        <f t="shared" si="5"/>
        <v>2502.82</v>
      </c>
      <c r="G1113" s="10">
        <f t="shared" si="9"/>
        <v>39095.64583</v>
      </c>
      <c r="H1113" s="6" t="str">
        <f t="shared" si="6"/>
        <v/>
      </c>
      <c r="I1113" s="2">
        <f t="shared" si="7"/>
        <v>1388.37</v>
      </c>
      <c r="M1113" s="10">
        <f>IFERROR(__xludf.DUMMYFUNCTION("""COMPUTED_VALUE"""),39595.666666666664)</f>
        <v>39595.66667</v>
      </c>
      <c r="N1113" s="2">
        <f>IFERROR(__xludf.DUMMYFUNCTION("""COMPUTED_VALUE"""),2481.24)</f>
        <v>2481.24</v>
      </c>
      <c r="S1113" s="13"/>
    </row>
    <row r="1114">
      <c r="A1114" s="10">
        <f t="shared" si="8"/>
        <v>39096.66667</v>
      </c>
      <c r="B1114" s="2" t="str">
        <f t="shared" si="2"/>
        <v/>
      </c>
      <c r="C1114" s="2" t="str">
        <f t="shared" si="3"/>
        <v>SP500</v>
      </c>
      <c r="D1114" s="2" t="str">
        <f t="shared" si="4"/>
        <v/>
      </c>
      <c r="E1114" s="2">
        <f t="shared" si="5"/>
        <v>2502.82</v>
      </c>
      <c r="G1114" s="10">
        <f t="shared" si="9"/>
        <v>39096.64583</v>
      </c>
      <c r="H1114" s="6" t="str">
        <f t="shared" si="6"/>
        <v/>
      </c>
      <c r="I1114" s="2">
        <f t="shared" si="7"/>
        <v>1388.37</v>
      </c>
      <c r="M1114" s="10">
        <f>IFERROR(__xludf.DUMMYFUNCTION("""COMPUTED_VALUE"""),39596.666666666664)</f>
        <v>39596.66667</v>
      </c>
      <c r="N1114" s="2">
        <f>IFERROR(__xludf.DUMMYFUNCTION("""COMPUTED_VALUE"""),2486.7)</f>
        <v>2486.7</v>
      </c>
      <c r="S1114" s="13"/>
    </row>
    <row r="1115">
      <c r="A1115" s="10">
        <f t="shared" si="8"/>
        <v>39097.66667</v>
      </c>
      <c r="B1115" s="2" t="str">
        <f t="shared" si="2"/>
        <v/>
      </c>
      <c r="C1115" s="2" t="str">
        <f t="shared" si="3"/>
        <v>SP500</v>
      </c>
      <c r="D1115" s="2" t="str">
        <f t="shared" si="4"/>
        <v/>
      </c>
      <c r="E1115" s="2">
        <f t="shared" si="5"/>
        <v>2502.82</v>
      </c>
      <c r="G1115" s="10">
        <f t="shared" si="9"/>
        <v>39097.64583</v>
      </c>
      <c r="H1115" s="6">
        <f t="shared" si="6"/>
        <v>1390.96</v>
      </c>
      <c r="I1115" s="2">
        <f t="shared" si="7"/>
        <v>1390.96</v>
      </c>
      <c r="M1115" s="10">
        <f>IFERROR(__xludf.DUMMYFUNCTION("""COMPUTED_VALUE"""),39597.666666666664)</f>
        <v>39597.66667</v>
      </c>
      <c r="N1115" s="2">
        <f>IFERROR(__xludf.DUMMYFUNCTION("""COMPUTED_VALUE"""),2508.32)</f>
        <v>2508.32</v>
      </c>
      <c r="S1115" s="13"/>
    </row>
    <row r="1116">
      <c r="A1116" s="10">
        <f t="shared" si="8"/>
        <v>39098.66667</v>
      </c>
      <c r="B1116" s="2" t="str">
        <f t="shared" si="2"/>
        <v/>
      </c>
      <c r="C1116" s="2" t="str">
        <f t="shared" si="3"/>
        <v>SP500</v>
      </c>
      <c r="D1116" s="2">
        <f t="shared" si="4"/>
        <v>2497.78</v>
      </c>
      <c r="E1116" s="2">
        <f t="shared" si="5"/>
        <v>2497.78</v>
      </c>
      <c r="G1116" s="10">
        <f t="shared" si="9"/>
        <v>39098.64583</v>
      </c>
      <c r="H1116" s="6">
        <f t="shared" si="6"/>
        <v>1389.71</v>
      </c>
      <c r="I1116" s="2">
        <f t="shared" si="7"/>
        <v>1389.71</v>
      </c>
      <c r="M1116" s="10">
        <f>IFERROR(__xludf.DUMMYFUNCTION("""COMPUTED_VALUE"""),39598.666666666664)</f>
        <v>39598.66667</v>
      </c>
      <c r="N1116" s="2">
        <f>IFERROR(__xludf.DUMMYFUNCTION("""COMPUTED_VALUE"""),2522.66)</f>
        <v>2522.66</v>
      </c>
      <c r="S1116" s="13"/>
    </row>
    <row r="1117">
      <c r="A1117" s="10">
        <f t="shared" si="8"/>
        <v>39099.66667</v>
      </c>
      <c r="B1117" s="2" t="str">
        <f t="shared" si="2"/>
        <v/>
      </c>
      <c r="C1117" s="2" t="str">
        <f t="shared" si="3"/>
        <v>SP500</v>
      </c>
      <c r="D1117" s="2">
        <f t="shared" si="4"/>
        <v>2479.42</v>
      </c>
      <c r="E1117" s="2">
        <f t="shared" si="5"/>
        <v>2479.42</v>
      </c>
      <c r="G1117" s="10">
        <f t="shared" si="9"/>
        <v>39099.64583</v>
      </c>
      <c r="H1117" s="6">
        <f t="shared" si="6"/>
        <v>1379.48</v>
      </c>
      <c r="I1117" s="2">
        <f t="shared" si="7"/>
        <v>1379.48</v>
      </c>
      <c r="M1117" s="10">
        <f>IFERROR(__xludf.DUMMYFUNCTION("""COMPUTED_VALUE"""),39601.666666666664)</f>
        <v>39601.66667</v>
      </c>
      <c r="N1117" s="2">
        <f>IFERROR(__xludf.DUMMYFUNCTION("""COMPUTED_VALUE"""),2491.53)</f>
        <v>2491.53</v>
      </c>
      <c r="S1117" s="15"/>
    </row>
    <row r="1118">
      <c r="A1118" s="10">
        <f t="shared" si="8"/>
        <v>39100.66667</v>
      </c>
      <c r="B1118" s="2" t="str">
        <f t="shared" si="2"/>
        <v/>
      </c>
      <c r="C1118" s="2" t="str">
        <f t="shared" si="3"/>
        <v>SP500</v>
      </c>
      <c r="D1118" s="2">
        <f t="shared" si="4"/>
        <v>2443.21</v>
      </c>
      <c r="E1118" s="2">
        <f t="shared" si="5"/>
        <v>2443.21</v>
      </c>
      <c r="G1118" s="10">
        <f t="shared" si="9"/>
        <v>39100.64583</v>
      </c>
      <c r="H1118" s="6">
        <f t="shared" si="6"/>
        <v>1383.21</v>
      </c>
      <c r="I1118" s="2">
        <f t="shared" si="7"/>
        <v>1383.21</v>
      </c>
      <c r="M1118" s="10">
        <f>IFERROR(__xludf.DUMMYFUNCTION("""COMPUTED_VALUE"""),39602.666666666664)</f>
        <v>39602.66667</v>
      </c>
      <c r="N1118" s="2">
        <f>IFERROR(__xludf.DUMMYFUNCTION("""COMPUTED_VALUE"""),2480.48)</f>
        <v>2480.48</v>
      </c>
      <c r="S1118" s="15"/>
    </row>
    <row r="1119">
      <c r="A1119" s="10">
        <f t="shared" si="8"/>
        <v>39101.66667</v>
      </c>
      <c r="B1119" s="2" t="str">
        <f t="shared" si="2"/>
        <v/>
      </c>
      <c r="C1119" s="2" t="str">
        <f t="shared" si="3"/>
        <v>SP500</v>
      </c>
      <c r="D1119" s="2">
        <f t="shared" si="4"/>
        <v>2451.31</v>
      </c>
      <c r="E1119" s="2">
        <f t="shared" si="5"/>
        <v>2451.31</v>
      </c>
      <c r="G1119" s="10">
        <f t="shared" si="9"/>
        <v>39101.64583</v>
      </c>
      <c r="H1119" s="6">
        <f t="shared" si="6"/>
        <v>1360.56</v>
      </c>
      <c r="I1119" s="2">
        <f t="shared" si="7"/>
        <v>1360.56</v>
      </c>
      <c r="M1119" s="10">
        <f>IFERROR(__xludf.DUMMYFUNCTION("""COMPUTED_VALUE"""),39603.666666666664)</f>
        <v>39603.66667</v>
      </c>
      <c r="N1119" s="2">
        <f>IFERROR(__xludf.DUMMYFUNCTION("""COMPUTED_VALUE"""),2503.14)</f>
        <v>2503.14</v>
      </c>
      <c r="S1119" s="13"/>
    </row>
    <row r="1120">
      <c r="A1120" s="10">
        <f t="shared" si="8"/>
        <v>39102.66667</v>
      </c>
      <c r="B1120" s="2" t="str">
        <f t="shared" si="2"/>
        <v/>
      </c>
      <c r="C1120" s="2" t="str">
        <f t="shared" si="3"/>
        <v>SP500</v>
      </c>
      <c r="D1120" s="2" t="str">
        <f t="shared" si="4"/>
        <v/>
      </c>
      <c r="E1120" s="2">
        <f t="shared" si="5"/>
        <v>2451.31</v>
      </c>
      <c r="G1120" s="10">
        <f t="shared" si="9"/>
        <v>39102.64583</v>
      </c>
      <c r="H1120" s="6" t="str">
        <f t="shared" si="6"/>
        <v/>
      </c>
      <c r="I1120" s="2">
        <f t="shared" si="7"/>
        <v>1360.56</v>
      </c>
      <c r="M1120" s="10">
        <f>IFERROR(__xludf.DUMMYFUNCTION("""COMPUTED_VALUE"""),39604.666666666664)</f>
        <v>39604.66667</v>
      </c>
      <c r="N1120" s="2">
        <f>IFERROR(__xludf.DUMMYFUNCTION("""COMPUTED_VALUE"""),2549.94)</f>
        <v>2549.94</v>
      </c>
      <c r="S1120" s="15"/>
    </row>
    <row r="1121">
      <c r="A1121" s="10">
        <f t="shared" si="8"/>
        <v>39103.66667</v>
      </c>
      <c r="B1121" s="2" t="str">
        <f t="shared" si="2"/>
        <v/>
      </c>
      <c r="C1121" s="2" t="str">
        <f t="shared" si="3"/>
        <v>SP500</v>
      </c>
      <c r="D1121" s="2" t="str">
        <f t="shared" si="4"/>
        <v/>
      </c>
      <c r="E1121" s="2">
        <f t="shared" si="5"/>
        <v>2451.31</v>
      </c>
      <c r="G1121" s="10">
        <f t="shared" si="9"/>
        <v>39103.64583</v>
      </c>
      <c r="H1121" s="6" t="str">
        <f t="shared" si="6"/>
        <v/>
      </c>
      <c r="I1121" s="2">
        <f t="shared" si="7"/>
        <v>1360.56</v>
      </c>
      <c r="M1121" s="10">
        <f>IFERROR(__xludf.DUMMYFUNCTION("""COMPUTED_VALUE"""),39605.666666666664)</f>
        <v>39605.66667</v>
      </c>
      <c r="N1121" s="2">
        <f>IFERROR(__xludf.DUMMYFUNCTION("""COMPUTED_VALUE"""),2474.56)</f>
        <v>2474.56</v>
      </c>
      <c r="S1121" s="15"/>
    </row>
    <row r="1122">
      <c r="A1122" s="10">
        <f t="shared" si="8"/>
        <v>39104.66667</v>
      </c>
      <c r="B1122" s="2" t="str">
        <f t="shared" si="2"/>
        <v/>
      </c>
      <c r="C1122" s="2" t="str">
        <f t="shared" si="3"/>
        <v>SP500</v>
      </c>
      <c r="D1122" s="2">
        <f t="shared" si="4"/>
        <v>2431.07</v>
      </c>
      <c r="E1122" s="2">
        <f t="shared" si="5"/>
        <v>2431.07</v>
      </c>
      <c r="G1122" s="10">
        <f t="shared" si="9"/>
        <v>39104.64583</v>
      </c>
      <c r="H1122" s="6">
        <f t="shared" si="6"/>
        <v>1363.41</v>
      </c>
      <c r="I1122" s="2">
        <f t="shared" si="7"/>
        <v>1363.41</v>
      </c>
      <c r="M1122" s="10">
        <f>IFERROR(__xludf.DUMMYFUNCTION("""COMPUTED_VALUE"""),39608.666666666664)</f>
        <v>39608.66667</v>
      </c>
      <c r="N1122" s="2">
        <f>IFERROR(__xludf.DUMMYFUNCTION("""COMPUTED_VALUE"""),2459.46)</f>
        <v>2459.46</v>
      </c>
      <c r="S1122" s="15"/>
    </row>
    <row r="1123">
      <c r="A1123" s="10">
        <f t="shared" si="8"/>
        <v>39105.66667</v>
      </c>
      <c r="B1123" s="2" t="str">
        <f t="shared" si="2"/>
        <v/>
      </c>
      <c r="C1123" s="2" t="str">
        <f t="shared" si="3"/>
        <v>SP500</v>
      </c>
      <c r="D1123" s="2">
        <f t="shared" si="4"/>
        <v>2431.41</v>
      </c>
      <c r="E1123" s="2">
        <f t="shared" si="5"/>
        <v>2431.41</v>
      </c>
      <c r="G1123" s="10">
        <f t="shared" si="9"/>
        <v>39105.64583</v>
      </c>
      <c r="H1123" s="6">
        <f t="shared" si="6"/>
        <v>1363.09</v>
      </c>
      <c r="I1123" s="2">
        <f t="shared" si="7"/>
        <v>1363.09</v>
      </c>
      <c r="M1123" s="10">
        <f>IFERROR(__xludf.DUMMYFUNCTION("""COMPUTED_VALUE"""),39609.666666666664)</f>
        <v>39609.66667</v>
      </c>
      <c r="N1123" s="2">
        <f>IFERROR(__xludf.DUMMYFUNCTION("""COMPUTED_VALUE"""),2448.94)</f>
        <v>2448.94</v>
      </c>
      <c r="S1123" s="15"/>
    </row>
    <row r="1124">
      <c r="A1124" s="10">
        <f t="shared" si="8"/>
        <v>39106.66667</v>
      </c>
      <c r="B1124" s="2" t="str">
        <f t="shared" si="2"/>
        <v/>
      </c>
      <c r="C1124" s="2" t="str">
        <f t="shared" si="3"/>
        <v>SP500</v>
      </c>
      <c r="D1124" s="2">
        <f t="shared" si="4"/>
        <v>2466.28</v>
      </c>
      <c r="E1124" s="2">
        <f t="shared" si="5"/>
        <v>2466.28</v>
      </c>
      <c r="G1124" s="10">
        <f t="shared" si="9"/>
        <v>39106.64583</v>
      </c>
      <c r="H1124" s="6">
        <f t="shared" si="6"/>
        <v>1383.06</v>
      </c>
      <c r="I1124" s="2">
        <f t="shared" si="7"/>
        <v>1383.06</v>
      </c>
      <c r="M1124" s="10">
        <f>IFERROR(__xludf.DUMMYFUNCTION("""COMPUTED_VALUE"""),39610.666666666664)</f>
        <v>39610.66667</v>
      </c>
      <c r="N1124" s="2">
        <f>IFERROR(__xludf.DUMMYFUNCTION("""COMPUTED_VALUE"""),2394.01)</f>
        <v>2394.01</v>
      </c>
      <c r="S1124" s="15"/>
    </row>
    <row r="1125">
      <c r="A1125" s="10">
        <f t="shared" si="8"/>
        <v>39107.66667</v>
      </c>
      <c r="B1125" s="2" t="str">
        <f t="shared" si="2"/>
        <v/>
      </c>
      <c r="C1125" s="2" t="str">
        <f t="shared" si="3"/>
        <v>SP500</v>
      </c>
      <c r="D1125" s="2">
        <f t="shared" si="4"/>
        <v>2434.24</v>
      </c>
      <c r="E1125" s="2">
        <f t="shared" si="5"/>
        <v>2434.24</v>
      </c>
      <c r="G1125" s="10">
        <f t="shared" si="9"/>
        <v>39107.64583</v>
      </c>
      <c r="H1125" s="6">
        <f t="shared" si="6"/>
        <v>1382.36</v>
      </c>
      <c r="I1125" s="2">
        <f t="shared" si="7"/>
        <v>1382.36</v>
      </c>
      <c r="M1125" s="10">
        <f>IFERROR(__xludf.DUMMYFUNCTION("""COMPUTED_VALUE"""),39611.666666666664)</f>
        <v>39611.66667</v>
      </c>
      <c r="N1125" s="2">
        <f>IFERROR(__xludf.DUMMYFUNCTION("""COMPUTED_VALUE"""),2404.35)</f>
        <v>2404.35</v>
      </c>
      <c r="S1125" s="15"/>
    </row>
    <row r="1126">
      <c r="A1126" s="10">
        <f t="shared" si="8"/>
        <v>39108.66667</v>
      </c>
      <c r="B1126" s="2" t="str">
        <f t="shared" si="2"/>
        <v/>
      </c>
      <c r="C1126" s="2" t="str">
        <f t="shared" si="3"/>
        <v>SP500</v>
      </c>
      <c r="D1126" s="2">
        <f t="shared" si="4"/>
        <v>2435.49</v>
      </c>
      <c r="E1126" s="2">
        <f t="shared" si="5"/>
        <v>2435.49</v>
      </c>
      <c r="G1126" s="10">
        <f t="shared" si="9"/>
        <v>39108.64583</v>
      </c>
      <c r="H1126" s="6">
        <f t="shared" si="6"/>
        <v>1371.33</v>
      </c>
      <c r="I1126" s="2">
        <f t="shared" si="7"/>
        <v>1371.33</v>
      </c>
      <c r="M1126" s="10">
        <f>IFERROR(__xludf.DUMMYFUNCTION("""COMPUTED_VALUE"""),39612.666666666664)</f>
        <v>39612.66667</v>
      </c>
      <c r="N1126" s="2">
        <f>IFERROR(__xludf.DUMMYFUNCTION("""COMPUTED_VALUE"""),2454.5)</f>
        <v>2454.5</v>
      </c>
      <c r="S1126" s="15"/>
    </row>
    <row r="1127">
      <c r="A1127" s="10">
        <f t="shared" si="8"/>
        <v>39109.66667</v>
      </c>
      <c r="B1127" s="2" t="str">
        <f t="shared" si="2"/>
        <v/>
      </c>
      <c r="C1127" s="2" t="str">
        <f t="shared" si="3"/>
        <v>SP500</v>
      </c>
      <c r="D1127" s="2" t="str">
        <f t="shared" si="4"/>
        <v/>
      </c>
      <c r="E1127" s="2">
        <f t="shared" si="5"/>
        <v>2435.49</v>
      </c>
      <c r="G1127" s="10">
        <f t="shared" si="9"/>
        <v>39109.64583</v>
      </c>
      <c r="H1127" s="6" t="str">
        <f t="shared" si="6"/>
        <v/>
      </c>
      <c r="I1127" s="2">
        <f t="shared" si="7"/>
        <v>1371.33</v>
      </c>
      <c r="M1127" s="10">
        <f>IFERROR(__xludf.DUMMYFUNCTION("""COMPUTED_VALUE"""),39615.666666666664)</f>
        <v>39615.66667</v>
      </c>
      <c r="N1127" s="2">
        <f>IFERROR(__xludf.DUMMYFUNCTION("""COMPUTED_VALUE"""),2474.78)</f>
        <v>2474.78</v>
      </c>
      <c r="S1127" s="13"/>
    </row>
    <row r="1128">
      <c r="A1128" s="10">
        <f t="shared" si="8"/>
        <v>39110.66667</v>
      </c>
      <c r="B1128" s="2" t="str">
        <f t="shared" si="2"/>
        <v/>
      </c>
      <c r="C1128" s="2" t="str">
        <f t="shared" si="3"/>
        <v>SP500</v>
      </c>
      <c r="D1128" s="2" t="str">
        <f t="shared" si="4"/>
        <v/>
      </c>
      <c r="E1128" s="2">
        <f t="shared" si="5"/>
        <v>2435.49</v>
      </c>
      <c r="G1128" s="10">
        <f t="shared" si="9"/>
        <v>39110.64583</v>
      </c>
      <c r="H1128" s="6" t="str">
        <f t="shared" si="6"/>
        <v/>
      </c>
      <c r="I1128" s="2">
        <f t="shared" si="7"/>
        <v>1371.33</v>
      </c>
      <c r="M1128" s="10">
        <f>IFERROR(__xludf.DUMMYFUNCTION("""COMPUTED_VALUE"""),39616.666666666664)</f>
        <v>39616.66667</v>
      </c>
      <c r="N1128" s="2">
        <f>IFERROR(__xludf.DUMMYFUNCTION("""COMPUTED_VALUE"""),2457.73)</f>
        <v>2457.73</v>
      </c>
      <c r="S1128" s="13"/>
    </row>
    <row r="1129">
      <c r="A1129" s="10">
        <f t="shared" si="8"/>
        <v>39111.66667</v>
      </c>
      <c r="B1129" s="2" t="str">
        <f t="shared" si="2"/>
        <v/>
      </c>
      <c r="C1129" s="2" t="str">
        <f t="shared" si="3"/>
        <v>SP500</v>
      </c>
      <c r="D1129" s="2">
        <f t="shared" si="4"/>
        <v>2441.09</v>
      </c>
      <c r="E1129" s="2">
        <f t="shared" si="5"/>
        <v>2441.09</v>
      </c>
      <c r="G1129" s="10">
        <f t="shared" si="9"/>
        <v>39111.64583</v>
      </c>
      <c r="H1129" s="6">
        <f t="shared" si="6"/>
        <v>1363.1</v>
      </c>
      <c r="I1129" s="2">
        <f t="shared" si="7"/>
        <v>1363.1</v>
      </c>
      <c r="M1129" s="10">
        <f>IFERROR(__xludf.DUMMYFUNCTION("""COMPUTED_VALUE"""),39617.666666666664)</f>
        <v>39617.66667</v>
      </c>
      <c r="N1129" s="2">
        <f>IFERROR(__xludf.DUMMYFUNCTION("""COMPUTED_VALUE"""),2429.71)</f>
        <v>2429.71</v>
      </c>
      <c r="S1129" s="13"/>
    </row>
    <row r="1130">
      <c r="A1130" s="10">
        <f t="shared" si="8"/>
        <v>39112.66667</v>
      </c>
      <c r="B1130" s="2" t="str">
        <f t="shared" si="2"/>
        <v/>
      </c>
      <c r="C1130" s="2" t="str">
        <f t="shared" si="3"/>
        <v>SP500</v>
      </c>
      <c r="D1130" s="2">
        <f t="shared" si="4"/>
        <v>2448.64</v>
      </c>
      <c r="E1130" s="2">
        <f t="shared" si="5"/>
        <v>2448.64</v>
      </c>
      <c r="G1130" s="10">
        <f t="shared" si="9"/>
        <v>39112.64583</v>
      </c>
      <c r="H1130" s="6">
        <f t="shared" si="6"/>
        <v>1370.72</v>
      </c>
      <c r="I1130" s="2">
        <f t="shared" si="7"/>
        <v>1370.72</v>
      </c>
      <c r="M1130" s="10">
        <f>IFERROR(__xludf.DUMMYFUNCTION("""COMPUTED_VALUE"""),39618.666666666664)</f>
        <v>39618.66667</v>
      </c>
      <c r="N1130" s="2">
        <f>IFERROR(__xludf.DUMMYFUNCTION("""COMPUTED_VALUE"""),2462.06)</f>
        <v>2462.06</v>
      </c>
      <c r="S1130" s="13"/>
    </row>
    <row r="1131">
      <c r="A1131" s="10">
        <f t="shared" si="8"/>
        <v>39113.66667</v>
      </c>
      <c r="B1131" s="2" t="str">
        <f t="shared" si="2"/>
        <v/>
      </c>
      <c r="C1131" s="2" t="str">
        <f t="shared" si="3"/>
        <v>SP500</v>
      </c>
      <c r="D1131" s="2">
        <f t="shared" si="4"/>
        <v>2463.93</v>
      </c>
      <c r="E1131" s="2">
        <f t="shared" si="5"/>
        <v>2463.93</v>
      </c>
      <c r="G1131" s="10">
        <f t="shared" si="9"/>
        <v>39113.64583</v>
      </c>
      <c r="H1131" s="6">
        <f t="shared" si="6"/>
        <v>1360.23</v>
      </c>
      <c r="I1131" s="2">
        <f t="shared" si="7"/>
        <v>1360.23</v>
      </c>
      <c r="M1131" s="10">
        <f>IFERROR(__xludf.DUMMYFUNCTION("""COMPUTED_VALUE"""),39619.666666666664)</f>
        <v>39619.66667</v>
      </c>
      <c r="N1131" s="2">
        <f>IFERROR(__xludf.DUMMYFUNCTION("""COMPUTED_VALUE"""),2406.09)</f>
        <v>2406.09</v>
      </c>
      <c r="S1131" s="13"/>
    </row>
    <row r="1132">
      <c r="A1132" s="10">
        <f t="shared" si="8"/>
        <v>39114.66667</v>
      </c>
      <c r="B1132" s="2" t="str">
        <f t="shared" si="2"/>
        <v/>
      </c>
      <c r="C1132" s="2" t="str">
        <f t="shared" si="3"/>
        <v>SP500</v>
      </c>
      <c r="D1132" s="2">
        <f t="shared" si="4"/>
        <v>2468.38</v>
      </c>
      <c r="E1132" s="2">
        <f t="shared" si="5"/>
        <v>2468.38</v>
      </c>
      <c r="G1132" s="10">
        <f t="shared" si="9"/>
        <v>39114.64583</v>
      </c>
      <c r="H1132" s="6">
        <f t="shared" si="6"/>
        <v>1382.9</v>
      </c>
      <c r="I1132" s="2">
        <f t="shared" si="7"/>
        <v>1382.9</v>
      </c>
      <c r="M1132" s="10">
        <f>IFERROR(__xludf.DUMMYFUNCTION("""COMPUTED_VALUE"""),39622.666666666664)</f>
        <v>39622.66667</v>
      </c>
      <c r="N1132" s="2">
        <f>IFERROR(__xludf.DUMMYFUNCTION("""COMPUTED_VALUE"""),2385.74)</f>
        <v>2385.74</v>
      </c>
      <c r="S1132" s="13"/>
    </row>
    <row r="1133">
      <c r="A1133" s="10">
        <f t="shared" si="8"/>
        <v>39115.66667</v>
      </c>
      <c r="B1133" s="2" t="str">
        <f t="shared" si="2"/>
        <v/>
      </c>
      <c r="C1133" s="2" t="str">
        <f t="shared" si="3"/>
        <v>SP500</v>
      </c>
      <c r="D1133" s="2">
        <f t="shared" si="4"/>
        <v>2475.88</v>
      </c>
      <c r="E1133" s="2">
        <f t="shared" si="5"/>
        <v>2475.88</v>
      </c>
      <c r="G1133" s="10">
        <f t="shared" si="9"/>
        <v>39115.64583</v>
      </c>
      <c r="H1133" s="6">
        <f t="shared" si="6"/>
        <v>1413.14</v>
      </c>
      <c r="I1133" s="2">
        <f t="shared" si="7"/>
        <v>1413.14</v>
      </c>
      <c r="M1133" s="10">
        <f>IFERROR(__xludf.DUMMYFUNCTION("""COMPUTED_VALUE"""),39623.666666666664)</f>
        <v>39623.66667</v>
      </c>
      <c r="N1133" s="2">
        <f>IFERROR(__xludf.DUMMYFUNCTION("""COMPUTED_VALUE"""),2368.28)</f>
        <v>2368.28</v>
      </c>
      <c r="S1133" s="13"/>
    </row>
    <row r="1134">
      <c r="A1134" s="10">
        <f t="shared" si="8"/>
        <v>39116.66667</v>
      </c>
      <c r="B1134" s="2" t="str">
        <f t="shared" si="2"/>
        <v/>
      </c>
      <c r="C1134" s="2" t="str">
        <f t="shared" si="3"/>
        <v>SP500</v>
      </c>
      <c r="D1134" s="2" t="str">
        <f t="shared" si="4"/>
        <v/>
      </c>
      <c r="E1134" s="2">
        <f t="shared" si="5"/>
        <v>2475.88</v>
      </c>
      <c r="G1134" s="10">
        <f t="shared" si="9"/>
        <v>39116.64583</v>
      </c>
      <c r="H1134" s="6" t="str">
        <f t="shared" si="6"/>
        <v/>
      </c>
      <c r="I1134" s="2">
        <f t="shared" si="7"/>
        <v>1413.14</v>
      </c>
      <c r="M1134" s="10">
        <f>IFERROR(__xludf.DUMMYFUNCTION("""COMPUTED_VALUE"""),39624.666666666664)</f>
        <v>39624.66667</v>
      </c>
      <c r="N1134" s="2">
        <f>IFERROR(__xludf.DUMMYFUNCTION("""COMPUTED_VALUE"""),2401.26)</f>
        <v>2401.26</v>
      </c>
      <c r="S1134" s="13"/>
    </row>
    <row r="1135">
      <c r="A1135" s="10">
        <f t="shared" si="8"/>
        <v>39117.66667</v>
      </c>
      <c r="B1135" s="2" t="str">
        <f t="shared" si="2"/>
        <v/>
      </c>
      <c r="C1135" s="2" t="str">
        <f t="shared" si="3"/>
        <v>SP500</v>
      </c>
      <c r="D1135" s="2" t="str">
        <f t="shared" si="4"/>
        <v/>
      </c>
      <c r="E1135" s="2">
        <f t="shared" si="5"/>
        <v>2475.88</v>
      </c>
      <c r="G1135" s="10">
        <f t="shared" si="9"/>
        <v>39117.64583</v>
      </c>
      <c r="H1135" s="6" t="str">
        <f t="shared" si="6"/>
        <v/>
      </c>
      <c r="I1135" s="2">
        <f t="shared" si="7"/>
        <v>1413.14</v>
      </c>
      <c r="M1135" s="10">
        <f>IFERROR(__xludf.DUMMYFUNCTION("""COMPUTED_VALUE"""),39625.666666666664)</f>
        <v>39625.66667</v>
      </c>
      <c r="N1135" s="2">
        <f>IFERROR(__xludf.DUMMYFUNCTION("""COMPUTED_VALUE"""),2321.37)</f>
        <v>2321.37</v>
      </c>
      <c r="S1135" s="13"/>
    </row>
    <row r="1136">
      <c r="A1136" s="10">
        <f t="shared" si="8"/>
        <v>39118.66667</v>
      </c>
      <c r="B1136" s="2" t="str">
        <f t="shared" si="2"/>
        <v/>
      </c>
      <c r="C1136" s="2" t="str">
        <f t="shared" si="3"/>
        <v>SP500</v>
      </c>
      <c r="D1136" s="2">
        <f t="shared" si="4"/>
        <v>2470.6</v>
      </c>
      <c r="E1136" s="2">
        <f t="shared" si="5"/>
        <v>2470.6</v>
      </c>
      <c r="G1136" s="10">
        <f t="shared" si="9"/>
        <v>39118.64583</v>
      </c>
      <c r="H1136" s="6">
        <f t="shared" si="6"/>
        <v>1417.95</v>
      </c>
      <c r="I1136" s="2">
        <f t="shared" si="7"/>
        <v>1417.95</v>
      </c>
      <c r="M1136" s="10">
        <f>IFERROR(__xludf.DUMMYFUNCTION("""COMPUTED_VALUE"""),39626.666666666664)</f>
        <v>39626.66667</v>
      </c>
      <c r="N1136" s="2">
        <f>IFERROR(__xludf.DUMMYFUNCTION("""COMPUTED_VALUE"""),2315.63)</f>
        <v>2315.63</v>
      </c>
      <c r="S1136" s="13"/>
    </row>
    <row r="1137">
      <c r="A1137" s="10">
        <f t="shared" si="8"/>
        <v>39119.66667</v>
      </c>
      <c r="B1137" s="2" t="str">
        <f t="shared" si="2"/>
        <v/>
      </c>
      <c r="C1137" s="2" t="str">
        <f t="shared" si="3"/>
        <v>SP500</v>
      </c>
      <c r="D1137" s="2">
        <f t="shared" si="4"/>
        <v>2471.49</v>
      </c>
      <c r="E1137" s="2">
        <f t="shared" si="5"/>
        <v>2471.49</v>
      </c>
      <c r="G1137" s="10">
        <f t="shared" si="9"/>
        <v>39119.64583</v>
      </c>
      <c r="H1137" s="6">
        <f t="shared" si="6"/>
        <v>1428.58</v>
      </c>
      <c r="I1137" s="2">
        <f t="shared" si="7"/>
        <v>1428.58</v>
      </c>
      <c r="M1137" s="10">
        <f>IFERROR(__xludf.DUMMYFUNCTION("""COMPUTED_VALUE"""),39629.666666666664)</f>
        <v>39629.66667</v>
      </c>
      <c r="N1137" s="2">
        <f>IFERROR(__xludf.DUMMYFUNCTION("""COMPUTED_VALUE"""),2292.98)</f>
        <v>2292.98</v>
      </c>
      <c r="S1137" s="13"/>
    </row>
    <row r="1138">
      <c r="A1138" s="10">
        <f t="shared" si="8"/>
        <v>39120.66667</v>
      </c>
      <c r="B1138" s="2" t="str">
        <f t="shared" si="2"/>
        <v/>
      </c>
      <c r="C1138" s="2" t="str">
        <f t="shared" si="3"/>
        <v>SP500</v>
      </c>
      <c r="D1138" s="2">
        <f t="shared" si="4"/>
        <v>2490.5</v>
      </c>
      <c r="E1138" s="2">
        <f t="shared" si="5"/>
        <v>2490.5</v>
      </c>
      <c r="G1138" s="10">
        <f t="shared" si="9"/>
        <v>39120.64583</v>
      </c>
      <c r="H1138" s="6">
        <f t="shared" si="6"/>
        <v>1426.29</v>
      </c>
      <c r="I1138" s="2">
        <f t="shared" si="7"/>
        <v>1426.29</v>
      </c>
      <c r="M1138" s="10">
        <f>IFERROR(__xludf.DUMMYFUNCTION("""COMPUTED_VALUE"""),39630.666666666664)</f>
        <v>39630.66667</v>
      </c>
      <c r="N1138" s="2">
        <f>IFERROR(__xludf.DUMMYFUNCTION("""COMPUTED_VALUE"""),2304.97)</f>
        <v>2304.97</v>
      </c>
      <c r="S1138" s="13"/>
    </row>
    <row r="1139">
      <c r="A1139" s="10">
        <f t="shared" si="8"/>
        <v>39121.66667</v>
      </c>
      <c r="B1139" s="2" t="str">
        <f t="shared" si="2"/>
        <v/>
      </c>
      <c r="C1139" s="2" t="str">
        <f t="shared" si="3"/>
        <v>SP500</v>
      </c>
      <c r="D1139" s="2">
        <f t="shared" si="4"/>
        <v>2488.67</v>
      </c>
      <c r="E1139" s="2">
        <f t="shared" si="5"/>
        <v>2488.67</v>
      </c>
      <c r="G1139" s="10">
        <f t="shared" si="9"/>
        <v>39121.64583</v>
      </c>
      <c r="H1139" s="6">
        <f t="shared" si="6"/>
        <v>1423.58</v>
      </c>
      <c r="I1139" s="2">
        <f t="shared" si="7"/>
        <v>1423.58</v>
      </c>
      <c r="M1139" s="10">
        <f>IFERROR(__xludf.DUMMYFUNCTION("""COMPUTED_VALUE"""),39631.666666666664)</f>
        <v>39631.66667</v>
      </c>
      <c r="N1139" s="2">
        <f>IFERROR(__xludf.DUMMYFUNCTION("""COMPUTED_VALUE"""),2251.46)</f>
        <v>2251.46</v>
      </c>
      <c r="S1139" s="13"/>
    </row>
    <row r="1140">
      <c r="A1140" s="10">
        <f t="shared" si="8"/>
        <v>39122.66667</v>
      </c>
      <c r="B1140" s="2" t="str">
        <f t="shared" si="2"/>
        <v/>
      </c>
      <c r="C1140" s="2" t="str">
        <f t="shared" si="3"/>
        <v>SP500</v>
      </c>
      <c r="D1140" s="2">
        <f t="shared" si="4"/>
        <v>2459.82</v>
      </c>
      <c r="E1140" s="2">
        <f t="shared" si="5"/>
        <v>2459.82</v>
      </c>
      <c r="G1140" s="10">
        <f t="shared" si="9"/>
        <v>39122.64583</v>
      </c>
      <c r="H1140" s="6">
        <f t="shared" si="6"/>
        <v>1427.68</v>
      </c>
      <c r="I1140" s="2">
        <f t="shared" si="7"/>
        <v>1427.68</v>
      </c>
      <c r="M1140" s="10">
        <f>IFERROR(__xludf.DUMMYFUNCTION("""COMPUTED_VALUE"""),39632.666666666664)</f>
        <v>39632.66667</v>
      </c>
      <c r="N1140" s="2">
        <f>IFERROR(__xludf.DUMMYFUNCTION("""COMPUTED_VALUE"""),2245.38)</f>
        <v>2245.38</v>
      </c>
      <c r="S1140" s="13"/>
    </row>
    <row r="1141">
      <c r="A1141" s="10">
        <f t="shared" si="8"/>
        <v>39123.66667</v>
      </c>
      <c r="B1141" s="2" t="str">
        <f t="shared" si="2"/>
        <v/>
      </c>
      <c r="C1141" s="2" t="str">
        <f t="shared" si="3"/>
        <v>SP500</v>
      </c>
      <c r="D1141" s="2" t="str">
        <f t="shared" si="4"/>
        <v/>
      </c>
      <c r="E1141" s="2">
        <f t="shared" si="5"/>
        <v>2459.82</v>
      </c>
      <c r="G1141" s="10">
        <f t="shared" si="9"/>
        <v>39123.64583</v>
      </c>
      <c r="H1141" s="6" t="str">
        <f t="shared" si="6"/>
        <v/>
      </c>
      <c r="I1141" s="2">
        <f t="shared" si="7"/>
        <v>1427.68</v>
      </c>
      <c r="M1141" s="10">
        <f>IFERROR(__xludf.DUMMYFUNCTION("""COMPUTED_VALUE"""),39636.666666666664)</f>
        <v>39636.66667</v>
      </c>
      <c r="N1141" s="2">
        <f>IFERROR(__xludf.DUMMYFUNCTION("""COMPUTED_VALUE"""),2243.32)</f>
        <v>2243.32</v>
      </c>
      <c r="S1141" s="13"/>
    </row>
    <row r="1142">
      <c r="A1142" s="10">
        <f t="shared" si="8"/>
        <v>39124.66667</v>
      </c>
      <c r="B1142" s="2" t="str">
        <f t="shared" si="2"/>
        <v/>
      </c>
      <c r="C1142" s="2" t="str">
        <f t="shared" si="3"/>
        <v>SP500</v>
      </c>
      <c r="D1142" s="2" t="str">
        <f t="shared" si="4"/>
        <v/>
      </c>
      <c r="E1142" s="2">
        <f t="shared" si="5"/>
        <v>2459.82</v>
      </c>
      <c r="G1142" s="10">
        <f t="shared" si="9"/>
        <v>39124.64583</v>
      </c>
      <c r="H1142" s="6" t="str">
        <f t="shared" si="6"/>
        <v/>
      </c>
      <c r="I1142" s="2">
        <f t="shared" si="7"/>
        <v>1427.68</v>
      </c>
      <c r="M1142" s="10">
        <f>IFERROR(__xludf.DUMMYFUNCTION("""COMPUTED_VALUE"""),39637.666666666664)</f>
        <v>39637.66667</v>
      </c>
      <c r="N1142" s="2">
        <f>IFERROR(__xludf.DUMMYFUNCTION("""COMPUTED_VALUE"""),2294.44)</f>
        <v>2294.44</v>
      </c>
      <c r="S1142" s="13"/>
    </row>
    <row r="1143">
      <c r="A1143" s="10">
        <f t="shared" si="8"/>
        <v>39125.66667</v>
      </c>
      <c r="B1143" s="2" t="str">
        <f t="shared" si="2"/>
        <v/>
      </c>
      <c r="C1143" s="2" t="str">
        <f t="shared" si="3"/>
        <v>SP500</v>
      </c>
      <c r="D1143" s="2">
        <f t="shared" si="4"/>
        <v>2450.38</v>
      </c>
      <c r="E1143" s="2">
        <f t="shared" si="5"/>
        <v>2450.38</v>
      </c>
      <c r="G1143" s="10">
        <f t="shared" si="9"/>
        <v>39125.64583</v>
      </c>
      <c r="H1143" s="6">
        <f t="shared" si="6"/>
        <v>1414.29</v>
      </c>
      <c r="I1143" s="2">
        <f t="shared" si="7"/>
        <v>1414.29</v>
      </c>
      <c r="M1143" s="10">
        <f>IFERROR(__xludf.DUMMYFUNCTION("""COMPUTED_VALUE"""),39638.666666666664)</f>
        <v>39638.66667</v>
      </c>
      <c r="N1143" s="2">
        <f>IFERROR(__xludf.DUMMYFUNCTION("""COMPUTED_VALUE"""),2234.89)</f>
        <v>2234.89</v>
      </c>
      <c r="S1143" s="13"/>
    </row>
    <row r="1144">
      <c r="A1144" s="10">
        <f t="shared" si="8"/>
        <v>39126.66667</v>
      </c>
      <c r="B1144" s="2" t="str">
        <f t="shared" si="2"/>
        <v/>
      </c>
      <c r="C1144" s="2" t="str">
        <f t="shared" si="3"/>
        <v>SP500</v>
      </c>
      <c r="D1144" s="2">
        <f t="shared" si="4"/>
        <v>2459.88</v>
      </c>
      <c r="E1144" s="2">
        <f t="shared" si="5"/>
        <v>2459.88</v>
      </c>
      <c r="G1144" s="10">
        <f t="shared" si="9"/>
        <v>39126.64583</v>
      </c>
      <c r="H1144" s="6">
        <f t="shared" si="6"/>
        <v>1418.44</v>
      </c>
      <c r="I1144" s="2">
        <f t="shared" si="7"/>
        <v>1418.44</v>
      </c>
      <c r="M1144" s="10">
        <f>IFERROR(__xludf.DUMMYFUNCTION("""COMPUTED_VALUE"""),39639.666666666664)</f>
        <v>39639.66667</v>
      </c>
      <c r="N1144" s="2">
        <f>IFERROR(__xludf.DUMMYFUNCTION("""COMPUTED_VALUE"""),2257.85)</f>
        <v>2257.85</v>
      </c>
      <c r="S1144" s="13"/>
    </row>
    <row r="1145">
      <c r="A1145" s="10">
        <f t="shared" si="8"/>
        <v>39127.66667</v>
      </c>
      <c r="B1145" s="2" t="str">
        <f t="shared" si="2"/>
        <v/>
      </c>
      <c r="C1145" s="2" t="str">
        <f t="shared" si="3"/>
        <v>SP500</v>
      </c>
      <c r="D1145" s="2">
        <f t="shared" si="4"/>
        <v>2488.38</v>
      </c>
      <c r="E1145" s="2">
        <f t="shared" si="5"/>
        <v>2488.38</v>
      </c>
      <c r="G1145" s="10">
        <f t="shared" si="9"/>
        <v>39127.64583</v>
      </c>
      <c r="H1145" s="6">
        <f t="shared" si="6"/>
        <v>1436.1</v>
      </c>
      <c r="I1145" s="2">
        <f t="shared" si="7"/>
        <v>1436.1</v>
      </c>
      <c r="M1145" s="10">
        <f>IFERROR(__xludf.DUMMYFUNCTION("""COMPUTED_VALUE"""),39640.666666666664)</f>
        <v>39640.66667</v>
      </c>
      <c r="N1145" s="2">
        <f>IFERROR(__xludf.DUMMYFUNCTION("""COMPUTED_VALUE"""),2239.08)</f>
        <v>2239.08</v>
      </c>
      <c r="S1145" s="13"/>
    </row>
    <row r="1146">
      <c r="A1146" s="10">
        <f t="shared" si="8"/>
        <v>39128.66667</v>
      </c>
      <c r="B1146" s="2" t="str">
        <f t="shared" si="2"/>
        <v/>
      </c>
      <c r="C1146" s="2" t="str">
        <f t="shared" si="3"/>
        <v>SP500</v>
      </c>
      <c r="D1146" s="2">
        <f t="shared" si="4"/>
        <v>2497.1</v>
      </c>
      <c r="E1146" s="2">
        <f t="shared" si="5"/>
        <v>2497.1</v>
      </c>
      <c r="G1146" s="10">
        <f t="shared" si="9"/>
        <v>39128.64583</v>
      </c>
      <c r="H1146" s="6">
        <f t="shared" si="6"/>
        <v>1443.63</v>
      </c>
      <c r="I1146" s="2">
        <f t="shared" si="7"/>
        <v>1443.63</v>
      </c>
      <c r="M1146" s="10">
        <f>IFERROR(__xludf.DUMMYFUNCTION("""COMPUTED_VALUE"""),39643.666666666664)</f>
        <v>39643.66667</v>
      </c>
      <c r="N1146" s="2">
        <f>IFERROR(__xludf.DUMMYFUNCTION("""COMPUTED_VALUE"""),2212.87)</f>
        <v>2212.87</v>
      </c>
      <c r="S1146" s="13"/>
    </row>
    <row r="1147">
      <c r="A1147" s="10">
        <f t="shared" si="8"/>
        <v>39129.66667</v>
      </c>
      <c r="B1147" s="2" t="str">
        <f t="shared" si="2"/>
        <v/>
      </c>
      <c r="C1147" s="2" t="str">
        <f t="shared" si="3"/>
        <v>SP500</v>
      </c>
      <c r="D1147" s="2">
        <f t="shared" si="4"/>
        <v>2496.31</v>
      </c>
      <c r="E1147" s="2">
        <f t="shared" si="5"/>
        <v>2496.31</v>
      </c>
      <c r="G1147" s="10">
        <f t="shared" si="9"/>
        <v>39129.64583</v>
      </c>
      <c r="H1147" s="6">
        <f t="shared" si="6"/>
        <v>1448.81</v>
      </c>
      <c r="I1147" s="2">
        <f t="shared" si="7"/>
        <v>1448.81</v>
      </c>
      <c r="M1147" s="10">
        <f>IFERROR(__xludf.DUMMYFUNCTION("""COMPUTED_VALUE"""),39644.666666666664)</f>
        <v>39644.66667</v>
      </c>
      <c r="N1147" s="2">
        <f>IFERROR(__xludf.DUMMYFUNCTION("""COMPUTED_VALUE"""),2215.71)</f>
        <v>2215.71</v>
      </c>
      <c r="S1147" s="13"/>
    </row>
    <row r="1148">
      <c r="A1148" s="10">
        <f t="shared" si="8"/>
        <v>39130.66667</v>
      </c>
      <c r="B1148" s="2" t="str">
        <f t="shared" si="2"/>
        <v/>
      </c>
      <c r="C1148" s="2" t="str">
        <f t="shared" si="3"/>
        <v>SP500</v>
      </c>
      <c r="D1148" s="2" t="str">
        <f t="shared" si="4"/>
        <v/>
      </c>
      <c r="E1148" s="2">
        <f t="shared" si="5"/>
        <v>2496.31</v>
      </c>
      <c r="G1148" s="10">
        <f t="shared" si="9"/>
        <v>39130.64583</v>
      </c>
      <c r="H1148" s="6" t="str">
        <f t="shared" si="6"/>
        <v/>
      </c>
      <c r="I1148" s="2">
        <f t="shared" si="7"/>
        <v>1448.81</v>
      </c>
      <c r="M1148" s="10">
        <f>IFERROR(__xludf.DUMMYFUNCTION("""COMPUTED_VALUE"""),39645.666666666664)</f>
        <v>39645.66667</v>
      </c>
      <c r="N1148" s="2">
        <f>IFERROR(__xludf.DUMMYFUNCTION("""COMPUTED_VALUE"""),2284.85)</f>
        <v>2284.85</v>
      </c>
      <c r="S1148" s="13"/>
    </row>
    <row r="1149">
      <c r="A1149" s="10">
        <f t="shared" si="8"/>
        <v>39131.66667</v>
      </c>
      <c r="B1149" s="2" t="str">
        <f t="shared" si="2"/>
        <v/>
      </c>
      <c r="C1149" s="2" t="str">
        <f t="shared" si="3"/>
        <v>SP500</v>
      </c>
      <c r="D1149" s="2" t="str">
        <f t="shared" si="4"/>
        <v/>
      </c>
      <c r="E1149" s="2">
        <f t="shared" si="5"/>
        <v>2496.31</v>
      </c>
      <c r="G1149" s="10">
        <f t="shared" si="9"/>
        <v>39131.64583</v>
      </c>
      <c r="H1149" s="6" t="str">
        <f t="shared" si="6"/>
        <v/>
      </c>
      <c r="I1149" s="2">
        <f t="shared" si="7"/>
        <v>1448.81</v>
      </c>
      <c r="M1149" s="10">
        <f>IFERROR(__xludf.DUMMYFUNCTION("""COMPUTED_VALUE"""),39646.666666666664)</f>
        <v>39646.66667</v>
      </c>
      <c r="N1149" s="2">
        <f>IFERROR(__xludf.DUMMYFUNCTION("""COMPUTED_VALUE"""),2312.3)</f>
        <v>2312.3</v>
      </c>
      <c r="S1149" s="13"/>
    </row>
    <row r="1150">
      <c r="A1150" s="10">
        <f t="shared" si="8"/>
        <v>39132.66667</v>
      </c>
      <c r="B1150" s="2" t="str">
        <f t="shared" si="2"/>
        <v/>
      </c>
      <c r="C1150" s="2" t="str">
        <f t="shared" si="3"/>
        <v>SP500</v>
      </c>
      <c r="D1150" s="2" t="str">
        <f t="shared" si="4"/>
        <v/>
      </c>
      <c r="E1150" s="2">
        <f t="shared" si="5"/>
        <v>2496.31</v>
      </c>
      <c r="G1150" s="10">
        <f t="shared" si="9"/>
        <v>39132.64583</v>
      </c>
      <c r="H1150" s="6" t="str">
        <f t="shared" si="6"/>
        <v/>
      </c>
      <c r="I1150" s="2">
        <f t="shared" si="7"/>
        <v>1448.81</v>
      </c>
      <c r="M1150" s="10">
        <f>IFERROR(__xludf.DUMMYFUNCTION("""COMPUTED_VALUE"""),39647.666666666664)</f>
        <v>39647.66667</v>
      </c>
      <c r="N1150" s="2">
        <f>IFERROR(__xludf.DUMMYFUNCTION("""COMPUTED_VALUE"""),2282.78)</f>
        <v>2282.78</v>
      </c>
      <c r="S1150" s="13"/>
    </row>
    <row r="1151">
      <c r="A1151" s="10">
        <f t="shared" si="8"/>
        <v>39133.66667</v>
      </c>
      <c r="B1151" s="2" t="str">
        <f t="shared" si="2"/>
        <v/>
      </c>
      <c r="C1151" s="2" t="str">
        <f t="shared" si="3"/>
        <v>SP500</v>
      </c>
      <c r="D1151" s="2">
        <f t="shared" si="4"/>
        <v>2513.04</v>
      </c>
      <c r="E1151" s="2">
        <f t="shared" si="5"/>
        <v>2513.04</v>
      </c>
      <c r="G1151" s="10">
        <f t="shared" si="9"/>
        <v>39133.64583</v>
      </c>
      <c r="H1151" s="6">
        <f t="shared" si="6"/>
        <v>1452.96</v>
      </c>
      <c r="I1151" s="2">
        <f t="shared" si="7"/>
        <v>1452.96</v>
      </c>
      <c r="M1151" s="10">
        <f>IFERROR(__xludf.DUMMYFUNCTION("""COMPUTED_VALUE"""),39650.666666666664)</f>
        <v>39650.66667</v>
      </c>
      <c r="N1151" s="2">
        <f>IFERROR(__xludf.DUMMYFUNCTION("""COMPUTED_VALUE"""),2279.53)</f>
        <v>2279.53</v>
      </c>
      <c r="S1151" s="13"/>
    </row>
    <row r="1152">
      <c r="A1152" s="10">
        <f t="shared" si="8"/>
        <v>39134.66667</v>
      </c>
      <c r="B1152" s="2" t="str">
        <f t="shared" si="2"/>
        <v/>
      </c>
      <c r="C1152" s="2" t="str">
        <f t="shared" si="3"/>
        <v>SP500</v>
      </c>
      <c r="D1152" s="2">
        <f t="shared" si="4"/>
        <v>2518.42</v>
      </c>
      <c r="E1152" s="2">
        <f t="shared" si="5"/>
        <v>2518.42</v>
      </c>
      <c r="G1152" s="10">
        <f t="shared" si="9"/>
        <v>39134.64583</v>
      </c>
      <c r="H1152" s="6">
        <f t="shared" si="6"/>
        <v>1451.38</v>
      </c>
      <c r="I1152" s="2">
        <f t="shared" si="7"/>
        <v>1451.38</v>
      </c>
      <c r="M1152" s="10">
        <f>IFERROR(__xludf.DUMMYFUNCTION("""COMPUTED_VALUE"""),39651.666666666664)</f>
        <v>39651.66667</v>
      </c>
      <c r="N1152" s="2">
        <f>IFERROR(__xludf.DUMMYFUNCTION("""COMPUTED_VALUE"""),2303.96)</f>
        <v>2303.96</v>
      </c>
      <c r="S1152" s="13"/>
    </row>
    <row r="1153">
      <c r="A1153" s="10">
        <f t="shared" si="8"/>
        <v>39135.66667</v>
      </c>
      <c r="B1153" s="2" t="str">
        <f t="shared" si="2"/>
        <v/>
      </c>
      <c r="C1153" s="2" t="str">
        <f t="shared" si="3"/>
        <v>SP500</v>
      </c>
      <c r="D1153" s="2">
        <f t="shared" si="4"/>
        <v>2524.94</v>
      </c>
      <c r="E1153" s="2">
        <f t="shared" si="5"/>
        <v>2524.94</v>
      </c>
      <c r="G1153" s="10">
        <f t="shared" si="9"/>
        <v>39135.64583</v>
      </c>
      <c r="H1153" s="6">
        <f t="shared" si="6"/>
        <v>1465.41</v>
      </c>
      <c r="I1153" s="2">
        <f t="shared" si="7"/>
        <v>1465.41</v>
      </c>
      <c r="M1153" s="10">
        <f>IFERROR(__xludf.DUMMYFUNCTION("""COMPUTED_VALUE"""),39652.666666666664)</f>
        <v>39652.66667</v>
      </c>
      <c r="N1153" s="2">
        <f>IFERROR(__xludf.DUMMYFUNCTION("""COMPUTED_VALUE"""),2325.88)</f>
        <v>2325.88</v>
      </c>
      <c r="S1153" s="13"/>
    </row>
    <row r="1154">
      <c r="A1154" s="10">
        <f t="shared" si="8"/>
        <v>39136.66667</v>
      </c>
      <c r="B1154" s="2" t="str">
        <f t="shared" si="2"/>
        <v/>
      </c>
      <c r="C1154" s="2" t="str">
        <f t="shared" si="3"/>
        <v>SP500</v>
      </c>
      <c r="D1154" s="2">
        <f t="shared" si="4"/>
        <v>2515.1</v>
      </c>
      <c r="E1154" s="2">
        <f t="shared" si="5"/>
        <v>2515.1</v>
      </c>
      <c r="G1154" s="10">
        <f t="shared" si="9"/>
        <v>39136.64583</v>
      </c>
      <c r="H1154" s="6">
        <f t="shared" si="6"/>
        <v>1469.88</v>
      </c>
      <c r="I1154" s="2">
        <f t="shared" si="7"/>
        <v>1469.88</v>
      </c>
      <c r="M1154" s="10">
        <f>IFERROR(__xludf.DUMMYFUNCTION("""COMPUTED_VALUE"""),39653.666666666664)</f>
        <v>39653.66667</v>
      </c>
      <c r="N1154" s="2">
        <f>IFERROR(__xludf.DUMMYFUNCTION("""COMPUTED_VALUE"""),2280.11)</f>
        <v>2280.11</v>
      </c>
      <c r="S1154" s="13"/>
    </row>
    <row r="1155">
      <c r="A1155" s="10">
        <f t="shared" si="8"/>
        <v>39137.66667</v>
      </c>
      <c r="B1155" s="2" t="str">
        <f t="shared" si="2"/>
        <v/>
      </c>
      <c r="C1155" s="2" t="str">
        <f t="shared" si="3"/>
        <v>SP500</v>
      </c>
      <c r="D1155" s="2" t="str">
        <f t="shared" si="4"/>
        <v/>
      </c>
      <c r="E1155" s="2">
        <f t="shared" si="5"/>
        <v>2515.1</v>
      </c>
      <c r="G1155" s="10">
        <f t="shared" si="9"/>
        <v>39137.64583</v>
      </c>
      <c r="H1155" s="6" t="str">
        <f t="shared" si="6"/>
        <v/>
      </c>
      <c r="I1155" s="2">
        <f t="shared" si="7"/>
        <v>1469.88</v>
      </c>
      <c r="M1155" s="10">
        <f>IFERROR(__xludf.DUMMYFUNCTION("""COMPUTED_VALUE"""),39654.666666666664)</f>
        <v>39654.66667</v>
      </c>
      <c r="N1155" s="2">
        <f>IFERROR(__xludf.DUMMYFUNCTION("""COMPUTED_VALUE"""),2310.53)</f>
        <v>2310.53</v>
      </c>
      <c r="S1155" s="13"/>
    </row>
    <row r="1156">
      <c r="A1156" s="10">
        <f t="shared" si="8"/>
        <v>39138.66667</v>
      </c>
      <c r="B1156" s="2" t="str">
        <f t="shared" si="2"/>
        <v/>
      </c>
      <c r="C1156" s="2" t="str">
        <f t="shared" si="3"/>
        <v>SP500</v>
      </c>
      <c r="D1156" s="2" t="str">
        <f t="shared" si="4"/>
        <v/>
      </c>
      <c r="E1156" s="2">
        <f t="shared" si="5"/>
        <v>2515.1</v>
      </c>
      <c r="G1156" s="10">
        <f t="shared" si="9"/>
        <v>39138.64583</v>
      </c>
      <c r="H1156" s="6" t="str">
        <f t="shared" si="6"/>
        <v/>
      </c>
      <c r="I1156" s="2">
        <f t="shared" si="7"/>
        <v>1469.88</v>
      </c>
      <c r="M1156" s="10">
        <f>IFERROR(__xludf.DUMMYFUNCTION("""COMPUTED_VALUE"""),39657.666666666664)</f>
        <v>39657.66667</v>
      </c>
      <c r="N1156" s="2">
        <f>IFERROR(__xludf.DUMMYFUNCTION("""COMPUTED_VALUE"""),2264.22)</f>
        <v>2264.22</v>
      </c>
      <c r="S1156" s="13"/>
    </row>
    <row r="1157">
      <c r="A1157" s="10">
        <f t="shared" si="8"/>
        <v>39139.66667</v>
      </c>
      <c r="B1157" s="2" t="str">
        <f t="shared" si="2"/>
        <v/>
      </c>
      <c r="C1157" s="2" t="str">
        <f t="shared" si="3"/>
        <v>SP500</v>
      </c>
      <c r="D1157" s="2">
        <f t="shared" si="4"/>
        <v>2504.52</v>
      </c>
      <c r="E1157" s="2">
        <f t="shared" si="5"/>
        <v>2504.52</v>
      </c>
      <c r="G1157" s="10">
        <f t="shared" si="9"/>
        <v>39139.64583</v>
      </c>
      <c r="H1157" s="6">
        <f t="shared" si="6"/>
        <v>1470.03</v>
      </c>
      <c r="I1157" s="2">
        <f t="shared" si="7"/>
        <v>1470.03</v>
      </c>
      <c r="M1157" s="10">
        <f>IFERROR(__xludf.DUMMYFUNCTION("""COMPUTED_VALUE"""),39658.666666666664)</f>
        <v>39658.66667</v>
      </c>
      <c r="N1157" s="2">
        <f>IFERROR(__xludf.DUMMYFUNCTION("""COMPUTED_VALUE"""),2319.62)</f>
        <v>2319.62</v>
      </c>
      <c r="S1157" s="13"/>
    </row>
    <row r="1158">
      <c r="A1158" s="10">
        <f t="shared" si="8"/>
        <v>39140.66667</v>
      </c>
      <c r="B1158" s="2" t="str">
        <f t="shared" si="2"/>
        <v/>
      </c>
      <c r="C1158" s="2" t="str">
        <f t="shared" si="3"/>
        <v>SP500</v>
      </c>
      <c r="D1158" s="2">
        <f t="shared" si="4"/>
        <v>2407.86</v>
      </c>
      <c r="E1158" s="2">
        <f t="shared" si="5"/>
        <v>2407.86</v>
      </c>
      <c r="G1158" s="10">
        <f t="shared" si="9"/>
        <v>39140.64583</v>
      </c>
      <c r="H1158" s="6">
        <f t="shared" si="6"/>
        <v>1454.6</v>
      </c>
      <c r="I1158" s="2">
        <f t="shared" si="7"/>
        <v>1454.6</v>
      </c>
      <c r="M1158" s="10">
        <f>IFERROR(__xludf.DUMMYFUNCTION("""COMPUTED_VALUE"""),39659.666666666664)</f>
        <v>39659.66667</v>
      </c>
      <c r="N1158" s="2">
        <f>IFERROR(__xludf.DUMMYFUNCTION("""COMPUTED_VALUE"""),2329.72)</f>
        <v>2329.72</v>
      </c>
      <c r="S1158" s="13"/>
    </row>
    <row r="1159">
      <c r="A1159" s="10">
        <f t="shared" si="8"/>
        <v>39141.66667</v>
      </c>
      <c r="B1159" s="2" t="str">
        <f t="shared" si="2"/>
        <v/>
      </c>
      <c r="C1159" s="2" t="str">
        <f t="shared" si="3"/>
        <v>SP500</v>
      </c>
      <c r="D1159" s="2">
        <f t="shared" si="4"/>
        <v>2416.15</v>
      </c>
      <c r="E1159" s="2">
        <f t="shared" si="5"/>
        <v>2416.15</v>
      </c>
      <c r="G1159" s="10">
        <f t="shared" si="9"/>
        <v>39141.64583</v>
      </c>
      <c r="H1159" s="6">
        <f t="shared" si="6"/>
        <v>1417.34</v>
      </c>
      <c r="I1159" s="2">
        <f t="shared" si="7"/>
        <v>1417.34</v>
      </c>
      <c r="M1159" s="10">
        <f>IFERROR(__xludf.DUMMYFUNCTION("""COMPUTED_VALUE"""),39660.666666666664)</f>
        <v>39660.66667</v>
      </c>
      <c r="N1159" s="2">
        <f>IFERROR(__xludf.DUMMYFUNCTION("""COMPUTED_VALUE"""),2325.55)</f>
        <v>2325.55</v>
      </c>
      <c r="S1159" s="13"/>
    </row>
    <row r="1160">
      <c r="A1160" s="10">
        <f t="shared" si="8"/>
        <v>39142.66667</v>
      </c>
      <c r="B1160" s="2" t="str">
        <f t="shared" si="2"/>
        <v/>
      </c>
      <c r="C1160" s="2" t="str">
        <f t="shared" si="3"/>
        <v>SP500</v>
      </c>
      <c r="D1160" s="2">
        <f t="shared" si="4"/>
        <v>2404.21</v>
      </c>
      <c r="E1160" s="2">
        <f t="shared" si="5"/>
        <v>2404.21</v>
      </c>
      <c r="G1160" s="10">
        <f t="shared" si="9"/>
        <v>39142.64583</v>
      </c>
      <c r="H1160" s="6" t="str">
        <f t="shared" si="6"/>
        <v/>
      </c>
      <c r="I1160" s="2">
        <f t="shared" si="7"/>
        <v>1417.34</v>
      </c>
      <c r="M1160" s="10">
        <f>IFERROR(__xludf.DUMMYFUNCTION("""COMPUTED_VALUE"""),39661.666666666664)</f>
        <v>39661.66667</v>
      </c>
      <c r="N1160" s="2">
        <f>IFERROR(__xludf.DUMMYFUNCTION("""COMPUTED_VALUE"""),2310.96)</f>
        <v>2310.96</v>
      </c>
      <c r="S1160" s="13"/>
    </row>
    <row r="1161">
      <c r="A1161" s="10">
        <f t="shared" si="8"/>
        <v>39143.66667</v>
      </c>
      <c r="B1161" s="2" t="str">
        <f t="shared" si="2"/>
        <v/>
      </c>
      <c r="C1161" s="2" t="str">
        <f t="shared" si="3"/>
        <v>SP500</v>
      </c>
      <c r="D1161" s="2">
        <f t="shared" si="4"/>
        <v>2368</v>
      </c>
      <c r="E1161" s="2">
        <f t="shared" si="5"/>
        <v>2368</v>
      </c>
      <c r="G1161" s="10">
        <f t="shared" si="9"/>
        <v>39143.64583</v>
      </c>
      <c r="H1161" s="6">
        <f t="shared" si="6"/>
        <v>1414.47</v>
      </c>
      <c r="I1161" s="2">
        <f t="shared" si="7"/>
        <v>1414.47</v>
      </c>
      <c r="M1161" s="10">
        <f>IFERROR(__xludf.DUMMYFUNCTION("""COMPUTED_VALUE"""),39664.666666666664)</f>
        <v>39664.66667</v>
      </c>
      <c r="N1161" s="2">
        <f>IFERROR(__xludf.DUMMYFUNCTION("""COMPUTED_VALUE"""),2285.56)</f>
        <v>2285.56</v>
      </c>
      <c r="S1161" s="13"/>
    </row>
    <row r="1162">
      <c r="A1162" s="10">
        <f t="shared" si="8"/>
        <v>39144.66667</v>
      </c>
      <c r="B1162" s="2" t="str">
        <f t="shared" si="2"/>
        <v/>
      </c>
      <c r="C1162" s="2" t="str">
        <f t="shared" si="3"/>
        <v>SP500</v>
      </c>
      <c r="D1162" s="2" t="str">
        <f t="shared" si="4"/>
        <v/>
      </c>
      <c r="E1162" s="2">
        <f t="shared" si="5"/>
        <v>2368</v>
      </c>
      <c r="G1162" s="10">
        <f t="shared" si="9"/>
        <v>39144.64583</v>
      </c>
      <c r="H1162" s="6" t="str">
        <f t="shared" si="6"/>
        <v/>
      </c>
      <c r="I1162" s="2">
        <f t="shared" si="7"/>
        <v>1414.47</v>
      </c>
      <c r="M1162" s="10">
        <f>IFERROR(__xludf.DUMMYFUNCTION("""COMPUTED_VALUE"""),39665.666666666664)</f>
        <v>39665.66667</v>
      </c>
      <c r="N1162" s="2">
        <f>IFERROR(__xludf.DUMMYFUNCTION("""COMPUTED_VALUE"""),2349.83)</f>
        <v>2349.83</v>
      </c>
      <c r="S1162" s="13"/>
    </row>
    <row r="1163">
      <c r="A1163" s="10">
        <f t="shared" si="8"/>
        <v>39145.66667</v>
      </c>
      <c r="B1163" s="2" t="str">
        <f t="shared" si="2"/>
        <v/>
      </c>
      <c r="C1163" s="2" t="str">
        <f t="shared" si="3"/>
        <v>SP500</v>
      </c>
      <c r="D1163" s="2" t="str">
        <f t="shared" si="4"/>
        <v/>
      </c>
      <c r="E1163" s="2">
        <f t="shared" si="5"/>
        <v>2368</v>
      </c>
      <c r="G1163" s="10">
        <f t="shared" si="9"/>
        <v>39145.64583</v>
      </c>
      <c r="H1163" s="6" t="str">
        <f t="shared" si="6"/>
        <v/>
      </c>
      <c r="I1163" s="2">
        <f t="shared" si="7"/>
        <v>1414.47</v>
      </c>
      <c r="M1163" s="10">
        <f>IFERROR(__xludf.DUMMYFUNCTION("""COMPUTED_VALUE"""),39666.666666666664)</f>
        <v>39666.66667</v>
      </c>
      <c r="N1163" s="2">
        <f>IFERROR(__xludf.DUMMYFUNCTION("""COMPUTED_VALUE"""),2378.37)</f>
        <v>2378.37</v>
      </c>
      <c r="S1163" s="13"/>
    </row>
    <row r="1164">
      <c r="A1164" s="10">
        <f t="shared" si="8"/>
        <v>39146.66667</v>
      </c>
      <c r="B1164" s="2" t="str">
        <f t="shared" si="2"/>
        <v/>
      </c>
      <c r="C1164" s="2" t="str">
        <f t="shared" si="3"/>
        <v>SP500</v>
      </c>
      <c r="D1164" s="2">
        <f t="shared" si="4"/>
        <v>2340.68</v>
      </c>
      <c r="E1164" s="2">
        <f t="shared" si="5"/>
        <v>2340.68</v>
      </c>
      <c r="G1164" s="10">
        <f t="shared" si="9"/>
        <v>39146.64583</v>
      </c>
      <c r="H1164" s="6">
        <f t="shared" si="6"/>
        <v>1376.15</v>
      </c>
      <c r="I1164" s="2">
        <f t="shared" si="7"/>
        <v>1376.15</v>
      </c>
      <c r="M1164" s="10">
        <f>IFERROR(__xludf.DUMMYFUNCTION("""COMPUTED_VALUE"""),39667.666666666664)</f>
        <v>39667.66667</v>
      </c>
      <c r="N1164" s="2">
        <f>IFERROR(__xludf.DUMMYFUNCTION("""COMPUTED_VALUE"""),2355.73)</f>
        <v>2355.73</v>
      </c>
    </row>
    <row r="1165">
      <c r="A1165" s="10">
        <f t="shared" si="8"/>
        <v>39147.66667</v>
      </c>
      <c r="B1165" s="2" t="str">
        <f t="shared" si="2"/>
        <v/>
      </c>
      <c r="C1165" s="2" t="str">
        <f t="shared" si="3"/>
        <v>SP500</v>
      </c>
      <c r="D1165" s="2">
        <f t="shared" si="4"/>
        <v>2385.14</v>
      </c>
      <c r="E1165" s="2">
        <f t="shared" si="5"/>
        <v>2385.14</v>
      </c>
      <c r="G1165" s="10">
        <f t="shared" si="9"/>
        <v>39147.64583</v>
      </c>
      <c r="H1165" s="6">
        <f t="shared" si="6"/>
        <v>1402.93</v>
      </c>
      <c r="I1165" s="2">
        <f t="shared" si="7"/>
        <v>1402.93</v>
      </c>
      <c r="M1165" s="10">
        <f>IFERROR(__xludf.DUMMYFUNCTION("""COMPUTED_VALUE"""),39668.666666666664)</f>
        <v>39668.66667</v>
      </c>
      <c r="N1165" s="2">
        <f>IFERROR(__xludf.DUMMYFUNCTION("""COMPUTED_VALUE"""),2414.1)</f>
        <v>2414.1</v>
      </c>
    </row>
    <row r="1166">
      <c r="A1166" s="10">
        <f t="shared" si="8"/>
        <v>39148.66667</v>
      </c>
      <c r="B1166" s="2" t="str">
        <f t="shared" si="2"/>
        <v/>
      </c>
      <c r="C1166" s="2" t="str">
        <f t="shared" si="3"/>
        <v>SP500</v>
      </c>
      <c r="D1166" s="2">
        <f t="shared" si="4"/>
        <v>2374.64</v>
      </c>
      <c r="E1166" s="2">
        <f t="shared" si="5"/>
        <v>2374.64</v>
      </c>
      <c r="G1166" s="10">
        <f t="shared" si="9"/>
        <v>39148.64583</v>
      </c>
      <c r="H1166" s="6">
        <f t="shared" si="6"/>
        <v>1410.95</v>
      </c>
      <c r="I1166" s="2">
        <f t="shared" si="7"/>
        <v>1410.95</v>
      </c>
      <c r="M1166" s="10">
        <f>IFERROR(__xludf.DUMMYFUNCTION("""COMPUTED_VALUE"""),39671.666666666664)</f>
        <v>39671.66667</v>
      </c>
      <c r="N1166" s="2">
        <f>IFERROR(__xludf.DUMMYFUNCTION("""COMPUTED_VALUE"""),2439.95)</f>
        <v>2439.95</v>
      </c>
    </row>
    <row r="1167">
      <c r="A1167" s="10">
        <f t="shared" si="8"/>
        <v>39149.66667</v>
      </c>
      <c r="B1167" s="2" t="str">
        <f t="shared" si="2"/>
        <v/>
      </c>
      <c r="C1167" s="2" t="str">
        <f t="shared" si="3"/>
        <v>SP500</v>
      </c>
      <c r="D1167" s="2">
        <f t="shared" si="4"/>
        <v>2387.73</v>
      </c>
      <c r="E1167" s="2">
        <f t="shared" si="5"/>
        <v>2387.73</v>
      </c>
      <c r="G1167" s="10">
        <f t="shared" si="9"/>
        <v>39149.64583</v>
      </c>
      <c r="H1167" s="6">
        <f t="shared" si="6"/>
        <v>1423.89</v>
      </c>
      <c r="I1167" s="2">
        <f t="shared" si="7"/>
        <v>1423.89</v>
      </c>
      <c r="M1167" s="10">
        <f>IFERROR(__xludf.DUMMYFUNCTION("""COMPUTED_VALUE"""),39672.666666666664)</f>
        <v>39672.66667</v>
      </c>
      <c r="N1167" s="2">
        <f>IFERROR(__xludf.DUMMYFUNCTION("""COMPUTED_VALUE"""),2430.61)</f>
        <v>2430.61</v>
      </c>
    </row>
    <row r="1168">
      <c r="A1168" s="10">
        <f t="shared" si="8"/>
        <v>39150.66667</v>
      </c>
      <c r="B1168" s="2" t="str">
        <f t="shared" si="2"/>
        <v/>
      </c>
      <c r="C1168" s="2" t="str">
        <f t="shared" si="3"/>
        <v>SP500</v>
      </c>
      <c r="D1168" s="2">
        <f t="shared" si="4"/>
        <v>2387.55</v>
      </c>
      <c r="E1168" s="2">
        <f t="shared" si="5"/>
        <v>2387.55</v>
      </c>
      <c r="G1168" s="10">
        <f t="shared" si="9"/>
        <v>39150.64583</v>
      </c>
      <c r="H1168" s="6">
        <f t="shared" si="6"/>
        <v>1423.58</v>
      </c>
      <c r="I1168" s="2">
        <f t="shared" si="7"/>
        <v>1423.58</v>
      </c>
      <c r="M1168" s="10">
        <f>IFERROR(__xludf.DUMMYFUNCTION("""COMPUTED_VALUE"""),39673.666666666664)</f>
        <v>39673.66667</v>
      </c>
      <c r="N1168" s="2">
        <f>IFERROR(__xludf.DUMMYFUNCTION("""COMPUTED_VALUE"""),2428.62)</f>
        <v>2428.62</v>
      </c>
    </row>
    <row r="1169">
      <c r="A1169" s="10">
        <f t="shared" si="8"/>
        <v>39151.66667</v>
      </c>
      <c r="B1169" s="2" t="str">
        <f t="shared" si="2"/>
        <v/>
      </c>
      <c r="C1169" s="2" t="str">
        <f t="shared" si="3"/>
        <v>SP500</v>
      </c>
      <c r="D1169" s="2" t="str">
        <f t="shared" si="4"/>
        <v/>
      </c>
      <c r="E1169" s="2">
        <f t="shared" si="5"/>
        <v>2387.55</v>
      </c>
      <c r="G1169" s="10">
        <f t="shared" si="9"/>
        <v>39151.64583</v>
      </c>
      <c r="H1169" s="6" t="str">
        <f t="shared" si="6"/>
        <v/>
      </c>
      <c r="I1169" s="2">
        <f t="shared" si="7"/>
        <v>1423.58</v>
      </c>
      <c r="M1169" s="10">
        <f>IFERROR(__xludf.DUMMYFUNCTION("""COMPUTED_VALUE"""),39674.666666666664)</f>
        <v>39674.66667</v>
      </c>
      <c r="N1169" s="2">
        <f>IFERROR(__xludf.DUMMYFUNCTION("""COMPUTED_VALUE"""),2453.67)</f>
        <v>2453.67</v>
      </c>
    </row>
    <row r="1170">
      <c r="A1170" s="10">
        <f t="shared" si="8"/>
        <v>39152.66667</v>
      </c>
      <c r="B1170" s="2" t="str">
        <f t="shared" si="2"/>
        <v/>
      </c>
      <c r="C1170" s="2" t="str">
        <f t="shared" si="3"/>
        <v>SP500</v>
      </c>
      <c r="D1170" s="2" t="str">
        <f t="shared" si="4"/>
        <v/>
      </c>
      <c r="E1170" s="2">
        <f t="shared" si="5"/>
        <v>2387.55</v>
      </c>
      <c r="G1170" s="10">
        <f t="shared" si="9"/>
        <v>39152.64583</v>
      </c>
      <c r="H1170" s="6" t="str">
        <f t="shared" si="6"/>
        <v/>
      </c>
      <c r="I1170" s="2">
        <f t="shared" si="7"/>
        <v>1423.58</v>
      </c>
      <c r="M1170" s="10">
        <f>IFERROR(__xludf.DUMMYFUNCTION("""COMPUTED_VALUE"""),39675.666666666664)</f>
        <v>39675.66667</v>
      </c>
      <c r="N1170" s="2">
        <f>IFERROR(__xludf.DUMMYFUNCTION("""COMPUTED_VALUE"""),2452.52)</f>
        <v>2452.52</v>
      </c>
    </row>
    <row r="1171">
      <c r="A1171" s="10">
        <f t="shared" si="8"/>
        <v>39153.66667</v>
      </c>
      <c r="B1171" s="2" t="str">
        <f t="shared" si="2"/>
        <v/>
      </c>
      <c r="C1171" s="2" t="str">
        <f t="shared" si="3"/>
        <v>SP500</v>
      </c>
      <c r="D1171" s="2">
        <f t="shared" si="4"/>
        <v>2402.29</v>
      </c>
      <c r="E1171" s="2">
        <f t="shared" si="5"/>
        <v>2402.29</v>
      </c>
      <c r="G1171" s="10">
        <f t="shared" si="9"/>
        <v>39153.64583</v>
      </c>
      <c r="H1171" s="6">
        <f t="shared" si="6"/>
        <v>1441.33</v>
      </c>
      <c r="I1171" s="2">
        <f t="shared" si="7"/>
        <v>1441.33</v>
      </c>
      <c r="M1171" s="10">
        <f>IFERROR(__xludf.DUMMYFUNCTION("""COMPUTED_VALUE"""),39678.666666666664)</f>
        <v>39678.66667</v>
      </c>
      <c r="N1171" s="2">
        <f>IFERROR(__xludf.DUMMYFUNCTION("""COMPUTED_VALUE"""),2416.98)</f>
        <v>2416.98</v>
      </c>
    </row>
    <row r="1172">
      <c r="A1172" s="10">
        <f t="shared" si="8"/>
        <v>39154.66667</v>
      </c>
      <c r="B1172" s="2" t="str">
        <f t="shared" si="2"/>
        <v/>
      </c>
      <c r="C1172" s="2" t="str">
        <f t="shared" si="3"/>
        <v>SP500</v>
      </c>
      <c r="D1172" s="2">
        <f t="shared" si="4"/>
        <v>2350.57</v>
      </c>
      <c r="E1172" s="2">
        <f t="shared" si="5"/>
        <v>2350.57</v>
      </c>
      <c r="G1172" s="10">
        <f t="shared" si="9"/>
        <v>39154.64583</v>
      </c>
      <c r="H1172" s="6">
        <f t="shared" si="6"/>
        <v>1436.05</v>
      </c>
      <c r="I1172" s="2">
        <f t="shared" si="7"/>
        <v>1436.05</v>
      </c>
      <c r="M1172" s="10">
        <f>IFERROR(__xludf.DUMMYFUNCTION("""COMPUTED_VALUE"""),39679.666666666664)</f>
        <v>39679.66667</v>
      </c>
      <c r="N1172" s="2">
        <f>IFERROR(__xludf.DUMMYFUNCTION("""COMPUTED_VALUE"""),2384.36)</f>
        <v>2384.36</v>
      </c>
    </row>
    <row r="1173">
      <c r="A1173" s="10">
        <f t="shared" si="8"/>
        <v>39155.66667</v>
      </c>
      <c r="B1173" s="2" t="str">
        <f t="shared" si="2"/>
        <v/>
      </c>
      <c r="C1173" s="2" t="str">
        <f t="shared" si="3"/>
        <v>SP500</v>
      </c>
      <c r="D1173" s="2">
        <f t="shared" si="4"/>
        <v>2371.74</v>
      </c>
      <c r="E1173" s="2">
        <f t="shared" si="5"/>
        <v>2371.74</v>
      </c>
      <c r="G1173" s="10">
        <f t="shared" si="9"/>
        <v>39155.64583</v>
      </c>
      <c r="H1173" s="6">
        <f t="shared" si="6"/>
        <v>1407.37</v>
      </c>
      <c r="I1173" s="2">
        <f t="shared" si="7"/>
        <v>1407.37</v>
      </c>
      <c r="M1173" s="10">
        <f>IFERROR(__xludf.DUMMYFUNCTION("""COMPUTED_VALUE"""),39680.666666666664)</f>
        <v>39680.66667</v>
      </c>
      <c r="N1173" s="2">
        <f>IFERROR(__xludf.DUMMYFUNCTION("""COMPUTED_VALUE"""),2389.08)</f>
        <v>2389.08</v>
      </c>
    </row>
    <row r="1174">
      <c r="A1174" s="10">
        <f t="shared" si="8"/>
        <v>39156.66667</v>
      </c>
      <c r="B1174" s="2" t="str">
        <f t="shared" si="2"/>
        <v/>
      </c>
      <c r="C1174" s="2" t="str">
        <f t="shared" si="3"/>
        <v>SP500</v>
      </c>
      <c r="D1174" s="2">
        <f t="shared" si="4"/>
        <v>2378.7</v>
      </c>
      <c r="E1174" s="2">
        <f t="shared" si="5"/>
        <v>2378.7</v>
      </c>
      <c r="G1174" s="10">
        <f t="shared" si="9"/>
        <v>39156.64583</v>
      </c>
      <c r="H1174" s="6">
        <f t="shared" si="6"/>
        <v>1426.93</v>
      </c>
      <c r="I1174" s="2">
        <f t="shared" si="7"/>
        <v>1426.93</v>
      </c>
      <c r="M1174" s="10">
        <f>IFERROR(__xludf.DUMMYFUNCTION("""COMPUTED_VALUE"""),39681.666666666664)</f>
        <v>39681.66667</v>
      </c>
      <c r="N1174" s="2">
        <f>IFERROR(__xludf.DUMMYFUNCTION("""COMPUTED_VALUE"""),2380.38)</f>
        <v>2380.38</v>
      </c>
    </row>
    <row r="1175">
      <c r="A1175" s="10">
        <f t="shared" si="8"/>
        <v>39157.66667</v>
      </c>
      <c r="B1175" s="2" t="str">
        <f t="shared" si="2"/>
        <v/>
      </c>
      <c r="C1175" s="2" t="str">
        <f t="shared" si="3"/>
        <v>SP500</v>
      </c>
      <c r="D1175" s="2">
        <f t="shared" si="4"/>
        <v>2372.66</v>
      </c>
      <c r="E1175" s="2">
        <f t="shared" si="5"/>
        <v>2372.66</v>
      </c>
      <c r="G1175" s="10">
        <f t="shared" si="9"/>
        <v>39157.64583</v>
      </c>
      <c r="H1175" s="6">
        <f t="shared" si="6"/>
        <v>1427.88</v>
      </c>
      <c r="I1175" s="2">
        <f t="shared" si="7"/>
        <v>1427.88</v>
      </c>
      <c r="M1175" s="10">
        <f>IFERROR(__xludf.DUMMYFUNCTION("""COMPUTED_VALUE"""),39682.666666666664)</f>
        <v>39682.66667</v>
      </c>
      <c r="N1175" s="2">
        <f>IFERROR(__xludf.DUMMYFUNCTION("""COMPUTED_VALUE"""),2414.71)</f>
        <v>2414.71</v>
      </c>
    </row>
    <row r="1176">
      <c r="A1176" s="10">
        <f t="shared" si="8"/>
        <v>39158.66667</v>
      </c>
      <c r="B1176" s="2" t="str">
        <f t="shared" si="2"/>
        <v/>
      </c>
      <c r="C1176" s="2" t="str">
        <f t="shared" si="3"/>
        <v>SP500</v>
      </c>
      <c r="D1176" s="2" t="str">
        <f t="shared" si="4"/>
        <v/>
      </c>
      <c r="E1176" s="2">
        <f t="shared" si="5"/>
        <v>2372.66</v>
      </c>
      <c r="G1176" s="10">
        <f t="shared" si="9"/>
        <v>39158.64583</v>
      </c>
      <c r="H1176" s="6" t="str">
        <f t="shared" si="6"/>
        <v/>
      </c>
      <c r="I1176" s="2">
        <f t="shared" si="7"/>
        <v>1427.88</v>
      </c>
      <c r="M1176" s="10">
        <f>IFERROR(__xludf.DUMMYFUNCTION("""COMPUTED_VALUE"""),39685.666666666664)</f>
        <v>39685.66667</v>
      </c>
      <c r="N1176" s="2">
        <f>IFERROR(__xludf.DUMMYFUNCTION("""COMPUTED_VALUE"""),2365.59)</f>
        <v>2365.59</v>
      </c>
    </row>
    <row r="1177">
      <c r="A1177" s="10">
        <f t="shared" si="8"/>
        <v>39159.66667</v>
      </c>
      <c r="B1177" s="2" t="str">
        <f t="shared" si="2"/>
        <v/>
      </c>
      <c r="C1177" s="2" t="str">
        <f t="shared" si="3"/>
        <v>SP500</v>
      </c>
      <c r="D1177" s="2" t="str">
        <f t="shared" si="4"/>
        <v/>
      </c>
      <c r="E1177" s="2">
        <f t="shared" si="5"/>
        <v>2372.66</v>
      </c>
      <c r="G1177" s="10">
        <f t="shared" si="9"/>
        <v>39159.64583</v>
      </c>
      <c r="H1177" s="6" t="str">
        <f t="shared" si="6"/>
        <v/>
      </c>
      <c r="I1177" s="2">
        <f t="shared" si="7"/>
        <v>1427.88</v>
      </c>
      <c r="M1177" s="10">
        <f>IFERROR(__xludf.DUMMYFUNCTION("""COMPUTED_VALUE"""),39686.666666666664)</f>
        <v>39686.66667</v>
      </c>
      <c r="N1177" s="2">
        <f>IFERROR(__xludf.DUMMYFUNCTION("""COMPUTED_VALUE"""),2361.97)</f>
        <v>2361.97</v>
      </c>
    </row>
    <row r="1178">
      <c r="A1178" s="10">
        <f t="shared" si="8"/>
        <v>39160.66667</v>
      </c>
      <c r="B1178" s="2" t="str">
        <f t="shared" si="2"/>
        <v/>
      </c>
      <c r="C1178" s="2" t="str">
        <f t="shared" si="3"/>
        <v>SP500</v>
      </c>
      <c r="D1178" s="2">
        <f t="shared" si="4"/>
        <v>2394.41</v>
      </c>
      <c r="E1178" s="2">
        <f t="shared" si="5"/>
        <v>2394.41</v>
      </c>
      <c r="G1178" s="10">
        <f t="shared" si="9"/>
        <v>39160.64583</v>
      </c>
      <c r="H1178" s="6">
        <f t="shared" si="6"/>
        <v>1443.39</v>
      </c>
      <c r="I1178" s="2">
        <f t="shared" si="7"/>
        <v>1443.39</v>
      </c>
      <c r="M1178" s="10">
        <f>IFERROR(__xludf.DUMMYFUNCTION("""COMPUTED_VALUE"""),39687.666666666664)</f>
        <v>39687.66667</v>
      </c>
      <c r="N1178" s="2">
        <f>IFERROR(__xludf.DUMMYFUNCTION("""COMPUTED_VALUE"""),2382.46)</f>
        <v>2382.46</v>
      </c>
    </row>
    <row r="1179">
      <c r="A1179" s="10">
        <f t="shared" si="8"/>
        <v>39161.66667</v>
      </c>
      <c r="B1179" s="2" t="str">
        <f t="shared" si="2"/>
        <v/>
      </c>
      <c r="C1179" s="2" t="str">
        <f t="shared" si="3"/>
        <v>SP500</v>
      </c>
      <c r="D1179" s="2">
        <f t="shared" si="4"/>
        <v>2408.21</v>
      </c>
      <c r="E1179" s="2">
        <f t="shared" si="5"/>
        <v>2408.21</v>
      </c>
      <c r="G1179" s="10">
        <f t="shared" si="9"/>
        <v>39161.64583</v>
      </c>
      <c r="H1179" s="6">
        <f t="shared" si="6"/>
        <v>1444.17</v>
      </c>
      <c r="I1179" s="2">
        <f t="shared" si="7"/>
        <v>1444.17</v>
      </c>
      <c r="M1179" s="10">
        <f>IFERROR(__xludf.DUMMYFUNCTION("""COMPUTED_VALUE"""),39688.666666666664)</f>
        <v>39688.66667</v>
      </c>
      <c r="N1179" s="2">
        <f>IFERROR(__xludf.DUMMYFUNCTION("""COMPUTED_VALUE"""),2411.64)</f>
        <v>2411.64</v>
      </c>
    </row>
    <row r="1180">
      <c r="A1180" s="10">
        <f t="shared" si="8"/>
        <v>39162.66667</v>
      </c>
      <c r="B1180" s="2" t="str">
        <f t="shared" si="2"/>
        <v/>
      </c>
      <c r="C1180" s="2" t="str">
        <f t="shared" si="3"/>
        <v>SP500</v>
      </c>
      <c r="D1180" s="2">
        <f t="shared" si="4"/>
        <v>2455.92</v>
      </c>
      <c r="E1180" s="2">
        <f t="shared" si="5"/>
        <v>2455.92</v>
      </c>
      <c r="G1180" s="10">
        <f t="shared" si="9"/>
        <v>39162.64583</v>
      </c>
      <c r="H1180" s="6">
        <f t="shared" si="6"/>
        <v>1442.85</v>
      </c>
      <c r="I1180" s="2">
        <f t="shared" si="7"/>
        <v>1442.85</v>
      </c>
      <c r="M1180" s="10">
        <f>IFERROR(__xludf.DUMMYFUNCTION("""COMPUTED_VALUE"""),39689.666666666664)</f>
        <v>39689.66667</v>
      </c>
      <c r="N1180" s="2">
        <f>IFERROR(__xludf.DUMMYFUNCTION("""COMPUTED_VALUE"""),2367.52)</f>
        <v>2367.52</v>
      </c>
    </row>
    <row r="1181">
      <c r="A1181" s="10">
        <f t="shared" si="8"/>
        <v>39163.66667</v>
      </c>
      <c r="B1181" s="2" t="str">
        <f t="shared" si="2"/>
        <v/>
      </c>
      <c r="C1181" s="2" t="str">
        <f t="shared" si="3"/>
        <v>SP500</v>
      </c>
      <c r="D1181" s="2">
        <f t="shared" si="4"/>
        <v>2451.74</v>
      </c>
      <c r="E1181" s="2">
        <f t="shared" si="5"/>
        <v>2451.74</v>
      </c>
      <c r="G1181" s="10">
        <f t="shared" si="9"/>
        <v>39163.64583</v>
      </c>
      <c r="H1181" s="6">
        <f t="shared" si="6"/>
        <v>1448.53</v>
      </c>
      <c r="I1181" s="2">
        <f t="shared" si="7"/>
        <v>1448.53</v>
      </c>
      <c r="M1181" s="10">
        <f>IFERROR(__xludf.DUMMYFUNCTION("""COMPUTED_VALUE"""),39693.666666666664)</f>
        <v>39693.66667</v>
      </c>
      <c r="N1181" s="2">
        <f>IFERROR(__xludf.DUMMYFUNCTION("""COMPUTED_VALUE"""),2349.24)</f>
        <v>2349.24</v>
      </c>
    </row>
    <row r="1182">
      <c r="A1182" s="10">
        <f t="shared" si="8"/>
        <v>39164.66667</v>
      </c>
      <c r="B1182" s="2" t="str">
        <f t="shared" si="2"/>
        <v/>
      </c>
      <c r="C1182" s="2" t="str">
        <f t="shared" si="3"/>
        <v>SP500</v>
      </c>
      <c r="D1182" s="2">
        <f t="shared" si="4"/>
        <v>2448.93</v>
      </c>
      <c r="E1182" s="2">
        <f t="shared" si="5"/>
        <v>2448.93</v>
      </c>
      <c r="G1182" s="10">
        <f t="shared" si="9"/>
        <v>39164.64583</v>
      </c>
      <c r="H1182" s="6">
        <f t="shared" si="6"/>
        <v>1447.38</v>
      </c>
      <c r="I1182" s="2">
        <f t="shared" si="7"/>
        <v>1447.38</v>
      </c>
      <c r="M1182" s="10">
        <f>IFERROR(__xludf.DUMMYFUNCTION("""COMPUTED_VALUE"""),39694.666666666664)</f>
        <v>39694.66667</v>
      </c>
      <c r="N1182" s="2">
        <f>IFERROR(__xludf.DUMMYFUNCTION("""COMPUTED_VALUE"""),2333.73)</f>
        <v>2333.73</v>
      </c>
    </row>
    <row r="1183">
      <c r="A1183" s="10">
        <f t="shared" si="8"/>
        <v>39165.66667</v>
      </c>
      <c r="B1183" s="2" t="str">
        <f t="shared" si="2"/>
        <v/>
      </c>
      <c r="C1183" s="2" t="str">
        <f t="shared" si="3"/>
        <v>SP500</v>
      </c>
      <c r="D1183" s="2" t="str">
        <f t="shared" si="4"/>
        <v/>
      </c>
      <c r="E1183" s="2">
        <f t="shared" si="5"/>
        <v>2448.93</v>
      </c>
      <c r="G1183" s="10">
        <f t="shared" si="9"/>
        <v>39165.64583</v>
      </c>
      <c r="H1183" s="6" t="str">
        <f t="shared" si="6"/>
        <v/>
      </c>
      <c r="I1183" s="2">
        <f t="shared" si="7"/>
        <v>1447.38</v>
      </c>
      <c r="M1183" s="10">
        <f>IFERROR(__xludf.DUMMYFUNCTION("""COMPUTED_VALUE"""),39695.666666666664)</f>
        <v>39695.66667</v>
      </c>
      <c r="N1183" s="2">
        <f>IFERROR(__xludf.DUMMYFUNCTION("""COMPUTED_VALUE"""),2259.04)</f>
        <v>2259.04</v>
      </c>
    </row>
    <row r="1184">
      <c r="A1184" s="10">
        <f t="shared" si="8"/>
        <v>39166.66667</v>
      </c>
      <c r="B1184" s="2" t="str">
        <f t="shared" si="2"/>
        <v/>
      </c>
      <c r="C1184" s="2" t="str">
        <f t="shared" si="3"/>
        <v>SP500</v>
      </c>
      <c r="D1184" s="2" t="str">
        <f t="shared" si="4"/>
        <v/>
      </c>
      <c r="E1184" s="2">
        <f t="shared" si="5"/>
        <v>2448.93</v>
      </c>
      <c r="G1184" s="10">
        <f t="shared" si="9"/>
        <v>39166.64583</v>
      </c>
      <c r="H1184" s="6" t="str">
        <f t="shared" si="6"/>
        <v/>
      </c>
      <c r="I1184" s="2">
        <f t="shared" si="7"/>
        <v>1447.38</v>
      </c>
      <c r="M1184" s="10">
        <f>IFERROR(__xludf.DUMMYFUNCTION("""COMPUTED_VALUE"""),39696.666666666664)</f>
        <v>39696.66667</v>
      </c>
      <c r="N1184" s="2">
        <f>IFERROR(__xludf.DUMMYFUNCTION("""COMPUTED_VALUE"""),2255.88)</f>
        <v>2255.88</v>
      </c>
    </row>
    <row r="1185">
      <c r="A1185" s="10">
        <f t="shared" si="8"/>
        <v>39167.66667</v>
      </c>
      <c r="B1185" s="2" t="str">
        <f t="shared" si="2"/>
        <v/>
      </c>
      <c r="C1185" s="2" t="str">
        <f t="shared" si="3"/>
        <v>SP500</v>
      </c>
      <c r="D1185" s="2">
        <f t="shared" si="4"/>
        <v>2455.63</v>
      </c>
      <c r="E1185" s="2">
        <f t="shared" si="5"/>
        <v>2455.63</v>
      </c>
      <c r="G1185" s="10">
        <f t="shared" si="9"/>
        <v>39167.64583</v>
      </c>
      <c r="H1185" s="6">
        <f t="shared" si="6"/>
        <v>1449.77</v>
      </c>
      <c r="I1185" s="2">
        <f t="shared" si="7"/>
        <v>1449.77</v>
      </c>
      <c r="M1185" s="10">
        <f>IFERROR(__xludf.DUMMYFUNCTION("""COMPUTED_VALUE"""),39699.666666666664)</f>
        <v>39699.66667</v>
      </c>
      <c r="N1185" s="2">
        <f>IFERROR(__xludf.DUMMYFUNCTION("""COMPUTED_VALUE"""),2269.76)</f>
        <v>2269.76</v>
      </c>
    </row>
    <row r="1186">
      <c r="A1186" s="10">
        <f t="shared" si="8"/>
        <v>39168.66667</v>
      </c>
      <c r="B1186" s="2" t="str">
        <f t="shared" si="2"/>
        <v/>
      </c>
      <c r="C1186" s="2" t="str">
        <f t="shared" si="3"/>
        <v>SP500</v>
      </c>
      <c r="D1186" s="2">
        <f t="shared" si="4"/>
        <v>2437.43</v>
      </c>
      <c r="E1186" s="2">
        <f t="shared" si="5"/>
        <v>2437.43</v>
      </c>
      <c r="G1186" s="10">
        <f t="shared" si="9"/>
        <v>39168.64583</v>
      </c>
      <c r="H1186" s="6">
        <f t="shared" si="6"/>
        <v>1453.23</v>
      </c>
      <c r="I1186" s="2">
        <f t="shared" si="7"/>
        <v>1453.23</v>
      </c>
      <c r="M1186" s="10">
        <f>IFERROR(__xludf.DUMMYFUNCTION("""COMPUTED_VALUE"""),39700.666666666664)</f>
        <v>39700.66667</v>
      </c>
      <c r="N1186" s="2">
        <f>IFERROR(__xludf.DUMMYFUNCTION("""COMPUTED_VALUE"""),2209.81)</f>
        <v>2209.81</v>
      </c>
    </row>
    <row r="1187">
      <c r="A1187" s="10">
        <f t="shared" si="8"/>
        <v>39169.66667</v>
      </c>
      <c r="B1187" s="2" t="str">
        <f t="shared" si="2"/>
        <v/>
      </c>
      <c r="C1187" s="2" t="str">
        <f t="shared" si="3"/>
        <v>SP500</v>
      </c>
      <c r="D1187" s="2">
        <f t="shared" si="4"/>
        <v>2417.1</v>
      </c>
      <c r="E1187" s="2">
        <f t="shared" si="5"/>
        <v>2417.1</v>
      </c>
      <c r="G1187" s="10">
        <f t="shared" si="9"/>
        <v>39169.64583</v>
      </c>
      <c r="H1187" s="6">
        <f t="shared" si="6"/>
        <v>1439.74</v>
      </c>
      <c r="I1187" s="2">
        <f t="shared" si="7"/>
        <v>1439.74</v>
      </c>
      <c r="M1187" s="10">
        <f>IFERROR(__xludf.DUMMYFUNCTION("""COMPUTED_VALUE"""),39701.666666666664)</f>
        <v>39701.66667</v>
      </c>
      <c r="N1187" s="2">
        <f>IFERROR(__xludf.DUMMYFUNCTION("""COMPUTED_VALUE"""),2228.7)</f>
        <v>2228.7</v>
      </c>
    </row>
    <row r="1188">
      <c r="A1188" s="10">
        <f t="shared" si="8"/>
        <v>39170.66667</v>
      </c>
      <c r="B1188" s="2" t="str">
        <f t="shared" si="2"/>
        <v/>
      </c>
      <c r="C1188" s="2" t="str">
        <f t="shared" si="3"/>
        <v>SP500</v>
      </c>
      <c r="D1188" s="2">
        <f t="shared" si="4"/>
        <v>2417.88</v>
      </c>
      <c r="E1188" s="2">
        <f t="shared" si="5"/>
        <v>2417.88</v>
      </c>
      <c r="G1188" s="10">
        <f t="shared" si="9"/>
        <v>39170.64583</v>
      </c>
      <c r="H1188" s="6">
        <f t="shared" si="6"/>
        <v>1450.95</v>
      </c>
      <c r="I1188" s="2">
        <f t="shared" si="7"/>
        <v>1450.95</v>
      </c>
      <c r="M1188" s="10">
        <f>IFERROR(__xludf.DUMMYFUNCTION("""COMPUTED_VALUE"""),39702.666666666664)</f>
        <v>39702.66667</v>
      </c>
      <c r="N1188" s="2">
        <f>IFERROR(__xludf.DUMMYFUNCTION("""COMPUTED_VALUE"""),2258.22)</f>
        <v>2258.22</v>
      </c>
    </row>
    <row r="1189">
      <c r="A1189" s="10">
        <f t="shared" si="8"/>
        <v>39171.66667</v>
      </c>
      <c r="B1189" s="2" t="str">
        <f t="shared" si="2"/>
        <v/>
      </c>
      <c r="C1189" s="2" t="str">
        <f t="shared" si="3"/>
        <v>SP500</v>
      </c>
      <c r="D1189" s="2">
        <f t="shared" si="4"/>
        <v>2421.64</v>
      </c>
      <c r="E1189" s="2">
        <f t="shared" si="5"/>
        <v>2421.64</v>
      </c>
      <c r="G1189" s="10">
        <f t="shared" si="9"/>
        <v>39171.64583</v>
      </c>
      <c r="H1189" s="6">
        <f t="shared" si="6"/>
        <v>1452.55</v>
      </c>
      <c r="I1189" s="2">
        <f t="shared" si="7"/>
        <v>1452.55</v>
      </c>
      <c r="M1189" s="10">
        <f>IFERROR(__xludf.DUMMYFUNCTION("""COMPUTED_VALUE"""),39703.666666666664)</f>
        <v>39703.66667</v>
      </c>
      <c r="N1189" s="2">
        <f>IFERROR(__xludf.DUMMYFUNCTION("""COMPUTED_VALUE"""),2261.27)</f>
        <v>2261.27</v>
      </c>
    </row>
    <row r="1190">
      <c r="A1190" s="10">
        <f t="shared" si="8"/>
        <v>39172.66667</v>
      </c>
      <c r="B1190" s="2" t="str">
        <f t="shared" si="2"/>
        <v/>
      </c>
      <c r="C1190" s="2" t="str">
        <f t="shared" si="3"/>
        <v>SP500</v>
      </c>
      <c r="D1190" s="2" t="str">
        <f t="shared" si="4"/>
        <v/>
      </c>
      <c r="E1190" s="2">
        <f t="shared" si="5"/>
        <v>2421.64</v>
      </c>
      <c r="G1190" s="10">
        <f t="shared" si="9"/>
        <v>39172.64583</v>
      </c>
      <c r="H1190" s="6" t="str">
        <f t="shared" si="6"/>
        <v/>
      </c>
      <c r="I1190" s="2">
        <f t="shared" si="7"/>
        <v>1452.55</v>
      </c>
      <c r="M1190" s="10">
        <f>IFERROR(__xludf.DUMMYFUNCTION("""COMPUTED_VALUE"""),39706.666666666664)</f>
        <v>39706.66667</v>
      </c>
      <c r="N1190" s="2">
        <f>IFERROR(__xludf.DUMMYFUNCTION("""COMPUTED_VALUE"""),2179.91)</f>
        <v>2179.91</v>
      </c>
    </row>
    <row r="1191">
      <c r="A1191" s="10">
        <f t="shared" si="8"/>
        <v>39173.66667</v>
      </c>
      <c r="B1191" s="2" t="str">
        <f t="shared" si="2"/>
        <v/>
      </c>
      <c r="C1191" s="2" t="str">
        <f t="shared" si="3"/>
        <v>SP500</v>
      </c>
      <c r="D1191" s="2" t="str">
        <f t="shared" si="4"/>
        <v/>
      </c>
      <c r="E1191" s="2">
        <f t="shared" si="5"/>
        <v>2421.64</v>
      </c>
      <c r="G1191" s="10">
        <f t="shared" si="9"/>
        <v>39173.64583</v>
      </c>
      <c r="H1191" s="6" t="str">
        <f t="shared" si="6"/>
        <v/>
      </c>
      <c r="I1191" s="2">
        <f t="shared" si="7"/>
        <v>1452.55</v>
      </c>
      <c r="M1191" s="10">
        <f>IFERROR(__xludf.DUMMYFUNCTION("""COMPUTED_VALUE"""),39707.666666666664)</f>
        <v>39707.66667</v>
      </c>
      <c r="N1191" s="2">
        <f>IFERROR(__xludf.DUMMYFUNCTION("""COMPUTED_VALUE"""),2207.9)</f>
        <v>2207.9</v>
      </c>
    </row>
    <row r="1192">
      <c r="A1192" s="10">
        <f t="shared" si="8"/>
        <v>39174.66667</v>
      </c>
      <c r="B1192" s="2" t="str">
        <f t="shared" si="2"/>
        <v/>
      </c>
      <c r="C1192" s="2" t="str">
        <f t="shared" si="3"/>
        <v>SP500</v>
      </c>
      <c r="D1192" s="2">
        <f t="shared" si="4"/>
        <v>2422.26</v>
      </c>
      <c r="E1192" s="2">
        <f t="shared" si="5"/>
        <v>2422.26</v>
      </c>
      <c r="G1192" s="10">
        <f t="shared" si="9"/>
        <v>39174.64583</v>
      </c>
      <c r="H1192" s="6">
        <f t="shared" si="6"/>
        <v>1459.53</v>
      </c>
      <c r="I1192" s="2">
        <f t="shared" si="7"/>
        <v>1459.53</v>
      </c>
      <c r="M1192" s="10">
        <f>IFERROR(__xludf.DUMMYFUNCTION("""COMPUTED_VALUE"""),39708.666666666664)</f>
        <v>39708.66667</v>
      </c>
      <c r="N1192" s="2">
        <f>IFERROR(__xludf.DUMMYFUNCTION("""COMPUTED_VALUE"""),2098.85)</f>
        <v>2098.85</v>
      </c>
    </row>
    <row r="1193">
      <c r="A1193" s="10">
        <f t="shared" si="8"/>
        <v>39175.66667</v>
      </c>
      <c r="B1193" s="2" t="str">
        <f t="shared" si="2"/>
        <v/>
      </c>
      <c r="C1193" s="2" t="str">
        <f t="shared" si="3"/>
        <v>SP500</v>
      </c>
      <c r="D1193" s="2">
        <f t="shared" si="4"/>
        <v>2450.33</v>
      </c>
      <c r="E1193" s="2">
        <f t="shared" si="5"/>
        <v>2450.33</v>
      </c>
      <c r="G1193" s="10">
        <f t="shared" si="9"/>
        <v>39175.64583</v>
      </c>
      <c r="H1193" s="6">
        <f t="shared" si="6"/>
        <v>1463.75</v>
      </c>
      <c r="I1193" s="2">
        <f t="shared" si="7"/>
        <v>1463.75</v>
      </c>
      <c r="M1193" s="10">
        <f>IFERROR(__xludf.DUMMYFUNCTION("""COMPUTED_VALUE"""),39709.666666666664)</f>
        <v>39709.66667</v>
      </c>
      <c r="N1193" s="2">
        <f>IFERROR(__xludf.DUMMYFUNCTION("""COMPUTED_VALUE"""),2199.1)</f>
        <v>2199.1</v>
      </c>
    </row>
    <row r="1194">
      <c r="A1194" s="10">
        <f t="shared" si="8"/>
        <v>39176.66667</v>
      </c>
      <c r="B1194" s="2" t="str">
        <f t="shared" si="2"/>
        <v/>
      </c>
      <c r="C1194" s="2" t="str">
        <f t="shared" si="3"/>
        <v>SP500</v>
      </c>
      <c r="D1194" s="2">
        <f t="shared" si="4"/>
        <v>2458.69</v>
      </c>
      <c r="E1194" s="2">
        <f t="shared" si="5"/>
        <v>2458.69</v>
      </c>
      <c r="G1194" s="10">
        <f t="shared" si="9"/>
        <v>39176.64583</v>
      </c>
      <c r="H1194" s="6">
        <f t="shared" si="6"/>
        <v>1483.41</v>
      </c>
      <c r="I1194" s="2">
        <f t="shared" si="7"/>
        <v>1483.41</v>
      </c>
      <c r="M1194" s="10">
        <f>IFERROR(__xludf.DUMMYFUNCTION("""COMPUTED_VALUE"""),39710.666666666664)</f>
        <v>39710.66667</v>
      </c>
      <c r="N1194" s="2">
        <f>IFERROR(__xludf.DUMMYFUNCTION("""COMPUTED_VALUE"""),2273.9)</f>
        <v>2273.9</v>
      </c>
    </row>
    <row r="1195">
      <c r="A1195" s="10">
        <f t="shared" si="8"/>
        <v>39177.66667</v>
      </c>
      <c r="B1195" s="2" t="str">
        <f t="shared" si="2"/>
        <v/>
      </c>
      <c r="C1195" s="2" t="str">
        <f t="shared" si="3"/>
        <v>SP500</v>
      </c>
      <c r="D1195" s="2">
        <f t="shared" si="4"/>
        <v>2471.34</v>
      </c>
      <c r="E1195" s="2">
        <f t="shared" si="5"/>
        <v>2471.34</v>
      </c>
      <c r="G1195" s="10">
        <f t="shared" si="9"/>
        <v>39177.64583</v>
      </c>
      <c r="H1195" s="6">
        <f t="shared" si="6"/>
        <v>1482.04</v>
      </c>
      <c r="I1195" s="2">
        <f t="shared" si="7"/>
        <v>1482.04</v>
      </c>
      <c r="M1195" s="10">
        <f>IFERROR(__xludf.DUMMYFUNCTION("""COMPUTED_VALUE"""),39713.666666666664)</f>
        <v>39713.66667</v>
      </c>
      <c r="N1195" s="2">
        <f>IFERROR(__xludf.DUMMYFUNCTION("""COMPUTED_VALUE"""),2178.98)</f>
        <v>2178.98</v>
      </c>
    </row>
    <row r="1196">
      <c r="A1196" s="10">
        <f t="shared" si="8"/>
        <v>39178.66667</v>
      </c>
      <c r="B1196" s="2" t="str">
        <f t="shared" si="2"/>
        <v/>
      </c>
      <c r="C1196" s="2" t="str">
        <f t="shared" si="3"/>
        <v>SP500</v>
      </c>
      <c r="D1196" s="2" t="str">
        <f t="shared" si="4"/>
        <v/>
      </c>
      <c r="E1196" s="2">
        <f t="shared" si="5"/>
        <v>2471.34</v>
      </c>
      <c r="G1196" s="10">
        <f t="shared" si="9"/>
        <v>39178.64583</v>
      </c>
      <c r="H1196" s="6">
        <f t="shared" si="6"/>
        <v>1484.15</v>
      </c>
      <c r="I1196" s="2">
        <f t="shared" si="7"/>
        <v>1484.15</v>
      </c>
      <c r="M1196" s="10">
        <f>IFERROR(__xludf.DUMMYFUNCTION("""COMPUTED_VALUE"""),39714.666666666664)</f>
        <v>39714.66667</v>
      </c>
      <c r="N1196" s="2">
        <f>IFERROR(__xludf.DUMMYFUNCTION("""COMPUTED_VALUE"""),2153.33)</f>
        <v>2153.33</v>
      </c>
    </row>
    <row r="1197">
      <c r="A1197" s="10">
        <f t="shared" si="8"/>
        <v>39179.66667</v>
      </c>
      <c r="B1197" s="2" t="str">
        <f t="shared" si="2"/>
        <v/>
      </c>
      <c r="C1197" s="2" t="str">
        <f t="shared" si="3"/>
        <v>SP500</v>
      </c>
      <c r="D1197" s="2" t="str">
        <f t="shared" si="4"/>
        <v/>
      </c>
      <c r="E1197" s="2">
        <f t="shared" si="5"/>
        <v>2471.34</v>
      </c>
      <c r="G1197" s="10">
        <f t="shared" si="9"/>
        <v>39179.64583</v>
      </c>
      <c r="H1197" s="6" t="str">
        <f t="shared" si="6"/>
        <v/>
      </c>
      <c r="I1197" s="2">
        <f t="shared" si="7"/>
        <v>1484.15</v>
      </c>
      <c r="M1197" s="10">
        <f>IFERROR(__xludf.DUMMYFUNCTION("""COMPUTED_VALUE"""),39715.666666666664)</f>
        <v>39715.66667</v>
      </c>
      <c r="N1197" s="2">
        <f>IFERROR(__xludf.DUMMYFUNCTION("""COMPUTED_VALUE"""),2155.68)</f>
        <v>2155.68</v>
      </c>
    </row>
    <row r="1198">
      <c r="A1198" s="10">
        <f t="shared" si="8"/>
        <v>39180.66667</v>
      </c>
      <c r="B1198" s="2" t="str">
        <f t="shared" si="2"/>
        <v/>
      </c>
      <c r="C1198" s="2" t="str">
        <f t="shared" si="3"/>
        <v>SP500</v>
      </c>
      <c r="D1198" s="2" t="str">
        <f t="shared" si="4"/>
        <v/>
      </c>
      <c r="E1198" s="2">
        <f t="shared" si="5"/>
        <v>2471.34</v>
      </c>
      <c r="G1198" s="10">
        <f t="shared" si="9"/>
        <v>39180.64583</v>
      </c>
      <c r="H1198" s="6" t="str">
        <f t="shared" si="6"/>
        <v/>
      </c>
      <c r="I1198" s="2">
        <f t="shared" si="7"/>
        <v>1484.15</v>
      </c>
      <c r="M1198" s="10">
        <f>IFERROR(__xludf.DUMMYFUNCTION("""COMPUTED_VALUE"""),39716.666666666664)</f>
        <v>39716.66667</v>
      </c>
      <c r="N1198" s="2">
        <f>IFERROR(__xludf.DUMMYFUNCTION("""COMPUTED_VALUE"""),2186.57)</f>
        <v>2186.57</v>
      </c>
    </row>
    <row r="1199">
      <c r="A1199" s="10">
        <f t="shared" si="8"/>
        <v>39181.66667</v>
      </c>
      <c r="B1199" s="2" t="str">
        <f t="shared" si="2"/>
        <v/>
      </c>
      <c r="C1199" s="2" t="str">
        <f t="shared" si="3"/>
        <v>SP500</v>
      </c>
      <c r="D1199" s="2">
        <f t="shared" si="4"/>
        <v>2469.18</v>
      </c>
      <c r="E1199" s="2">
        <f t="shared" si="5"/>
        <v>2469.18</v>
      </c>
      <c r="G1199" s="10">
        <f t="shared" si="9"/>
        <v>39181.64583</v>
      </c>
      <c r="H1199" s="6">
        <f t="shared" si="6"/>
        <v>1501.06</v>
      </c>
      <c r="I1199" s="2">
        <f t="shared" si="7"/>
        <v>1501.06</v>
      </c>
      <c r="M1199" s="10">
        <f>IFERROR(__xludf.DUMMYFUNCTION("""COMPUTED_VALUE"""),39717.666666666664)</f>
        <v>39717.66667</v>
      </c>
      <c r="N1199" s="2">
        <f>IFERROR(__xludf.DUMMYFUNCTION("""COMPUTED_VALUE"""),2183.34)</f>
        <v>2183.34</v>
      </c>
    </row>
    <row r="1200">
      <c r="A1200" s="10">
        <f t="shared" si="8"/>
        <v>39182.66667</v>
      </c>
      <c r="B1200" s="2" t="str">
        <f t="shared" si="2"/>
        <v/>
      </c>
      <c r="C1200" s="2" t="str">
        <f t="shared" si="3"/>
        <v>SP500</v>
      </c>
      <c r="D1200" s="2">
        <f t="shared" si="4"/>
        <v>2477.61</v>
      </c>
      <c r="E1200" s="2">
        <f t="shared" si="5"/>
        <v>2477.61</v>
      </c>
      <c r="G1200" s="10">
        <f t="shared" si="9"/>
        <v>39182.64583</v>
      </c>
      <c r="H1200" s="6">
        <f t="shared" si="6"/>
        <v>1499.16</v>
      </c>
      <c r="I1200" s="2">
        <f t="shared" si="7"/>
        <v>1499.16</v>
      </c>
      <c r="M1200" s="10">
        <f>IFERROR(__xludf.DUMMYFUNCTION("""COMPUTED_VALUE"""),39720.666666666664)</f>
        <v>39720.66667</v>
      </c>
      <c r="N1200" s="2">
        <f>IFERROR(__xludf.DUMMYFUNCTION("""COMPUTED_VALUE"""),1983.73)</f>
        <v>1983.73</v>
      </c>
    </row>
    <row r="1201">
      <c r="A1201" s="10">
        <f t="shared" si="8"/>
        <v>39183.66667</v>
      </c>
      <c r="B1201" s="2" t="str">
        <f t="shared" si="2"/>
        <v/>
      </c>
      <c r="C1201" s="2" t="str">
        <f t="shared" si="3"/>
        <v>SP500</v>
      </c>
      <c r="D1201" s="2">
        <f t="shared" si="4"/>
        <v>2459.31</v>
      </c>
      <c r="E1201" s="2">
        <f t="shared" si="5"/>
        <v>2459.31</v>
      </c>
      <c r="G1201" s="10">
        <f t="shared" si="9"/>
        <v>39183.64583</v>
      </c>
      <c r="H1201" s="6">
        <f t="shared" si="6"/>
        <v>1513.42</v>
      </c>
      <c r="I1201" s="2">
        <f t="shared" si="7"/>
        <v>1513.42</v>
      </c>
      <c r="M1201" s="10">
        <f>IFERROR(__xludf.DUMMYFUNCTION("""COMPUTED_VALUE"""),39721.666666666664)</f>
        <v>39721.66667</v>
      </c>
      <c r="N1201" s="2">
        <f>IFERROR(__xludf.DUMMYFUNCTION("""COMPUTED_VALUE"""),2082.33)</f>
        <v>2082.33</v>
      </c>
    </row>
    <row r="1202">
      <c r="A1202" s="10">
        <f t="shared" si="8"/>
        <v>39184.66667</v>
      </c>
      <c r="B1202" s="2" t="str">
        <f t="shared" si="2"/>
        <v/>
      </c>
      <c r="C1202" s="2" t="str">
        <f t="shared" si="3"/>
        <v>SP500</v>
      </c>
      <c r="D1202" s="2">
        <f t="shared" si="4"/>
        <v>2480.32</v>
      </c>
      <c r="E1202" s="2">
        <f t="shared" si="5"/>
        <v>2480.32</v>
      </c>
      <c r="G1202" s="10">
        <f t="shared" si="9"/>
        <v>39184.64583</v>
      </c>
      <c r="H1202" s="6">
        <f t="shared" si="6"/>
        <v>1525.61</v>
      </c>
      <c r="I1202" s="2">
        <f t="shared" si="7"/>
        <v>1525.61</v>
      </c>
      <c r="M1202" s="10">
        <f>IFERROR(__xludf.DUMMYFUNCTION("""COMPUTED_VALUE"""),39722.666666666664)</f>
        <v>39722.66667</v>
      </c>
      <c r="N1202" s="2">
        <f>IFERROR(__xludf.DUMMYFUNCTION("""COMPUTED_VALUE"""),2069.4)</f>
        <v>2069.4</v>
      </c>
    </row>
    <row r="1203">
      <c r="A1203" s="10">
        <f t="shared" si="8"/>
        <v>39185.66667</v>
      </c>
      <c r="B1203" s="2" t="str">
        <f t="shared" si="2"/>
        <v/>
      </c>
      <c r="C1203" s="2" t="str">
        <f t="shared" si="3"/>
        <v>SP500</v>
      </c>
      <c r="D1203" s="2">
        <f t="shared" si="4"/>
        <v>2491.94</v>
      </c>
      <c r="E1203" s="2">
        <f t="shared" si="5"/>
        <v>2491.94</v>
      </c>
      <c r="G1203" s="10">
        <f t="shared" si="9"/>
        <v>39185.64583</v>
      </c>
      <c r="H1203" s="6">
        <f t="shared" si="6"/>
        <v>1520.78</v>
      </c>
      <c r="I1203" s="2">
        <f t="shared" si="7"/>
        <v>1520.78</v>
      </c>
      <c r="M1203" s="10">
        <f>IFERROR(__xludf.DUMMYFUNCTION("""COMPUTED_VALUE"""),39723.666666666664)</f>
        <v>39723.66667</v>
      </c>
      <c r="N1203" s="2">
        <f>IFERROR(__xludf.DUMMYFUNCTION("""COMPUTED_VALUE"""),1976.72)</f>
        <v>1976.72</v>
      </c>
    </row>
    <row r="1204">
      <c r="A1204" s="10">
        <f t="shared" si="8"/>
        <v>39186.66667</v>
      </c>
      <c r="B1204" s="2" t="str">
        <f t="shared" si="2"/>
        <v/>
      </c>
      <c r="C1204" s="2" t="str">
        <f t="shared" si="3"/>
        <v>SP500</v>
      </c>
      <c r="D1204" s="2" t="str">
        <f t="shared" si="4"/>
        <v/>
      </c>
      <c r="E1204" s="2">
        <f t="shared" si="5"/>
        <v>2491.94</v>
      </c>
      <c r="G1204" s="10">
        <f t="shared" si="9"/>
        <v>39186.64583</v>
      </c>
      <c r="H1204" s="6" t="str">
        <f t="shared" si="6"/>
        <v/>
      </c>
      <c r="I1204" s="2">
        <f t="shared" si="7"/>
        <v>1520.78</v>
      </c>
      <c r="M1204" s="10">
        <f>IFERROR(__xludf.DUMMYFUNCTION("""COMPUTED_VALUE"""),39724.666666666664)</f>
        <v>39724.66667</v>
      </c>
      <c r="N1204" s="2">
        <f>IFERROR(__xludf.DUMMYFUNCTION("""COMPUTED_VALUE"""),1947.39)</f>
        <v>1947.39</v>
      </c>
    </row>
    <row r="1205">
      <c r="A1205" s="10">
        <f t="shared" si="8"/>
        <v>39187.66667</v>
      </c>
      <c r="B1205" s="2" t="str">
        <f t="shared" si="2"/>
        <v/>
      </c>
      <c r="C1205" s="2" t="str">
        <f t="shared" si="3"/>
        <v>SP500</v>
      </c>
      <c r="D1205" s="2" t="str">
        <f t="shared" si="4"/>
        <v/>
      </c>
      <c r="E1205" s="2">
        <f t="shared" si="5"/>
        <v>2491.94</v>
      </c>
      <c r="G1205" s="10">
        <f t="shared" si="9"/>
        <v>39187.64583</v>
      </c>
      <c r="H1205" s="6" t="str">
        <f t="shared" si="6"/>
        <v/>
      </c>
      <c r="I1205" s="2">
        <f t="shared" si="7"/>
        <v>1520.78</v>
      </c>
      <c r="M1205" s="10">
        <f>IFERROR(__xludf.DUMMYFUNCTION("""COMPUTED_VALUE"""),39727.666666666664)</f>
        <v>39727.66667</v>
      </c>
      <c r="N1205" s="2">
        <f>IFERROR(__xludf.DUMMYFUNCTION("""COMPUTED_VALUE"""),1862.96)</f>
        <v>1862.96</v>
      </c>
    </row>
    <row r="1206">
      <c r="A1206" s="10">
        <f t="shared" si="8"/>
        <v>39188.66667</v>
      </c>
      <c r="B1206" s="2" t="str">
        <f t="shared" si="2"/>
        <v/>
      </c>
      <c r="C1206" s="2" t="str">
        <f t="shared" si="3"/>
        <v>SP500</v>
      </c>
      <c r="D1206" s="2">
        <f t="shared" si="4"/>
        <v>2518.33</v>
      </c>
      <c r="E1206" s="2">
        <f t="shared" si="5"/>
        <v>2518.33</v>
      </c>
      <c r="G1206" s="10">
        <f t="shared" si="9"/>
        <v>39188.64583</v>
      </c>
      <c r="H1206" s="6">
        <f t="shared" si="6"/>
        <v>1532.04</v>
      </c>
      <c r="I1206" s="2">
        <f t="shared" si="7"/>
        <v>1532.04</v>
      </c>
      <c r="M1206" s="10">
        <f>IFERROR(__xludf.DUMMYFUNCTION("""COMPUTED_VALUE"""),39728.666666666664)</f>
        <v>39728.66667</v>
      </c>
      <c r="N1206" s="2">
        <f>IFERROR(__xludf.DUMMYFUNCTION("""COMPUTED_VALUE"""),1754.88)</f>
        <v>1754.88</v>
      </c>
    </row>
    <row r="1207">
      <c r="A1207" s="10">
        <f t="shared" si="8"/>
        <v>39189.66667</v>
      </c>
      <c r="B1207" s="2" t="str">
        <f t="shared" si="2"/>
        <v/>
      </c>
      <c r="C1207" s="2" t="str">
        <f t="shared" si="3"/>
        <v>SP500</v>
      </c>
      <c r="D1207" s="2">
        <f t="shared" si="4"/>
        <v>2516.95</v>
      </c>
      <c r="E1207" s="2">
        <f t="shared" si="5"/>
        <v>2516.95</v>
      </c>
      <c r="G1207" s="10">
        <f t="shared" si="9"/>
        <v>39189.64583</v>
      </c>
      <c r="H1207" s="6">
        <f t="shared" si="6"/>
        <v>1528.66</v>
      </c>
      <c r="I1207" s="2">
        <f t="shared" si="7"/>
        <v>1528.66</v>
      </c>
      <c r="M1207" s="10">
        <f>IFERROR(__xludf.DUMMYFUNCTION("""COMPUTED_VALUE"""),39729.666666666664)</f>
        <v>39729.66667</v>
      </c>
      <c r="N1207" s="2">
        <f>IFERROR(__xludf.DUMMYFUNCTION("""COMPUTED_VALUE"""),1740.33)</f>
        <v>1740.33</v>
      </c>
    </row>
    <row r="1208">
      <c r="A1208" s="10">
        <f t="shared" si="8"/>
        <v>39190.66667</v>
      </c>
      <c r="B1208" s="2" t="str">
        <f t="shared" si="2"/>
        <v/>
      </c>
      <c r="C1208" s="2" t="str">
        <f t="shared" si="3"/>
        <v>SP500</v>
      </c>
      <c r="D1208" s="2">
        <f t="shared" si="4"/>
        <v>2510.5</v>
      </c>
      <c r="E1208" s="2">
        <f t="shared" si="5"/>
        <v>2510.5</v>
      </c>
      <c r="G1208" s="10">
        <f t="shared" si="9"/>
        <v>39190.64583</v>
      </c>
      <c r="H1208" s="6">
        <f t="shared" si="6"/>
        <v>1534.58</v>
      </c>
      <c r="I1208" s="2">
        <f t="shared" si="7"/>
        <v>1534.58</v>
      </c>
      <c r="M1208" s="10">
        <f>IFERROR(__xludf.DUMMYFUNCTION("""COMPUTED_VALUE"""),39730.666666666664)</f>
        <v>39730.66667</v>
      </c>
      <c r="N1208" s="2">
        <f>IFERROR(__xludf.DUMMYFUNCTION("""COMPUTED_VALUE"""),1645.12)</f>
        <v>1645.12</v>
      </c>
    </row>
    <row r="1209">
      <c r="A1209" s="10">
        <f t="shared" si="8"/>
        <v>39191.66667</v>
      </c>
      <c r="B1209" s="2" t="str">
        <f t="shared" si="2"/>
        <v/>
      </c>
      <c r="C1209" s="2" t="str">
        <f t="shared" si="3"/>
        <v>SP500</v>
      </c>
      <c r="D1209" s="2">
        <f t="shared" si="4"/>
        <v>2505.35</v>
      </c>
      <c r="E1209" s="2">
        <f t="shared" si="5"/>
        <v>2505.35</v>
      </c>
      <c r="G1209" s="10">
        <f t="shared" si="9"/>
        <v>39191.64583</v>
      </c>
      <c r="H1209" s="6">
        <f t="shared" si="6"/>
        <v>1513.66</v>
      </c>
      <c r="I1209" s="2">
        <f t="shared" si="7"/>
        <v>1513.66</v>
      </c>
      <c r="M1209" s="10">
        <f>IFERROR(__xludf.DUMMYFUNCTION("""COMPUTED_VALUE"""),39731.666666666664)</f>
        <v>39731.66667</v>
      </c>
      <c r="N1209" s="2">
        <f>IFERROR(__xludf.DUMMYFUNCTION("""COMPUTED_VALUE"""),1649.51)</f>
        <v>1649.51</v>
      </c>
    </row>
    <row r="1210">
      <c r="A1210" s="10">
        <f t="shared" si="8"/>
        <v>39192.66667</v>
      </c>
      <c r="B1210" s="2" t="str">
        <f t="shared" si="2"/>
        <v/>
      </c>
      <c r="C1210" s="2" t="str">
        <f t="shared" si="3"/>
        <v>SP500</v>
      </c>
      <c r="D1210" s="2">
        <f t="shared" si="4"/>
        <v>2526.39</v>
      </c>
      <c r="E1210" s="2">
        <f t="shared" si="5"/>
        <v>2526.39</v>
      </c>
      <c r="G1210" s="10">
        <f t="shared" si="9"/>
        <v>39192.64583</v>
      </c>
      <c r="H1210" s="6">
        <f t="shared" si="6"/>
        <v>1533.08</v>
      </c>
      <c r="I1210" s="2">
        <f t="shared" si="7"/>
        <v>1533.08</v>
      </c>
      <c r="M1210" s="10">
        <f>IFERROR(__xludf.DUMMYFUNCTION("""COMPUTED_VALUE"""),39734.666666666664)</f>
        <v>39734.66667</v>
      </c>
      <c r="N1210" s="2">
        <f>IFERROR(__xludf.DUMMYFUNCTION("""COMPUTED_VALUE"""),1844.25)</f>
        <v>1844.25</v>
      </c>
    </row>
    <row r="1211">
      <c r="A1211" s="10">
        <f t="shared" si="8"/>
        <v>39193.66667</v>
      </c>
      <c r="B1211" s="2" t="str">
        <f t="shared" si="2"/>
        <v/>
      </c>
      <c r="C1211" s="2" t="str">
        <f t="shared" si="3"/>
        <v>SP500</v>
      </c>
      <c r="D1211" s="2" t="str">
        <f t="shared" si="4"/>
        <v/>
      </c>
      <c r="E1211" s="2">
        <f t="shared" si="5"/>
        <v>2526.39</v>
      </c>
      <c r="G1211" s="10">
        <f t="shared" si="9"/>
        <v>39193.64583</v>
      </c>
      <c r="H1211" s="6" t="str">
        <f t="shared" si="6"/>
        <v/>
      </c>
      <c r="I1211" s="2">
        <f t="shared" si="7"/>
        <v>1533.08</v>
      </c>
      <c r="M1211" s="10">
        <f>IFERROR(__xludf.DUMMYFUNCTION("""COMPUTED_VALUE"""),39735.666666666664)</f>
        <v>39735.66667</v>
      </c>
      <c r="N1211" s="2">
        <f>IFERROR(__xludf.DUMMYFUNCTION("""COMPUTED_VALUE"""),1779.01)</f>
        <v>1779.01</v>
      </c>
    </row>
    <row r="1212">
      <c r="A1212" s="10">
        <f t="shared" si="8"/>
        <v>39194.66667</v>
      </c>
      <c r="B1212" s="2" t="str">
        <f t="shared" si="2"/>
        <v/>
      </c>
      <c r="C1212" s="2" t="str">
        <f t="shared" si="3"/>
        <v>SP500</v>
      </c>
      <c r="D1212" s="2" t="str">
        <f t="shared" si="4"/>
        <v/>
      </c>
      <c r="E1212" s="2">
        <f t="shared" si="5"/>
        <v>2526.39</v>
      </c>
      <c r="G1212" s="10">
        <f t="shared" si="9"/>
        <v>39194.64583</v>
      </c>
      <c r="H1212" s="6" t="str">
        <f t="shared" si="6"/>
        <v/>
      </c>
      <c r="I1212" s="2">
        <f t="shared" si="7"/>
        <v>1533.08</v>
      </c>
      <c r="M1212" s="10">
        <f>IFERROR(__xludf.DUMMYFUNCTION("""COMPUTED_VALUE"""),39736.666666666664)</f>
        <v>39736.66667</v>
      </c>
      <c r="N1212" s="2">
        <f>IFERROR(__xludf.DUMMYFUNCTION("""COMPUTED_VALUE"""),1628.33)</f>
        <v>1628.33</v>
      </c>
    </row>
    <row r="1213">
      <c r="A1213" s="10">
        <f t="shared" si="8"/>
        <v>39195.66667</v>
      </c>
      <c r="B1213" s="2" t="str">
        <f t="shared" si="2"/>
        <v/>
      </c>
      <c r="C1213" s="2" t="str">
        <f t="shared" si="3"/>
        <v>SP500</v>
      </c>
      <c r="D1213" s="2">
        <f t="shared" si="4"/>
        <v>2523.67</v>
      </c>
      <c r="E1213" s="2">
        <f t="shared" si="5"/>
        <v>2523.67</v>
      </c>
      <c r="G1213" s="10">
        <f t="shared" si="9"/>
        <v>39195.64583</v>
      </c>
      <c r="H1213" s="6">
        <f t="shared" si="6"/>
        <v>1544.35</v>
      </c>
      <c r="I1213" s="2">
        <f t="shared" si="7"/>
        <v>1544.35</v>
      </c>
      <c r="M1213" s="10">
        <f>IFERROR(__xludf.DUMMYFUNCTION("""COMPUTED_VALUE"""),39737.666666666664)</f>
        <v>39737.66667</v>
      </c>
      <c r="N1213" s="2">
        <f>IFERROR(__xludf.DUMMYFUNCTION("""COMPUTED_VALUE"""),1717.71)</f>
        <v>1717.71</v>
      </c>
    </row>
    <row r="1214">
      <c r="A1214" s="10">
        <f t="shared" si="8"/>
        <v>39196.66667</v>
      </c>
      <c r="B1214" s="2" t="str">
        <f t="shared" si="2"/>
        <v/>
      </c>
      <c r="C1214" s="2" t="str">
        <f t="shared" si="3"/>
        <v>SP500</v>
      </c>
      <c r="D1214" s="2">
        <f t="shared" si="4"/>
        <v>2524.54</v>
      </c>
      <c r="E1214" s="2">
        <f t="shared" si="5"/>
        <v>2524.54</v>
      </c>
      <c r="G1214" s="10">
        <f t="shared" si="9"/>
        <v>39196.64583</v>
      </c>
      <c r="H1214" s="6">
        <f t="shared" si="6"/>
        <v>1556.71</v>
      </c>
      <c r="I1214" s="2">
        <f t="shared" si="7"/>
        <v>1556.71</v>
      </c>
      <c r="M1214" s="10">
        <f>IFERROR(__xludf.DUMMYFUNCTION("""COMPUTED_VALUE"""),39738.666666666664)</f>
        <v>39738.66667</v>
      </c>
      <c r="N1214" s="2">
        <f>IFERROR(__xludf.DUMMYFUNCTION("""COMPUTED_VALUE"""),1711.29)</f>
        <v>1711.29</v>
      </c>
    </row>
    <row r="1215">
      <c r="A1215" s="10">
        <f t="shared" si="8"/>
        <v>39197.66667</v>
      </c>
      <c r="B1215" s="2" t="str">
        <f t="shared" si="2"/>
        <v/>
      </c>
      <c r="C1215" s="2" t="str">
        <f t="shared" si="3"/>
        <v>SP500</v>
      </c>
      <c r="D1215" s="2">
        <f t="shared" si="4"/>
        <v>2547.89</v>
      </c>
      <c r="E1215" s="2">
        <f t="shared" si="5"/>
        <v>2547.89</v>
      </c>
      <c r="G1215" s="10">
        <f t="shared" si="9"/>
        <v>39197.64583</v>
      </c>
      <c r="H1215" s="6">
        <f t="shared" si="6"/>
        <v>1545.55</v>
      </c>
      <c r="I1215" s="2">
        <f t="shared" si="7"/>
        <v>1545.55</v>
      </c>
      <c r="M1215" s="10">
        <f>IFERROR(__xludf.DUMMYFUNCTION("""COMPUTED_VALUE"""),39741.666666666664)</f>
        <v>39741.66667</v>
      </c>
      <c r="N1215" s="2">
        <f>IFERROR(__xludf.DUMMYFUNCTION("""COMPUTED_VALUE"""),1770.03)</f>
        <v>1770.03</v>
      </c>
    </row>
    <row r="1216">
      <c r="A1216" s="10">
        <f t="shared" si="8"/>
        <v>39198.66667</v>
      </c>
      <c r="B1216" s="2" t="str">
        <f t="shared" si="2"/>
        <v/>
      </c>
      <c r="C1216" s="2" t="str">
        <f t="shared" si="3"/>
        <v>SP500</v>
      </c>
      <c r="D1216" s="2">
        <f t="shared" si="4"/>
        <v>2554.46</v>
      </c>
      <c r="E1216" s="2">
        <f t="shared" si="5"/>
        <v>2554.46</v>
      </c>
      <c r="G1216" s="10">
        <f t="shared" si="9"/>
        <v>39198.64583</v>
      </c>
      <c r="H1216" s="6">
        <f t="shared" si="6"/>
        <v>1553.13</v>
      </c>
      <c r="I1216" s="2">
        <f t="shared" si="7"/>
        <v>1553.13</v>
      </c>
      <c r="M1216" s="10">
        <f>IFERROR(__xludf.DUMMYFUNCTION("""COMPUTED_VALUE"""),39742.666666666664)</f>
        <v>39742.66667</v>
      </c>
      <c r="N1216" s="2">
        <f>IFERROR(__xludf.DUMMYFUNCTION("""COMPUTED_VALUE"""),1696.68)</f>
        <v>1696.68</v>
      </c>
    </row>
    <row r="1217">
      <c r="A1217" s="10">
        <f t="shared" si="8"/>
        <v>39199.66667</v>
      </c>
      <c r="B1217" s="2" t="str">
        <f t="shared" si="2"/>
        <v/>
      </c>
      <c r="C1217" s="2" t="str">
        <f t="shared" si="3"/>
        <v>SP500</v>
      </c>
      <c r="D1217" s="2">
        <f t="shared" si="4"/>
        <v>2557.21</v>
      </c>
      <c r="E1217" s="2">
        <f t="shared" si="5"/>
        <v>2557.21</v>
      </c>
      <c r="G1217" s="10">
        <f t="shared" si="9"/>
        <v>39199.64583</v>
      </c>
      <c r="H1217" s="6">
        <f t="shared" si="6"/>
        <v>1542.52</v>
      </c>
      <c r="I1217" s="2">
        <f t="shared" si="7"/>
        <v>1542.52</v>
      </c>
      <c r="M1217" s="10">
        <f>IFERROR(__xludf.DUMMYFUNCTION("""COMPUTED_VALUE"""),39743.666666666664)</f>
        <v>39743.66667</v>
      </c>
      <c r="N1217" s="2">
        <f>IFERROR(__xludf.DUMMYFUNCTION("""COMPUTED_VALUE"""),1615.75)</f>
        <v>1615.75</v>
      </c>
    </row>
    <row r="1218">
      <c r="A1218" s="10">
        <f t="shared" si="8"/>
        <v>39200.66667</v>
      </c>
      <c r="B1218" s="2" t="str">
        <f t="shared" si="2"/>
        <v/>
      </c>
      <c r="C1218" s="2" t="str">
        <f t="shared" si="3"/>
        <v>SP500</v>
      </c>
      <c r="D1218" s="2" t="str">
        <f t="shared" si="4"/>
        <v/>
      </c>
      <c r="E1218" s="2">
        <f t="shared" si="5"/>
        <v>2557.21</v>
      </c>
      <c r="G1218" s="10">
        <f t="shared" si="9"/>
        <v>39200.64583</v>
      </c>
      <c r="H1218" s="6" t="str">
        <f t="shared" si="6"/>
        <v/>
      </c>
      <c r="I1218" s="2">
        <f t="shared" si="7"/>
        <v>1542.52</v>
      </c>
      <c r="M1218" s="10">
        <f>IFERROR(__xludf.DUMMYFUNCTION("""COMPUTED_VALUE"""),39744.666666666664)</f>
        <v>39744.66667</v>
      </c>
      <c r="N1218" s="2">
        <f>IFERROR(__xludf.DUMMYFUNCTION("""COMPUTED_VALUE"""),1603.91)</f>
        <v>1603.91</v>
      </c>
    </row>
    <row r="1219">
      <c r="A1219" s="10">
        <f t="shared" si="8"/>
        <v>39201.66667</v>
      </c>
      <c r="B1219" s="2" t="str">
        <f t="shared" si="2"/>
        <v/>
      </c>
      <c r="C1219" s="2" t="str">
        <f t="shared" si="3"/>
        <v>SP500</v>
      </c>
      <c r="D1219" s="2" t="str">
        <f t="shared" si="4"/>
        <v/>
      </c>
      <c r="E1219" s="2">
        <f t="shared" si="5"/>
        <v>2557.21</v>
      </c>
      <c r="G1219" s="10">
        <f t="shared" si="9"/>
        <v>39201.64583</v>
      </c>
      <c r="H1219" s="6" t="str">
        <f t="shared" si="6"/>
        <v/>
      </c>
      <c r="I1219" s="2">
        <f t="shared" si="7"/>
        <v>1542.52</v>
      </c>
      <c r="M1219" s="10">
        <f>IFERROR(__xludf.DUMMYFUNCTION("""COMPUTED_VALUE"""),39745.666666666664)</f>
        <v>39745.66667</v>
      </c>
      <c r="N1219" s="2">
        <f>IFERROR(__xludf.DUMMYFUNCTION("""COMPUTED_VALUE"""),1552.03)</f>
        <v>1552.03</v>
      </c>
    </row>
    <row r="1220">
      <c r="A1220" s="10">
        <f t="shared" si="8"/>
        <v>39202.66667</v>
      </c>
      <c r="B1220" s="2" t="str">
        <f t="shared" si="2"/>
        <v/>
      </c>
      <c r="C1220" s="2" t="str">
        <f t="shared" si="3"/>
        <v>SP500</v>
      </c>
      <c r="D1220" s="2">
        <f t="shared" si="4"/>
        <v>2525.09</v>
      </c>
      <c r="E1220" s="2">
        <f t="shared" si="5"/>
        <v>2525.09</v>
      </c>
      <c r="G1220" s="10">
        <f t="shared" si="9"/>
        <v>39202.64583</v>
      </c>
      <c r="H1220" s="6">
        <f t="shared" si="6"/>
        <v>1542.24</v>
      </c>
      <c r="I1220" s="2">
        <f t="shared" si="7"/>
        <v>1542.24</v>
      </c>
      <c r="M1220" s="10">
        <f>IFERROR(__xludf.DUMMYFUNCTION("""COMPUTED_VALUE"""),39748.666666666664)</f>
        <v>39748.66667</v>
      </c>
      <c r="N1220" s="2">
        <f>IFERROR(__xludf.DUMMYFUNCTION("""COMPUTED_VALUE"""),1505.9)</f>
        <v>1505.9</v>
      </c>
    </row>
    <row r="1221">
      <c r="A1221" s="10">
        <f t="shared" si="8"/>
        <v>39203.66667</v>
      </c>
      <c r="B1221" s="2" t="str">
        <f t="shared" si="2"/>
        <v/>
      </c>
      <c r="C1221" s="2" t="str">
        <f t="shared" si="3"/>
        <v>SP500</v>
      </c>
      <c r="D1221" s="2">
        <f t="shared" si="4"/>
        <v>2531.53</v>
      </c>
      <c r="E1221" s="2">
        <f t="shared" si="5"/>
        <v>2531.53</v>
      </c>
      <c r="G1221" s="10">
        <f t="shared" si="9"/>
        <v>39203.64583</v>
      </c>
      <c r="H1221" s="6" t="str">
        <f t="shared" si="6"/>
        <v/>
      </c>
      <c r="I1221" s="2">
        <f t="shared" si="7"/>
        <v>1542.24</v>
      </c>
      <c r="M1221" s="10">
        <f>IFERROR(__xludf.DUMMYFUNCTION("""COMPUTED_VALUE"""),39749.666666666664)</f>
        <v>39749.66667</v>
      </c>
      <c r="N1221" s="2">
        <f>IFERROR(__xludf.DUMMYFUNCTION("""COMPUTED_VALUE"""),1649.47)</f>
        <v>1649.47</v>
      </c>
    </row>
    <row r="1222">
      <c r="A1222" s="10">
        <f t="shared" si="8"/>
        <v>39204.66667</v>
      </c>
      <c r="B1222" s="2" t="str">
        <f t="shared" si="2"/>
        <v/>
      </c>
      <c r="C1222" s="2" t="str">
        <f t="shared" si="3"/>
        <v>SP500</v>
      </c>
      <c r="D1222" s="2">
        <f t="shared" si="4"/>
        <v>2557.84</v>
      </c>
      <c r="E1222" s="2">
        <f t="shared" si="5"/>
        <v>2557.84</v>
      </c>
      <c r="G1222" s="10">
        <f t="shared" si="9"/>
        <v>39204.64583</v>
      </c>
      <c r="H1222" s="6">
        <f t="shared" si="6"/>
        <v>1553.3</v>
      </c>
      <c r="I1222" s="2">
        <f t="shared" si="7"/>
        <v>1553.3</v>
      </c>
      <c r="M1222" s="10">
        <f>IFERROR(__xludf.DUMMYFUNCTION("""COMPUTED_VALUE"""),39750.666666666664)</f>
        <v>39750.66667</v>
      </c>
      <c r="N1222" s="2">
        <f>IFERROR(__xludf.DUMMYFUNCTION("""COMPUTED_VALUE"""),1657.21)</f>
        <v>1657.21</v>
      </c>
    </row>
    <row r="1223">
      <c r="A1223" s="10">
        <f t="shared" si="8"/>
        <v>39205.66667</v>
      </c>
      <c r="B1223" s="2" t="str">
        <f t="shared" si="2"/>
        <v/>
      </c>
      <c r="C1223" s="2" t="str">
        <f t="shared" si="3"/>
        <v>SP500</v>
      </c>
      <c r="D1223" s="2">
        <f t="shared" si="4"/>
        <v>2565.46</v>
      </c>
      <c r="E1223" s="2">
        <f t="shared" si="5"/>
        <v>2565.46</v>
      </c>
      <c r="G1223" s="10">
        <f t="shared" si="9"/>
        <v>39205.64583</v>
      </c>
      <c r="H1223" s="6">
        <f t="shared" si="6"/>
        <v>1559.86</v>
      </c>
      <c r="I1223" s="2">
        <f t="shared" si="7"/>
        <v>1559.86</v>
      </c>
      <c r="M1223" s="10">
        <f>IFERROR(__xludf.DUMMYFUNCTION("""COMPUTED_VALUE"""),39751.666666666664)</f>
        <v>39751.66667</v>
      </c>
      <c r="N1223" s="2">
        <f>IFERROR(__xludf.DUMMYFUNCTION("""COMPUTED_VALUE"""),1698.52)</f>
        <v>1698.52</v>
      </c>
    </row>
    <row r="1224">
      <c r="A1224" s="10">
        <f t="shared" si="8"/>
        <v>39206.66667</v>
      </c>
      <c r="B1224" s="2" t="str">
        <f t="shared" si="2"/>
        <v/>
      </c>
      <c r="C1224" s="2" t="str">
        <f t="shared" si="3"/>
        <v>SP500</v>
      </c>
      <c r="D1224" s="2">
        <f t="shared" si="4"/>
        <v>2572.15</v>
      </c>
      <c r="E1224" s="2">
        <f t="shared" si="5"/>
        <v>2572.15</v>
      </c>
      <c r="G1224" s="10">
        <f t="shared" si="9"/>
        <v>39206.64583</v>
      </c>
      <c r="H1224" s="6">
        <f t="shared" si="6"/>
        <v>1567.74</v>
      </c>
      <c r="I1224" s="2">
        <f t="shared" si="7"/>
        <v>1567.74</v>
      </c>
      <c r="M1224" s="10">
        <f>IFERROR(__xludf.DUMMYFUNCTION("""COMPUTED_VALUE"""),39752.666666666664)</f>
        <v>39752.66667</v>
      </c>
      <c r="N1224" s="2">
        <f>IFERROR(__xludf.DUMMYFUNCTION("""COMPUTED_VALUE"""),1720.95)</f>
        <v>1720.95</v>
      </c>
    </row>
    <row r="1225">
      <c r="A1225" s="10">
        <f t="shared" si="8"/>
        <v>39207.66667</v>
      </c>
      <c r="B1225" s="2" t="str">
        <f t="shared" si="2"/>
        <v/>
      </c>
      <c r="C1225" s="2" t="str">
        <f t="shared" si="3"/>
        <v>SP500</v>
      </c>
      <c r="D1225" s="2" t="str">
        <f t="shared" si="4"/>
        <v/>
      </c>
      <c r="E1225" s="2">
        <f t="shared" si="5"/>
        <v>2572.15</v>
      </c>
      <c r="G1225" s="10">
        <f t="shared" si="9"/>
        <v>39207.64583</v>
      </c>
      <c r="H1225" s="6" t="str">
        <f t="shared" si="6"/>
        <v/>
      </c>
      <c r="I1225" s="2">
        <f t="shared" si="7"/>
        <v>1567.74</v>
      </c>
      <c r="M1225" s="10">
        <f>IFERROR(__xludf.DUMMYFUNCTION("""COMPUTED_VALUE"""),39755.666666666664)</f>
        <v>39755.66667</v>
      </c>
      <c r="N1225" s="2">
        <f>IFERROR(__xludf.DUMMYFUNCTION("""COMPUTED_VALUE"""),1726.33)</f>
        <v>1726.33</v>
      </c>
    </row>
    <row r="1226">
      <c r="A1226" s="10">
        <f t="shared" si="8"/>
        <v>39208.66667</v>
      </c>
      <c r="B1226" s="2" t="str">
        <f t="shared" si="2"/>
        <v/>
      </c>
      <c r="C1226" s="2" t="str">
        <f t="shared" si="3"/>
        <v>SP500</v>
      </c>
      <c r="D1226" s="2" t="str">
        <f t="shared" si="4"/>
        <v/>
      </c>
      <c r="E1226" s="2">
        <f t="shared" si="5"/>
        <v>2572.15</v>
      </c>
      <c r="G1226" s="10">
        <f t="shared" si="9"/>
        <v>39208.64583</v>
      </c>
      <c r="H1226" s="6" t="str">
        <f t="shared" si="6"/>
        <v/>
      </c>
      <c r="I1226" s="2">
        <f t="shared" si="7"/>
        <v>1567.74</v>
      </c>
      <c r="M1226" s="10">
        <f>IFERROR(__xludf.DUMMYFUNCTION("""COMPUTED_VALUE"""),39756.666666666664)</f>
        <v>39756.66667</v>
      </c>
      <c r="N1226" s="2">
        <f>IFERROR(__xludf.DUMMYFUNCTION("""COMPUTED_VALUE"""),1780.12)</f>
        <v>1780.12</v>
      </c>
    </row>
    <row r="1227">
      <c r="A1227" s="10">
        <f t="shared" si="8"/>
        <v>39209.66667</v>
      </c>
      <c r="B1227" s="2" t="str">
        <f t="shared" si="2"/>
        <v/>
      </c>
      <c r="C1227" s="2" t="str">
        <f t="shared" si="3"/>
        <v>SP500</v>
      </c>
      <c r="D1227" s="2">
        <f t="shared" si="4"/>
        <v>2570.95</v>
      </c>
      <c r="E1227" s="2">
        <f t="shared" si="5"/>
        <v>2570.95</v>
      </c>
      <c r="G1227" s="10">
        <f t="shared" si="9"/>
        <v>39209.64583</v>
      </c>
      <c r="H1227" s="6">
        <f t="shared" si="6"/>
        <v>1584.46</v>
      </c>
      <c r="I1227" s="2">
        <f t="shared" si="7"/>
        <v>1584.46</v>
      </c>
      <c r="M1227" s="10">
        <f>IFERROR(__xludf.DUMMYFUNCTION("""COMPUTED_VALUE"""),39757.666666666664)</f>
        <v>39757.66667</v>
      </c>
      <c r="N1227" s="2">
        <f>IFERROR(__xludf.DUMMYFUNCTION("""COMPUTED_VALUE"""),1681.64)</f>
        <v>1681.64</v>
      </c>
    </row>
    <row r="1228">
      <c r="A1228" s="10">
        <f t="shared" si="8"/>
        <v>39210.66667</v>
      </c>
      <c r="B1228" s="2" t="str">
        <f t="shared" si="2"/>
        <v/>
      </c>
      <c r="C1228" s="2" t="str">
        <f t="shared" si="3"/>
        <v>SP500</v>
      </c>
      <c r="D1228" s="2">
        <f t="shared" si="4"/>
        <v>2571.75</v>
      </c>
      <c r="E1228" s="2">
        <f t="shared" si="5"/>
        <v>2571.75</v>
      </c>
      <c r="G1228" s="10">
        <f t="shared" si="9"/>
        <v>39210.64583</v>
      </c>
      <c r="H1228" s="6">
        <f t="shared" si="6"/>
        <v>1582.65</v>
      </c>
      <c r="I1228" s="2">
        <f t="shared" si="7"/>
        <v>1582.65</v>
      </c>
      <c r="M1228" s="10">
        <f>IFERROR(__xludf.DUMMYFUNCTION("""COMPUTED_VALUE"""),39758.666666666664)</f>
        <v>39758.66667</v>
      </c>
      <c r="N1228" s="2">
        <f>IFERROR(__xludf.DUMMYFUNCTION("""COMPUTED_VALUE"""),1608.7)</f>
        <v>1608.7</v>
      </c>
    </row>
    <row r="1229">
      <c r="A1229" s="10">
        <f t="shared" si="8"/>
        <v>39211.66667</v>
      </c>
      <c r="B1229" s="2" t="str">
        <f t="shared" si="2"/>
        <v/>
      </c>
      <c r="C1229" s="2" t="str">
        <f t="shared" si="3"/>
        <v>SP500</v>
      </c>
      <c r="D1229" s="2">
        <f t="shared" si="4"/>
        <v>2576.34</v>
      </c>
      <c r="E1229" s="2">
        <f t="shared" si="5"/>
        <v>2576.34</v>
      </c>
      <c r="G1229" s="10">
        <f t="shared" si="9"/>
        <v>39211.64583</v>
      </c>
      <c r="H1229" s="6">
        <f t="shared" si="6"/>
        <v>1593.42</v>
      </c>
      <c r="I1229" s="2">
        <f t="shared" si="7"/>
        <v>1593.42</v>
      </c>
      <c r="M1229" s="10">
        <f>IFERROR(__xludf.DUMMYFUNCTION("""COMPUTED_VALUE"""),39759.666666666664)</f>
        <v>39759.66667</v>
      </c>
      <c r="N1229" s="2">
        <f>IFERROR(__xludf.DUMMYFUNCTION("""COMPUTED_VALUE"""),1647.4)</f>
        <v>1647.4</v>
      </c>
    </row>
    <row r="1230">
      <c r="A1230" s="10">
        <f t="shared" si="8"/>
        <v>39212.66667</v>
      </c>
      <c r="B1230" s="2" t="str">
        <f t="shared" si="2"/>
        <v/>
      </c>
      <c r="C1230" s="2" t="str">
        <f t="shared" si="3"/>
        <v>SP500</v>
      </c>
      <c r="D1230" s="2">
        <f t="shared" si="4"/>
        <v>2533.74</v>
      </c>
      <c r="E1230" s="2">
        <f t="shared" si="5"/>
        <v>2533.74</v>
      </c>
      <c r="G1230" s="10">
        <f t="shared" si="9"/>
        <v>39212.64583</v>
      </c>
      <c r="H1230" s="6">
        <f t="shared" si="6"/>
        <v>1599.68</v>
      </c>
      <c r="I1230" s="2">
        <f t="shared" si="7"/>
        <v>1599.68</v>
      </c>
      <c r="M1230" s="10">
        <f>IFERROR(__xludf.DUMMYFUNCTION("""COMPUTED_VALUE"""),39762.666666666664)</f>
        <v>39762.66667</v>
      </c>
      <c r="N1230" s="2">
        <f>IFERROR(__xludf.DUMMYFUNCTION("""COMPUTED_VALUE"""),1616.74)</f>
        <v>1616.74</v>
      </c>
    </row>
    <row r="1231">
      <c r="A1231" s="10">
        <f t="shared" si="8"/>
        <v>39213.66667</v>
      </c>
      <c r="B1231" s="2" t="str">
        <f t="shared" si="2"/>
        <v/>
      </c>
      <c r="C1231" s="2" t="str">
        <f t="shared" si="3"/>
        <v>SP500</v>
      </c>
      <c r="D1231" s="2">
        <f t="shared" si="4"/>
        <v>2562.22</v>
      </c>
      <c r="E1231" s="2">
        <f t="shared" si="5"/>
        <v>2562.22</v>
      </c>
      <c r="G1231" s="10">
        <f t="shared" si="9"/>
        <v>39213.64583</v>
      </c>
      <c r="H1231" s="6">
        <f t="shared" si="6"/>
        <v>1603.56</v>
      </c>
      <c r="I1231" s="2">
        <f t="shared" si="7"/>
        <v>1603.56</v>
      </c>
      <c r="M1231" s="10">
        <f>IFERROR(__xludf.DUMMYFUNCTION("""COMPUTED_VALUE"""),39763.666666666664)</f>
        <v>39763.66667</v>
      </c>
      <c r="N1231" s="2">
        <f>IFERROR(__xludf.DUMMYFUNCTION("""COMPUTED_VALUE"""),1580.9)</f>
        <v>1580.9</v>
      </c>
    </row>
    <row r="1232">
      <c r="A1232" s="10">
        <f t="shared" si="8"/>
        <v>39214.66667</v>
      </c>
      <c r="B1232" s="2" t="str">
        <f t="shared" si="2"/>
        <v/>
      </c>
      <c r="C1232" s="2" t="str">
        <f t="shared" si="3"/>
        <v>SP500</v>
      </c>
      <c r="D1232" s="2" t="str">
        <f t="shared" si="4"/>
        <v/>
      </c>
      <c r="E1232" s="2">
        <f t="shared" si="5"/>
        <v>2562.22</v>
      </c>
      <c r="G1232" s="10">
        <f t="shared" si="9"/>
        <v>39214.64583</v>
      </c>
      <c r="H1232" s="6" t="str">
        <f t="shared" si="6"/>
        <v/>
      </c>
      <c r="I1232" s="2">
        <f t="shared" si="7"/>
        <v>1603.56</v>
      </c>
      <c r="M1232" s="10">
        <f>IFERROR(__xludf.DUMMYFUNCTION("""COMPUTED_VALUE"""),39764.666666666664)</f>
        <v>39764.66667</v>
      </c>
      <c r="N1232" s="2">
        <f>IFERROR(__xludf.DUMMYFUNCTION("""COMPUTED_VALUE"""),1499.21)</f>
        <v>1499.21</v>
      </c>
    </row>
    <row r="1233">
      <c r="A1233" s="10">
        <f t="shared" si="8"/>
        <v>39215.66667</v>
      </c>
      <c r="B1233" s="2" t="str">
        <f t="shared" si="2"/>
        <v/>
      </c>
      <c r="C1233" s="2" t="str">
        <f t="shared" si="3"/>
        <v>SP500</v>
      </c>
      <c r="D1233" s="2" t="str">
        <f t="shared" si="4"/>
        <v/>
      </c>
      <c r="E1233" s="2">
        <f t="shared" si="5"/>
        <v>2562.22</v>
      </c>
      <c r="G1233" s="10">
        <f t="shared" si="9"/>
        <v>39215.64583</v>
      </c>
      <c r="H1233" s="6" t="str">
        <f t="shared" si="6"/>
        <v/>
      </c>
      <c r="I1233" s="2">
        <f t="shared" si="7"/>
        <v>1603.56</v>
      </c>
      <c r="M1233" s="10">
        <f>IFERROR(__xludf.DUMMYFUNCTION("""COMPUTED_VALUE"""),39765.666666666664)</f>
        <v>39765.66667</v>
      </c>
      <c r="N1233" s="2">
        <f>IFERROR(__xludf.DUMMYFUNCTION("""COMPUTED_VALUE"""),1596.7)</f>
        <v>1596.7</v>
      </c>
    </row>
    <row r="1234">
      <c r="A1234" s="10">
        <f t="shared" si="8"/>
        <v>39216.66667</v>
      </c>
      <c r="B1234" s="2" t="str">
        <f t="shared" si="2"/>
        <v/>
      </c>
      <c r="C1234" s="2" t="str">
        <f t="shared" si="3"/>
        <v>SP500</v>
      </c>
      <c r="D1234" s="2">
        <f t="shared" si="4"/>
        <v>2546.44</v>
      </c>
      <c r="E1234" s="2">
        <f t="shared" si="5"/>
        <v>2546.44</v>
      </c>
      <c r="G1234" s="10">
        <f t="shared" si="9"/>
        <v>39216.64583</v>
      </c>
      <c r="H1234" s="6">
        <f t="shared" si="6"/>
        <v>1605.77</v>
      </c>
      <c r="I1234" s="2">
        <f t="shared" si="7"/>
        <v>1605.77</v>
      </c>
      <c r="M1234" s="10">
        <f>IFERROR(__xludf.DUMMYFUNCTION("""COMPUTED_VALUE"""),39766.666666666664)</f>
        <v>39766.66667</v>
      </c>
      <c r="N1234" s="2">
        <f>IFERROR(__xludf.DUMMYFUNCTION("""COMPUTED_VALUE"""),1516.85)</f>
        <v>1516.85</v>
      </c>
    </row>
    <row r="1235">
      <c r="A1235" s="10">
        <f t="shared" si="8"/>
        <v>39217.66667</v>
      </c>
      <c r="B1235" s="2" t="str">
        <f t="shared" si="2"/>
        <v/>
      </c>
      <c r="C1235" s="2" t="str">
        <f t="shared" si="3"/>
        <v>SP500</v>
      </c>
      <c r="D1235" s="2">
        <f t="shared" si="4"/>
        <v>2525.29</v>
      </c>
      <c r="E1235" s="2">
        <f t="shared" si="5"/>
        <v>2525.29</v>
      </c>
      <c r="G1235" s="10">
        <f t="shared" si="9"/>
        <v>39217.64583</v>
      </c>
      <c r="H1235" s="6">
        <f t="shared" si="6"/>
        <v>1589.37</v>
      </c>
      <c r="I1235" s="2">
        <f t="shared" si="7"/>
        <v>1589.37</v>
      </c>
      <c r="M1235" s="10">
        <f>IFERROR(__xludf.DUMMYFUNCTION("""COMPUTED_VALUE"""),39769.666666666664)</f>
        <v>39769.66667</v>
      </c>
      <c r="N1235" s="2">
        <f>IFERROR(__xludf.DUMMYFUNCTION("""COMPUTED_VALUE"""),1482.05)</f>
        <v>1482.05</v>
      </c>
    </row>
    <row r="1236">
      <c r="A1236" s="10">
        <f t="shared" si="8"/>
        <v>39218.66667</v>
      </c>
      <c r="B1236" s="2" t="str">
        <f t="shared" si="2"/>
        <v/>
      </c>
      <c r="C1236" s="2" t="str">
        <f t="shared" si="3"/>
        <v>SP500</v>
      </c>
      <c r="D1236" s="2">
        <f t="shared" si="4"/>
        <v>2547.42</v>
      </c>
      <c r="E1236" s="2">
        <f t="shared" si="5"/>
        <v>2547.42</v>
      </c>
      <c r="G1236" s="10">
        <f t="shared" si="9"/>
        <v>39218.64583</v>
      </c>
      <c r="H1236" s="6">
        <f t="shared" si="6"/>
        <v>1600.6</v>
      </c>
      <c r="I1236" s="2">
        <f t="shared" si="7"/>
        <v>1600.6</v>
      </c>
      <c r="M1236" s="10">
        <f>IFERROR(__xludf.DUMMYFUNCTION("""COMPUTED_VALUE"""),39770.666666666664)</f>
        <v>39770.66667</v>
      </c>
      <c r="N1236" s="2">
        <f>IFERROR(__xludf.DUMMYFUNCTION("""COMPUTED_VALUE"""),1483.27)</f>
        <v>1483.27</v>
      </c>
    </row>
    <row r="1237">
      <c r="A1237" s="10">
        <f t="shared" si="8"/>
        <v>39219.66667</v>
      </c>
      <c r="B1237" s="2" t="str">
        <f t="shared" si="2"/>
        <v/>
      </c>
      <c r="C1237" s="2" t="str">
        <f t="shared" si="3"/>
        <v>SP500</v>
      </c>
      <c r="D1237" s="2">
        <f t="shared" si="4"/>
        <v>2539.38</v>
      </c>
      <c r="E1237" s="2">
        <f t="shared" si="5"/>
        <v>2539.38</v>
      </c>
      <c r="G1237" s="10">
        <f t="shared" si="9"/>
        <v>39219.64583</v>
      </c>
      <c r="H1237" s="6">
        <f t="shared" si="6"/>
        <v>1615.58</v>
      </c>
      <c r="I1237" s="2">
        <f t="shared" si="7"/>
        <v>1615.58</v>
      </c>
      <c r="M1237" s="10">
        <f>IFERROR(__xludf.DUMMYFUNCTION("""COMPUTED_VALUE"""),39771.666666666664)</f>
        <v>39771.66667</v>
      </c>
      <c r="N1237" s="2">
        <f>IFERROR(__xludf.DUMMYFUNCTION("""COMPUTED_VALUE"""),1386.42)</f>
        <v>1386.42</v>
      </c>
    </row>
    <row r="1238">
      <c r="A1238" s="10">
        <f t="shared" si="8"/>
        <v>39220.66667</v>
      </c>
      <c r="B1238" s="2" t="str">
        <f t="shared" si="2"/>
        <v/>
      </c>
      <c r="C1238" s="2" t="str">
        <f t="shared" si="3"/>
        <v>SP500</v>
      </c>
      <c r="D1238" s="2">
        <f t="shared" si="4"/>
        <v>2558.45</v>
      </c>
      <c r="E1238" s="2">
        <f t="shared" si="5"/>
        <v>2558.45</v>
      </c>
      <c r="G1238" s="10">
        <f t="shared" si="9"/>
        <v>39220.64583</v>
      </c>
      <c r="H1238" s="6">
        <f t="shared" si="6"/>
        <v>1612.25</v>
      </c>
      <c r="I1238" s="2">
        <f t="shared" si="7"/>
        <v>1612.25</v>
      </c>
      <c r="M1238" s="10">
        <f>IFERROR(__xludf.DUMMYFUNCTION("""COMPUTED_VALUE"""),39772.666666666664)</f>
        <v>39772.66667</v>
      </c>
      <c r="N1238" s="2">
        <f>IFERROR(__xludf.DUMMYFUNCTION("""COMPUTED_VALUE"""),1316.12)</f>
        <v>1316.12</v>
      </c>
    </row>
    <row r="1239">
      <c r="A1239" s="10">
        <f t="shared" si="8"/>
        <v>39221.66667</v>
      </c>
      <c r="B1239" s="2" t="str">
        <f t="shared" si="2"/>
        <v/>
      </c>
      <c r="C1239" s="2" t="str">
        <f t="shared" si="3"/>
        <v>SP500</v>
      </c>
      <c r="D1239" s="2" t="str">
        <f t="shared" si="4"/>
        <v/>
      </c>
      <c r="E1239" s="2">
        <f t="shared" si="5"/>
        <v>2558.45</v>
      </c>
      <c r="G1239" s="10">
        <f t="shared" si="9"/>
        <v>39221.64583</v>
      </c>
      <c r="H1239" s="6" t="str">
        <f t="shared" si="6"/>
        <v/>
      </c>
      <c r="I1239" s="2">
        <f t="shared" si="7"/>
        <v>1612.25</v>
      </c>
      <c r="M1239" s="10">
        <f>IFERROR(__xludf.DUMMYFUNCTION("""COMPUTED_VALUE"""),39773.666666666664)</f>
        <v>39773.66667</v>
      </c>
      <c r="N1239" s="2">
        <f>IFERROR(__xludf.DUMMYFUNCTION("""COMPUTED_VALUE"""),1384.35)</f>
        <v>1384.35</v>
      </c>
    </row>
    <row r="1240">
      <c r="A1240" s="10">
        <f t="shared" si="8"/>
        <v>39222.66667</v>
      </c>
      <c r="B1240" s="2" t="str">
        <f t="shared" si="2"/>
        <v/>
      </c>
      <c r="C1240" s="2" t="str">
        <f t="shared" si="3"/>
        <v>SP500</v>
      </c>
      <c r="D1240" s="2" t="str">
        <f t="shared" si="4"/>
        <v/>
      </c>
      <c r="E1240" s="2">
        <f t="shared" si="5"/>
        <v>2558.45</v>
      </c>
      <c r="G1240" s="10">
        <f t="shared" si="9"/>
        <v>39222.64583</v>
      </c>
      <c r="H1240" s="6" t="str">
        <f t="shared" si="6"/>
        <v/>
      </c>
      <c r="I1240" s="2">
        <f t="shared" si="7"/>
        <v>1612.25</v>
      </c>
      <c r="M1240" s="10">
        <f>IFERROR(__xludf.DUMMYFUNCTION("""COMPUTED_VALUE"""),39776.666666666664)</f>
        <v>39776.66667</v>
      </c>
      <c r="N1240" s="2">
        <f>IFERROR(__xludf.DUMMYFUNCTION("""COMPUTED_VALUE"""),1472.02)</f>
        <v>1472.02</v>
      </c>
    </row>
    <row r="1241">
      <c r="A1241" s="10">
        <f t="shared" si="8"/>
        <v>39223.66667</v>
      </c>
      <c r="B1241" s="2" t="str">
        <f t="shared" si="2"/>
        <v/>
      </c>
      <c r="C1241" s="2" t="str">
        <f t="shared" si="3"/>
        <v>SP500</v>
      </c>
      <c r="D1241" s="2">
        <f t="shared" si="4"/>
        <v>2578.79</v>
      </c>
      <c r="E1241" s="2">
        <f t="shared" si="5"/>
        <v>2578.79</v>
      </c>
      <c r="G1241" s="10">
        <f t="shared" si="9"/>
        <v>39223.64583</v>
      </c>
      <c r="H1241" s="6">
        <f t="shared" si="6"/>
        <v>1628.2</v>
      </c>
      <c r="I1241" s="2">
        <f t="shared" si="7"/>
        <v>1628.2</v>
      </c>
      <c r="M1241" s="10">
        <f>IFERROR(__xludf.DUMMYFUNCTION("""COMPUTED_VALUE"""),39777.666666666664)</f>
        <v>39777.66667</v>
      </c>
      <c r="N1241" s="2">
        <f>IFERROR(__xludf.DUMMYFUNCTION("""COMPUTED_VALUE"""),1464.73)</f>
        <v>1464.73</v>
      </c>
    </row>
    <row r="1242">
      <c r="A1242" s="10">
        <f t="shared" si="8"/>
        <v>39224.66667</v>
      </c>
      <c r="B1242" s="2" t="str">
        <f t="shared" si="2"/>
        <v/>
      </c>
      <c r="C1242" s="2" t="str">
        <f t="shared" si="3"/>
        <v>SP500</v>
      </c>
      <c r="D1242" s="2">
        <f t="shared" si="4"/>
        <v>2588.02</v>
      </c>
      <c r="E1242" s="2">
        <f t="shared" si="5"/>
        <v>2588.02</v>
      </c>
      <c r="G1242" s="10">
        <f t="shared" si="9"/>
        <v>39224.64583</v>
      </c>
      <c r="H1242" s="6">
        <f t="shared" si="6"/>
        <v>1642.88</v>
      </c>
      <c r="I1242" s="2">
        <f t="shared" si="7"/>
        <v>1642.88</v>
      </c>
      <c r="M1242" s="10">
        <f>IFERROR(__xludf.DUMMYFUNCTION("""COMPUTED_VALUE"""),39778.666666666664)</f>
        <v>39778.66667</v>
      </c>
      <c r="N1242" s="2">
        <f>IFERROR(__xludf.DUMMYFUNCTION("""COMPUTED_VALUE"""),1532.1)</f>
        <v>1532.1</v>
      </c>
    </row>
    <row r="1243">
      <c r="A1243" s="10">
        <f t="shared" si="8"/>
        <v>39225.66667</v>
      </c>
      <c r="B1243" s="2" t="str">
        <f t="shared" si="2"/>
        <v/>
      </c>
      <c r="C1243" s="2" t="str">
        <f t="shared" si="3"/>
        <v>SP500</v>
      </c>
      <c r="D1243" s="2">
        <f t="shared" si="4"/>
        <v>2577.05</v>
      </c>
      <c r="E1243" s="2">
        <f t="shared" si="5"/>
        <v>2577.05</v>
      </c>
      <c r="G1243" s="10">
        <f t="shared" si="9"/>
        <v>39225.64583</v>
      </c>
      <c r="H1243" s="6">
        <f t="shared" si="6"/>
        <v>1646.59</v>
      </c>
      <c r="I1243" s="2">
        <f t="shared" si="7"/>
        <v>1646.59</v>
      </c>
      <c r="M1243" s="10">
        <f>IFERROR(__xludf.DUMMYFUNCTION("""COMPUTED_VALUE"""),39780.666666666664)</f>
        <v>39780.66667</v>
      </c>
      <c r="N1243" s="2">
        <f>IFERROR(__xludf.DUMMYFUNCTION("""COMPUTED_VALUE"""),1535.57)</f>
        <v>1535.57</v>
      </c>
    </row>
    <row r="1244">
      <c r="A1244" s="10">
        <f t="shared" si="8"/>
        <v>39226.66667</v>
      </c>
      <c r="B1244" s="2" t="str">
        <f t="shared" si="2"/>
        <v/>
      </c>
      <c r="C1244" s="2" t="str">
        <f t="shared" si="3"/>
        <v>SP500</v>
      </c>
      <c r="D1244" s="2">
        <f t="shared" si="4"/>
        <v>2537.92</v>
      </c>
      <c r="E1244" s="2">
        <f t="shared" si="5"/>
        <v>2537.92</v>
      </c>
      <c r="G1244" s="10">
        <f t="shared" si="9"/>
        <v>39226.64583</v>
      </c>
      <c r="H1244" s="6" t="str">
        <f t="shared" si="6"/>
        <v/>
      </c>
      <c r="I1244" s="2">
        <f t="shared" si="7"/>
        <v>1646.59</v>
      </c>
      <c r="M1244" s="10">
        <f>IFERROR(__xludf.DUMMYFUNCTION("""COMPUTED_VALUE"""),39783.666666666664)</f>
        <v>39783.66667</v>
      </c>
      <c r="N1244" s="2">
        <f>IFERROR(__xludf.DUMMYFUNCTION("""COMPUTED_VALUE"""),1398.07)</f>
        <v>1398.07</v>
      </c>
    </row>
    <row r="1245">
      <c r="A1245" s="10">
        <f t="shared" si="8"/>
        <v>39227.66667</v>
      </c>
      <c r="B1245" s="2" t="str">
        <f t="shared" si="2"/>
        <v/>
      </c>
      <c r="C1245" s="2" t="str">
        <f t="shared" si="3"/>
        <v>SP500</v>
      </c>
      <c r="D1245" s="2">
        <f t="shared" si="4"/>
        <v>2557.19</v>
      </c>
      <c r="E1245" s="2">
        <f t="shared" si="5"/>
        <v>2557.19</v>
      </c>
      <c r="G1245" s="10">
        <f t="shared" si="9"/>
        <v>39227.64583</v>
      </c>
      <c r="H1245" s="6">
        <f t="shared" si="6"/>
        <v>1644.56</v>
      </c>
      <c r="I1245" s="2">
        <f t="shared" si="7"/>
        <v>1644.56</v>
      </c>
      <c r="M1245" s="10">
        <f>IFERROR(__xludf.DUMMYFUNCTION("""COMPUTED_VALUE"""),39784.666666666664)</f>
        <v>39784.66667</v>
      </c>
      <c r="N1245" s="2">
        <f>IFERROR(__xludf.DUMMYFUNCTION("""COMPUTED_VALUE"""),1449.8)</f>
        <v>1449.8</v>
      </c>
    </row>
    <row r="1246">
      <c r="A1246" s="10">
        <f t="shared" si="8"/>
        <v>39228.66667</v>
      </c>
      <c r="B1246" s="2" t="str">
        <f t="shared" si="2"/>
        <v/>
      </c>
      <c r="C1246" s="2" t="str">
        <f t="shared" si="3"/>
        <v>SP500</v>
      </c>
      <c r="D1246" s="2" t="str">
        <f t="shared" si="4"/>
        <v/>
      </c>
      <c r="E1246" s="2">
        <f t="shared" si="5"/>
        <v>2557.19</v>
      </c>
      <c r="G1246" s="10">
        <f t="shared" si="9"/>
        <v>39228.64583</v>
      </c>
      <c r="H1246" s="6" t="str">
        <f t="shared" si="6"/>
        <v/>
      </c>
      <c r="I1246" s="2">
        <f t="shared" si="7"/>
        <v>1644.56</v>
      </c>
      <c r="M1246" s="10">
        <f>IFERROR(__xludf.DUMMYFUNCTION("""COMPUTED_VALUE"""),39785.666666666664)</f>
        <v>39785.66667</v>
      </c>
      <c r="N1246" s="2">
        <f>IFERROR(__xludf.DUMMYFUNCTION("""COMPUTED_VALUE"""),1492.38)</f>
        <v>1492.38</v>
      </c>
    </row>
    <row r="1247">
      <c r="A1247" s="10">
        <f t="shared" si="8"/>
        <v>39229.66667</v>
      </c>
      <c r="B1247" s="2" t="str">
        <f t="shared" si="2"/>
        <v/>
      </c>
      <c r="C1247" s="2" t="str">
        <f t="shared" si="3"/>
        <v>SP500</v>
      </c>
      <c r="D1247" s="2" t="str">
        <f t="shared" si="4"/>
        <v/>
      </c>
      <c r="E1247" s="2">
        <f t="shared" si="5"/>
        <v>2557.19</v>
      </c>
      <c r="G1247" s="10">
        <f t="shared" si="9"/>
        <v>39229.64583</v>
      </c>
      <c r="H1247" s="6" t="str">
        <f t="shared" si="6"/>
        <v/>
      </c>
      <c r="I1247" s="2">
        <f t="shared" si="7"/>
        <v>1644.56</v>
      </c>
      <c r="M1247" s="10">
        <f>IFERROR(__xludf.DUMMYFUNCTION("""COMPUTED_VALUE"""),39786.666666666664)</f>
        <v>39786.66667</v>
      </c>
      <c r="N1247" s="2">
        <f>IFERROR(__xludf.DUMMYFUNCTION("""COMPUTED_VALUE"""),1445.56)</f>
        <v>1445.56</v>
      </c>
    </row>
    <row r="1248">
      <c r="A1248" s="10">
        <f t="shared" si="8"/>
        <v>39230.66667</v>
      </c>
      <c r="B1248" s="2" t="str">
        <f t="shared" si="2"/>
        <v/>
      </c>
      <c r="C1248" s="2" t="str">
        <f t="shared" si="3"/>
        <v>SP500</v>
      </c>
      <c r="D1248" s="2" t="str">
        <f t="shared" si="4"/>
        <v/>
      </c>
      <c r="E1248" s="2">
        <f t="shared" si="5"/>
        <v>2557.19</v>
      </c>
      <c r="G1248" s="10">
        <f t="shared" si="9"/>
        <v>39230.64583</v>
      </c>
      <c r="H1248" s="6">
        <f t="shared" si="6"/>
        <v>1657.91</v>
      </c>
      <c r="I1248" s="2">
        <f t="shared" si="7"/>
        <v>1657.91</v>
      </c>
      <c r="M1248" s="10">
        <f>IFERROR(__xludf.DUMMYFUNCTION("""COMPUTED_VALUE"""),39787.666666666664)</f>
        <v>39787.66667</v>
      </c>
      <c r="N1248" s="2">
        <f>IFERROR(__xludf.DUMMYFUNCTION("""COMPUTED_VALUE"""),1509.31)</f>
        <v>1509.31</v>
      </c>
    </row>
    <row r="1249">
      <c r="A1249" s="10">
        <f t="shared" si="8"/>
        <v>39231.66667</v>
      </c>
      <c r="B1249" s="2" t="str">
        <f t="shared" si="2"/>
        <v/>
      </c>
      <c r="C1249" s="2" t="str">
        <f t="shared" si="3"/>
        <v>SP500</v>
      </c>
      <c r="D1249" s="2">
        <f t="shared" si="4"/>
        <v>2572.06</v>
      </c>
      <c r="E1249" s="2">
        <f t="shared" si="5"/>
        <v>2572.06</v>
      </c>
      <c r="G1249" s="10">
        <f t="shared" si="9"/>
        <v>39231.64583</v>
      </c>
      <c r="H1249" s="6">
        <f t="shared" si="6"/>
        <v>1661.8</v>
      </c>
      <c r="I1249" s="2">
        <f t="shared" si="7"/>
        <v>1661.8</v>
      </c>
      <c r="M1249" s="10">
        <f>IFERROR(__xludf.DUMMYFUNCTION("""COMPUTED_VALUE"""),39790.666666666664)</f>
        <v>39790.66667</v>
      </c>
      <c r="N1249" s="2">
        <f>IFERROR(__xludf.DUMMYFUNCTION("""COMPUTED_VALUE"""),1571.74)</f>
        <v>1571.74</v>
      </c>
    </row>
    <row r="1250">
      <c r="A1250" s="10">
        <f t="shared" si="8"/>
        <v>39232.66667</v>
      </c>
      <c r="B1250" s="2" t="str">
        <f t="shared" si="2"/>
        <v/>
      </c>
      <c r="C1250" s="2" t="str">
        <f t="shared" si="3"/>
        <v>SP500</v>
      </c>
      <c r="D1250" s="2">
        <f t="shared" si="4"/>
        <v>2592.59</v>
      </c>
      <c r="E1250" s="2">
        <f t="shared" si="5"/>
        <v>2592.59</v>
      </c>
      <c r="G1250" s="10">
        <f t="shared" si="9"/>
        <v>39232.64583</v>
      </c>
      <c r="H1250" s="6">
        <f t="shared" si="6"/>
        <v>1662.72</v>
      </c>
      <c r="I1250" s="2">
        <f t="shared" si="7"/>
        <v>1662.72</v>
      </c>
      <c r="M1250" s="10">
        <f>IFERROR(__xludf.DUMMYFUNCTION("""COMPUTED_VALUE"""),39791.666666666664)</f>
        <v>39791.66667</v>
      </c>
      <c r="N1250" s="2">
        <f>IFERROR(__xludf.DUMMYFUNCTION("""COMPUTED_VALUE"""),1547.34)</f>
        <v>1547.34</v>
      </c>
    </row>
    <row r="1251">
      <c r="A1251" s="10">
        <f t="shared" si="8"/>
        <v>39233.66667</v>
      </c>
      <c r="B1251" s="2" t="str">
        <f t="shared" si="2"/>
        <v/>
      </c>
      <c r="C1251" s="2" t="str">
        <f t="shared" si="3"/>
        <v>SP500</v>
      </c>
      <c r="D1251" s="2">
        <f t="shared" si="4"/>
        <v>2604.52</v>
      </c>
      <c r="E1251" s="2">
        <f t="shared" si="5"/>
        <v>2604.52</v>
      </c>
      <c r="G1251" s="10">
        <f t="shared" si="9"/>
        <v>39233.64583</v>
      </c>
      <c r="H1251" s="6">
        <f t="shared" si="6"/>
        <v>1700.91</v>
      </c>
      <c r="I1251" s="2">
        <f t="shared" si="7"/>
        <v>1700.91</v>
      </c>
      <c r="M1251" s="10">
        <f>IFERROR(__xludf.DUMMYFUNCTION("""COMPUTED_VALUE"""),39792.666666666664)</f>
        <v>39792.66667</v>
      </c>
      <c r="N1251" s="2">
        <f>IFERROR(__xludf.DUMMYFUNCTION("""COMPUTED_VALUE"""),1565.48)</f>
        <v>1565.48</v>
      </c>
    </row>
    <row r="1252">
      <c r="A1252" s="10">
        <f t="shared" si="8"/>
        <v>39234.66667</v>
      </c>
      <c r="B1252" s="2" t="str">
        <f t="shared" si="2"/>
        <v/>
      </c>
      <c r="C1252" s="2" t="str">
        <f t="shared" si="3"/>
        <v>SP500</v>
      </c>
      <c r="D1252" s="2">
        <f t="shared" si="4"/>
        <v>2613.92</v>
      </c>
      <c r="E1252" s="2">
        <f t="shared" si="5"/>
        <v>2613.92</v>
      </c>
      <c r="G1252" s="10">
        <f t="shared" si="9"/>
        <v>39234.64583</v>
      </c>
      <c r="H1252" s="6">
        <f t="shared" si="6"/>
        <v>1716.24</v>
      </c>
      <c r="I1252" s="2">
        <f t="shared" si="7"/>
        <v>1716.24</v>
      </c>
      <c r="M1252" s="10">
        <f>IFERROR(__xludf.DUMMYFUNCTION("""COMPUTED_VALUE"""),39793.666666666664)</f>
        <v>39793.66667</v>
      </c>
      <c r="N1252" s="2">
        <f>IFERROR(__xludf.DUMMYFUNCTION("""COMPUTED_VALUE"""),1507.88)</f>
        <v>1507.88</v>
      </c>
    </row>
    <row r="1253">
      <c r="A1253" s="10">
        <f t="shared" si="8"/>
        <v>39235.66667</v>
      </c>
      <c r="B1253" s="2" t="str">
        <f t="shared" si="2"/>
        <v/>
      </c>
      <c r="C1253" s="2" t="str">
        <f t="shared" si="3"/>
        <v>SP500</v>
      </c>
      <c r="D1253" s="2" t="str">
        <f t="shared" si="4"/>
        <v/>
      </c>
      <c r="E1253" s="2">
        <f t="shared" si="5"/>
        <v>2613.92</v>
      </c>
      <c r="G1253" s="10">
        <f t="shared" si="9"/>
        <v>39235.64583</v>
      </c>
      <c r="H1253" s="6" t="str">
        <f t="shared" si="6"/>
        <v/>
      </c>
      <c r="I1253" s="2">
        <f t="shared" si="7"/>
        <v>1716.24</v>
      </c>
      <c r="M1253" s="10">
        <f>IFERROR(__xludf.DUMMYFUNCTION("""COMPUTED_VALUE"""),39794.666666666664)</f>
        <v>39794.66667</v>
      </c>
      <c r="N1253" s="2">
        <f>IFERROR(__xludf.DUMMYFUNCTION("""COMPUTED_VALUE"""),1540.72)</f>
        <v>1540.72</v>
      </c>
    </row>
    <row r="1254">
      <c r="A1254" s="10">
        <f t="shared" si="8"/>
        <v>39236.66667</v>
      </c>
      <c r="B1254" s="2" t="str">
        <f t="shared" si="2"/>
        <v/>
      </c>
      <c r="C1254" s="2" t="str">
        <f t="shared" si="3"/>
        <v>SP500</v>
      </c>
      <c r="D1254" s="2" t="str">
        <f t="shared" si="4"/>
        <v/>
      </c>
      <c r="E1254" s="2">
        <f t="shared" si="5"/>
        <v>2613.92</v>
      </c>
      <c r="G1254" s="10">
        <f t="shared" si="9"/>
        <v>39236.64583</v>
      </c>
      <c r="H1254" s="6" t="str">
        <f t="shared" si="6"/>
        <v/>
      </c>
      <c r="I1254" s="2">
        <f t="shared" si="7"/>
        <v>1716.24</v>
      </c>
      <c r="M1254" s="10">
        <f>IFERROR(__xludf.DUMMYFUNCTION("""COMPUTED_VALUE"""),39797.666666666664)</f>
        <v>39797.66667</v>
      </c>
      <c r="N1254" s="2">
        <f>IFERROR(__xludf.DUMMYFUNCTION("""COMPUTED_VALUE"""),1508.34)</f>
        <v>1508.34</v>
      </c>
    </row>
    <row r="1255">
      <c r="A1255" s="10">
        <f t="shared" si="8"/>
        <v>39237.66667</v>
      </c>
      <c r="B1255" s="2" t="str">
        <f t="shared" si="2"/>
        <v/>
      </c>
      <c r="C1255" s="2" t="str">
        <f t="shared" si="3"/>
        <v>SP500</v>
      </c>
      <c r="D1255" s="2">
        <f t="shared" si="4"/>
        <v>2618.29</v>
      </c>
      <c r="E1255" s="2">
        <f t="shared" si="5"/>
        <v>2618.29</v>
      </c>
      <c r="G1255" s="10">
        <f t="shared" si="9"/>
        <v>39237.64583</v>
      </c>
      <c r="H1255" s="6">
        <f t="shared" si="6"/>
        <v>1737.59</v>
      </c>
      <c r="I1255" s="2">
        <f t="shared" si="7"/>
        <v>1737.59</v>
      </c>
      <c r="M1255" s="10">
        <f>IFERROR(__xludf.DUMMYFUNCTION("""COMPUTED_VALUE"""),39798.666666666664)</f>
        <v>39798.66667</v>
      </c>
      <c r="N1255" s="2">
        <f>IFERROR(__xludf.DUMMYFUNCTION("""COMPUTED_VALUE"""),1589.89)</f>
        <v>1589.89</v>
      </c>
    </row>
    <row r="1256">
      <c r="A1256" s="10">
        <f t="shared" si="8"/>
        <v>39238.66667</v>
      </c>
      <c r="B1256" s="2" t="str">
        <f t="shared" si="2"/>
        <v/>
      </c>
      <c r="C1256" s="2" t="str">
        <f t="shared" si="3"/>
        <v>SP500</v>
      </c>
      <c r="D1256" s="2">
        <f t="shared" si="4"/>
        <v>2611.23</v>
      </c>
      <c r="E1256" s="2">
        <f t="shared" si="5"/>
        <v>2611.23</v>
      </c>
      <c r="G1256" s="10">
        <f t="shared" si="9"/>
        <v>39238.64583</v>
      </c>
      <c r="H1256" s="6">
        <f t="shared" si="6"/>
        <v>1742.19</v>
      </c>
      <c r="I1256" s="2">
        <f t="shared" si="7"/>
        <v>1742.19</v>
      </c>
      <c r="M1256" s="10">
        <f>IFERROR(__xludf.DUMMYFUNCTION("""COMPUTED_VALUE"""),39799.666666666664)</f>
        <v>39799.66667</v>
      </c>
      <c r="N1256" s="2">
        <f>IFERROR(__xludf.DUMMYFUNCTION("""COMPUTED_VALUE"""),1579.31)</f>
        <v>1579.31</v>
      </c>
    </row>
    <row r="1257">
      <c r="A1257" s="10">
        <f t="shared" si="8"/>
        <v>39239.66667</v>
      </c>
      <c r="B1257" s="2" t="str">
        <f t="shared" si="2"/>
        <v/>
      </c>
      <c r="C1257" s="2" t="str">
        <f t="shared" si="3"/>
        <v>SP500</v>
      </c>
      <c r="D1257" s="2">
        <f t="shared" si="4"/>
        <v>2587.18</v>
      </c>
      <c r="E1257" s="2">
        <f t="shared" si="5"/>
        <v>2587.18</v>
      </c>
      <c r="G1257" s="10">
        <f t="shared" si="9"/>
        <v>39239.64583</v>
      </c>
      <c r="H1257" s="6" t="str">
        <f t="shared" si="6"/>
        <v/>
      </c>
      <c r="I1257" s="2">
        <f t="shared" si="7"/>
        <v>1742.19</v>
      </c>
      <c r="M1257" s="10">
        <f>IFERROR(__xludf.DUMMYFUNCTION("""COMPUTED_VALUE"""),39800.666666666664)</f>
        <v>39800.66667</v>
      </c>
      <c r="N1257" s="2">
        <f>IFERROR(__xludf.DUMMYFUNCTION("""COMPUTED_VALUE"""),1552.37)</f>
        <v>1552.37</v>
      </c>
    </row>
    <row r="1258">
      <c r="A1258" s="10">
        <f t="shared" si="8"/>
        <v>39240.66667</v>
      </c>
      <c r="B1258" s="2" t="str">
        <f t="shared" si="2"/>
        <v/>
      </c>
      <c r="C1258" s="2" t="str">
        <f t="shared" si="3"/>
        <v>SP500</v>
      </c>
      <c r="D1258" s="2">
        <f t="shared" si="4"/>
        <v>2541.38</v>
      </c>
      <c r="E1258" s="2">
        <f t="shared" si="5"/>
        <v>2541.38</v>
      </c>
      <c r="G1258" s="10">
        <f t="shared" si="9"/>
        <v>39240.64583</v>
      </c>
      <c r="H1258" s="6">
        <f t="shared" si="6"/>
        <v>1753.04</v>
      </c>
      <c r="I1258" s="2">
        <f t="shared" si="7"/>
        <v>1753.04</v>
      </c>
      <c r="M1258" s="10">
        <f>IFERROR(__xludf.DUMMYFUNCTION("""COMPUTED_VALUE"""),39801.666666666664)</f>
        <v>39801.66667</v>
      </c>
      <c r="N1258" s="2">
        <f>IFERROR(__xludf.DUMMYFUNCTION("""COMPUTED_VALUE"""),1564.32)</f>
        <v>1564.32</v>
      </c>
    </row>
    <row r="1259">
      <c r="A1259" s="10">
        <f t="shared" si="8"/>
        <v>39241.66667</v>
      </c>
      <c r="B1259" s="2" t="str">
        <f t="shared" si="2"/>
        <v/>
      </c>
      <c r="C1259" s="2" t="str">
        <f t="shared" si="3"/>
        <v>SP500</v>
      </c>
      <c r="D1259" s="2">
        <f t="shared" si="4"/>
        <v>2573.54</v>
      </c>
      <c r="E1259" s="2">
        <f t="shared" si="5"/>
        <v>2573.54</v>
      </c>
      <c r="G1259" s="10">
        <f t="shared" si="9"/>
        <v>39241.64583</v>
      </c>
      <c r="H1259" s="6">
        <f t="shared" si="6"/>
        <v>1727.28</v>
      </c>
      <c r="I1259" s="2">
        <f t="shared" si="7"/>
        <v>1727.28</v>
      </c>
      <c r="M1259" s="10">
        <f>IFERROR(__xludf.DUMMYFUNCTION("""COMPUTED_VALUE"""),39804.666666666664)</f>
        <v>39804.66667</v>
      </c>
      <c r="N1259" s="2">
        <f>IFERROR(__xludf.DUMMYFUNCTION("""COMPUTED_VALUE"""),1532.35)</f>
        <v>1532.35</v>
      </c>
    </row>
    <row r="1260">
      <c r="A1260" s="10">
        <f t="shared" si="8"/>
        <v>39242.66667</v>
      </c>
      <c r="B1260" s="2" t="str">
        <f t="shared" si="2"/>
        <v/>
      </c>
      <c r="C1260" s="2" t="str">
        <f t="shared" si="3"/>
        <v>SP500</v>
      </c>
      <c r="D1260" s="2" t="str">
        <f t="shared" si="4"/>
        <v/>
      </c>
      <c r="E1260" s="2">
        <f t="shared" si="5"/>
        <v>2573.54</v>
      </c>
      <c r="G1260" s="10">
        <f t="shared" si="9"/>
        <v>39242.64583</v>
      </c>
      <c r="H1260" s="6" t="str">
        <f t="shared" si="6"/>
        <v/>
      </c>
      <c r="I1260" s="2">
        <f t="shared" si="7"/>
        <v>1727.28</v>
      </c>
      <c r="M1260" s="10">
        <f>IFERROR(__xludf.DUMMYFUNCTION("""COMPUTED_VALUE"""),39805.666666666664)</f>
        <v>39805.66667</v>
      </c>
      <c r="N1260" s="2">
        <f>IFERROR(__xludf.DUMMYFUNCTION("""COMPUTED_VALUE"""),1521.54)</f>
        <v>1521.54</v>
      </c>
    </row>
    <row r="1261">
      <c r="A1261" s="10">
        <f t="shared" si="8"/>
        <v>39243.66667</v>
      </c>
      <c r="B1261" s="2" t="str">
        <f t="shared" si="2"/>
        <v/>
      </c>
      <c r="C1261" s="2" t="str">
        <f t="shared" si="3"/>
        <v>SP500</v>
      </c>
      <c r="D1261" s="2" t="str">
        <f t="shared" si="4"/>
        <v/>
      </c>
      <c r="E1261" s="2">
        <f t="shared" si="5"/>
        <v>2573.54</v>
      </c>
      <c r="G1261" s="10">
        <f t="shared" si="9"/>
        <v>39243.64583</v>
      </c>
      <c r="H1261" s="6" t="str">
        <f t="shared" si="6"/>
        <v/>
      </c>
      <c r="I1261" s="2">
        <f t="shared" si="7"/>
        <v>1727.28</v>
      </c>
      <c r="M1261" s="10">
        <f>IFERROR(__xludf.DUMMYFUNCTION("""COMPUTED_VALUE"""),39806.666666666664)</f>
        <v>39806.66667</v>
      </c>
      <c r="N1261" s="2">
        <f>IFERROR(__xludf.DUMMYFUNCTION("""COMPUTED_VALUE"""),1524.9)</f>
        <v>1524.9</v>
      </c>
    </row>
    <row r="1262">
      <c r="A1262" s="10">
        <f t="shared" si="8"/>
        <v>39244.66667</v>
      </c>
      <c r="B1262" s="2" t="str">
        <f t="shared" si="2"/>
        <v/>
      </c>
      <c r="C1262" s="2" t="str">
        <f t="shared" si="3"/>
        <v>SP500</v>
      </c>
      <c r="D1262" s="2">
        <f t="shared" si="4"/>
        <v>2572.15</v>
      </c>
      <c r="E1262" s="2">
        <f t="shared" si="5"/>
        <v>2572.15</v>
      </c>
      <c r="G1262" s="10">
        <f t="shared" si="9"/>
        <v>39244.64583</v>
      </c>
      <c r="H1262" s="6">
        <f t="shared" si="6"/>
        <v>1716.56</v>
      </c>
      <c r="I1262" s="2">
        <f t="shared" si="7"/>
        <v>1716.56</v>
      </c>
      <c r="M1262" s="10">
        <f>IFERROR(__xludf.DUMMYFUNCTION("""COMPUTED_VALUE"""),39808.666666666664)</f>
        <v>39808.66667</v>
      </c>
      <c r="N1262" s="2">
        <f>IFERROR(__xludf.DUMMYFUNCTION("""COMPUTED_VALUE"""),1530.24)</f>
        <v>1530.24</v>
      </c>
    </row>
    <row r="1263">
      <c r="A1263" s="10">
        <f t="shared" si="8"/>
        <v>39245.66667</v>
      </c>
      <c r="B1263" s="2" t="str">
        <f t="shared" si="2"/>
        <v/>
      </c>
      <c r="C1263" s="2" t="str">
        <f t="shared" si="3"/>
        <v>SP500</v>
      </c>
      <c r="D1263" s="2">
        <f t="shared" si="4"/>
        <v>2549.77</v>
      </c>
      <c r="E1263" s="2">
        <f t="shared" si="5"/>
        <v>2549.77</v>
      </c>
      <c r="G1263" s="10">
        <f t="shared" si="9"/>
        <v>39245.64583</v>
      </c>
      <c r="H1263" s="6">
        <f t="shared" si="6"/>
        <v>1729.88</v>
      </c>
      <c r="I1263" s="2">
        <f t="shared" si="7"/>
        <v>1729.88</v>
      </c>
      <c r="M1263" s="10">
        <f>IFERROR(__xludf.DUMMYFUNCTION("""COMPUTED_VALUE"""),39811.666666666664)</f>
        <v>39811.66667</v>
      </c>
      <c r="N1263" s="2">
        <f>IFERROR(__xludf.DUMMYFUNCTION("""COMPUTED_VALUE"""),1510.32)</f>
        <v>1510.32</v>
      </c>
    </row>
    <row r="1264">
      <c r="A1264" s="10">
        <f t="shared" si="8"/>
        <v>39246.66667</v>
      </c>
      <c r="B1264" s="2" t="str">
        <f t="shared" si="2"/>
        <v/>
      </c>
      <c r="C1264" s="2" t="str">
        <f t="shared" si="3"/>
        <v>SP500</v>
      </c>
      <c r="D1264" s="2">
        <f t="shared" si="4"/>
        <v>2582.31</v>
      </c>
      <c r="E1264" s="2">
        <f t="shared" si="5"/>
        <v>2582.31</v>
      </c>
      <c r="G1264" s="10">
        <f t="shared" si="9"/>
        <v>39246.64583</v>
      </c>
      <c r="H1264" s="6">
        <f t="shared" si="6"/>
        <v>1721.99</v>
      </c>
      <c r="I1264" s="2">
        <f t="shared" si="7"/>
        <v>1721.99</v>
      </c>
      <c r="M1264" s="10">
        <f>IFERROR(__xludf.DUMMYFUNCTION("""COMPUTED_VALUE"""),39812.666666666664)</f>
        <v>39812.66667</v>
      </c>
      <c r="N1264" s="2">
        <f>IFERROR(__xludf.DUMMYFUNCTION("""COMPUTED_VALUE"""),1550.7)</f>
        <v>1550.7</v>
      </c>
    </row>
    <row r="1265">
      <c r="A1265" s="10">
        <f t="shared" si="8"/>
        <v>39247.66667</v>
      </c>
      <c r="B1265" s="2" t="str">
        <f t="shared" si="2"/>
        <v/>
      </c>
      <c r="C1265" s="2" t="str">
        <f t="shared" si="3"/>
        <v>SP500</v>
      </c>
      <c r="D1265" s="2">
        <f t="shared" si="4"/>
        <v>2599.41</v>
      </c>
      <c r="E1265" s="2">
        <f t="shared" si="5"/>
        <v>2599.41</v>
      </c>
      <c r="G1265" s="10">
        <f t="shared" si="9"/>
        <v>39247.64583</v>
      </c>
      <c r="H1265" s="6">
        <f t="shared" si="6"/>
        <v>1769.18</v>
      </c>
      <c r="I1265" s="2">
        <f t="shared" si="7"/>
        <v>1769.18</v>
      </c>
      <c r="M1265" s="10">
        <f>IFERROR(__xludf.DUMMYFUNCTION("""COMPUTED_VALUE"""),39813.666666666664)</f>
        <v>39813.66667</v>
      </c>
      <c r="N1265" s="2">
        <f>IFERROR(__xludf.DUMMYFUNCTION("""COMPUTED_VALUE"""),1577.03)</f>
        <v>1577.03</v>
      </c>
    </row>
    <row r="1266">
      <c r="A1266" s="10">
        <f t="shared" si="8"/>
        <v>39248.66667</v>
      </c>
      <c r="B1266" s="2" t="str">
        <f t="shared" si="2"/>
        <v/>
      </c>
      <c r="C1266" s="2" t="str">
        <f t="shared" si="3"/>
        <v>SP500</v>
      </c>
      <c r="D1266" s="2">
        <f t="shared" si="4"/>
        <v>2626.71</v>
      </c>
      <c r="E1266" s="2">
        <f t="shared" si="5"/>
        <v>2626.71</v>
      </c>
      <c r="G1266" s="10">
        <f t="shared" si="9"/>
        <v>39248.64583</v>
      </c>
      <c r="H1266" s="6">
        <f t="shared" si="6"/>
        <v>1772.26</v>
      </c>
      <c r="I1266" s="2">
        <f t="shared" si="7"/>
        <v>1772.26</v>
      </c>
      <c r="M1266" s="10">
        <f>IFERROR(__xludf.DUMMYFUNCTION("""COMPUTED_VALUE"""),39815.666666666664)</f>
        <v>39815.66667</v>
      </c>
      <c r="N1266" s="2">
        <f>IFERROR(__xludf.DUMMYFUNCTION("""COMPUTED_VALUE"""),1632.21)</f>
        <v>1632.21</v>
      </c>
    </row>
    <row r="1267">
      <c r="A1267" s="10">
        <f t="shared" si="8"/>
        <v>39249.66667</v>
      </c>
      <c r="B1267" s="2" t="str">
        <f t="shared" si="2"/>
        <v/>
      </c>
      <c r="C1267" s="2" t="str">
        <f t="shared" si="3"/>
        <v>SP500</v>
      </c>
      <c r="D1267" s="2" t="str">
        <f t="shared" si="4"/>
        <v/>
      </c>
      <c r="E1267" s="2">
        <f t="shared" si="5"/>
        <v>2626.71</v>
      </c>
      <c r="G1267" s="10">
        <f t="shared" si="9"/>
        <v>39249.64583</v>
      </c>
      <c r="H1267" s="6" t="str">
        <f t="shared" si="6"/>
        <v/>
      </c>
      <c r="I1267" s="2">
        <f t="shared" si="7"/>
        <v>1772.26</v>
      </c>
      <c r="M1267" s="10">
        <f>IFERROR(__xludf.DUMMYFUNCTION("""COMPUTED_VALUE"""),39818.666666666664)</f>
        <v>39818.66667</v>
      </c>
      <c r="N1267" s="2">
        <f>IFERROR(__xludf.DUMMYFUNCTION("""COMPUTED_VALUE"""),1628.03)</f>
        <v>1628.03</v>
      </c>
    </row>
    <row r="1268">
      <c r="A1268" s="10">
        <f t="shared" si="8"/>
        <v>39250.66667</v>
      </c>
      <c r="B1268" s="2" t="str">
        <f t="shared" si="2"/>
        <v/>
      </c>
      <c r="C1268" s="2" t="str">
        <f t="shared" si="3"/>
        <v>SP500</v>
      </c>
      <c r="D1268" s="2" t="str">
        <f t="shared" si="4"/>
        <v/>
      </c>
      <c r="E1268" s="2">
        <f t="shared" si="5"/>
        <v>2626.71</v>
      </c>
      <c r="G1268" s="10">
        <f t="shared" si="9"/>
        <v>39250.64583</v>
      </c>
      <c r="H1268" s="6" t="str">
        <f t="shared" si="6"/>
        <v/>
      </c>
      <c r="I1268" s="2">
        <f t="shared" si="7"/>
        <v>1772.26</v>
      </c>
      <c r="M1268" s="10">
        <f>IFERROR(__xludf.DUMMYFUNCTION("""COMPUTED_VALUE"""),39819.666666666664)</f>
        <v>39819.66667</v>
      </c>
      <c r="N1268" s="2">
        <f>IFERROR(__xludf.DUMMYFUNCTION("""COMPUTED_VALUE"""),1652.38)</f>
        <v>1652.38</v>
      </c>
    </row>
    <row r="1269">
      <c r="A1269" s="10">
        <f t="shared" si="8"/>
        <v>39251.66667</v>
      </c>
      <c r="B1269" s="2" t="str">
        <f t="shared" si="2"/>
        <v/>
      </c>
      <c r="C1269" s="2" t="str">
        <f t="shared" si="3"/>
        <v>SP500</v>
      </c>
      <c r="D1269" s="2">
        <f t="shared" si="4"/>
        <v>2626.6</v>
      </c>
      <c r="E1269" s="2">
        <f t="shared" si="5"/>
        <v>2626.6</v>
      </c>
      <c r="G1269" s="10">
        <f t="shared" si="9"/>
        <v>39251.64583</v>
      </c>
      <c r="H1269" s="6">
        <f t="shared" si="6"/>
        <v>1806.88</v>
      </c>
      <c r="I1269" s="2">
        <f t="shared" si="7"/>
        <v>1806.88</v>
      </c>
      <c r="M1269" s="10">
        <f>IFERROR(__xludf.DUMMYFUNCTION("""COMPUTED_VALUE"""),39820.666666666664)</f>
        <v>39820.66667</v>
      </c>
      <c r="N1269" s="2">
        <f>IFERROR(__xludf.DUMMYFUNCTION("""COMPUTED_VALUE"""),1599.06)</f>
        <v>1599.06</v>
      </c>
    </row>
    <row r="1270">
      <c r="A1270" s="10">
        <f t="shared" si="8"/>
        <v>39252.66667</v>
      </c>
      <c r="B1270" s="2" t="str">
        <f t="shared" si="2"/>
        <v/>
      </c>
      <c r="C1270" s="2" t="str">
        <f t="shared" si="3"/>
        <v>SP500</v>
      </c>
      <c r="D1270" s="2">
        <f t="shared" si="4"/>
        <v>2626.76</v>
      </c>
      <c r="E1270" s="2">
        <f t="shared" si="5"/>
        <v>2626.76</v>
      </c>
      <c r="G1270" s="10">
        <f t="shared" si="9"/>
        <v>39252.64583</v>
      </c>
      <c r="H1270" s="6">
        <f t="shared" si="6"/>
        <v>1807.85</v>
      </c>
      <c r="I1270" s="2">
        <f t="shared" si="7"/>
        <v>1807.85</v>
      </c>
      <c r="M1270" s="10">
        <f>IFERROR(__xludf.DUMMYFUNCTION("""COMPUTED_VALUE"""),39821.666666666664)</f>
        <v>39821.66667</v>
      </c>
      <c r="N1270" s="2">
        <f>IFERROR(__xludf.DUMMYFUNCTION("""COMPUTED_VALUE"""),1617.01)</f>
        <v>1617.01</v>
      </c>
    </row>
    <row r="1271">
      <c r="A1271" s="10">
        <f t="shared" si="8"/>
        <v>39253.66667</v>
      </c>
      <c r="B1271" s="2" t="str">
        <f t="shared" si="2"/>
        <v/>
      </c>
      <c r="C1271" s="2" t="str">
        <f t="shared" si="3"/>
        <v>SP500</v>
      </c>
      <c r="D1271" s="2">
        <f t="shared" si="4"/>
        <v>2599.96</v>
      </c>
      <c r="E1271" s="2">
        <f t="shared" si="5"/>
        <v>2599.96</v>
      </c>
      <c r="G1271" s="10">
        <f t="shared" si="9"/>
        <v>39253.64583</v>
      </c>
      <c r="H1271" s="6">
        <f t="shared" si="6"/>
        <v>1783.79</v>
      </c>
      <c r="I1271" s="2">
        <f t="shared" si="7"/>
        <v>1783.79</v>
      </c>
      <c r="M1271" s="10">
        <f>IFERROR(__xludf.DUMMYFUNCTION("""COMPUTED_VALUE"""),39822.666666666664)</f>
        <v>39822.66667</v>
      </c>
      <c r="N1271" s="2">
        <f>IFERROR(__xludf.DUMMYFUNCTION("""COMPUTED_VALUE"""),1571.59)</f>
        <v>1571.59</v>
      </c>
    </row>
    <row r="1272">
      <c r="A1272" s="10">
        <f t="shared" si="8"/>
        <v>39254.66667</v>
      </c>
      <c r="B1272" s="2" t="str">
        <f t="shared" si="2"/>
        <v/>
      </c>
      <c r="C1272" s="2" t="str">
        <f t="shared" si="3"/>
        <v>SP500</v>
      </c>
      <c r="D1272" s="2">
        <f t="shared" si="4"/>
        <v>2616.96</v>
      </c>
      <c r="E1272" s="2">
        <f t="shared" si="5"/>
        <v>2616.96</v>
      </c>
      <c r="G1272" s="10">
        <f t="shared" si="9"/>
        <v>39254.64583</v>
      </c>
      <c r="H1272" s="6">
        <f t="shared" si="6"/>
        <v>1794.24</v>
      </c>
      <c r="I1272" s="2">
        <f t="shared" si="7"/>
        <v>1794.24</v>
      </c>
      <c r="M1272" s="10">
        <f>IFERROR(__xludf.DUMMYFUNCTION("""COMPUTED_VALUE"""),39825.666666666664)</f>
        <v>39825.66667</v>
      </c>
      <c r="N1272" s="2">
        <f>IFERROR(__xludf.DUMMYFUNCTION("""COMPUTED_VALUE"""),1538.79)</f>
        <v>1538.79</v>
      </c>
    </row>
    <row r="1273">
      <c r="A1273" s="10">
        <f t="shared" si="8"/>
        <v>39255.66667</v>
      </c>
      <c r="B1273" s="2" t="str">
        <f t="shared" si="2"/>
        <v/>
      </c>
      <c r="C1273" s="2" t="str">
        <f t="shared" si="3"/>
        <v>SP500</v>
      </c>
      <c r="D1273" s="2">
        <f t="shared" si="4"/>
        <v>2588.96</v>
      </c>
      <c r="E1273" s="2">
        <f t="shared" si="5"/>
        <v>2588.96</v>
      </c>
      <c r="G1273" s="10">
        <f t="shared" si="9"/>
        <v>39255.64583</v>
      </c>
      <c r="H1273" s="6">
        <f t="shared" si="6"/>
        <v>1770.98</v>
      </c>
      <c r="I1273" s="2">
        <f t="shared" si="7"/>
        <v>1770.98</v>
      </c>
      <c r="M1273" s="10">
        <f>IFERROR(__xludf.DUMMYFUNCTION("""COMPUTED_VALUE"""),39826.666666666664)</f>
        <v>39826.66667</v>
      </c>
      <c r="N1273" s="2">
        <f>IFERROR(__xludf.DUMMYFUNCTION("""COMPUTED_VALUE"""),1546.46)</f>
        <v>1546.46</v>
      </c>
    </row>
    <row r="1274">
      <c r="A1274" s="10">
        <f t="shared" si="8"/>
        <v>39256.66667</v>
      </c>
      <c r="B1274" s="2" t="str">
        <f t="shared" si="2"/>
        <v/>
      </c>
      <c r="C1274" s="2" t="str">
        <f t="shared" si="3"/>
        <v>SP500</v>
      </c>
      <c r="D1274" s="2" t="str">
        <f t="shared" si="4"/>
        <v/>
      </c>
      <c r="E1274" s="2">
        <f t="shared" si="5"/>
        <v>2588.96</v>
      </c>
      <c r="G1274" s="10">
        <f t="shared" si="9"/>
        <v>39256.64583</v>
      </c>
      <c r="H1274" s="6" t="str">
        <f t="shared" si="6"/>
        <v/>
      </c>
      <c r="I1274" s="2">
        <f t="shared" si="7"/>
        <v>1770.98</v>
      </c>
      <c r="M1274" s="10">
        <f>IFERROR(__xludf.DUMMYFUNCTION("""COMPUTED_VALUE"""),39827.666666666664)</f>
        <v>39827.66667</v>
      </c>
      <c r="N1274" s="2">
        <f>IFERROR(__xludf.DUMMYFUNCTION("""COMPUTED_VALUE"""),1489.64)</f>
        <v>1489.64</v>
      </c>
    </row>
    <row r="1275">
      <c r="A1275" s="10">
        <f t="shared" si="8"/>
        <v>39257.66667</v>
      </c>
      <c r="B1275" s="2" t="str">
        <f t="shared" si="2"/>
        <v/>
      </c>
      <c r="C1275" s="2" t="str">
        <f t="shared" si="3"/>
        <v>SP500</v>
      </c>
      <c r="D1275" s="2" t="str">
        <f t="shared" si="4"/>
        <v/>
      </c>
      <c r="E1275" s="2">
        <f t="shared" si="5"/>
        <v>2588.96</v>
      </c>
      <c r="G1275" s="10">
        <f t="shared" si="9"/>
        <v>39257.64583</v>
      </c>
      <c r="H1275" s="6" t="str">
        <f t="shared" si="6"/>
        <v/>
      </c>
      <c r="I1275" s="2">
        <f t="shared" si="7"/>
        <v>1770.98</v>
      </c>
      <c r="M1275" s="10">
        <f>IFERROR(__xludf.DUMMYFUNCTION("""COMPUTED_VALUE"""),39828.666666666664)</f>
        <v>39828.66667</v>
      </c>
      <c r="N1275" s="2">
        <f>IFERROR(__xludf.DUMMYFUNCTION("""COMPUTED_VALUE"""),1511.84)</f>
        <v>1511.84</v>
      </c>
    </row>
    <row r="1276">
      <c r="A1276" s="10">
        <f t="shared" si="8"/>
        <v>39258.66667</v>
      </c>
      <c r="B1276" s="2" t="str">
        <f t="shared" si="2"/>
        <v/>
      </c>
      <c r="C1276" s="2" t="str">
        <f t="shared" si="3"/>
        <v>SP500</v>
      </c>
      <c r="D1276" s="2">
        <f t="shared" si="4"/>
        <v>2577.08</v>
      </c>
      <c r="E1276" s="2">
        <f t="shared" si="5"/>
        <v>2577.08</v>
      </c>
      <c r="G1276" s="10">
        <f t="shared" si="9"/>
        <v>39258.64583</v>
      </c>
      <c r="H1276" s="6">
        <f t="shared" si="6"/>
        <v>1757.73</v>
      </c>
      <c r="I1276" s="2">
        <f t="shared" si="7"/>
        <v>1757.73</v>
      </c>
      <c r="M1276" s="10">
        <f>IFERROR(__xludf.DUMMYFUNCTION("""COMPUTED_VALUE"""),39829.666666666664)</f>
        <v>39829.66667</v>
      </c>
      <c r="N1276" s="2">
        <f>IFERROR(__xludf.DUMMYFUNCTION("""COMPUTED_VALUE"""),1529.33)</f>
        <v>1529.33</v>
      </c>
    </row>
    <row r="1277">
      <c r="A1277" s="10">
        <f t="shared" si="8"/>
        <v>39259.66667</v>
      </c>
      <c r="B1277" s="2" t="str">
        <f t="shared" si="2"/>
        <v/>
      </c>
      <c r="C1277" s="2" t="str">
        <f t="shared" si="3"/>
        <v>SP500</v>
      </c>
      <c r="D1277" s="2">
        <f t="shared" si="4"/>
        <v>2574.16</v>
      </c>
      <c r="E1277" s="2">
        <f t="shared" si="5"/>
        <v>2574.16</v>
      </c>
      <c r="G1277" s="10">
        <f t="shared" si="9"/>
        <v>39259.64583</v>
      </c>
      <c r="H1277" s="6">
        <f t="shared" si="6"/>
        <v>1749.55</v>
      </c>
      <c r="I1277" s="2">
        <f t="shared" si="7"/>
        <v>1749.55</v>
      </c>
      <c r="M1277" s="10">
        <f>IFERROR(__xludf.DUMMYFUNCTION("""COMPUTED_VALUE"""),39833.666666666664)</f>
        <v>39833.66667</v>
      </c>
      <c r="N1277" s="2">
        <f>IFERROR(__xludf.DUMMYFUNCTION("""COMPUTED_VALUE"""),1440.86)</f>
        <v>1440.86</v>
      </c>
    </row>
    <row r="1278">
      <c r="A1278" s="10">
        <f t="shared" si="8"/>
        <v>39260.66667</v>
      </c>
      <c r="B1278" s="2" t="str">
        <f t="shared" si="2"/>
        <v/>
      </c>
      <c r="C1278" s="2" t="str">
        <f t="shared" si="3"/>
        <v>SP500</v>
      </c>
      <c r="D1278" s="2">
        <f t="shared" si="4"/>
        <v>2605.35</v>
      </c>
      <c r="E1278" s="2">
        <f t="shared" si="5"/>
        <v>2605.35</v>
      </c>
      <c r="G1278" s="10">
        <f t="shared" si="9"/>
        <v>39260.64583</v>
      </c>
      <c r="H1278" s="6">
        <f t="shared" si="6"/>
        <v>1733.1</v>
      </c>
      <c r="I1278" s="2">
        <f t="shared" si="7"/>
        <v>1733.1</v>
      </c>
      <c r="M1278" s="10">
        <f>IFERROR(__xludf.DUMMYFUNCTION("""COMPUTED_VALUE"""),39834.666666666664)</f>
        <v>39834.66667</v>
      </c>
      <c r="N1278" s="2">
        <f>IFERROR(__xludf.DUMMYFUNCTION("""COMPUTED_VALUE"""),1507.07)</f>
        <v>1507.07</v>
      </c>
    </row>
    <row r="1279">
      <c r="A1279" s="10">
        <f t="shared" si="8"/>
        <v>39261.66667</v>
      </c>
      <c r="B1279" s="2" t="str">
        <f t="shared" si="2"/>
        <v/>
      </c>
      <c r="C1279" s="2" t="str">
        <f t="shared" si="3"/>
        <v>SP500</v>
      </c>
      <c r="D1279" s="2">
        <f t="shared" si="4"/>
        <v>2608.37</v>
      </c>
      <c r="E1279" s="2">
        <f t="shared" si="5"/>
        <v>2608.37</v>
      </c>
      <c r="G1279" s="10">
        <f t="shared" si="9"/>
        <v>39261.64583</v>
      </c>
      <c r="H1279" s="6">
        <f t="shared" si="6"/>
        <v>1751.75</v>
      </c>
      <c r="I1279" s="2">
        <f t="shared" si="7"/>
        <v>1751.75</v>
      </c>
      <c r="M1279" s="10">
        <f>IFERROR(__xludf.DUMMYFUNCTION("""COMPUTED_VALUE"""),39835.666666666664)</f>
        <v>39835.66667</v>
      </c>
      <c r="N1279" s="2">
        <f>IFERROR(__xludf.DUMMYFUNCTION("""COMPUTED_VALUE"""),1465.49)</f>
        <v>1465.49</v>
      </c>
    </row>
    <row r="1280">
      <c r="A1280" s="10">
        <f t="shared" si="8"/>
        <v>39262.66667</v>
      </c>
      <c r="B1280" s="2" t="str">
        <f t="shared" si="2"/>
        <v/>
      </c>
      <c r="C1280" s="2" t="str">
        <f t="shared" si="3"/>
        <v>SP500</v>
      </c>
      <c r="D1280" s="2">
        <f t="shared" si="4"/>
        <v>2603.23</v>
      </c>
      <c r="E1280" s="2">
        <f t="shared" si="5"/>
        <v>2603.23</v>
      </c>
      <c r="G1280" s="10">
        <f t="shared" si="9"/>
        <v>39262.64583</v>
      </c>
      <c r="H1280" s="6">
        <f t="shared" si="6"/>
        <v>1743.6</v>
      </c>
      <c r="I1280" s="2">
        <f t="shared" si="7"/>
        <v>1743.6</v>
      </c>
      <c r="M1280" s="10">
        <f>IFERROR(__xludf.DUMMYFUNCTION("""COMPUTED_VALUE"""),39836.666666666664)</f>
        <v>39836.66667</v>
      </c>
      <c r="N1280" s="2">
        <f>IFERROR(__xludf.DUMMYFUNCTION("""COMPUTED_VALUE"""),1477.29)</f>
        <v>1477.29</v>
      </c>
    </row>
    <row r="1281">
      <c r="A1281" s="10">
        <f t="shared" si="8"/>
        <v>39263.66667</v>
      </c>
      <c r="B1281" s="2" t="str">
        <f t="shared" si="2"/>
        <v/>
      </c>
      <c r="C1281" s="2" t="str">
        <f t="shared" si="3"/>
        <v>SP500</v>
      </c>
      <c r="D1281" s="2" t="str">
        <f t="shared" si="4"/>
        <v/>
      </c>
      <c r="E1281" s="2">
        <f t="shared" si="5"/>
        <v>2603.23</v>
      </c>
      <c r="G1281" s="10">
        <f t="shared" si="9"/>
        <v>39263.64583</v>
      </c>
      <c r="H1281" s="6" t="str">
        <f t="shared" si="6"/>
        <v/>
      </c>
      <c r="I1281" s="2">
        <f t="shared" si="7"/>
        <v>1743.6</v>
      </c>
      <c r="M1281" s="10">
        <f>IFERROR(__xludf.DUMMYFUNCTION("""COMPUTED_VALUE"""),39839.666666666664)</f>
        <v>39839.66667</v>
      </c>
      <c r="N1281" s="2">
        <f>IFERROR(__xludf.DUMMYFUNCTION("""COMPUTED_VALUE"""),1489.46)</f>
        <v>1489.46</v>
      </c>
    </row>
    <row r="1282">
      <c r="A1282" s="10">
        <f t="shared" si="8"/>
        <v>39264.66667</v>
      </c>
      <c r="B1282" s="2" t="str">
        <f t="shared" si="2"/>
        <v/>
      </c>
      <c r="C1282" s="2" t="str">
        <f t="shared" si="3"/>
        <v>SP500</v>
      </c>
      <c r="D1282" s="2" t="str">
        <f t="shared" si="4"/>
        <v/>
      </c>
      <c r="E1282" s="2">
        <f t="shared" si="5"/>
        <v>2603.23</v>
      </c>
      <c r="G1282" s="10">
        <f t="shared" si="9"/>
        <v>39264.64583</v>
      </c>
      <c r="H1282" s="6" t="str">
        <f t="shared" si="6"/>
        <v/>
      </c>
      <c r="I1282" s="2">
        <f t="shared" si="7"/>
        <v>1743.6</v>
      </c>
      <c r="M1282" s="10">
        <f>IFERROR(__xludf.DUMMYFUNCTION("""COMPUTED_VALUE"""),39840.666666666664)</f>
        <v>39840.66667</v>
      </c>
      <c r="N1282" s="2">
        <f>IFERROR(__xludf.DUMMYFUNCTION("""COMPUTED_VALUE"""),1504.9)</f>
        <v>1504.9</v>
      </c>
    </row>
    <row r="1283">
      <c r="A1283" s="10">
        <f t="shared" si="8"/>
        <v>39265.66667</v>
      </c>
      <c r="B1283" s="2" t="str">
        <f t="shared" si="2"/>
        <v/>
      </c>
      <c r="C1283" s="2" t="str">
        <f t="shared" si="3"/>
        <v>SP500</v>
      </c>
      <c r="D1283" s="2">
        <f t="shared" si="4"/>
        <v>2632.3</v>
      </c>
      <c r="E1283" s="2">
        <f t="shared" si="5"/>
        <v>2632.3</v>
      </c>
      <c r="G1283" s="10">
        <f t="shared" si="9"/>
        <v>39265.64583</v>
      </c>
      <c r="H1283" s="6">
        <f t="shared" si="6"/>
        <v>1771.35</v>
      </c>
      <c r="I1283" s="2">
        <f t="shared" si="7"/>
        <v>1771.35</v>
      </c>
      <c r="M1283" s="10">
        <f>IFERROR(__xludf.DUMMYFUNCTION("""COMPUTED_VALUE"""),39841.666666666664)</f>
        <v>39841.66667</v>
      </c>
      <c r="N1283" s="2">
        <f>IFERROR(__xludf.DUMMYFUNCTION("""COMPUTED_VALUE"""),1558.34)</f>
        <v>1558.34</v>
      </c>
    </row>
    <row r="1284">
      <c r="A1284" s="10">
        <f t="shared" si="8"/>
        <v>39266.66667</v>
      </c>
      <c r="B1284" s="2" t="str">
        <f t="shared" si="2"/>
        <v/>
      </c>
      <c r="C1284" s="2" t="str">
        <f t="shared" si="3"/>
        <v>SP500</v>
      </c>
      <c r="D1284" s="2">
        <f t="shared" si="4"/>
        <v>2644.95</v>
      </c>
      <c r="E1284" s="2">
        <f t="shared" si="5"/>
        <v>2644.95</v>
      </c>
      <c r="G1284" s="10">
        <f t="shared" si="9"/>
        <v>39266.64583</v>
      </c>
      <c r="H1284" s="6">
        <f t="shared" si="6"/>
        <v>1805.5</v>
      </c>
      <c r="I1284" s="2">
        <f t="shared" si="7"/>
        <v>1805.5</v>
      </c>
      <c r="M1284" s="10">
        <f>IFERROR(__xludf.DUMMYFUNCTION("""COMPUTED_VALUE"""),39842.666666666664)</f>
        <v>39842.66667</v>
      </c>
      <c r="N1284" s="2">
        <f>IFERROR(__xludf.DUMMYFUNCTION("""COMPUTED_VALUE"""),1507.84)</f>
        <v>1507.84</v>
      </c>
    </row>
    <row r="1285">
      <c r="A1285" s="10">
        <f t="shared" si="8"/>
        <v>39267.66667</v>
      </c>
      <c r="B1285" s="2" t="str">
        <f t="shared" si="2"/>
        <v/>
      </c>
      <c r="C1285" s="2" t="str">
        <f t="shared" si="3"/>
        <v>SP500</v>
      </c>
      <c r="D1285" s="2" t="str">
        <f t="shared" si="4"/>
        <v/>
      </c>
      <c r="E1285" s="2">
        <f t="shared" si="5"/>
        <v>2644.95</v>
      </c>
      <c r="G1285" s="10">
        <f t="shared" si="9"/>
        <v>39267.64583</v>
      </c>
      <c r="H1285" s="6">
        <f t="shared" si="6"/>
        <v>1838.41</v>
      </c>
      <c r="I1285" s="2">
        <f t="shared" si="7"/>
        <v>1838.41</v>
      </c>
      <c r="M1285" s="10">
        <f>IFERROR(__xludf.DUMMYFUNCTION("""COMPUTED_VALUE"""),39843.666666666664)</f>
        <v>39843.66667</v>
      </c>
      <c r="N1285" s="2">
        <f>IFERROR(__xludf.DUMMYFUNCTION("""COMPUTED_VALUE"""),1476.42)</f>
        <v>1476.42</v>
      </c>
    </row>
    <row r="1286">
      <c r="A1286" s="10">
        <f t="shared" si="8"/>
        <v>39268.66667</v>
      </c>
      <c r="B1286" s="2" t="str">
        <f t="shared" si="2"/>
        <v/>
      </c>
      <c r="C1286" s="2" t="str">
        <f t="shared" si="3"/>
        <v>SP500</v>
      </c>
      <c r="D1286" s="2">
        <f t="shared" si="4"/>
        <v>2656.65</v>
      </c>
      <c r="E1286" s="2">
        <f t="shared" si="5"/>
        <v>2656.65</v>
      </c>
      <c r="G1286" s="10">
        <f t="shared" si="9"/>
        <v>39268.64583</v>
      </c>
      <c r="H1286" s="6">
        <f t="shared" si="6"/>
        <v>1847.79</v>
      </c>
      <c r="I1286" s="2">
        <f t="shared" si="7"/>
        <v>1847.79</v>
      </c>
      <c r="M1286" s="10">
        <f>IFERROR(__xludf.DUMMYFUNCTION("""COMPUTED_VALUE"""),39846.666666666664)</f>
        <v>39846.66667</v>
      </c>
      <c r="N1286" s="2">
        <f>IFERROR(__xludf.DUMMYFUNCTION("""COMPUTED_VALUE"""),1494.43)</f>
        <v>1494.43</v>
      </c>
    </row>
    <row r="1287">
      <c r="A1287" s="10">
        <f t="shared" si="8"/>
        <v>39269.66667</v>
      </c>
      <c r="B1287" s="2" t="str">
        <f t="shared" si="2"/>
        <v/>
      </c>
      <c r="C1287" s="2" t="str">
        <f t="shared" si="3"/>
        <v>SP500</v>
      </c>
      <c r="D1287" s="2">
        <f t="shared" si="4"/>
        <v>2666.51</v>
      </c>
      <c r="E1287" s="2">
        <f t="shared" si="5"/>
        <v>2666.51</v>
      </c>
      <c r="G1287" s="10">
        <f t="shared" si="9"/>
        <v>39269.64583</v>
      </c>
      <c r="H1287" s="6">
        <f t="shared" si="6"/>
        <v>1861.01</v>
      </c>
      <c r="I1287" s="2">
        <f t="shared" si="7"/>
        <v>1861.01</v>
      </c>
      <c r="M1287" s="10">
        <f>IFERROR(__xludf.DUMMYFUNCTION("""COMPUTED_VALUE"""),39847.666666666664)</f>
        <v>39847.66667</v>
      </c>
      <c r="N1287" s="2">
        <f>IFERROR(__xludf.DUMMYFUNCTION("""COMPUTED_VALUE"""),1516.3)</f>
        <v>1516.3</v>
      </c>
    </row>
    <row r="1288">
      <c r="A1288" s="10">
        <f t="shared" si="8"/>
        <v>39270.66667</v>
      </c>
      <c r="B1288" s="2" t="str">
        <f t="shared" si="2"/>
        <v/>
      </c>
      <c r="C1288" s="2" t="str">
        <f t="shared" si="3"/>
        <v>SP500</v>
      </c>
      <c r="D1288" s="2" t="str">
        <f t="shared" si="4"/>
        <v/>
      </c>
      <c r="E1288" s="2">
        <f t="shared" si="5"/>
        <v>2666.51</v>
      </c>
      <c r="G1288" s="10">
        <f t="shared" si="9"/>
        <v>39270.64583</v>
      </c>
      <c r="H1288" s="6" t="str">
        <f t="shared" si="6"/>
        <v/>
      </c>
      <c r="I1288" s="2">
        <f t="shared" si="7"/>
        <v>1861.01</v>
      </c>
      <c r="M1288" s="10">
        <f>IFERROR(__xludf.DUMMYFUNCTION("""COMPUTED_VALUE"""),39848.666666666664)</f>
        <v>39848.66667</v>
      </c>
      <c r="N1288" s="2">
        <f>IFERROR(__xludf.DUMMYFUNCTION("""COMPUTED_VALUE"""),1515.05)</f>
        <v>1515.05</v>
      </c>
    </row>
    <row r="1289">
      <c r="A1289" s="10">
        <f t="shared" si="8"/>
        <v>39271.66667</v>
      </c>
      <c r="B1289" s="2" t="str">
        <f t="shared" si="2"/>
        <v/>
      </c>
      <c r="C1289" s="2" t="str">
        <f t="shared" si="3"/>
        <v>SP500</v>
      </c>
      <c r="D1289" s="2" t="str">
        <f t="shared" si="4"/>
        <v/>
      </c>
      <c r="E1289" s="2">
        <f t="shared" si="5"/>
        <v>2666.51</v>
      </c>
      <c r="G1289" s="10">
        <f t="shared" si="9"/>
        <v>39271.64583</v>
      </c>
      <c r="H1289" s="6" t="str">
        <f t="shared" si="6"/>
        <v/>
      </c>
      <c r="I1289" s="2">
        <f t="shared" si="7"/>
        <v>1861.01</v>
      </c>
      <c r="M1289" s="10">
        <f>IFERROR(__xludf.DUMMYFUNCTION("""COMPUTED_VALUE"""),39849.666666666664)</f>
        <v>39849.66667</v>
      </c>
      <c r="N1289" s="2">
        <f>IFERROR(__xludf.DUMMYFUNCTION("""COMPUTED_VALUE"""),1546.24)</f>
        <v>1546.24</v>
      </c>
    </row>
    <row r="1290">
      <c r="A1290" s="10">
        <f t="shared" si="8"/>
        <v>39272.66667</v>
      </c>
      <c r="B1290" s="2" t="str">
        <f t="shared" si="2"/>
        <v/>
      </c>
      <c r="C1290" s="2" t="str">
        <f t="shared" si="3"/>
        <v>SP500</v>
      </c>
      <c r="D1290" s="2">
        <f t="shared" si="4"/>
        <v>2670.02</v>
      </c>
      <c r="E1290" s="2">
        <f t="shared" si="5"/>
        <v>2670.02</v>
      </c>
      <c r="G1290" s="10">
        <f t="shared" si="9"/>
        <v>39272.64583</v>
      </c>
      <c r="H1290" s="6">
        <f t="shared" si="6"/>
        <v>1883.59</v>
      </c>
      <c r="I1290" s="2">
        <f t="shared" si="7"/>
        <v>1883.59</v>
      </c>
      <c r="M1290" s="10">
        <f>IFERROR(__xludf.DUMMYFUNCTION("""COMPUTED_VALUE"""),39850.666666666664)</f>
        <v>39850.66667</v>
      </c>
      <c r="N1290" s="2">
        <f>IFERROR(__xludf.DUMMYFUNCTION("""COMPUTED_VALUE"""),1591.71)</f>
        <v>1591.71</v>
      </c>
    </row>
    <row r="1291">
      <c r="A1291" s="10">
        <f t="shared" si="8"/>
        <v>39273.66667</v>
      </c>
      <c r="B1291" s="2" t="str">
        <f t="shared" si="2"/>
        <v/>
      </c>
      <c r="C1291" s="2" t="str">
        <f t="shared" si="3"/>
        <v>SP500</v>
      </c>
      <c r="D1291" s="2">
        <f t="shared" si="4"/>
        <v>2639.16</v>
      </c>
      <c r="E1291" s="2">
        <f t="shared" si="5"/>
        <v>2639.16</v>
      </c>
      <c r="G1291" s="10">
        <f t="shared" si="9"/>
        <v>39273.64583</v>
      </c>
      <c r="H1291" s="6">
        <f t="shared" si="6"/>
        <v>1894.53</v>
      </c>
      <c r="I1291" s="2">
        <f t="shared" si="7"/>
        <v>1894.53</v>
      </c>
      <c r="M1291" s="10">
        <f>IFERROR(__xludf.DUMMYFUNCTION("""COMPUTED_VALUE"""),39853.666666666664)</f>
        <v>39853.66667</v>
      </c>
      <c r="N1291" s="2">
        <f>IFERROR(__xludf.DUMMYFUNCTION("""COMPUTED_VALUE"""),1591.56)</f>
        <v>1591.56</v>
      </c>
    </row>
    <row r="1292">
      <c r="A1292" s="10">
        <f t="shared" si="8"/>
        <v>39274.66667</v>
      </c>
      <c r="B1292" s="2" t="str">
        <f t="shared" si="2"/>
        <v/>
      </c>
      <c r="C1292" s="2" t="str">
        <f t="shared" si="3"/>
        <v>SP500</v>
      </c>
      <c r="D1292" s="2">
        <f t="shared" si="4"/>
        <v>2651.79</v>
      </c>
      <c r="E1292" s="2">
        <f t="shared" si="5"/>
        <v>2651.79</v>
      </c>
      <c r="G1292" s="10">
        <f t="shared" si="9"/>
        <v>39274.64583</v>
      </c>
      <c r="H1292" s="6">
        <f t="shared" si="6"/>
        <v>1889.96</v>
      </c>
      <c r="I1292" s="2">
        <f t="shared" si="7"/>
        <v>1889.96</v>
      </c>
      <c r="M1292" s="10">
        <f>IFERROR(__xludf.DUMMYFUNCTION("""COMPUTED_VALUE"""),39854.666666666664)</f>
        <v>39854.66667</v>
      </c>
      <c r="N1292" s="2">
        <f>IFERROR(__xludf.DUMMYFUNCTION("""COMPUTED_VALUE"""),1524.73)</f>
        <v>1524.73</v>
      </c>
    </row>
    <row r="1293">
      <c r="A1293" s="10">
        <f t="shared" si="8"/>
        <v>39275.66667</v>
      </c>
      <c r="B1293" s="2" t="str">
        <f t="shared" si="2"/>
        <v/>
      </c>
      <c r="C1293" s="2" t="str">
        <f t="shared" si="3"/>
        <v>SP500</v>
      </c>
      <c r="D1293" s="2">
        <f t="shared" si="4"/>
        <v>2701.73</v>
      </c>
      <c r="E1293" s="2">
        <f t="shared" si="5"/>
        <v>2701.73</v>
      </c>
      <c r="G1293" s="10">
        <f t="shared" si="9"/>
        <v>39275.64583</v>
      </c>
      <c r="H1293" s="6">
        <f t="shared" si="6"/>
        <v>1909.75</v>
      </c>
      <c r="I1293" s="2">
        <f t="shared" si="7"/>
        <v>1909.75</v>
      </c>
      <c r="M1293" s="10">
        <f>IFERROR(__xludf.DUMMYFUNCTION("""COMPUTED_VALUE"""),39855.666666666664)</f>
        <v>39855.66667</v>
      </c>
      <c r="N1293" s="2">
        <f>IFERROR(__xludf.DUMMYFUNCTION("""COMPUTED_VALUE"""),1530.5)</f>
        <v>1530.5</v>
      </c>
    </row>
    <row r="1294">
      <c r="A1294" s="10">
        <f t="shared" si="8"/>
        <v>39276.66667</v>
      </c>
      <c r="B1294" s="2" t="str">
        <f t="shared" si="2"/>
        <v/>
      </c>
      <c r="C1294" s="2" t="str">
        <f t="shared" si="3"/>
        <v>SP500</v>
      </c>
      <c r="D1294" s="2">
        <f t="shared" si="4"/>
        <v>2707</v>
      </c>
      <c r="E1294" s="2">
        <f t="shared" si="5"/>
        <v>2707</v>
      </c>
      <c r="G1294" s="10">
        <f t="shared" si="9"/>
        <v>39276.64583</v>
      </c>
      <c r="H1294" s="6">
        <f t="shared" si="6"/>
        <v>1962.93</v>
      </c>
      <c r="I1294" s="2">
        <f t="shared" si="7"/>
        <v>1962.93</v>
      </c>
      <c r="M1294" s="10">
        <f>IFERROR(__xludf.DUMMYFUNCTION("""COMPUTED_VALUE"""),39856.666666666664)</f>
        <v>39856.66667</v>
      </c>
      <c r="N1294" s="2">
        <f>IFERROR(__xludf.DUMMYFUNCTION("""COMPUTED_VALUE"""),1541.71)</f>
        <v>1541.71</v>
      </c>
    </row>
    <row r="1295">
      <c r="A1295" s="10">
        <f t="shared" si="8"/>
        <v>39277.66667</v>
      </c>
      <c r="B1295" s="2" t="str">
        <f t="shared" si="2"/>
        <v/>
      </c>
      <c r="C1295" s="2" t="str">
        <f t="shared" si="3"/>
        <v>SP500</v>
      </c>
      <c r="D1295" s="2" t="str">
        <f t="shared" si="4"/>
        <v/>
      </c>
      <c r="E1295" s="2">
        <f t="shared" si="5"/>
        <v>2707</v>
      </c>
      <c r="G1295" s="10">
        <f t="shared" si="9"/>
        <v>39277.64583</v>
      </c>
      <c r="H1295" s="6" t="str">
        <f t="shared" si="6"/>
        <v/>
      </c>
      <c r="I1295" s="2">
        <f t="shared" si="7"/>
        <v>1962.93</v>
      </c>
      <c r="M1295" s="10">
        <f>IFERROR(__xludf.DUMMYFUNCTION("""COMPUTED_VALUE"""),39857.666666666664)</f>
        <v>39857.66667</v>
      </c>
      <c r="N1295" s="2">
        <f>IFERROR(__xludf.DUMMYFUNCTION("""COMPUTED_VALUE"""),1534.36)</f>
        <v>1534.36</v>
      </c>
    </row>
    <row r="1296">
      <c r="A1296" s="10">
        <f t="shared" si="8"/>
        <v>39278.66667</v>
      </c>
      <c r="B1296" s="2" t="str">
        <f t="shared" si="2"/>
        <v/>
      </c>
      <c r="C1296" s="2" t="str">
        <f t="shared" si="3"/>
        <v>SP500</v>
      </c>
      <c r="D1296" s="2" t="str">
        <f t="shared" si="4"/>
        <v/>
      </c>
      <c r="E1296" s="2">
        <f t="shared" si="5"/>
        <v>2707</v>
      </c>
      <c r="G1296" s="10">
        <f t="shared" si="9"/>
        <v>39278.64583</v>
      </c>
      <c r="H1296" s="6" t="str">
        <f t="shared" si="6"/>
        <v/>
      </c>
      <c r="I1296" s="2">
        <f t="shared" si="7"/>
        <v>1962.93</v>
      </c>
      <c r="M1296" s="10">
        <f>IFERROR(__xludf.DUMMYFUNCTION("""COMPUTED_VALUE"""),39861.666666666664)</f>
        <v>39861.66667</v>
      </c>
      <c r="N1296" s="2">
        <f>IFERROR(__xludf.DUMMYFUNCTION("""COMPUTED_VALUE"""),1470.66)</f>
        <v>1470.66</v>
      </c>
    </row>
    <row r="1297">
      <c r="A1297" s="10">
        <f t="shared" si="8"/>
        <v>39279.66667</v>
      </c>
      <c r="B1297" s="2" t="str">
        <f t="shared" si="2"/>
        <v/>
      </c>
      <c r="C1297" s="2" t="str">
        <f t="shared" si="3"/>
        <v>SP500</v>
      </c>
      <c r="D1297" s="2">
        <f t="shared" si="4"/>
        <v>2697.33</v>
      </c>
      <c r="E1297" s="2">
        <f t="shared" si="5"/>
        <v>2697.33</v>
      </c>
      <c r="G1297" s="10">
        <f t="shared" si="9"/>
        <v>39279.64583</v>
      </c>
      <c r="H1297" s="6">
        <f t="shared" si="6"/>
        <v>1949.51</v>
      </c>
      <c r="I1297" s="2">
        <f t="shared" si="7"/>
        <v>1949.51</v>
      </c>
      <c r="M1297" s="10">
        <f>IFERROR(__xludf.DUMMYFUNCTION("""COMPUTED_VALUE"""),39862.666666666664)</f>
        <v>39862.66667</v>
      </c>
      <c r="N1297" s="2">
        <f>IFERROR(__xludf.DUMMYFUNCTION("""COMPUTED_VALUE"""),1467.97)</f>
        <v>1467.97</v>
      </c>
    </row>
    <row r="1298">
      <c r="A1298" s="10">
        <f t="shared" si="8"/>
        <v>39280.66667</v>
      </c>
      <c r="B1298" s="2" t="str">
        <f t="shared" si="2"/>
        <v/>
      </c>
      <c r="C1298" s="2" t="str">
        <f t="shared" si="3"/>
        <v>SP500</v>
      </c>
      <c r="D1298" s="2">
        <f t="shared" si="4"/>
        <v>2712.29</v>
      </c>
      <c r="E1298" s="2">
        <f t="shared" si="5"/>
        <v>2712.29</v>
      </c>
      <c r="G1298" s="10">
        <f t="shared" si="9"/>
        <v>39280.64583</v>
      </c>
      <c r="H1298" s="6" t="str">
        <f t="shared" si="6"/>
        <v/>
      </c>
      <c r="I1298" s="2">
        <f t="shared" si="7"/>
        <v>1949.51</v>
      </c>
      <c r="M1298" s="10">
        <f>IFERROR(__xludf.DUMMYFUNCTION("""COMPUTED_VALUE"""),39863.666666666664)</f>
        <v>39863.66667</v>
      </c>
      <c r="N1298" s="2">
        <f>IFERROR(__xludf.DUMMYFUNCTION("""COMPUTED_VALUE"""),1442.82)</f>
        <v>1442.82</v>
      </c>
    </row>
    <row r="1299">
      <c r="A1299" s="10">
        <f t="shared" si="8"/>
        <v>39281.66667</v>
      </c>
      <c r="B1299" s="2" t="str">
        <f t="shared" si="2"/>
        <v/>
      </c>
      <c r="C1299" s="2" t="str">
        <f t="shared" si="3"/>
        <v>SP500</v>
      </c>
      <c r="D1299" s="2">
        <f t="shared" si="4"/>
        <v>2699.49</v>
      </c>
      <c r="E1299" s="2">
        <f t="shared" si="5"/>
        <v>2699.49</v>
      </c>
      <c r="G1299" s="10">
        <f t="shared" si="9"/>
        <v>39281.64583</v>
      </c>
      <c r="H1299" s="6">
        <f t="shared" si="6"/>
        <v>1930.7</v>
      </c>
      <c r="I1299" s="2">
        <f t="shared" si="7"/>
        <v>1930.7</v>
      </c>
      <c r="M1299" s="10">
        <f>IFERROR(__xludf.DUMMYFUNCTION("""COMPUTED_VALUE"""),39864.666666666664)</f>
        <v>39864.66667</v>
      </c>
      <c r="N1299" s="2">
        <f>IFERROR(__xludf.DUMMYFUNCTION("""COMPUTED_VALUE"""),1441.23)</f>
        <v>1441.23</v>
      </c>
    </row>
    <row r="1300">
      <c r="A1300" s="10">
        <f t="shared" si="8"/>
        <v>39282.66667</v>
      </c>
      <c r="B1300" s="2" t="str">
        <f t="shared" si="2"/>
        <v/>
      </c>
      <c r="C1300" s="2" t="str">
        <f t="shared" si="3"/>
        <v>SP500</v>
      </c>
      <c r="D1300" s="2">
        <f t="shared" si="4"/>
        <v>2720.04</v>
      </c>
      <c r="E1300" s="2">
        <f t="shared" si="5"/>
        <v>2720.04</v>
      </c>
      <c r="G1300" s="10">
        <f t="shared" si="9"/>
        <v>39282.64583</v>
      </c>
      <c r="H1300" s="6">
        <f t="shared" si="6"/>
        <v>1937.9</v>
      </c>
      <c r="I1300" s="2">
        <f t="shared" si="7"/>
        <v>1937.9</v>
      </c>
      <c r="M1300" s="10">
        <f>IFERROR(__xludf.DUMMYFUNCTION("""COMPUTED_VALUE"""),39867.666666666664)</f>
        <v>39867.66667</v>
      </c>
      <c r="N1300" s="2">
        <f>IFERROR(__xludf.DUMMYFUNCTION("""COMPUTED_VALUE"""),1387.72)</f>
        <v>1387.72</v>
      </c>
    </row>
    <row r="1301">
      <c r="A1301" s="10">
        <f t="shared" si="8"/>
        <v>39283.66667</v>
      </c>
      <c r="B1301" s="2" t="str">
        <f t="shared" si="2"/>
        <v/>
      </c>
      <c r="C1301" s="2" t="str">
        <f t="shared" si="3"/>
        <v>SP500</v>
      </c>
      <c r="D1301" s="2">
        <f t="shared" si="4"/>
        <v>2687.6</v>
      </c>
      <c r="E1301" s="2">
        <f t="shared" si="5"/>
        <v>2687.6</v>
      </c>
      <c r="G1301" s="10">
        <f t="shared" si="9"/>
        <v>39283.64583</v>
      </c>
      <c r="H1301" s="6">
        <f t="shared" si="6"/>
        <v>1983.54</v>
      </c>
      <c r="I1301" s="2">
        <f t="shared" si="7"/>
        <v>1983.54</v>
      </c>
      <c r="M1301" s="10">
        <f>IFERROR(__xludf.DUMMYFUNCTION("""COMPUTED_VALUE"""),39868.666666666664)</f>
        <v>39868.66667</v>
      </c>
      <c r="N1301" s="2">
        <f>IFERROR(__xludf.DUMMYFUNCTION("""COMPUTED_VALUE"""),1441.83)</f>
        <v>1441.83</v>
      </c>
    </row>
    <row r="1302">
      <c r="A1302" s="10">
        <f t="shared" si="8"/>
        <v>39284.66667</v>
      </c>
      <c r="B1302" s="2" t="str">
        <f t="shared" si="2"/>
        <v/>
      </c>
      <c r="C1302" s="2" t="str">
        <f t="shared" si="3"/>
        <v>SP500</v>
      </c>
      <c r="D1302" s="2" t="str">
        <f t="shared" si="4"/>
        <v/>
      </c>
      <c r="E1302" s="2">
        <f t="shared" si="5"/>
        <v>2687.6</v>
      </c>
      <c r="G1302" s="10">
        <f t="shared" si="9"/>
        <v>39284.64583</v>
      </c>
      <c r="H1302" s="6" t="str">
        <f t="shared" si="6"/>
        <v/>
      </c>
      <c r="I1302" s="2">
        <f t="shared" si="7"/>
        <v>1983.54</v>
      </c>
      <c r="M1302" s="10">
        <f>IFERROR(__xludf.DUMMYFUNCTION("""COMPUTED_VALUE"""),39869.666666666664)</f>
        <v>39869.66667</v>
      </c>
      <c r="N1302" s="2">
        <f>IFERROR(__xludf.DUMMYFUNCTION("""COMPUTED_VALUE"""),1425.43)</f>
        <v>1425.43</v>
      </c>
    </row>
    <row r="1303">
      <c r="A1303" s="10">
        <f t="shared" si="8"/>
        <v>39285.66667</v>
      </c>
      <c r="B1303" s="2" t="str">
        <f t="shared" si="2"/>
        <v/>
      </c>
      <c r="C1303" s="2" t="str">
        <f t="shared" si="3"/>
        <v>SP500</v>
      </c>
      <c r="D1303" s="2" t="str">
        <f t="shared" si="4"/>
        <v/>
      </c>
      <c r="E1303" s="2">
        <f t="shared" si="5"/>
        <v>2687.6</v>
      </c>
      <c r="G1303" s="10">
        <f t="shared" si="9"/>
        <v>39285.64583</v>
      </c>
      <c r="H1303" s="6" t="str">
        <f t="shared" si="6"/>
        <v/>
      </c>
      <c r="I1303" s="2">
        <f t="shared" si="7"/>
        <v>1983.54</v>
      </c>
      <c r="M1303" s="10">
        <f>IFERROR(__xludf.DUMMYFUNCTION("""COMPUTED_VALUE"""),39870.666666666664)</f>
        <v>39870.66667</v>
      </c>
      <c r="N1303" s="2">
        <f>IFERROR(__xludf.DUMMYFUNCTION("""COMPUTED_VALUE"""),1391.47)</f>
        <v>1391.47</v>
      </c>
    </row>
    <row r="1304">
      <c r="A1304" s="10">
        <f t="shared" si="8"/>
        <v>39286.66667</v>
      </c>
      <c r="B1304" s="2" t="str">
        <f t="shared" si="2"/>
        <v/>
      </c>
      <c r="C1304" s="2" t="str">
        <f t="shared" si="3"/>
        <v>SP500</v>
      </c>
      <c r="D1304" s="2">
        <f t="shared" si="4"/>
        <v>2690.58</v>
      </c>
      <c r="E1304" s="2">
        <f t="shared" si="5"/>
        <v>2690.58</v>
      </c>
      <c r="G1304" s="10">
        <f t="shared" si="9"/>
        <v>39286.64583</v>
      </c>
      <c r="H1304" s="6">
        <f t="shared" si="6"/>
        <v>1993.05</v>
      </c>
      <c r="I1304" s="2">
        <f t="shared" si="7"/>
        <v>1993.05</v>
      </c>
      <c r="M1304" s="10">
        <f>IFERROR(__xludf.DUMMYFUNCTION("""COMPUTED_VALUE"""),39871.666666666664)</f>
        <v>39871.66667</v>
      </c>
      <c r="N1304" s="2">
        <f>IFERROR(__xludf.DUMMYFUNCTION("""COMPUTED_VALUE"""),1377.84)</f>
        <v>1377.84</v>
      </c>
    </row>
    <row r="1305">
      <c r="A1305" s="10">
        <f t="shared" si="8"/>
        <v>39287.66667</v>
      </c>
      <c r="B1305" s="2" t="str">
        <f t="shared" si="2"/>
        <v/>
      </c>
      <c r="C1305" s="2" t="str">
        <f t="shared" si="3"/>
        <v>SP500</v>
      </c>
      <c r="D1305" s="2">
        <f t="shared" si="4"/>
        <v>2639.86</v>
      </c>
      <c r="E1305" s="2">
        <f t="shared" si="5"/>
        <v>2639.86</v>
      </c>
      <c r="G1305" s="10">
        <f t="shared" si="9"/>
        <v>39287.64583</v>
      </c>
      <c r="H1305" s="6">
        <f t="shared" si="6"/>
        <v>1992.26</v>
      </c>
      <c r="I1305" s="2">
        <f t="shared" si="7"/>
        <v>1992.26</v>
      </c>
      <c r="M1305" s="10">
        <f>IFERROR(__xludf.DUMMYFUNCTION("""COMPUTED_VALUE"""),39874.666666666664)</f>
        <v>39874.66667</v>
      </c>
      <c r="N1305" s="2">
        <f>IFERROR(__xludf.DUMMYFUNCTION("""COMPUTED_VALUE"""),1322.85)</f>
        <v>1322.85</v>
      </c>
    </row>
    <row r="1306">
      <c r="A1306" s="10">
        <f t="shared" si="8"/>
        <v>39288.66667</v>
      </c>
      <c r="B1306" s="2" t="str">
        <f t="shared" si="2"/>
        <v/>
      </c>
      <c r="C1306" s="2" t="str">
        <f t="shared" si="3"/>
        <v>SP500</v>
      </c>
      <c r="D1306" s="2">
        <f t="shared" si="4"/>
        <v>2648.17</v>
      </c>
      <c r="E1306" s="2">
        <f t="shared" si="5"/>
        <v>2648.17</v>
      </c>
      <c r="G1306" s="10">
        <f t="shared" si="9"/>
        <v>39288.64583</v>
      </c>
      <c r="H1306" s="6">
        <f t="shared" si="6"/>
        <v>2004.22</v>
      </c>
      <c r="I1306" s="2">
        <f t="shared" si="7"/>
        <v>2004.22</v>
      </c>
      <c r="M1306" s="10">
        <f>IFERROR(__xludf.DUMMYFUNCTION("""COMPUTED_VALUE"""),39875.666666666664)</f>
        <v>39875.66667</v>
      </c>
      <c r="N1306" s="2">
        <f>IFERROR(__xludf.DUMMYFUNCTION("""COMPUTED_VALUE"""),1321.01)</f>
        <v>1321.01</v>
      </c>
    </row>
    <row r="1307">
      <c r="A1307" s="10">
        <f t="shared" si="8"/>
        <v>39289.66667</v>
      </c>
      <c r="B1307" s="2" t="str">
        <f t="shared" si="2"/>
        <v/>
      </c>
      <c r="C1307" s="2" t="str">
        <f t="shared" si="3"/>
        <v>SP500</v>
      </c>
      <c r="D1307" s="2">
        <f t="shared" si="4"/>
        <v>2599.34</v>
      </c>
      <c r="E1307" s="2">
        <f t="shared" si="5"/>
        <v>2599.34</v>
      </c>
      <c r="G1307" s="10">
        <f t="shared" si="9"/>
        <v>39289.64583</v>
      </c>
      <c r="H1307" s="6">
        <f t="shared" si="6"/>
        <v>1963.54</v>
      </c>
      <c r="I1307" s="2">
        <f t="shared" si="7"/>
        <v>1963.54</v>
      </c>
      <c r="M1307" s="10">
        <f>IFERROR(__xludf.DUMMYFUNCTION("""COMPUTED_VALUE"""),39876.666666666664)</f>
        <v>39876.66667</v>
      </c>
      <c r="N1307" s="2">
        <f>IFERROR(__xludf.DUMMYFUNCTION("""COMPUTED_VALUE"""),1353.74)</f>
        <v>1353.74</v>
      </c>
    </row>
    <row r="1308">
      <c r="A1308" s="10">
        <f t="shared" si="8"/>
        <v>39290.66667</v>
      </c>
      <c r="B1308" s="2" t="str">
        <f t="shared" si="2"/>
        <v/>
      </c>
      <c r="C1308" s="2" t="str">
        <f t="shared" si="3"/>
        <v>SP500</v>
      </c>
      <c r="D1308" s="2">
        <f t="shared" si="4"/>
        <v>2562.24</v>
      </c>
      <c r="E1308" s="2">
        <f t="shared" si="5"/>
        <v>2562.24</v>
      </c>
      <c r="G1308" s="10">
        <f t="shared" si="9"/>
        <v>39290.64583</v>
      </c>
      <c r="H1308" s="6">
        <f t="shared" si="6"/>
        <v>1883.22</v>
      </c>
      <c r="I1308" s="2">
        <f t="shared" si="7"/>
        <v>1883.22</v>
      </c>
      <c r="M1308" s="10">
        <f>IFERROR(__xludf.DUMMYFUNCTION("""COMPUTED_VALUE"""),39877.666666666664)</f>
        <v>39877.66667</v>
      </c>
      <c r="N1308" s="2">
        <f>IFERROR(__xludf.DUMMYFUNCTION("""COMPUTED_VALUE"""),1299.59)</f>
        <v>1299.59</v>
      </c>
    </row>
    <row r="1309">
      <c r="A1309" s="10">
        <f t="shared" si="8"/>
        <v>39291.66667</v>
      </c>
      <c r="B1309" s="2" t="str">
        <f t="shared" si="2"/>
        <v/>
      </c>
      <c r="C1309" s="2" t="str">
        <f t="shared" si="3"/>
        <v>SP500</v>
      </c>
      <c r="D1309" s="2" t="str">
        <f t="shared" si="4"/>
        <v/>
      </c>
      <c r="E1309" s="2">
        <f t="shared" si="5"/>
        <v>2562.24</v>
      </c>
      <c r="G1309" s="10">
        <f t="shared" si="9"/>
        <v>39291.64583</v>
      </c>
      <c r="H1309" s="6" t="str">
        <f t="shared" si="6"/>
        <v/>
      </c>
      <c r="I1309" s="2">
        <f t="shared" si="7"/>
        <v>1883.22</v>
      </c>
      <c r="M1309" s="10">
        <f>IFERROR(__xludf.DUMMYFUNCTION("""COMPUTED_VALUE"""),39878.666666666664)</f>
        <v>39878.66667</v>
      </c>
      <c r="N1309" s="2">
        <f>IFERROR(__xludf.DUMMYFUNCTION("""COMPUTED_VALUE"""),1293.85)</f>
        <v>1293.85</v>
      </c>
    </row>
    <row r="1310">
      <c r="A1310" s="10">
        <f t="shared" si="8"/>
        <v>39292.66667</v>
      </c>
      <c r="B1310" s="2" t="str">
        <f t="shared" si="2"/>
        <v/>
      </c>
      <c r="C1310" s="2" t="str">
        <f t="shared" si="3"/>
        <v>SP500</v>
      </c>
      <c r="D1310" s="2" t="str">
        <f t="shared" si="4"/>
        <v/>
      </c>
      <c r="E1310" s="2">
        <f t="shared" si="5"/>
        <v>2562.24</v>
      </c>
      <c r="G1310" s="10">
        <f t="shared" si="9"/>
        <v>39292.64583</v>
      </c>
      <c r="H1310" s="6" t="str">
        <f t="shared" si="6"/>
        <v/>
      </c>
      <c r="I1310" s="2">
        <f t="shared" si="7"/>
        <v>1883.22</v>
      </c>
      <c r="M1310" s="10">
        <f>IFERROR(__xludf.DUMMYFUNCTION("""COMPUTED_VALUE"""),39881.666666666664)</f>
        <v>39881.66667</v>
      </c>
      <c r="N1310" s="2">
        <f>IFERROR(__xludf.DUMMYFUNCTION("""COMPUTED_VALUE"""),1268.64)</f>
        <v>1268.64</v>
      </c>
    </row>
    <row r="1311">
      <c r="A1311" s="10">
        <f t="shared" si="8"/>
        <v>39293.66667</v>
      </c>
      <c r="B1311" s="2" t="str">
        <f t="shared" si="2"/>
        <v/>
      </c>
      <c r="C1311" s="2" t="str">
        <f t="shared" si="3"/>
        <v>SP500</v>
      </c>
      <c r="D1311" s="2">
        <f t="shared" si="4"/>
        <v>2583.28</v>
      </c>
      <c r="E1311" s="2">
        <f t="shared" si="5"/>
        <v>2583.28</v>
      </c>
      <c r="G1311" s="10">
        <f t="shared" si="9"/>
        <v>39293.64583</v>
      </c>
      <c r="H1311" s="6">
        <f t="shared" si="6"/>
        <v>1906.71</v>
      </c>
      <c r="I1311" s="2">
        <f t="shared" si="7"/>
        <v>1906.71</v>
      </c>
      <c r="M1311" s="10">
        <f>IFERROR(__xludf.DUMMYFUNCTION("""COMPUTED_VALUE"""),39882.666666666664)</f>
        <v>39882.66667</v>
      </c>
      <c r="N1311" s="2">
        <f>IFERROR(__xludf.DUMMYFUNCTION("""COMPUTED_VALUE"""),1358.28)</f>
        <v>1358.28</v>
      </c>
    </row>
    <row r="1312">
      <c r="A1312" s="10">
        <f t="shared" si="8"/>
        <v>39294.66667</v>
      </c>
      <c r="B1312" s="2" t="str">
        <f t="shared" si="2"/>
        <v/>
      </c>
      <c r="C1312" s="2" t="str">
        <f t="shared" si="3"/>
        <v>SP500</v>
      </c>
      <c r="D1312" s="2">
        <f t="shared" si="4"/>
        <v>2546.27</v>
      </c>
      <c r="E1312" s="2">
        <f t="shared" si="5"/>
        <v>2546.27</v>
      </c>
      <c r="G1312" s="10">
        <f t="shared" si="9"/>
        <v>39294.64583</v>
      </c>
      <c r="H1312" s="6">
        <f t="shared" si="6"/>
        <v>1933.27</v>
      </c>
      <c r="I1312" s="2">
        <f t="shared" si="7"/>
        <v>1933.27</v>
      </c>
      <c r="M1312" s="10">
        <f>IFERROR(__xludf.DUMMYFUNCTION("""COMPUTED_VALUE"""),39883.666666666664)</f>
        <v>39883.66667</v>
      </c>
      <c r="N1312" s="2">
        <f>IFERROR(__xludf.DUMMYFUNCTION("""COMPUTED_VALUE"""),1371.64)</f>
        <v>1371.64</v>
      </c>
    </row>
    <row r="1313">
      <c r="A1313" s="10">
        <f t="shared" si="8"/>
        <v>39295.66667</v>
      </c>
      <c r="B1313" s="2" t="str">
        <f t="shared" si="2"/>
        <v/>
      </c>
      <c r="C1313" s="2" t="str">
        <f t="shared" si="3"/>
        <v>SP500</v>
      </c>
      <c r="D1313" s="2">
        <f t="shared" si="4"/>
        <v>2553.87</v>
      </c>
      <c r="E1313" s="2">
        <f t="shared" si="5"/>
        <v>2553.87</v>
      </c>
      <c r="G1313" s="10">
        <f t="shared" si="9"/>
        <v>39295.64583</v>
      </c>
      <c r="H1313" s="6">
        <f t="shared" si="6"/>
        <v>1856.45</v>
      </c>
      <c r="I1313" s="2">
        <f t="shared" si="7"/>
        <v>1856.45</v>
      </c>
      <c r="M1313" s="10">
        <f>IFERROR(__xludf.DUMMYFUNCTION("""COMPUTED_VALUE"""),39884.666666666664)</f>
        <v>39884.66667</v>
      </c>
      <c r="N1313" s="2">
        <f>IFERROR(__xludf.DUMMYFUNCTION("""COMPUTED_VALUE"""),1426.1)</f>
        <v>1426.1</v>
      </c>
    </row>
    <row r="1314">
      <c r="A1314" s="10">
        <f t="shared" si="8"/>
        <v>39296.66667</v>
      </c>
      <c r="B1314" s="2" t="str">
        <f t="shared" si="2"/>
        <v/>
      </c>
      <c r="C1314" s="2" t="str">
        <f t="shared" si="3"/>
        <v>SP500</v>
      </c>
      <c r="D1314" s="2">
        <f t="shared" si="4"/>
        <v>2575.98</v>
      </c>
      <c r="E1314" s="2">
        <f t="shared" si="5"/>
        <v>2575.98</v>
      </c>
      <c r="G1314" s="10">
        <f t="shared" si="9"/>
        <v>39296.64583</v>
      </c>
      <c r="H1314" s="6">
        <f t="shared" si="6"/>
        <v>1853.07</v>
      </c>
      <c r="I1314" s="2">
        <f t="shared" si="7"/>
        <v>1853.07</v>
      </c>
      <c r="M1314" s="10">
        <f>IFERROR(__xludf.DUMMYFUNCTION("""COMPUTED_VALUE"""),39885.666666666664)</f>
        <v>39885.66667</v>
      </c>
      <c r="N1314" s="2">
        <f>IFERROR(__xludf.DUMMYFUNCTION("""COMPUTED_VALUE"""),1431.5)</f>
        <v>1431.5</v>
      </c>
    </row>
    <row r="1315">
      <c r="A1315" s="10">
        <f t="shared" si="8"/>
        <v>39297.66667</v>
      </c>
      <c r="B1315" s="2" t="str">
        <f t="shared" si="2"/>
        <v/>
      </c>
      <c r="C1315" s="2" t="str">
        <f t="shared" si="3"/>
        <v>SP500</v>
      </c>
      <c r="D1315" s="2">
        <f t="shared" si="4"/>
        <v>2511.25</v>
      </c>
      <c r="E1315" s="2">
        <f t="shared" si="5"/>
        <v>2511.25</v>
      </c>
      <c r="G1315" s="10">
        <f t="shared" si="9"/>
        <v>39297.64583</v>
      </c>
      <c r="H1315" s="6">
        <f t="shared" si="6"/>
        <v>1876.8</v>
      </c>
      <c r="I1315" s="2">
        <f t="shared" si="7"/>
        <v>1876.8</v>
      </c>
      <c r="M1315" s="10">
        <f>IFERROR(__xludf.DUMMYFUNCTION("""COMPUTED_VALUE"""),39888.666666666664)</f>
        <v>39888.66667</v>
      </c>
      <c r="N1315" s="2">
        <f>IFERROR(__xludf.DUMMYFUNCTION("""COMPUTED_VALUE"""),1404.02)</f>
        <v>1404.02</v>
      </c>
    </row>
    <row r="1316">
      <c r="A1316" s="10">
        <f t="shared" si="8"/>
        <v>39298.66667</v>
      </c>
      <c r="B1316" s="2" t="str">
        <f t="shared" si="2"/>
        <v/>
      </c>
      <c r="C1316" s="2" t="str">
        <f t="shared" si="3"/>
        <v>SP500</v>
      </c>
      <c r="D1316" s="2" t="str">
        <f t="shared" si="4"/>
        <v/>
      </c>
      <c r="E1316" s="2">
        <f t="shared" si="5"/>
        <v>2511.25</v>
      </c>
      <c r="G1316" s="10">
        <f t="shared" si="9"/>
        <v>39298.64583</v>
      </c>
      <c r="H1316" s="6" t="str">
        <f t="shared" si="6"/>
        <v/>
      </c>
      <c r="I1316" s="2">
        <f t="shared" si="7"/>
        <v>1876.8</v>
      </c>
      <c r="M1316" s="10">
        <f>IFERROR(__xludf.DUMMYFUNCTION("""COMPUTED_VALUE"""),39889.666666666664)</f>
        <v>39889.66667</v>
      </c>
      <c r="N1316" s="2">
        <f>IFERROR(__xludf.DUMMYFUNCTION("""COMPUTED_VALUE"""),1462.11)</f>
        <v>1462.11</v>
      </c>
    </row>
    <row r="1317">
      <c r="A1317" s="10">
        <f t="shared" si="8"/>
        <v>39299.66667</v>
      </c>
      <c r="B1317" s="2" t="str">
        <f t="shared" si="2"/>
        <v/>
      </c>
      <c r="C1317" s="2" t="str">
        <f t="shared" si="3"/>
        <v>SP500</v>
      </c>
      <c r="D1317" s="2" t="str">
        <f t="shared" si="4"/>
        <v/>
      </c>
      <c r="E1317" s="2">
        <f t="shared" si="5"/>
        <v>2511.25</v>
      </c>
      <c r="G1317" s="10">
        <f t="shared" si="9"/>
        <v>39299.64583</v>
      </c>
      <c r="H1317" s="6" t="str">
        <f t="shared" si="6"/>
        <v/>
      </c>
      <c r="I1317" s="2">
        <f t="shared" si="7"/>
        <v>1876.8</v>
      </c>
      <c r="M1317" s="10">
        <f>IFERROR(__xludf.DUMMYFUNCTION("""COMPUTED_VALUE"""),39890.666666666664)</f>
        <v>39890.66667</v>
      </c>
      <c r="N1317" s="2">
        <f>IFERROR(__xludf.DUMMYFUNCTION("""COMPUTED_VALUE"""),1491.22)</f>
        <v>1491.22</v>
      </c>
    </row>
    <row r="1318">
      <c r="A1318" s="10">
        <f t="shared" si="8"/>
        <v>39300.66667</v>
      </c>
      <c r="B1318" s="2" t="str">
        <f t="shared" si="2"/>
        <v/>
      </c>
      <c r="C1318" s="2" t="str">
        <f t="shared" si="3"/>
        <v>SP500</v>
      </c>
      <c r="D1318" s="2">
        <f t="shared" si="4"/>
        <v>2547.33</v>
      </c>
      <c r="E1318" s="2">
        <f t="shared" si="5"/>
        <v>2547.33</v>
      </c>
      <c r="G1318" s="10">
        <f t="shared" si="9"/>
        <v>39300.64583</v>
      </c>
      <c r="H1318" s="6">
        <f t="shared" si="6"/>
        <v>1855.05</v>
      </c>
      <c r="I1318" s="2">
        <f t="shared" si="7"/>
        <v>1855.05</v>
      </c>
      <c r="M1318" s="10">
        <f>IFERROR(__xludf.DUMMYFUNCTION("""COMPUTED_VALUE"""),39891.666666666664)</f>
        <v>39891.66667</v>
      </c>
      <c r="N1318" s="2">
        <f>IFERROR(__xludf.DUMMYFUNCTION("""COMPUTED_VALUE"""),1483.48)</f>
        <v>1483.48</v>
      </c>
    </row>
    <row r="1319">
      <c r="A1319" s="10">
        <f t="shared" si="8"/>
        <v>39301.66667</v>
      </c>
      <c r="B1319" s="2" t="str">
        <f t="shared" si="2"/>
        <v/>
      </c>
      <c r="C1319" s="2" t="str">
        <f t="shared" si="3"/>
        <v>SP500</v>
      </c>
      <c r="D1319" s="2">
        <f t="shared" si="4"/>
        <v>2561.6</v>
      </c>
      <c r="E1319" s="2">
        <f t="shared" si="5"/>
        <v>2561.6</v>
      </c>
      <c r="G1319" s="10">
        <f t="shared" si="9"/>
        <v>39301.64583</v>
      </c>
      <c r="H1319" s="6">
        <f t="shared" si="6"/>
        <v>1859.82</v>
      </c>
      <c r="I1319" s="2">
        <f t="shared" si="7"/>
        <v>1859.82</v>
      </c>
      <c r="M1319" s="10">
        <f>IFERROR(__xludf.DUMMYFUNCTION("""COMPUTED_VALUE"""),39892.666666666664)</f>
        <v>39892.66667</v>
      </c>
      <c r="N1319" s="2">
        <f>IFERROR(__xludf.DUMMYFUNCTION("""COMPUTED_VALUE"""),1457.27)</f>
        <v>1457.27</v>
      </c>
    </row>
    <row r="1320">
      <c r="A1320" s="10">
        <f t="shared" si="8"/>
        <v>39302.66667</v>
      </c>
      <c r="B1320" s="2" t="str">
        <f t="shared" si="2"/>
        <v/>
      </c>
      <c r="C1320" s="2" t="str">
        <f t="shared" si="3"/>
        <v>SP500</v>
      </c>
      <c r="D1320" s="2">
        <f t="shared" si="4"/>
        <v>2612.98</v>
      </c>
      <c r="E1320" s="2">
        <f t="shared" si="5"/>
        <v>2612.98</v>
      </c>
      <c r="G1320" s="10">
        <f t="shared" si="9"/>
        <v>39302.64583</v>
      </c>
      <c r="H1320" s="6">
        <f t="shared" si="6"/>
        <v>1903.41</v>
      </c>
      <c r="I1320" s="2">
        <f t="shared" si="7"/>
        <v>1903.41</v>
      </c>
      <c r="M1320" s="10">
        <f>IFERROR(__xludf.DUMMYFUNCTION("""COMPUTED_VALUE"""),39895.666666666664)</f>
        <v>39895.66667</v>
      </c>
      <c r="N1320" s="2">
        <f>IFERROR(__xludf.DUMMYFUNCTION("""COMPUTED_VALUE"""),1555.77)</f>
        <v>1555.77</v>
      </c>
    </row>
    <row r="1321">
      <c r="A1321" s="10">
        <f t="shared" si="8"/>
        <v>39303.66667</v>
      </c>
      <c r="B1321" s="2" t="str">
        <f t="shared" si="2"/>
        <v/>
      </c>
      <c r="C1321" s="2" t="str">
        <f t="shared" si="3"/>
        <v>SP500</v>
      </c>
      <c r="D1321" s="2">
        <f t="shared" si="4"/>
        <v>2556.49</v>
      </c>
      <c r="E1321" s="2">
        <f t="shared" si="5"/>
        <v>2556.49</v>
      </c>
      <c r="G1321" s="10">
        <f t="shared" si="9"/>
        <v>39303.64583</v>
      </c>
      <c r="H1321" s="6">
        <f t="shared" si="6"/>
        <v>1908.68</v>
      </c>
      <c r="I1321" s="2">
        <f t="shared" si="7"/>
        <v>1908.68</v>
      </c>
      <c r="M1321" s="10">
        <f>IFERROR(__xludf.DUMMYFUNCTION("""COMPUTED_VALUE"""),39896.666666666664)</f>
        <v>39896.66667</v>
      </c>
      <c r="N1321" s="2">
        <f>IFERROR(__xludf.DUMMYFUNCTION("""COMPUTED_VALUE"""),1516.52)</f>
        <v>1516.52</v>
      </c>
    </row>
    <row r="1322">
      <c r="A1322" s="10">
        <f t="shared" si="8"/>
        <v>39304.66667</v>
      </c>
      <c r="B1322" s="2" t="str">
        <f t="shared" si="2"/>
        <v/>
      </c>
      <c r="C1322" s="2" t="str">
        <f t="shared" si="3"/>
        <v>SP500</v>
      </c>
      <c r="D1322" s="2">
        <f t="shared" si="4"/>
        <v>2544.89</v>
      </c>
      <c r="E1322" s="2">
        <f t="shared" si="5"/>
        <v>2544.89</v>
      </c>
      <c r="G1322" s="10">
        <f t="shared" si="9"/>
        <v>39304.64583</v>
      </c>
      <c r="H1322" s="6">
        <f t="shared" si="6"/>
        <v>1828.49</v>
      </c>
      <c r="I1322" s="2">
        <f t="shared" si="7"/>
        <v>1828.49</v>
      </c>
      <c r="M1322" s="10">
        <f>IFERROR(__xludf.DUMMYFUNCTION("""COMPUTED_VALUE"""),39897.666666666664)</f>
        <v>39897.66667</v>
      </c>
      <c r="N1322" s="2">
        <f>IFERROR(__xludf.DUMMYFUNCTION("""COMPUTED_VALUE"""),1528.95)</f>
        <v>1528.95</v>
      </c>
    </row>
    <row r="1323">
      <c r="A1323" s="10">
        <f t="shared" si="8"/>
        <v>39305.66667</v>
      </c>
      <c r="B1323" s="2" t="str">
        <f t="shared" si="2"/>
        <v/>
      </c>
      <c r="C1323" s="2" t="str">
        <f t="shared" si="3"/>
        <v>SP500</v>
      </c>
      <c r="D1323" s="2" t="str">
        <f t="shared" si="4"/>
        <v/>
      </c>
      <c r="E1323" s="2">
        <f t="shared" si="5"/>
        <v>2544.89</v>
      </c>
      <c r="G1323" s="10">
        <f t="shared" si="9"/>
        <v>39305.64583</v>
      </c>
      <c r="H1323" s="6" t="str">
        <f t="shared" si="6"/>
        <v/>
      </c>
      <c r="I1323" s="2">
        <f t="shared" si="7"/>
        <v>1828.49</v>
      </c>
      <c r="M1323" s="10">
        <f>IFERROR(__xludf.DUMMYFUNCTION("""COMPUTED_VALUE"""),39898.666666666664)</f>
        <v>39898.66667</v>
      </c>
      <c r="N1323" s="2">
        <f>IFERROR(__xludf.DUMMYFUNCTION("""COMPUTED_VALUE"""),1587.0)</f>
        <v>1587</v>
      </c>
    </row>
    <row r="1324">
      <c r="A1324" s="10">
        <f t="shared" si="8"/>
        <v>39306.66667</v>
      </c>
      <c r="B1324" s="2" t="str">
        <f t="shared" si="2"/>
        <v/>
      </c>
      <c r="C1324" s="2" t="str">
        <f t="shared" si="3"/>
        <v>SP500</v>
      </c>
      <c r="D1324" s="2" t="str">
        <f t="shared" si="4"/>
        <v/>
      </c>
      <c r="E1324" s="2">
        <f t="shared" si="5"/>
        <v>2544.89</v>
      </c>
      <c r="G1324" s="10">
        <f t="shared" si="9"/>
        <v>39306.64583</v>
      </c>
      <c r="H1324" s="6" t="str">
        <f t="shared" si="6"/>
        <v/>
      </c>
      <c r="I1324" s="2">
        <f t="shared" si="7"/>
        <v>1828.49</v>
      </c>
      <c r="M1324" s="10">
        <f>IFERROR(__xludf.DUMMYFUNCTION("""COMPUTED_VALUE"""),39899.666666666664)</f>
        <v>39899.66667</v>
      </c>
      <c r="N1324" s="2">
        <f>IFERROR(__xludf.DUMMYFUNCTION("""COMPUTED_VALUE"""),1545.2)</f>
        <v>1545.2</v>
      </c>
    </row>
    <row r="1325">
      <c r="A1325" s="10">
        <f t="shared" si="8"/>
        <v>39307.66667</v>
      </c>
      <c r="B1325" s="2" t="str">
        <f t="shared" si="2"/>
        <v/>
      </c>
      <c r="C1325" s="2" t="str">
        <f t="shared" si="3"/>
        <v>SP500</v>
      </c>
      <c r="D1325" s="2">
        <f t="shared" si="4"/>
        <v>2542.24</v>
      </c>
      <c r="E1325" s="2">
        <f t="shared" si="5"/>
        <v>2542.24</v>
      </c>
      <c r="G1325" s="10">
        <f t="shared" si="9"/>
        <v>39307.64583</v>
      </c>
      <c r="H1325" s="6">
        <f t="shared" si="6"/>
        <v>1849.26</v>
      </c>
      <c r="I1325" s="2">
        <f t="shared" si="7"/>
        <v>1849.26</v>
      </c>
      <c r="M1325" s="10">
        <f>IFERROR(__xludf.DUMMYFUNCTION("""COMPUTED_VALUE"""),39902.666666666664)</f>
        <v>39902.66667</v>
      </c>
      <c r="N1325" s="2">
        <f>IFERROR(__xludf.DUMMYFUNCTION("""COMPUTED_VALUE"""),1501.8)</f>
        <v>1501.8</v>
      </c>
    </row>
    <row r="1326">
      <c r="A1326" s="10">
        <f t="shared" si="8"/>
        <v>39308.66667</v>
      </c>
      <c r="B1326" s="2" t="str">
        <f t="shared" si="2"/>
        <v/>
      </c>
      <c r="C1326" s="2" t="str">
        <f t="shared" si="3"/>
        <v>SP500</v>
      </c>
      <c r="D1326" s="2">
        <f t="shared" si="4"/>
        <v>2499.12</v>
      </c>
      <c r="E1326" s="2">
        <f t="shared" si="5"/>
        <v>2499.12</v>
      </c>
      <c r="G1326" s="10">
        <f t="shared" si="9"/>
        <v>39308.64583</v>
      </c>
      <c r="H1326" s="6">
        <f t="shared" si="6"/>
        <v>1817.89</v>
      </c>
      <c r="I1326" s="2">
        <f t="shared" si="7"/>
        <v>1817.89</v>
      </c>
      <c r="M1326" s="10">
        <f>IFERROR(__xludf.DUMMYFUNCTION("""COMPUTED_VALUE"""),39903.666666666664)</f>
        <v>39903.66667</v>
      </c>
      <c r="N1326" s="2">
        <f>IFERROR(__xludf.DUMMYFUNCTION("""COMPUTED_VALUE"""),1528.59)</f>
        <v>1528.59</v>
      </c>
    </row>
    <row r="1327">
      <c r="A1327" s="10">
        <f t="shared" si="8"/>
        <v>39309.66667</v>
      </c>
      <c r="B1327" s="2" t="str">
        <f t="shared" si="2"/>
        <v/>
      </c>
      <c r="C1327" s="2" t="str">
        <f t="shared" si="3"/>
        <v>SP500</v>
      </c>
      <c r="D1327" s="2">
        <f t="shared" si="4"/>
        <v>2458.83</v>
      </c>
      <c r="E1327" s="2">
        <f t="shared" si="5"/>
        <v>2458.83</v>
      </c>
      <c r="G1327" s="10">
        <f t="shared" si="9"/>
        <v>39309.64583</v>
      </c>
      <c r="H1327" s="6" t="str">
        <f t="shared" si="6"/>
        <v/>
      </c>
      <c r="I1327" s="2">
        <f t="shared" si="7"/>
        <v>1817.89</v>
      </c>
      <c r="M1327" s="10">
        <f>IFERROR(__xludf.DUMMYFUNCTION("""COMPUTED_VALUE"""),39904.666666666664)</f>
        <v>39904.66667</v>
      </c>
      <c r="N1327" s="2">
        <f>IFERROR(__xludf.DUMMYFUNCTION("""COMPUTED_VALUE"""),1551.6)</f>
        <v>1551.6</v>
      </c>
    </row>
    <row r="1328">
      <c r="A1328" s="10">
        <f t="shared" si="8"/>
        <v>39310.66667</v>
      </c>
      <c r="B1328" s="2" t="str">
        <f t="shared" si="2"/>
        <v/>
      </c>
      <c r="C1328" s="2" t="str">
        <f t="shared" si="3"/>
        <v>SP500</v>
      </c>
      <c r="D1328" s="2">
        <f t="shared" si="4"/>
        <v>2451.07</v>
      </c>
      <c r="E1328" s="2">
        <f t="shared" si="5"/>
        <v>2451.07</v>
      </c>
      <c r="G1328" s="10">
        <f t="shared" si="9"/>
        <v>39310.64583</v>
      </c>
      <c r="H1328" s="6">
        <f t="shared" si="6"/>
        <v>1691.98</v>
      </c>
      <c r="I1328" s="2">
        <f t="shared" si="7"/>
        <v>1691.98</v>
      </c>
      <c r="M1328" s="10">
        <f>IFERROR(__xludf.DUMMYFUNCTION("""COMPUTED_VALUE"""),39905.666666666664)</f>
        <v>39905.66667</v>
      </c>
      <c r="N1328" s="2">
        <f>IFERROR(__xludf.DUMMYFUNCTION("""COMPUTED_VALUE"""),1602.63)</f>
        <v>1602.63</v>
      </c>
    </row>
    <row r="1329">
      <c r="A1329" s="10">
        <f t="shared" si="8"/>
        <v>39311.66667</v>
      </c>
      <c r="B1329" s="2" t="str">
        <f t="shared" si="2"/>
        <v/>
      </c>
      <c r="C1329" s="2" t="str">
        <f t="shared" si="3"/>
        <v>SP500</v>
      </c>
      <c r="D1329" s="2">
        <f t="shared" si="4"/>
        <v>2505.03</v>
      </c>
      <c r="E1329" s="2">
        <f t="shared" si="5"/>
        <v>2505.03</v>
      </c>
      <c r="G1329" s="10">
        <f t="shared" si="9"/>
        <v>39311.64583</v>
      </c>
      <c r="H1329" s="6">
        <f t="shared" si="6"/>
        <v>1638.07</v>
      </c>
      <c r="I1329" s="2">
        <f t="shared" si="7"/>
        <v>1638.07</v>
      </c>
      <c r="M1329" s="10">
        <f>IFERROR(__xludf.DUMMYFUNCTION("""COMPUTED_VALUE"""),39906.666666666664)</f>
        <v>39906.66667</v>
      </c>
      <c r="N1329" s="2">
        <f>IFERROR(__xludf.DUMMYFUNCTION("""COMPUTED_VALUE"""),1621.87)</f>
        <v>1621.87</v>
      </c>
    </row>
    <row r="1330">
      <c r="A1330" s="10">
        <f t="shared" si="8"/>
        <v>39312.66667</v>
      </c>
      <c r="B1330" s="2" t="str">
        <f t="shared" si="2"/>
        <v/>
      </c>
      <c r="C1330" s="2" t="str">
        <f t="shared" si="3"/>
        <v>SP500</v>
      </c>
      <c r="D1330" s="2" t="str">
        <f t="shared" si="4"/>
        <v/>
      </c>
      <c r="E1330" s="2">
        <f t="shared" si="5"/>
        <v>2505.03</v>
      </c>
      <c r="G1330" s="10">
        <f t="shared" si="9"/>
        <v>39312.64583</v>
      </c>
      <c r="H1330" s="6" t="str">
        <f t="shared" si="6"/>
        <v/>
      </c>
      <c r="I1330" s="2">
        <f t="shared" si="7"/>
        <v>1638.07</v>
      </c>
      <c r="M1330" s="10">
        <f>IFERROR(__xludf.DUMMYFUNCTION("""COMPUTED_VALUE"""),39909.666666666664)</f>
        <v>39909.66667</v>
      </c>
      <c r="N1330" s="2">
        <f>IFERROR(__xludf.DUMMYFUNCTION("""COMPUTED_VALUE"""),1606.71)</f>
        <v>1606.71</v>
      </c>
    </row>
    <row r="1331">
      <c r="A1331" s="10">
        <f t="shared" si="8"/>
        <v>39313.66667</v>
      </c>
      <c r="B1331" s="2" t="str">
        <f t="shared" si="2"/>
        <v/>
      </c>
      <c r="C1331" s="2" t="str">
        <f t="shared" si="3"/>
        <v>SP500</v>
      </c>
      <c r="D1331" s="2" t="str">
        <f t="shared" si="4"/>
        <v/>
      </c>
      <c r="E1331" s="2">
        <f t="shared" si="5"/>
        <v>2505.03</v>
      </c>
      <c r="G1331" s="10">
        <f t="shared" si="9"/>
        <v>39313.64583</v>
      </c>
      <c r="H1331" s="6" t="str">
        <f t="shared" si="6"/>
        <v/>
      </c>
      <c r="I1331" s="2">
        <f t="shared" si="7"/>
        <v>1638.07</v>
      </c>
      <c r="M1331" s="10">
        <f>IFERROR(__xludf.DUMMYFUNCTION("""COMPUTED_VALUE"""),39910.666666666664)</f>
        <v>39910.66667</v>
      </c>
      <c r="N1331" s="2">
        <f>IFERROR(__xludf.DUMMYFUNCTION("""COMPUTED_VALUE"""),1561.61)</f>
        <v>1561.61</v>
      </c>
    </row>
    <row r="1332">
      <c r="A1332" s="10">
        <f t="shared" si="8"/>
        <v>39314.66667</v>
      </c>
      <c r="B1332" s="2" t="str">
        <f t="shared" si="2"/>
        <v/>
      </c>
      <c r="C1332" s="2" t="str">
        <f t="shared" si="3"/>
        <v>SP500</v>
      </c>
      <c r="D1332" s="2">
        <f t="shared" si="4"/>
        <v>2508.59</v>
      </c>
      <c r="E1332" s="2">
        <f t="shared" si="5"/>
        <v>2508.59</v>
      </c>
      <c r="G1332" s="10">
        <f t="shared" si="9"/>
        <v>39314.64583</v>
      </c>
      <c r="H1332" s="6">
        <f t="shared" si="6"/>
        <v>1731.27</v>
      </c>
      <c r="I1332" s="2">
        <f t="shared" si="7"/>
        <v>1731.27</v>
      </c>
      <c r="M1332" s="10">
        <f>IFERROR(__xludf.DUMMYFUNCTION("""COMPUTED_VALUE"""),39911.666666666664)</f>
        <v>39911.66667</v>
      </c>
      <c r="N1332" s="2">
        <f>IFERROR(__xludf.DUMMYFUNCTION("""COMPUTED_VALUE"""),1590.66)</f>
        <v>1590.66</v>
      </c>
    </row>
    <row r="1333">
      <c r="A1333" s="10">
        <f t="shared" si="8"/>
        <v>39315.66667</v>
      </c>
      <c r="B1333" s="2" t="str">
        <f t="shared" si="2"/>
        <v/>
      </c>
      <c r="C1333" s="2" t="str">
        <f t="shared" si="3"/>
        <v>SP500</v>
      </c>
      <c r="D1333" s="2">
        <f t="shared" si="4"/>
        <v>2521.3</v>
      </c>
      <c r="E1333" s="2">
        <f t="shared" si="5"/>
        <v>2521.3</v>
      </c>
      <c r="G1333" s="10">
        <f t="shared" si="9"/>
        <v>39315.64583</v>
      </c>
      <c r="H1333" s="6">
        <f t="shared" si="6"/>
        <v>1736.18</v>
      </c>
      <c r="I1333" s="2">
        <f t="shared" si="7"/>
        <v>1736.18</v>
      </c>
      <c r="M1333" s="10">
        <f>IFERROR(__xludf.DUMMYFUNCTION("""COMPUTED_VALUE"""),39912.666666666664)</f>
        <v>39912.66667</v>
      </c>
      <c r="N1333" s="2">
        <f>IFERROR(__xludf.DUMMYFUNCTION("""COMPUTED_VALUE"""),1652.54)</f>
        <v>1652.54</v>
      </c>
    </row>
    <row r="1334">
      <c r="A1334" s="10">
        <f t="shared" si="8"/>
        <v>39316.66667</v>
      </c>
      <c r="B1334" s="2" t="str">
        <f t="shared" si="2"/>
        <v/>
      </c>
      <c r="C1334" s="2" t="str">
        <f t="shared" si="3"/>
        <v>SP500</v>
      </c>
      <c r="D1334" s="2">
        <f t="shared" si="4"/>
        <v>2552.8</v>
      </c>
      <c r="E1334" s="2">
        <f t="shared" si="5"/>
        <v>2552.8</v>
      </c>
      <c r="G1334" s="10">
        <f t="shared" si="9"/>
        <v>39316.64583</v>
      </c>
      <c r="H1334" s="6">
        <f t="shared" si="6"/>
        <v>1759.5</v>
      </c>
      <c r="I1334" s="2">
        <f t="shared" si="7"/>
        <v>1759.5</v>
      </c>
      <c r="M1334" s="10">
        <f>IFERROR(__xludf.DUMMYFUNCTION("""COMPUTED_VALUE"""),39916.666666666664)</f>
        <v>39916.66667</v>
      </c>
      <c r="N1334" s="2">
        <f>IFERROR(__xludf.DUMMYFUNCTION("""COMPUTED_VALUE"""),1653.31)</f>
        <v>1653.31</v>
      </c>
    </row>
    <row r="1335">
      <c r="A1335" s="10">
        <f t="shared" si="8"/>
        <v>39317.66667</v>
      </c>
      <c r="B1335" s="2" t="str">
        <f t="shared" si="2"/>
        <v/>
      </c>
      <c r="C1335" s="2" t="str">
        <f t="shared" si="3"/>
        <v>SP500</v>
      </c>
      <c r="D1335" s="2">
        <f t="shared" si="4"/>
        <v>2541.7</v>
      </c>
      <c r="E1335" s="2">
        <f t="shared" si="5"/>
        <v>2541.7</v>
      </c>
      <c r="G1335" s="10">
        <f t="shared" si="9"/>
        <v>39317.64583</v>
      </c>
      <c r="H1335" s="6">
        <f t="shared" si="6"/>
        <v>1799.72</v>
      </c>
      <c r="I1335" s="2">
        <f t="shared" si="7"/>
        <v>1799.72</v>
      </c>
      <c r="M1335" s="10">
        <f>IFERROR(__xludf.DUMMYFUNCTION("""COMPUTED_VALUE"""),39917.666666666664)</f>
        <v>39917.66667</v>
      </c>
      <c r="N1335" s="2">
        <f>IFERROR(__xludf.DUMMYFUNCTION("""COMPUTED_VALUE"""),1625.72)</f>
        <v>1625.72</v>
      </c>
    </row>
    <row r="1336">
      <c r="A1336" s="10">
        <f t="shared" si="8"/>
        <v>39318.66667</v>
      </c>
      <c r="B1336" s="2" t="str">
        <f t="shared" si="2"/>
        <v/>
      </c>
      <c r="C1336" s="2" t="str">
        <f t="shared" si="3"/>
        <v>SP500</v>
      </c>
      <c r="D1336" s="2">
        <f t="shared" si="4"/>
        <v>2576.69</v>
      </c>
      <c r="E1336" s="2">
        <f t="shared" si="5"/>
        <v>2576.69</v>
      </c>
      <c r="G1336" s="10">
        <f t="shared" si="9"/>
        <v>39318.64583</v>
      </c>
      <c r="H1336" s="6">
        <f t="shared" si="6"/>
        <v>1791.33</v>
      </c>
      <c r="I1336" s="2">
        <f t="shared" si="7"/>
        <v>1791.33</v>
      </c>
      <c r="M1336" s="10">
        <f>IFERROR(__xludf.DUMMYFUNCTION("""COMPUTED_VALUE"""),39918.666666666664)</f>
        <v>39918.66667</v>
      </c>
      <c r="N1336" s="2">
        <f>IFERROR(__xludf.DUMMYFUNCTION("""COMPUTED_VALUE"""),1626.8)</f>
        <v>1626.8</v>
      </c>
    </row>
    <row r="1337">
      <c r="A1337" s="10">
        <f t="shared" si="8"/>
        <v>39319.66667</v>
      </c>
      <c r="B1337" s="2" t="str">
        <f t="shared" si="2"/>
        <v/>
      </c>
      <c r="C1337" s="2" t="str">
        <f t="shared" si="3"/>
        <v>SP500</v>
      </c>
      <c r="D1337" s="2" t="str">
        <f t="shared" si="4"/>
        <v/>
      </c>
      <c r="E1337" s="2">
        <f t="shared" si="5"/>
        <v>2576.69</v>
      </c>
      <c r="G1337" s="10">
        <f t="shared" si="9"/>
        <v>39319.64583</v>
      </c>
      <c r="H1337" s="6" t="str">
        <f t="shared" si="6"/>
        <v/>
      </c>
      <c r="I1337" s="2">
        <f t="shared" si="7"/>
        <v>1791.33</v>
      </c>
      <c r="M1337" s="10">
        <f>IFERROR(__xludf.DUMMYFUNCTION("""COMPUTED_VALUE"""),39919.666666666664)</f>
        <v>39919.66667</v>
      </c>
      <c r="N1337" s="2">
        <f>IFERROR(__xludf.DUMMYFUNCTION("""COMPUTED_VALUE"""),1670.44)</f>
        <v>1670.44</v>
      </c>
    </row>
    <row r="1338">
      <c r="A1338" s="10">
        <f t="shared" si="8"/>
        <v>39320.66667</v>
      </c>
      <c r="B1338" s="2" t="str">
        <f t="shared" si="2"/>
        <v/>
      </c>
      <c r="C1338" s="2" t="str">
        <f t="shared" si="3"/>
        <v>SP500</v>
      </c>
      <c r="D1338" s="2" t="str">
        <f t="shared" si="4"/>
        <v/>
      </c>
      <c r="E1338" s="2">
        <f t="shared" si="5"/>
        <v>2576.69</v>
      </c>
      <c r="G1338" s="10">
        <f t="shared" si="9"/>
        <v>39320.64583</v>
      </c>
      <c r="H1338" s="6" t="str">
        <f t="shared" si="6"/>
        <v/>
      </c>
      <c r="I1338" s="2">
        <f t="shared" si="7"/>
        <v>1791.33</v>
      </c>
      <c r="M1338" s="10">
        <f>IFERROR(__xludf.DUMMYFUNCTION("""COMPUTED_VALUE"""),39920.666666666664)</f>
        <v>39920.66667</v>
      </c>
      <c r="N1338" s="2">
        <f>IFERROR(__xludf.DUMMYFUNCTION("""COMPUTED_VALUE"""),1673.07)</f>
        <v>1673.07</v>
      </c>
    </row>
    <row r="1339">
      <c r="A1339" s="10">
        <f t="shared" si="8"/>
        <v>39321.66667</v>
      </c>
      <c r="B1339" s="2" t="str">
        <f t="shared" si="2"/>
        <v/>
      </c>
      <c r="C1339" s="2" t="str">
        <f t="shared" si="3"/>
        <v>SP500</v>
      </c>
      <c r="D1339" s="2">
        <f t="shared" si="4"/>
        <v>2561.25</v>
      </c>
      <c r="E1339" s="2">
        <f t="shared" si="5"/>
        <v>2561.25</v>
      </c>
      <c r="G1339" s="10">
        <f t="shared" si="9"/>
        <v>39321.64583</v>
      </c>
      <c r="H1339" s="6">
        <f t="shared" si="6"/>
        <v>1803.03</v>
      </c>
      <c r="I1339" s="2">
        <f t="shared" si="7"/>
        <v>1803.03</v>
      </c>
      <c r="M1339" s="10">
        <f>IFERROR(__xludf.DUMMYFUNCTION("""COMPUTED_VALUE"""),39923.666666666664)</f>
        <v>39923.66667</v>
      </c>
      <c r="N1339" s="2">
        <f>IFERROR(__xludf.DUMMYFUNCTION("""COMPUTED_VALUE"""),1608.21)</f>
        <v>1608.21</v>
      </c>
    </row>
    <row r="1340">
      <c r="A1340" s="10">
        <f t="shared" si="8"/>
        <v>39322.66667</v>
      </c>
      <c r="B1340" s="2" t="str">
        <f t="shared" si="2"/>
        <v/>
      </c>
      <c r="C1340" s="2" t="str">
        <f t="shared" si="3"/>
        <v>SP500</v>
      </c>
      <c r="D1340" s="2">
        <f t="shared" si="4"/>
        <v>2500.64</v>
      </c>
      <c r="E1340" s="2">
        <f t="shared" si="5"/>
        <v>2500.64</v>
      </c>
      <c r="G1340" s="10">
        <f t="shared" si="9"/>
        <v>39322.64583</v>
      </c>
      <c r="H1340" s="6">
        <f t="shared" si="6"/>
        <v>1829.31</v>
      </c>
      <c r="I1340" s="2">
        <f t="shared" si="7"/>
        <v>1829.31</v>
      </c>
      <c r="M1340" s="10">
        <f>IFERROR(__xludf.DUMMYFUNCTION("""COMPUTED_VALUE"""),39924.666666666664)</f>
        <v>39924.66667</v>
      </c>
      <c r="N1340" s="2">
        <f>IFERROR(__xludf.DUMMYFUNCTION("""COMPUTED_VALUE"""),1643.85)</f>
        <v>1643.85</v>
      </c>
    </row>
    <row r="1341">
      <c r="A1341" s="10">
        <f t="shared" si="8"/>
        <v>39323.66667</v>
      </c>
      <c r="B1341" s="2" t="str">
        <f t="shared" si="2"/>
        <v/>
      </c>
      <c r="C1341" s="2" t="str">
        <f t="shared" si="3"/>
        <v>SP500</v>
      </c>
      <c r="D1341" s="2">
        <f t="shared" si="4"/>
        <v>2563.16</v>
      </c>
      <c r="E1341" s="2">
        <f t="shared" si="5"/>
        <v>2563.16</v>
      </c>
      <c r="G1341" s="10">
        <f t="shared" si="9"/>
        <v>39323.64583</v>
      </c>
      <c r="H1341" s="6">
        <f t="shared" si="6"/>
        <v>1826.19</v>
      </c>
      <c r="I1341" s="2">
        <f t="shared" si="7"/>
        <v>1826.19</v>
      </c>
      <c r="M1341" s="10">
        <f>IFERROR(__xludf.DUMMYFUNCTION("""COMPUTED_VALUE"""),39925.666666666664)</f>
        <v>39925.66667</v>
      </c>
      <c r="N1341" s="2">
        <f>IFERROR(__xludf.DUMMYFUNCTION("""COMPUTED_VALUE"""),1646.12)</f>
        <v>1646.12</v>
      </c>
    </row>
    <row r="1342">
      <c r="A1342" s="10">
        <f t="shared" si="8"/>
        <v>39324.66667</v>
      </c>
      <c r="B1342" s="2" t="str">
        <f t="shared" si="2"/>
        <v/>
      </c>
      <c r="C1342" s="2" t="str">
        <f t="shared" si="3"/>
        <v>SP500</v>
      </c>
      <c r="D1342" s="2">
        <f t="shared" si="4"/>
        <v>2565.3</v>
      </c>
      <c r="E1342" s="2">
        <f t="shared" si="5"/>
        <v>2565.3</v>
      </c>
      <c r="G1342" s="10">
        <f t="shared" si="9"/>
        <v>39324.64583</v>
      </c>
      <c r="H1342" s="6">
        <f t="shared" si="6"/>
        <v>1841.7</v>
      </c>
      <c r="I1342" s="2">
        <f t="shared" si="7"/>
        <v>1841.7</v>
      </c>
      <c r="M1342" s="10">
        <f>IFERROR(__xludf.DUMMYFUNCTION("""COMPUTED_VALUE"""),39926.666666666664)</f>
        <v>39926.66667</v>
      </c>
      <c r="N1342" s="2">
        <f>IFERROR(__xludf.DUMMYFUNCTION("""COMPUTED_VALUE"""),1652.21)</f>
        <v>1652.21</v>
      </c>
    </row>
    <row r="1343">
      <c r="A1343" s="10">
        <f t="shared" si="8"/>
        <v>39325.66667</v>
      </c>
      <c r="B1343" s="2" t="str">
        <f t="shared" si="2"/>
        <v/>
      </c>
      <c r="C1343" s="2" t="str">
        <f t="shared" si="3"/>
        <v>SP500</v>
      </c>
      <c r="D1343" s="2">
        <f t="shared" si="4"/>
        <v>2596.36</v>
      </c>
      <c r="E1343" s="2">
        <f t="shared" si="5"/>
        <v>2596.36</v>
      </c>
      <c r="G1343" s="10">
        <f t="shared" si="9"/>
        <v>39325.64583</v>
      </c>
      <c r="H1343" s="6">
        <f t="shared" si="6"/>
        <v>1873.24</v>
      </c>
      <c r="I1343" s="2">
        <f t="shared" si="7"/>
        <v>1873.24</v>
      </c>
      <c r="M1343" s="10">
        <f>IFERROR(__xludf.DUMMYFUNCTION("""COMPUTED_VALUE"""),39927.666666666664)</f>
        <v>39927.66667</v>
      </c>
      <c r="N1343" s="2">
        <f>IFERROR(__xludf.DUMMYFUNCTION("""COMPUTED_VALUE"""),1694.29)</f>
        <v>1694.29</v>
      </c>
    </row>
    <row r="1344">
      <c r="A1344" s="10">
        <f t="shared" si="8"/>
        <v>39326.66667</v>
      </c>
      <c r="B1344" s="2" t="str">
        <f t="shared" si="2"/>
        <v/>
      </c>
      <c r="C1344" s="2" t="str">
        <f t="shared" si="3"/>
        <v>SP500</v>
      </c>
      <c r="D1344" s="2" t="str">
        <f t="shared" si="4"/>
        <v/>
      </c>
      <c r="E1344" s="2">
        <f t="shared" si="5"/>
        <v>2596.36</v>
      </c>
      <c r="G1344" s="10">
        <f t="shared" si="9"/>
        <v>39326.64583</v>
      </c>
      <c r="H1344" s="6" t="str">
        <f t="shared" si="6"/>
        <v/>
      </c>
      <c r="I1344" s="2">
        <f t="shared" si="7"/>
        <v>1873.24</v>
      </c>
      <c r="M1344" s="10">
        <f>IFERROR(__xludf.DUMMYFUNCTION("""COMPUTED_VALUE"""),39930.666666666664)</f>
        <v>39930.66667</v>
      </c>
      <c r="N1344" s="2">
        <f>IFERROR(__xludf.DUMMYFUNCTION("""COMPUTED_VALUE"""),1679.41)</f>
        <v>1679.41</v>
      </c>
    </row>
    <row r="1345">
      <c r="A1345" s="10">
        <f t="shared" si="8"/>
        <v>39327.66667</v>
      </c>
      <c r="B1345" s="2" t="str">
        <f t="shared" si="2"/>
        <v/>
      </c>
      <c r="C1345" s="2" t="str">
        <f t="shared" si="3"/>
        <v>SP500</v>
      </c>
      <c r="D1345" s="2" t="str">
        <f t="shared" si="4"/>
        <v/>
      </c>
      <c r="E1345" s="2">
        <f t="shared" si="5"/>
        <v>2596.36</v>
      </c>
      <c r="G1345" s="10">
        <f t="shared" si="9"/>
        <v>39327.64583</v>
      </c>
      <c r="H1345" s="6" t="str">
        <f t="shared" si="6"/>
        <v/>
      </c>
      <c r="I1345" s="2">
        <f t="shared" si="7"/>
        <v>1873.24</v>
      </c>
      <c r="M1345" s="10">
        <f>IFERROR(__xludf.DUMMYFUNCTION("""COMPUTED_VALUE"""),39931.666666666664)</f>
        <v>39931.66667</v>
      </c>
      <c r="N1345" s="2">
        <f>IFERROR(__xludf.DUMMYFUNCTION("""COMPUTED_VALUE"""),1673.81)</f>
        <v>1673.81</v>
      </c>
    </row>
    <row r="1346">
      <c r="A1346" s="10">
        <f t="shared" si="8"/>
        <v>39328.66667</v>
      </c>
      <c r="B1346" s="2" t="str">
        <f t="shared" si="2"/>
        <v/>
      </c>
      <c r="C1346" s="2" t="str">
        <f t="shared" si="3"/>
        <v>SP500</v>
      </c>
      <c r="D1346" s="2" t="str">
        <f t="shared" si="4"/>
        <v/>
      </c>
      <c r="E1346" s="2">
        <f t="shared" si="5"/>
        <v>2596.36</v>
      </c>
      <c r="G1346" s="10">
        <f t="shared" si="9"/>
        <v>39328.64583</v>
      </c>
      <c r="H1346" s="6">
        <f t="shared" si="6"/>
        <v>1881.81</v>
      </c>
      <c r="I1346" s="2">
        <f t="shared" si="7"/>
        <v>1881.81</v>
      </c>
      <c r="M1346" s="10">
        <f>IFERROR(__xludf.DUMMYFUNCTION("""COMPUTED_VALUE"""),39932.666666666664)</f>
        <v>39932.66667</v>
      </c>
      <c r="N1346" s="2">
        <f>IFERROR(__xludf.DUMMYFUNCTION("""COMPUTED_VALUE"""),1711.94)</f>
        <v>1711.94</v>
      </c>
    </row>
    <row r="1347">
      <c r="A1347" s="10">
        <f t="shared" si="8"/>
        <v>39329.66667</v>
      </c>
      <c r="B1347" s="2" t="str">
        <f t="shared" si="2"/>
        <v/>
      </c>
      <c r="C1347" s="2" t="str">
        <f t="shared" si="3"/>
        <v>SP500</v>
      </c>
      <c r="D1347" s="2">
        <f t="shared" si="4"/>
        <v>2630.24</v>
      </c>
      <c r="E1347" s="2">
        <f t="shared" si="5"/>
        <v>2630.24</v>
      </c>
      <c r="G1347" s="10">
        <f t="shared" si="9"/>
        <v>39329.64583</v>
      </c>
      <c r="H1347" s="6">
        <f t="shared" si="6"/>
        <v>1874.74</v>
      </c>
      <c r="I1347" s="2">
        <f t="shared" si="7"/>
        <v>1874.74</v>
      </c>
      <c r="M1347" s="10">
        <f>IFERROR(__xludf.DUMMYFUNCTION("""COMPUTED_VALUE"""),39933.666666666664)</f>
        <v>39933.66667</v>
      </c>
      <c r="N1347" s="2">
        <f>IFERROR(__xludf.DUMMYFUNCTION("""COMPUTED_VALUE"""),1717.3)</f>
        <v>1717.3</v>
      </c>
    </row>
    <row r="1348">
      <c r="A1348" s="10">
        <f t="shared" si="8"/>
        <v>39330.66667</v>
      </c>
      <c r="B1348" s="2" t="str">
        <f t="shared" si="2"/>
        <v/>
      </c>
      <c r="C1348" s="2" t="str">
        <f t="shared" si="3"/>
        <v>SP500</v>
      </c>
      <c r="D1348" s="2">
        <f t="shared" si="4"/>
        <v>2605.95</v>
      </c>
      <c r="E1348" s="2">
        <f t="shared" si="5"/>
        <v>2605.95</v>
      </c>
      <c r="G1348" s="10">
        <f t="shared" si="9"/>
        <v>39330.64583</v>
      </c>
      <c r="H1348" s="6">
        <f t="shared" si="6"/>
        <v>1865.59</v>
      </c>
      <c r="I1348" s="2">
        <f t="shared" si="7"/>
        <v>1865.59</v>
      </c>
      <c r="M1348" s="10">
        <f>IFERROR(__xludf.DUMMYFUNCTION("""COMPUTED_VALUE"""),39934.666666666664)</f>
        <v>39934.66667</v>
      </c>
      <c r="N1348" s="2">
        <f>IFERROR(__xludf.DUMMYFUNCTION("""COMPUTED_VALUE"""),1719.2)</f>
        <v>1719.2</v>
      </c>
    </row>
    <row r="1349">
      <c r="A1349" s="10">
        <f t="shared" si="8"/>
        <v>39331.66667</v>
      </c>
      <c r="B1349" s="2" t="str">
        <f t="shared" si="2"/>
        <v/>
      </c>
      <c r="C1349" s="2" t="str">
        <f t="shared" si="3"/>
        <v>SP500</v>
      </c>
      <c r="D1349" s="2">
        <f t="shared" si="4"/>
        <v>2614.32</v>
      </c>
      <c r="E1349" s="2">
        <f t="shared" si="5"/>
        <v>2614.32</v>
      </c>
      <c r="G1349" s="10">
        <f t="shared" si="9"/>
        <v>39331.64583</v>
      </c>
      <c r="H1349" s="6">
        <f t="shared" si="6"/>
        <v>1888.81</v>
      </c>
      <c r="I1349" s="2">
        <f t="shared" si="7"/>
        <v>1888.81</v>
      </c>
      <c r="M1349" s="10">
        <f>IFERROR(__xludf.DUMMYFUNCTION("""COMPUTED_VALUE"""),39937.666666666664)</f>
        <v>39937.66667</v>
      </c>
      <c r="N1349" s="2">
        <f>IFERROR(__xludf.DUMMYFUNCTION("""COMPUTED_VALUE"""),1763.56)</f>
        <v>1763.56</v>
      </c>
    </row>
    <row r="1350">
      <c r="A1350" s="10">
        <f t="shared" si="8"/>
        <v>39332.66667</v>
      </c>
      <c r="B1350" s="2" t="str">
        <f t="shared" si="2"/>
        <v/>
      </c>
      <c r="C1350" s="2" t="str">
        <f t="shared" si="3"/>
        <v>SP500</v>
      </c>
      <c r="D1350" s="2">
        <f t="shared" si="4"/>
        <v>2565.7</v>
      </c>
      <c r="E1350" s="2">
        <f t="shared" si="5"/>
        <v>2565.7</v>
      </c>
      <c r="G1350" s="10">
        <f t="shared" si="9"/>
        <v>39332.64583</v>
      </c>
      <c r="H1350" s="6">
        <f t="shared" si="6"/>
        <v>1884.9</v>
      </c>
      <c r="I1350" s="2">
        <f t="shared" si="7"/>
        <v>1884.9</v>
      </c>
      <c r="M1350" s="10">
        <f>IFERROR(__xludf.DUMMYFUNCTION("""COMPUTED_VALUE"""),39938.666666666664)</f>
        <v>39938.66667</v>
      </c>
      <c r="N1350" s="2">
        <f>IFERROR(__xludf.DUMMYFUNCTION("""COMPUTED_VALUE"""),1754.12)</f>
        <v>1754.12</v>
      </c>
    </row>
    <row r="1351">
      <c r="A1351" s="10">
        <f t="shared" si="8"/>
        <v>39333.66667</v>
      </c>
      <c r="B1351" s="2" t="str">
        <f t="shared" si="2"/>
        <v/>
      </c>
      <c r="C1351" s="2" t="str">
        <f t="shared" si="3"/>
        <v>SP500</v>
      </c>
      <c r="D1351" s="2" t="str">
        <f t="shared" si="4"/>
        <v/>
      </c>
      <c r="E1351" s="2">
        <f t="shared" si="5"/>
        <v>2565.7</v>
      </c>
      <c r="G1351" s="10">
        <f t="shared" si="9"/>
        <v>39333.64583</v>
      </c>
      <c r="H1351" s="6" t="str">
        <f t="shared" si="6"/>
        <v/>
      </c>
      <c r="I1351" s="2">
        <f t="shared" si="7"/>
        <v>1884.9</v>
      </c>
      <c r="M1351" s="10">
        <f>IFERROR(__xludf.DUMMYFUNCTION("""COMPUTED_VALUE"""),39939.666666666664)</f>
        <v>39939.66667</v>
      </c>
      <c r="N1351" s="2">
        <f>IFERROR(__xludf.DUMMYFUNCTION("""COMPUTED_VALUE"""),1759.1)</f>
        <v>1759.1</v>
      </c>
    </row>
    <row r="1352">
      <c r="A1352" s="10">
        <f t="shared" si="8"/>
        <v>39334.66667</v>
      </c>
      <c r="B1352" s="2" t="str">
        <f t="shared" si="2"/>
        <v/>
      </c>
      <c r="C1352" s="2" t="str">
        <f t="shared" si="3"/>
        <v>SP500</v>
      </c>
      <c r="D1352" s="2" t="str">
        <f t="shared" si="4"/>
        <v/>
      </c>
      <c r="E1352" s="2">
        <f t="shared" si="5"/>
        <v>2565.7</v>
      </c>
      <c r="G1352" s="10">
        <f t="shared" si="9"/>
        <v>39334.64583</v>
      </c>
      <c r="H1352" s="6" t="str">
        <f t="shared" si="6"/>
        <v/>
      </c>
      <c r="I1352" s="2">
        <f t="shared" si="7"/>
        <v>1884.9</v>
      </c>
      <c r="M1352" s="10">
        <f>IFERROR(__xludf.DUMMYFUNCTION("""COMPUTED_VALUE"""),39940.666666666664)</f>
        <v>39940.66667</v>
      </c>
      <c r="N1352" s="2">
        <f>IFERROR(__xludf.DUMMYFUNCTION("""COMPUTED_VALUE"""),1716.24)</f>
        <v>1716.24</v>
      </c>
    </row>
    <row r="1353">
      <c r="A1353" s="10">
        <f t="shared" si="8"/>
        <v>39335.66667</v>
      </c>
      <c r="B1353" s="2" t="str">
        <f t="shared" si="2"/>
        <v/>
      </c>
      <c r="C1353" s="2" t="str">
        <f t="shared" si="3"/>
        <v>SP500</v>
      </c>
      <c r="D1353" s="2">
        <f t="shared" si="4"/>
        <v>2559.11</v>
      </c>
      <c r="E1353" s="2">
        <f t="shared" si="5"/>
        <v>2559.11</v>
      </c>
      <c r="G1353" s="10">
        <f t="shared" si="9"/>
        <v>39335.64583</v>
      </c>
      <c r="H1353" s="6">
        <f t="shared" si="6"/>
        <v>1835.87</v>
      </c>
      <c r="I1353" s="2">
        <f t="shared" si="7"/>
        <v>1835.87</v>
      </c>
      <c r="M1353" s="10">
        <f>IFERROR(__xludf.DUMMYFUNCTION("""COMPUTED_VALUE"""),39941.666666666664)</f>
        <v>39941.66667</v>
      </c>
      <c r="N1353" s="2">
        <f>IFERROR(__xludf.DUMMYFUNCTION("""COMPUTED_VALUE"""),1739.0)</f>
        <v>1739</v>
      </c>
    </row>
    <row r="1354">
      <c r="A1354" s="10">
        <f t="shared" si="8"/>
        <v>39336.66667</v>
      </c>
      <c r="B1354" s="2" t="str">
        <f t="shared" si="2"/>
        <v/>
      </c>
      <c r="C1354" s="2" t="str">
        <f t="shared" si="3"/>
        <v>SP500</v>
      </c>
      <c r="D1354" s="2">
        <f t="shared" si="4"/>
        <v>2597.47</v>
      </c>
      <c r="E1354" s="2">
        <f t="shared" si="5"/>
        <v>2597.47</v>
      </c>
      <c r="G1354" s="10">
        <f t="shared" si="9"/>
        <v>39336.64583</v>
      </c>
      <c r="H1354" s="6">
        <f t="shared" si="6"/>
        <v>1847.36</v>
      </c>
      <c r="I1354" s="2">
        <f t="shared" si="7"/>
        <v>1847.36</v>
      </c>
      <c r="M1354" s="10">
        <f>IFERROR(__xludf.DUMMYFUNCTION("""COMPUTED_VALUE"""),39944.666666666664)</f>
        <v>39944.66667</v>
      </c>
      <c r="N1354" s="2">
        <f>IFERROR(__xludf.DUMMYFUNCTION("""COMPUTED_VALUE"""),1731.24)</f>
        <v>1731.24</v>
      </c>
    </row>
    <row r="1355">
      <c r="A1355" s="10">
        <f t="shared" si="8"/>
        <v>39337.66667</v>
      </c>
      <c r="B1355" s="2" t="str">
        <f t="shared" si="2"/>
        <v/>
      </c>
      <c r="C1355" s="2" t="str">
        <f t="shared" si="3"/>
        <v>SP500</v>
      </c>
      <c r="D1355" s="2">
        <f t="shared" si="4"/>
        <v>2592.07</v>
      </c>
      <c r="E1355" s="2">
        <f t="shared" si="5"/>
        <v>2592.07</v>
      </c>
      <c r="G1355" s="10">
        <f t="shared" si="9"/>
        <v>39337.64583</v>
      </c>
      <c r="H1355" s="6">
        <f t="shared" si="6"/>
        <v>1813.52</v>
      </c>
      <c r="I1355" s="2">
        <f t="shared" si="7"/>
        <v>1813.52</v>
      </c>
      <c r="M1355" s="10">
        <f>IFERROR(__xludf.DUMMYFUNCTION("""COMPUTED_VALUE"""),39945.666666666664)</f>
        <v>39945.66667</v>
      </c>
      <c r="N1355" s="2">
        <f>IFERROR(__xludf.DUMMYFUNCTION("""COMPUTED_VALUE"""),1715.92)</f>
        <v>1715.92</v>
      </c>
    </row>
    <row r="1356">
      <c r="A1356" s="10">
        <f t="shared" si="8"/>
        <v>39338.66667</v>
      </c>
      <c r="B1356" s="2" t="str">
        <f t="shared" si="2"/>
        <v/>
      </c>
      <c r="C1356" s="2" t="str">
        <f t="shared" si="3"/>
        <v>SP500</v>
      </c>
      <c r="D1356" s="2">
        <f t="shared" si="4"/>
        <v>2601.06</v>
      </c>
      <c r="E1356" s="2">
        <f t="shared" si="5"/>
        <v>2601.06</v>
      </c>
      <c r="G1356" s="10">
        <f t="shared" si="9"/>
        <v>39338.64583</v>
      </c>
      <c r="H1356" s="6">
        <f t="shared" si="6"/>
        <v>1848.02</v>
      </c>
      <c r="I1356" s="2">
        <f t="shared" si="7"/>
        <v>1848.02</v>
      </c>
      <c r="M1356" s="10">
        <f>IFERROR(__xludf.DUMMYFUNCTION("""COMPUTED_VALUE"""),39946.666666666664)</f>
        <v>39946.66667</v>
      </c>
      <c r="N1356" s="2">
        <f>IFERROR(__xludf.DUMMYFUNCTION("""COMPUTED_VALUE"""),1664.19)</f>
        <v>1664.19</v>
      </c>
    </row>
    <row r="1357">
      <c r="A1357" s="10">
        <f t="shared" si="8"/>
        <v>39339.66667</v>
      </c>
      <c r="B1357" s="2" t="str">
        <f t="shared" si="2"/>
        <v/>
      </c>
      <c r="C1357" s="2" t="str">
        <f t="shared" si="3"/>
        <v>SP500</v>
      </c>
      <c r="D1357" s="2">
        <f t="shared" si="4"/>
        <v>2602.18</v>
      </c>
      <c r="E1357" s="2">
        <f t="shared" si="5"/>
        <v>2602.18</v>
      </c>
      <c r="G1357" s="10">
        <f t="shared" si="9"/>
        <v>39339.64583</v>
      </c>
      <c r="H1357" s="6">
        <f t="shared" si="6"/>
        <v>1870.02</v>
      </c>
      <c r="I1357" s="2">
        <f t="shared" si="7"/>
        <v>1870.02</v>
      </c>
      <c r="M1357" s="10">
        <f>IFERROR(__xludf.DUMMYFUNCTION("""COMPUTED_VALUE"""),39947.666666666664)</f>
        <v>39947.66667</v>
      </c>
      <c r="N1357" s="2">
        <f>IFERROR(__xludf.DUMMYFUNCTION("""COMPUTED_VALUE"""),1689.21)</f>
        <v>1689.21</v>
      </c>
    </row>
    <row r="1358">
      <c r="A1358" s="10">
        <f t="shared" si="8"/>
        <v>39340.66667</v>
      </c>
      <c r="B1358" s="2" t="str">
        <f t="shared" si="2"/>
        <v/>
      </c>
      <c r="C1358" s="2" t="str">
        <f t="shared" si="3"/>
        <v>SP500</v>
      </c>
      <c r="D1358" s="2" t="str">
        <f t="shared" si="4"/>
        <v/>
      </c>
      <c r="E1358" s="2">
        <f t="shared" si="5"/>
        <v>2602.18</v>
      </c>
      <c r="G1358" s="10">
        <f t="shared" si="9"/>
        <v>39340.64583</v>
      </c>
      <c r="H1358" s="6" t="str">
        <f t="shared" si="6"/>
        <v/>
      </c>
      <c r="I1358" s="2">
        <f t="shared" si="7"/>
        <v>1870.02</v>
      </c>
      <c r="M1358" s="10">
        <f>IFERROR(__xludf.DUMMYFUNCTION("""COMPUTED_VALUE"""),39948.666666666664)</f>
        <v>39948.66667</v>
      </c>
      <c r="N1358" s="2">
        <f>IFERROR(__xludf.DUMMYFUNCTION("""COMPUTED_VALUE"""),1680.14)</f>
        <v>1680.14</v>
      </c>
    </row>
    <row r="1359">
      <c r="A1359" s="10">
        <f t="shared" si="8"/>
        <v>39341.66667</v>
      </c>
      <c r="B1359" s="2" t="str">
        <f t="shared" si="2"/>
        <v/>
      </c>
      <c r="C1359" s="2" t="str">
        <f t="shared" si="3"/>
        <v>SP500</v>
      </c>
      <c r="D1359" s="2" t="str">
        <f t="shared" si="4"/>
        <v/>
      </c>
      <c r="E1359" s="2">
        <f t="shared" si="5"/>
        <v>2602.18</v>
      </c>
      <c r="G1359" s="10">
        <f t="shared" si="9"/>
        <v>39341.64583</v>
      </c>
      <c r="H1359" s="6" t="str">
        <f t="shared" si="6"/>
        <v/>
      </c>
      <c r="I1359" s="2">
        <f t="shared" si="7"/>
        <v>1870.02</v>
      </c>
      <c r="M1359" s="10">
        <f>IFERROR(__xludf.DUMMYFUNCTION("""COMPUTED_VALUE"""),39951.666666666664)</f>
        <v>39951.66667</v>
      </c>
      <c r="N1359" s="2">
        <f>IFERROR(__xludf.DUMMYFUNCTION("""COMPUTED_VALUE"""),1732.36)</f>
        <v>1732.36</v>
      </c>
    </row>
    <row r="1360">
      <c r="A1360" s="10">
        <f t="shared" si="8"/>
        <v>39342.66667</v>
      </c>
      <c r="B1360" s="2" t="str">
        <f t="shared" si="2"/>
        <v/>
      </c>
      <c r="C1360" s="2" t="str">
        <f t="shared" si="3"/>
        <v>SP500</v>
      </c>
      <c r="D1360" s="2">
        <f t="shared" si="4"/>
        <v>2581.66</v>
      </c>
      <c r="E1360" s="2">
        <f t="shared" si="5"/>
        <v>2581.66</v>
      </c>
      <c r="G1360" s="10">
        <f t="shared" si="9"/>
        <v>39342.64583</v>
      </c>
      <c r="H1360" s="6">
        <f t="shared" si="6"/>
        <v>1871.68</v>
      </c>
      <c r="I1360" s="2">
        <f t="shared" si="7"/>
        <v>1871.68</v>
      </c>
      <c r="M1360" s="10">
        <f>IFERROR(__xludf.DUMMYFUNCTION("""COMPUTED_VALUE"""),39952.666666666664)</f>
        <v>39952.66667</v>
      </c>
      <c r="N1360" s="2">
        <f>IFERROR(__xludf.DUMMYFUNCTION("""COMPUTED_VALUE"""),1734.54)</f>
        <v>1734.54</v>
      </c>
    </row>
    <row r="1361">
      <c r="A1361" s="10">
        <f t="shared" si="8"/>
        <v>39343.66667</v>
      </c>
      <c r="B1361" s="2" t="str">
        <f t="shared" si="2"/>
        <v/>
      </c>
      <c r="C1361" s="2" t="str">
        <f t="shared" si="3"/>
        <v>SP500</v>
      </c>
      <c r="D1361" s="2">
        <f t="shared" si="4"/>
        <v>2651.66</v>
      </c>
      <c r="E1361" s="2">
        <f t="shared" si="5"/>
        <v>2651.66</v>
      </c>
      <c r="G1361" s="10">
        <f t="shared" si="9"/>
        <v>39343.64583</v>
      </c>
      <c r="H1361" s="6">
        <f t="shared" si="6"/>
        <v>1838.61</v>
      </c>
      <c r="I1361" s="2">
        <f t="shared" si="7"/>
        <v>1838.61</v>
      </c>
      <c r="M1361" s="10">
        <f>IFERROR(__xludf.DUMMYFUNCTION("""COMPUTED_VALUE"""),39953.666666666664)</f>
        <v>39953.66667</v>
      </c>
      <c r="N1361" s="2">
        <f>IFERROR(__xludf.DUMMYFUNCTION("""COMPUTED_VALUE"""),1727.84)</f>
        <v>1727.84</v>
      </c>
    </row>
    <row r="1362">
      <c r="A1362" s="10">
        <f t="shared" si="8"/>
        <v>39344.66667</v>
      </c>
      <c r="B1362" s="2" t="str">
        <f t="shared" si="2"/>
        <v/>
      </c>
      <c r="C1362" s="2" t="str">
        <f t="shared" si="3"/>
        <v>SP500</v>
      </c>
      <c r="D1362" s="2">
        <f t="shared" si="4"/>
        <v>2666.48</v>
      </c>
      <c r="E1362" s="2">
        <f t="shared" si="5"/>
        <v>2666.48</v>
      </c>
      <c r="G1362" s="10">
        <f t="shared" si="9"/>
        <v>39344.64583</v>
      </c>
      <c r="H1362" s="6">
        <f t="shared" si="6"/>
        <v>1902.65</v>
      </c>
      <c r="I1362" s="2">
        <f t="shared" si="7"/>
        <v>1902.65</v>
      </c>
      <c r="M1362" s="10">
        <f>IFERROR(__xludf.DUMMYFUNCTION("""COMPUTED_VALUE"""),39954.666666666664)</f>
        <v>39954.66667</v>
      </c>
      <c r="N1362" s="2">
        <f>IFERROR(__xludf.DUMMYFUNCTION("""COMPUTED_VALUE"""),1695.25)</f>
        <v>1695.25</v>
      </c>
    </row>
    <row r="1363">
      <c r="A1363" s="10">
        <f t="shared" si="8"/>
        <v>39345.66667</v>
      </c>
      <c r="B1363" s="2" t="str">
        <f t="shared" si="2"/>
        <v/>
      </c>
      <c r="C1363" s="2" t="str">
        <f t="shared" si="3"/>
        <v>SP500</v>
      </c>
      <c r="D1363" s="2">
        <f t="shared" si="4"/>
        <v>2654.29</v>
      </c>
      <c r="E1363" s="2">
        <f t="shared" si="5"/>
        <v>2654.29</v>
      </c>
      <c r="G1363" s="10">
        <f t="shared" si="9"/>
        <v>39345.64583</v>
      </c>
      <c r="H1363" s="6">
        <f t="shared" si="6"/>
        <v>1908.97</v>
      </c>
      <c r="I1363" s="2">
        <f t="shared" si="7"/>
        <v>1908.97</v>
      </c>
      <c r="M1363" s="10">
        <f>IFERROR(__xludf.DUMMYFUNCTION("""COMPUTED_VALUE"""),39955.666666666664)</f>
        <v>39955.66667</v>
      </c>
      <c r="N1363" s="2">
        <f>IFERROR(__xludf.DUMMYFUNCTION("""COMPUTED_VALUE"""),1692.01)</f>
        <v>1692.01</v>
      </c>
    </row>
    <row r="1364">
      <c r="A1364" s="10">
        <f t="shared" si="8"/>
        <v>39346.66667</v>
      </c>
      <c r="B1364" s="2" t="str">
        <f t="shared" si="2"/>
        <v/>
      </c>
      <c r="C1364" s="2" t="str">
        <f t="shared" si="3"/>
        <v>SP500</v>
      </c>
      <c r="D1364" s="2">
        <f t="shared" si="4"/>
        <v>2671.22</v>
      </c>
      <c r="E1364" s="2">
        <f t="shared" si="5"/>
        <v>2671.22</v>
      </c>
      <c r="G1364" s="10">
        <f t="shared" si="9"/>
        <v>39346.64583</v>
      </c>
      <c r="H1364" s="6">
        <f t="shared" si="6"/>
        <v>1919.26</v>
      </c>
      <c r="I1364" s="2">
        <f t="shared" si="7"/>
        <v>1919.26</v>
      </c>
      <c r="M1364" s="10">
        <f>IFERROR(__xludf.DUMMYFUNCTION("""COMPUTED_VALUE"""),39959.666666666664)</f>
        <v>39959.66667</v>
      </c>
      <c r="N1364" s="2">
        <f>IFERROR(__xludf.DUMMYFUNCTION("""COMPUTED_VALUE"""),1750.43)</f>
        <v>1750.43</v>
      </c>
    </row>
    <row r="1365">
      <c r="A1365" s="10">
        <f t="shared" si="8"/>
        <v>39347.66667</v>
      </c>
      <c r="B1365" s="2" t="str">
        <f t="shared" si="2"/>
        <v/>
      </c>
      <c r="C1365" s="2" t="str">
        <f t="shared" si="3"/>
        <v>SP500</v>
      </c>
      <c r="D1365" s="2" t="str">
        <f t="shared" si="4"/>
        <v/>
      </c>
      <c r="E1365" s="2">
        <f t="shared" si="5"/>
        <v>2671.22</v>
      </c>
      <c r="G1365" s="10">
        <f t="shared" si="9"/>
        <v>39347.64583</v>
      </c>
      <c r="H1365" s="6" t="str">
        <f t="shared" si="6"/>
        <v/>
      </c>
      <c r="I1365" s="2">
        <f t="shared" si="7"/>
        <v>1919.26</v>
      </c>
      <c r="M1365" s="10">
        <f>IFERROR(__xludf.DUMMYFUNCTION("""COMPUTED_VALUE"""),39960.666666666664)</f>
        <v>39960.66667</v>
      </c>
      <c r="N1365" s="2">
        <f>IFERROR(__xludf.DUMMYFUNCTION("""COMPUTED_VALUE"""),1731.08)</f>
        <v>1731.08</v>
      </c>
    </row>
    <row r="1366">
      <c r="A1366" s="10">
        <f t="shared" si="8"/>
        <v>39348.66667</v>
      </c>
      <c r="B1366" s="2" t="str">
        <f t="shared" si="2"/>
        <v/>
      </c>
      <c r="C1366" s="2" t="str">
        <f t="shared" si="3"/>
        <v>SP500</v>
      </c>
      <c r="D1366" s="2" t="str">
        <f t="shared" si="4"/>
        <v/>
      </c>
      <c r="E1366" s="2">
        <f t="shared" si="5"/>
        <v>2671.22</v>
      </c>
      <c r="G1366" s="10">
        <f t="shared" si="9"/>
        <v>39348.64583</v>
      </c>
      <c r="H1366" s="6" t="str">
        <f t="shared" si="6"/>
        <v/>
      </c>
      <c r="I1366" s="2">
        <f t="shared" si="7"/>
        <v>1919.26</v>
      </c>
      <c r="M1366" s="10">
        <f>IFERROR(__xludf.DUMMYFUNCTION("""COMPUTED_VALUE"""),39961.666666666664)</f>
        <v>39961.66667</v>
      </c>
      <c r="N1366" s="2">
        <f>IFERROR(__xludf.DUMMYFUNCTION("""COMPUTED_VALUE"""),1751.79)</f>
        <v>1751.79</v>
      </c>
    </row>
    <row r="1367">
      <c r="A1367" s="10">
        <f t="shared" si="8"/>
        <v>39349.66667</v>
      </c>
      <c r="B1367" s="2" t="str">
        <f t="shared" si="2"/>
        <v/>
      </c>
      <c r="C1367" s="2" t="str">
        <f t="shared" si="3"/>
        <v>SP500</v>
      </c>
      <c r="D1367" s="2">
        <f t="shared" si="4"/>
        <v>2667.95</v>
      </c>
      <c r="E1367" s="2">
        <f t="shared" si="5"/>
        <v>2667.95</v>
      </c>
      <c r="G1367" s="10">
        <f t="shared" si="9"/>
        <v>39349.64583</v>
      </c>
      <c r="H1367" s="6" t="str">
        <f t="shared" si="6"/>
        <v/>
      </c>
      <c r="I1367" s="2">
        <f t="shared" si="7"/>
        <v>1919.26</v>
      </c>
      <c r="M1367" s="10">
        <f>IFERROR(__xludf.DUMMYFUNCTION("""COMPUTED_VALUE"""),39962.666666666664)</f>
        <v>39962.66667</v>
      </c>
      <c r="N1367" s="2">
        <f>IFERROR(__xludf.DUMMYFUNCTION("""COMPUTED_VALUE"""),1774.33)</f>
        <v>1774.33</v>
      </c>
    </row>
    <row r="1368">
      <c r="A1368" s="10">
        <f t="shared" si="8"/>
        <v>39350.66667</v>
      </c>
      <c r="B1368" s="2" t="str">
        <f t="shared" si="2"/>
        <v/>
      </c>
      <c r="C1368" s="2" t="str">
        <f t="shared" si="3"/>
        <v>SP500</v>
      </c>
      <c r="D1368" s="2">
        <f t="shared" si="4"/>
        <v>2683.45</v>
      </c>
      <c r="E1368" s="2">
        <f t="shared" si="5"/>
        <v>2683.45</v>
      </c>
      <c r="G1368" s="10">
        <f t="shared" si="9"/>
        <v>39350.64583</v>
      </c>
      <c r="H1368" s="6" t="str">
        <f t="shared" si="6"/>
        <v/>
      </c>
      <c r="I1368" s="2">
        <f t="shared" si="7"/>
        <v>1919.26</v>
      </c>
      <c r="M1368" s="10">
        <f>IFERROR(__xludf.DUMMYFUNCTION("""COMPUTED_VALUE"""),39965.666666666664)</f>
        <v>39965.66667</v>
      </c>
      <c r="N1368" s="2">
        <f>IFERROR(__xludf.DUMMYFUNCTION("""COMPUTED_VALUE"""),1828.68)</f>
        <v>1828.68</v>
      </c>
    </row>
    <row r="1369">
      <c r="A1369" s="10">
        <f t="shared" si="8"/>
        <v>39351.66667</v>
      </c>
      <c r="B1369" s="2" t="str">
        <f t="shared" si="2"/>
        <v/>
      </c>
      <c r="C1369" s="2" t="str">
        <f t="shared" si="3"/>
        <v>SP500</v>
      </c>
      <c r="D1369" s="2">
        <f t="shared" si="4"/>
        <v>2699.03</v>
      </c>
      <c r="E1369" s="2">
        <f t="shared" si="5"/>
        <v>2699.03</v>
      </c>
      <c r="G1369" s="10">
        <f t="shared" si="9"/>
        <v>39351.64583</v>
      </c>
      <c r="H1369" s="6" t="str">
        <f t="shared" si="6"/>
        <v/>
      </c>
      <c r="I1369" s="2">
        <f t="shared" si="7"/>
        <v>1919.26</v>
      </c>
      <c r="M1369" s="10">
        <f>IFERROR(__xludf.DUMMYFUNCTION("""COMPUTED_VALUE"""),39966.666666666664)</f>
        <v>39966.66667</v>
      </c>
      <c r="N1369" s="2">
        <f>IFERROR(__xludf.DUMMYFUNCTION("""COMPUTED_VALUE"""),1836.8)</f>
        <v>1836.8</v>
      </c>
    </row>
    <row r="1370">
      <c r="A1370" s="10">
        <f t="shared" si="8"/>
        <v>39352.66667</v>
      </c>
      <c r="B1370" s="2" t="str">
        <f t="shared" si="2"/>
        <v/>
      </c>
      <c r="C1370" s="2" t="str">
        <f t="shared" si="3"/>
        <v>SP500</v>
      </c>
      <c r="D1370" s="2">
        <f t="shared" si="4"/>
        <v>2709.59</v>
      </c>
      <c r="E1370" s="2">
        <f t="shared" si="5"/>
        <v>2709.59</v>
      </c>
      <c r="G1370" s="10">
        <f t="shared" si="9"/>
        <v>39352.64583</v>
      </c>
      <c r="H1370" s="6">
        <f t="shared" si="6"/>
        <v>1945.28</v>
      </c>
      <c r="I1370" s="2">
        <f t="shared" si="7"/>
        <v>1945.28</v>
      </c>
      <c r="M1370" s="10">
        <f>IFERROR(__xludf.DUMMYFUNCTION("""COMPUTED_VALUE"""),39967.666666666664)</f>
        <v>39967.66667</v>
      </c>
      <c r="N1370" s="2">
        <f>IFERROR(__xludf.DUMMYFUNCTION("""COMPUTED_VALUE"""),1825.92)</f>
        <v>1825.92</v>
      </c>
    </row>
    <row r="1371">
      <c r="A1371" s="10">
        <f t="shared" si="8"/>
        <v>39353.66667</v>
      </c>
      <c r="B1371" s="2" t="str">
        <f t="shared" si="2"/>
        <v/>
      </c>
      <c r="C1371" s="2" t="str">
        <f t="shared" si="3"/>
        <v>SP500</v>
      </c>
      <c r="D1371" s="2">
        <f t="shared" si="4"/>
        <v>2701.5</v>
      </c>
      <c r="E1371" s="2">
        <f t="shared" si="5"/>
        <v>2701.5</v>
      </c>
      <c r="G1371" s="10">
        <f t="shared" si="9"/>
        <v>39353.64583</v>
      </c>
      <c r="H1371" s="6">
        <f t="shared" si="6"/>
        <v>1946.48</v>
      </c>
      <c r="I1371" s="2">
        <f t="shared" si="7"/>
        <v>1946.48</v>
      </c>
      <c r="M1371" s="10">
        <f>IFERROR(__xludf.DUMMYFUNCTION("""COMPUTED_VALUE"""),39968.666666666664)</f>
        <v>39968.66667</v>
      </c>
      <c r="N1371" s="2">
        <f>IFERROR(__xludf.DUMMYFUNCTION("""COMPUTED_VALUE"""),1850.02)</f>
        <v>1850.02</v>
      </c>
    </row>
    <row r="1372">
      <c r="A1372" s="10">
        <f t="shared" si="8"/>
        <v>39354.66667</v>
      </c>
      <c r="B1372" s="2" t="str">
        <f t="shared" si="2"/>
        <v/>
      </c>
      <c r="C1372" s="2" t="str">
        <f t="shared" si="3"/>
        <v>SP500</v>
      </c>
      <c r="D1372" s="2" t="str">
        <f t="shared" si="4"/>
        <v/>
      </c>
      <c r="E1372" s="2">
        <f t="shared" si="5"/>
        <v>2701.5</v>
      </c>
      <c r="G1372" s="10">
        <f t="shared" si="9"/>
        <v>39354.64583</v>
      </c>
      <c r="H1372" s="6" t="str">
        <f t="shared" si="6"/>
        <v/>
      </c>
      <c r="I1372" s="2">
        <f t="shared" si="7"/>
        <v>1946.48</v>
      </c>
      <c r="M1372" s="10">
        <f>IFERROR(__xludf.DUMMYFUNCTION("""COMPUTED_VALUE"""),39969.666666666664)</f>
        <v>39969.66667</v>
      </c>
      <c r="N1372" s="2">
        <f>IFERROR(__xludf.DUMMYFUNCTION("""COMPUTED_VALUE"""),1849.42)</f>
        <v>1849.42</v>
      </c>
    </row>
    <row r="1373">
      <c r="A1373" s="10">
        <f t="shared" si="8"/>
        <v>39355.66667</v>
      </c>
      <c r="B1373" s="2" t="str">
        <f t="shared" si="2"/>
        <v/>
      </c>
      <c r="C1373" s="2" t="str">
        <f t="shared" si="3"/>
        <v>SP500</v>
      </c>
      <c r="D1373" s="2" t="str">
        <f t="shared" si="4"/>
        <v/>
      </c>
      <c r="E1373" s="2">
        <f t="shared" si="5"/>
        <v>2701.5</v>
      </c>
      <c r="G1373" s="10">
        <f t="shared" si="9"/>
        <v>39355.64583</v>
      </c>
      <c r="H1373" s="6" t="str">
        <f t="shared" si="6"/>
        <v/>
      </c>
      <c r="I1373" s="2">
        <f t="shared" si="7"/>
        <v>1946.48</v>
      </c>
      <c r="M1373" s="10">
        <f>IFERROR(__xludf.DUMMYFUNCTION("""COMPUTED_VALUE"""),39972.666666666664)</f>
        <v>39972.66667</v>
      </c>
      <c r="N1373" s="2">
        <f>IFERROR(__xludf.DUMMYFUNCTION("""COMPUTED_VALUE"""),1842.4)</f>
        <v>1842.4</v>
      </c>
    </row>
    <row r="1374">
      <c r="A1374" s="10">
        <f t="shared" si="8"/>
        <v>39356.66667</v>
      </c>
      <c r="B1374" s="2" t="str">
        <f t="shared" si="2"/>
        <v/>
      </c>
      <c r="C1374" s="2" t="str">
        <f t="shared" si="3"/>
        <v>SP500</v>
      </c>
      <c r="D1374" s="2">
        <f t="shared" si="4"/>
        <v>2740.99</v>
      </c>
      <c r="E1374" s="2">
        <f t="shared" si="5"/>
        <v>2740.99</v>
      </c>
      <c r="G1374" s="10">
        <f t="shared" si="9"/>
        <v>39356.64583</v>
      </c>
      <c r="H1374" s="6">
        <f t="shared" si="6"/>
        <v>1962.67</v>
      </c>
      <c r="I1374" s="2">
        <f t="shared" si="7"/>
        <v>1962.67</v>
      </c>
      <c r="M1374" s="10">
        <f>IFERROR(__xludf.DUMMYFUNCTION("""COMPUTED_VALUE"""),39973.666666666664)</f>
        <v>39973.66667</v>
      </c>
      <c r="N1374" s="2">
        <f>IFERROR(__xludf.DUMMYFUNCTION("""COMPUTED_VALUE"""),1860.13)</f>
        <v>1860.13</v>
      </c>
    </row>
    <row r="1375">
      <c r="A1375" s="10">
        <f t="shared" si="8"/>
        <v>39357.66667</v>
      </c>
      <c r="B1375" s="2" t="str">
        <f t="shared" si="2"/>
        <v/>
      </c>
      <c r="C1375" s="2" t="str">
        <f t="shared" si="3"/>
        <v>SP500</v>
      </c>
      <c r="D1375" s="2">
        <f t="shared" si="4"/>
        <v>2747.11</v>
      </c>
      <c r="E1375" s="2">
        <f t="shared" si="5"/>
        <v>2747.11</v>
      </c>
      <c r="G1375" s="10">
        <f t="shared" si="9"/>
        <v>39357.64583</v>
      </c>
      <c r="H1375" s="6">
        <f t="shared" si="6"/>
        <v>2014.09</v>
      </c>
      <c r="I1375" s="2">
        <f t="shared" si="7"/>
        <v>2014.09</v>
      </c>
      <c r="M1375" s="10">
        <f>IFERROR(__xludf.DUMMYFUNCTION("""COMPUTED_VALUE"""),39974.666666666664)</f>
        <v>39974.66667</v>
      </c>
      <c r="N1375" s="2">
        <f>IFERROR(__xludf.DUMMYFUNCTION("""COMPUTED_VALUE"""),1853.08)</f>
        <v>1853.08</v>
      </c>
    </row>
    <row r="1376">
      <c r="A1376" s="10">
        <f t="shared" si="8"/>
        <v>39358.66667</v>
      </c>
      <c r="B1376" s="2" t="str">
        <f t="shared" si="2"/>
        <v/>
      </c>
      <c r="C1376" s="2" t="str">
        <f t="shared" si="3"/>
        <v>SP500</v>
      </c>
      <c r="D1376" s="2">
        <f t="shared" si="4"/>
        <v>2729.43</v>
      </c>
      <c r="E1376" s="2">
        <f t="shared" si="5"/>
        <v>2729.43</v>
      </c>
      <c r="G1376" s="10">
        <f t="shared" si="9"/>
        <v>39358.64583</v>
      </c>
      <c r="H1376" s="6" t="str">
        <f t="shared" si="6"/>
        <v/>
      </c>
      <c r="I1376" s="2">
        <f t="shared" si="7"/>
        <v>2014.09</v>
      </c>
      <c r="M1376" s="10">
        <f>IFERROR(__xludf.DUMMYFUNCTION("""COMPUTED_VALUE"""),39975.666666666664)</f>
        <v>39975.66667</v>
      </c>
      <c r="N1376" s="2">
        <f>IFERROR(__xludf.DUMMYFUNCTION("""COMPUTED_VALUE"""),1862.37)</f>
        <v>1862.37</v>
      </c>
    </row>
    <row r="1377">
      <c r="A1377" s="10">
        <f t="shared" si="8"/>
        <v>39359.66667</v>
      </c>
      <c r="B1377" s="2" t="str">
        <f t="shared" si="2"/>
        <v/>
      </c>
      <c r="C1377" s="2" t="str">
        <f t="shared" si="3"/>
        <v>SP500</v>
      </c>
      <c r="D1377" s="2">
        <f t="shared" si="4"/>
        <v>2733.57</v>
      </c>
      <c r="E1377" s="2">
        <f t="shared" si="5"/>
        <v>2733.57</v>
      </c>
      <c r="G1377" s="10">
        <f t="shared" si="9"/>
        <v>39359.64583</v>
      </c>
      <c r="H1377" s="6">
        <f t="shared" si="6"/>
        <v>2003.6</v>
      </c>
      <c r="I1377" s="2">
        <f t="shared" si="7"/>
        <v>2003.6</v>
      </c>
      <c r="M1377" s="10">
        <f>IFERROR(__xludf.DUMMYFUNCTION("""COMPUTED_VALUE"""),39976.666666666664)</f>
        <v>39976.66667</v>
      </c>
      <c r="N1377" s="2">
        <f>IFERROR(__xludf.DUMMYFUNCTION("""COMPUTED_VALUE"""),1858.8)</f>
        <v>1858.8</v>
      </c>
    </row>
    <row r="1378">
      <c r="A1378" s="10">
        <f t="shared" si="8"/>
        <v>39360.66667</v>
      </c>
      <c r="B1378" s="2" t="str">
        <f t="shared" si="2"/>
        <v/>
      </c>
      <c r="C1378" s="2" t="str">
        <f t="shared" si="3"/>
        <v>SP500</v>
      </c>
      <c r="D1378" s="2">
        <f t="shared" si="4"/>
        <v>2780.32</v>
      </c>
      <c r="E1378" s="2">
        <f t="shared" si="5"/>
        <v>2780.32</v>
      </c>
      <c r="G1378" s="10">
        <f t="shared" si="9"/>
        <v>39360.64583</v>
      </c>
      <c r="H1378" s="6">
        <f t="shared" si="6"/>
        <v>1996.03</v>
      </c>
      <c r="I1378" s="2">
        <f t="shared" si="7"/>
        <v>1996.03</v>
      </c>
      <c r="M1378" s="10">
        <f>IFERROR(__xludf.DUMMYFUNCTION("""COMPUTED_VALUE"""),39979.666666666664)</f>
        <v>39979.66667</v>
      </c>
      <c r="N1378" s="2">
        <f>IFERROR(__xludf.DUMMYFUNCTION("""COMPUTED_VALUE"""),1816.38)</f>
        <v>1816.38</v>
      </c>
    </row>
    <row r="1379">
      <c r="A1379" s="10">
        <f t="shared" si="8"/>
        <v>39361.66667</v>
      </c>
      <c r="B1379" s="2" t="str">
        <f t="shared" si="2"/>
        <v/>
      </c>
      <c r="C1379" s="2" t="str">
        <f t="shared" si="3"/>
        <v>SP500</v>
      </c>
      <c r="D1379" s="2" t="str">
        <f t="shared" si="4"/>
        <v/>
      </c>
      <c r="E1379" s="2">
        <f t="shared" si="5"/>
        <v>2780.32</v>
      </c>
      <c r="G1379" s="10">
        <f t="shared" si="9"/>
        <v>39361.64583</v>
      </c>
      <c r="H1379" s="6" t="str">
        <f t="shared" si="6"/>
        <v/>
      </c>
      <c r="I1379" s="2">
        <f t="shared" si="7"/>
        <v>1996.03</v>
      </c>
      <c r="M1379" s="10">
        <f>IFERROR(__xludf.DUMMYFUNCTION("""COMPUTED_VALUE"""),39980.666666666664)</f>
        <v>39980.66667</v>
      </c>
      <c r="N1379" s="2">
        <f>IFERROR(__xludf.DUMMYFUNCTION("""COMPUTED_VALUE"""),1796.18)</f>
        <v>1796.18</v>
      </c>
    </row>
    <row r="1380">
      <c r="A1380" s="10">
        <f t="shared" si="8"/>
        <v>39362.66667</v>
      </c>
      <c r="B1380" s="2" t="str">
        <f t="shared" si="2"/>
        <v/>
      </c>
      <c r="C1380" s="2" t="str">
        <f t="shared" si="3"/>
        <v>SP500</v>
      </c>
      <c r="D1380" s="2" t="str">
        <f t="shared" si="4"/>
        <v/>
      </c>
      <c r="E1380" s="2">
        <f t="shared" si="5"/>
        <v>2780.32</v>
      </c>
      <c r="G1380" s="10">
        <f t="shared" si="9"/>
        <v>39362.64583</v>
      </c>
      <c r="H1380" s="6" t="str">
        <f t="shared" si="6"/>
        <v/>
      </c>
      <c r="I1380" s="2">
        <f t="shared" si="7"/>
        <v>1996.03</v>
      </c>
      <c r="M1380" s="10">
        <f>IFERROR(__xludf.DUMMYFUNCTION("""COMPUTED_VALUE"""),39981.666666666664)</f>
        <v>39981.66667</v>
      </c>
      <c r="N1380" s="2">
        <f>IFERROR(__xludf.DUMMYFUNCTION("""COMPUTED_VALUE"""),1808.06)</f>
        <v>1808.06</v>
      </c>
    </row>
    <row r="1381">
      <c r="A1381" s="10">
        <f t="shared" si="8"/>
        <v>39363.66667</v>
      </c>
      <c r="B1381" s="2" t="str">
        <f t="shared" si="2"/>
        <v/>
      </c>
      <c r="C1381" s="2" t="str">
        <f t="shared" si="3"/>
        <v>SP500</v>
      </c>
      <c r="D1381" s="2">
        <f t="shared" si="4"/>
        <v>2787.37</v>
      </c>
      <c r="E1381" s="2">
        <f t="shared" si="5"/>
        <v>2787.37</v>
      </c>
      <c r="G1381" s="10">
        <f t="shared" si="9"/>
        <v>39363.64583</v>
      </c>
      <c r="H1381" s="6">
        <f t="shared" si="6"/>
        <v>2012.82</v>
      </c>
      <c r="I1381" s="2">
        <f t="shared" si="7"/>
        <v>2012.82</v>
      </c>
      <c r="M1381" s="10">
        <f>IFERROR(__xludf.DUMMYFUNCTION("""COMPUTED_VALUE"""),39982.666666666664)</f>
        <v>39982.66667</v>
      </c>
      <c r="N1381" s="2">
        <f>IFERROR(__xludf.DUMMYFUNCTION("""COMPUTED_VALUE"""),1807.72)</f>
        <v>1807.72</v>
      </c>
    </row>
    <row r="1382">
      <c r="A1382" s="10">
        <f t="shared" si="8"/>
        <v>39364.66667</v>
      </c>
      <c r="B1382" s="2" t="str">
        <f t="shared" si="2"/>
        <v/>
      </c>
      <c r="C1382" s="2" t="str">
        <f t="shared" si="3"/>
        <v>SP500</v>
      </c>
      <c r="D1382" s="2">
        <f t="shared" si="4"/>
        <v>2803.91</v>
      </c>
      <c r="E1382" s="2">
        <f t="shared" si="5"/>
        <v>2803.91</v>
      </c>
      <c r="G1382" s="10">
        <f t="shared" si="9"/>
        <v>39364.64583</v>
      </c>
      <c r="H1382" s="6">
        <f t="shared" si="6"/>
        <v>2014.13</v>
      </c>
      <c r="I1382" s="2">
        <f t="shared" si="7"/>
        <v>2014.13</v>
      </c>
      <c r="M1382" s="10">
        <f>IFERROR(__xludf.DUMMYFUNCTION("""COMPUTED_VALUE"""),39983.666666666664)</f>
        <v>39983.66667</v>
      </c>
      <c r="N1382" s="2">
        <f>IFERROR(__xludf.DUMMYFUNCTION("""COMPUTED_VALUE"""),1827.47)</f>
        <v>1827.47</v>
      </c>
    </row>
    <row r="1383">
      <c r="A1383" s="10">
        <f t="shared" si="8"/>
        <v>39365.66667</v>
      </c>
      <c r="B1383" s="2" t="str">
        <f t="shared" si="2"/>
        <v/>
      </c>
      <c r="C1383" s="2" t="str">
        <f t="shared" si="3"/>
        <v>SP500</v>
      </c>
      <c r="D1383" s="2">
        <f t="shared" si="4"/>
        <v>2811.61</v>
      </c>
      <c r="E1383" s="2">
        <f t="shared" si="5"/>
        <v>2811.61</v>
      </c>
      <c r="G1383" s="10">
        <f t="shared" si="9"/>
        <v>39365.64583</v>
      </c>
      <c r="H1383" s="6">
        <f t="shared" si="6"/>
        <v>2041.12</v>
      </c>
      <c r="I1383" s="2">
        <f t="shared" si="7"/>
        <v>2041.12</v>
      </c>
      <c r="M1383" s="10">
        <f>IFERROR(__xludf.DUMMYFUNCTION("""COMPUTED_VALUE"""),39986.666666666664)</f>
        <v>39986.66667</v>
      </c>
      <c r="N1383" s="2">
        <f>IFERROR(__xludf.DUMMYFUNCTION("""COMPUTED_VALUE"""),1766.19)</f>
        <v>1766.19</v>
      </c>
    </row>
    <row r="1384">
      <c r="A1384" s="10">
        <f t="shared" si="8"/>
        <v>39366.66667</v>
      </c>
      <c r="B1384" s="2" t="str">
        <f t="shared" si="2"/>
        <v/>
      </c>
      <c r="C1384" s="2" t="str">
        <f t="shared" si="3"/>
        <v>SP500</v>
      </c>
      <c r="D1384" s="2">
        <f t="shared" si="4"/>
        <v>2772.2</v>
      </c>
      <c r="E1384" s="2">
        <f t="shared" si="5"/>
        <v>2772.2</v>
      </c>
      <c r="G1384" s="10">
        <f t="shared" si="9"/>
        <v>39366.64583</v>
      </c>
      <c r="H1384" s="6">
        <f t="shared" si="6"/>
        <v>2058.85</v>
      </c>
      <c r="I1384" s="2">
        <f t="shared" si="7"/>
        <v>2058.85</v>
      </c>
      <c r="M1384" s="10">
        <f>IFERROR(__xludf.DUMMYFUNCTION("""COMPUTED_VALUE"""),39987.666666666664)</f>
        <v>39987.66667</v>
      </c>
      <c r="N1384" s="2">
        <f>IFERROR(__xludf.DUMMYFUNCTION("""COMPUTED_VALUE"""),1764.92)</f>
        <v>1764.92</v>
      </c>
    </row>
    <row r="1385">
      <c r="A1385" s="10">
        <f t="shared" si="8"/>
        <v>39367.66667</v>
      </c>
      <c r="B1385" s="2" t="str">
        <f t="shared" si="2"/>
        <v/>
      </c>
      <c r="C1385" s="2" t="str">
        <f t="shared" si="3"/>
        <v>SP500</v>
      </c>
      <c r="D1385" s="2">
        <f t="shared" si="4"/>
        <v>2805.68</v>
      </c>
      <c r="E1385" s="2">
        <f t="shared" si="5"/>
        <v>2805.68</v>
      </c>
      <c r="G1385" s="10">
        <f t="shared" si="9"/>
        <v>39367.64583</v>
      </c>
      <c r="H1385" s="6">
        <f t="shared" si="6"/>
        <v>2026.44</v>
      </c>
      <c r="I1385" s="2">
        <f t="shared" si="7"/>
        <v>2026.44</v>
      </c>
      <c r="M1385" s="10">
        <f>IFERROR(__xludf.DUMMYFUNCTION("""COMPUTED_VALUE"""),39988.666666666664)</f>
        <v>39988.66667</v>
      </c>
      <c r="N1385" s="2">
        <f>IFERROR(__xludf.DUMMYFUNCTION("""COMPUTED_VALUE"""),1792.34)</f>
        <v>1792.34</v>
      </c>
    </row>
    <row r="1386">
      <c r="A1386" s="10">
        <f t="shared" si="8"/>
        <v>39368.66667</v>
      </c>
      <c r="B1386" s="2" t="str">
        <f t="shared" si="2"/>
        <v/>
      </c>
      <c r="C1386" s="2" t="str">
        <f t="shared" si="3"/>
        <v>SP500</v>
      </c>
      <c r="D1386" s="2" t="str">
        <f t="shared" si="4"/>
        <v/>
      </c>
      <c r="E1386" s="2">
        <f t="shared" si="5"/>
        <v>2805.68</v>
      </c>
      <c r="G1386" s="10">
        <f t="shared" si="9"/>
        <v>39368.64583</v>
      </c>
      <c r="H1386" s="6" t="str">
        <f t="shared" si="6"/>
        <v/>
      </c>
      <c r="I1386" s="2">
        <f t="shared" si="7"/>
        <v>2026.44</v>
      </c>
      <c r="M1386" s="10">
        <f>IFERROR(__xludf.DUMMYFUNCTION("""COMPUTED_VALUE"""),39989.666666666664)</f>
        <v>39989.66667</v>
      </c>
      <c r="N1386" s="2">
        <f>IFERROR(__xludf.DUMMYFUNCTION("""COMPUTED_VALUE"""),1829.54)</f>
        <v>1829.54</v>
      </c>
    </row>
    <row r="1387">
      <c r="A1387" s="10">
        <f t="shared" si="8"/>
        <v>39369.66667</v>
      </c>
      <c r="B1387" s="2" t="str">
        <f t="shared" si="2"/>
        <v/>
      </c>
      <c r="C1387" s="2" t="str">
        <f t="shared" si="3"/>
        <v>SP500</v>
      </c>
      <c r="D1387" s="2" t="str">
        <f t="shared" si="4"/>
        <v/>
      </c>
      <c r="E1387" s="2">
        <f t="shared" si="5"/>
        <v>2805.68</v>
      </c>
      <c r="G1387" s="10">
        <f t="shared" si="9"/>
        <v>39369.64583</v>
      </c>
      <c r="H1387" s="6" t="str">
        <f t="shared" si="6"/>
        <v/>
      </c>
      <c r="I1387" s="2">
        <f t="shared" si="7"/>
        <v>2026.44</v>
      </c>
      <c r="M1387" s="10">
        <f>IFERROR(__xludf.DUMMYFUNCTION("""COMPUTED_VALUE"""),39990.666666666664)</f>
        <v>39990.66667</v>
      </c>
      <c r="N1387" s="2">
        <f>IFERROR(__xludf.DUMMYFUNCTION("""COMPUTED_VALUE"""),1838.22)</f>
        <v>1838.22</v>
      </c>
    </row>
    <row r="1388">
      <c r="A1388" s="10">
        <f t="shared" si="8"/>
        <v>39370.66667</v>
      </c>
      <c r="B1388" s="2" t="str">
        <f t="shared" si="2"/>
        <v/>
      </c>
      <c r="C1388" s="2" t="str">
        <f t="shared" si="3"/>
        <v>SP500</v>
      </c>
      <c r="D1388" s="2">
        <f t="shared" si="4"/>
        <v>2780.05</v>
      </c>
      <c r="E1388" s="2">
        <f t="shared" si="5"/>
        <v>2780.05</v>
      </c>
      <c r="G1388" s="10">
        <f t="shared" si="9"/>
        <v>39370.64583</v>
      </c>
      <c r="H1388" s="6">
        <f t="shared" si="6"/>
        <v>2035.39</v>
      </c>
      <c r="I1388" s="2">
        <f t="shared" si="7"/>
        <v>2035.39</v>
      </c>
      <c r="M1388" s="10">
        <f>IFERROR(__xludf.DUMMYFUNCTION("""COMPUTED_VALUE"""),39993.666666666664)</f>
        <v>39993.66667</v>
      </c>
      <c r="N1388" s="2">
        <f>IFERROR(__xludf.DUMMYFUNCTION("""COMPUTED_VALUE"""),1844.06)</f>
        <v>1844.06</v>
      </c>
    </row>
    <row r="1389">
      <c r="A1389" s="10">
        <f t="shared" si="8"/>
        <v>39371.66667</v>
      </c>
      <c r="B1389" s="2" t="str">
        <f t="shared" si="2"/>
        <v/>
      </c>
      <c r="C1389" s="2" t="str">
        <f t="shared" si="3"/>
        <v>SP500</v>
      </c>
      <c r="D1389" s="2">
        <f t="shared" si="4"/>
        <v>2763.91</v>
      </c>
      <c r="E1389" s="2">
        <f t="shared" si="5"/>
        <v>2763.91</v>
      </c>
      <c r="G1389" s="10">
        <f t="shared" si="9"/>
        <v>39371.64583</v>
      </c>
      <c r="H1389" s="6">
        <f t="shared" si="6"/>
        <v>2005.76</v>
      </c>
      <c r="I1389" s="2">
        <f t="shared" si="7"/>
        <v>2005.76</v>
      </c>
      <c r="M1389" s="10">
        <f>IFERROR(__xludf.DUMMYFUNCTION("""COMPUTED_VALUE"""),39994.666666666664)</f>
        <v>39994.66667</v>
      </c>
      <c r="N1389" s="2">
        <f>IFERROR(__xludf.DUMMYFUNCTION("""COMPUTED_VALUE"""),1835.04)</f>
        <v>1835.04</v>
      </c>
    </row>
    <row r="1390">
      <c r="A1390" s="10">
        <f t="shared" si="8"/>
        <v>39372.66667</v>
      </c>
      <c r="B1390" s="2" t="str">
        <f t="shared" si="2"/>
        <v/>
      </c>
      <c r="C1390" s="2" t="str">
        <f t="shared" si="3"/>
        <v>SP500</v>
      </c>
      <c r="D1390" s="2">
        <f t="shared" si="4"/>
        <v>2792.67</v>
      </c>
      <c r="E1390" s="2">
        <f t="shared" si="5"/>
        <v>2792.67</v>
      </c>
      <c r="G1390" s="10">
        <f t="shared" si="9"/>
        <v>39372.64583</v>
      </c>
      <c r="H1390" s="6">
        <f t="shared" si="6"/>
        <v>1983.94</v>
      </c>
      <c r="I1390" s="2">
        <f t="shared" si="7"/>
        <v>1983.94</v>
      </c>
      <c r="M1390" s="10">
        <f>IFERROR(__xludf.DUMMYFUNCTION("""COMPUTED_VALUE"""),39995.666666666664)</f>
        <v>39995.66667</v>
      </c>
      <c r="N1390" s="2">
        <f>IFERROR(__xludf.DUMMYFUNCTION("""COMPUTED_VALUE"""),1845.72)</f>
        <v>1845.72</v>
      </c>
    </row>
    <row r="1391">
      <c r="A1391" s="10">
        <f t="shared" si="8"/>
        <v>39373.66667</v>
      </c>
      <c r="B1391" s="2" t="str">
        <f t="shared" si="2"/>
        <v/>
      </c>
      <c r="C1391" s="2" t="str">
        <f t="shared" si="3"/>
        <v>SP500</v>
      </c>
      <c r="D1391" s="2">
        <f t="shared" si="4"/>
        <v>2799.31</v>
      </c>
      <c r="E1391" s="2">
        <f t="shared" si="5"/>
        <v>2799.31</v>
      </c>
      <c r="G1391" s="10">
        <f t="shared" si="9"/>
        <v>39373.64583</v>
      </c>
      <c r="H1391" s="6">
        <f t="shared" si="6"/>
        <v>2005.09</v>
      </c>
      <c r="I1391" s="2">
        <f t="shared" si="7"/>
        <v>2005.09</v>
      </c>
      <c r="M1391" s="10">
        <f>IFERROR(__xludf.DUMMYFUNCTION("""COMPUTED_VALUE"""),39996.666666666664)</f>
        <v>39996.66667</v>
      </c>
      <c r="N1391" s="2">
        <f>IFERROR(__xludf.DUMMYFUNCTION("""COMPUTED_VALUE"""),1796.52)</f>
        <v>1796.52</v>
      </c>
    </row>
    <row r="1392">
      <c r="A1392" s="10">
        <f t="shared" si="8"/>
        <v>39374.66667</v>
      </c>
      <c r="B1392" s="2" t="str">
        <f t="shared" si="2"/>
        <v/>
      </c>
      <c r="C1392" s="2" t="str">
        <f t="shared" si="3"/>
        <v>SP500</v>
      </c>
      <c r="D1392" s="2">
        <f t="shared" si="4"/>
        <v>2725.16</v>
      </c>
      <c r="E1392" s="2">
        <f t="shared" si="5"/>
        <v>2725.16</v>
      </c>
      <c r="G1392" s="10">
        <f t="shared" si="9"/>
        <v>39374.64583</v>
      </c>
      <c r="H1392" s="6">
        <f t="shared" si="6"/>
        <v>1970.1</v>
      </c>
      <c r="I1392" s="2">
        <f t="shared" si="7"/>
        <v>1970.1</v>
      </c>
      <c r="M1392" s="10">
        <f>IFERROR(__xludf.DUMMYFUNCTION("""COMPUTED_VALUE"""),40000.666666666664)</f>
        <v>40000.66667</v>
      </c>
      <c r="N1392" s="2">
        <f>IFERROR(__xludf.DUMMYFUNCTION("""COMPUTED_VALUE"""),1787.4)</f>
        <v>1787.4</v>
      </c>
    </row>
    <row r="1393">
      <c r="A1393" s="10">
        <f t="shared" si="8"/>
        <v>39375.66667</v>
      </c>
      <c r="B1393" s="2" t="str">
        <f t="shared" si="2"/>
        <v/>
      </c>
      <c r="C1393" s="2" t="str">
        <f t="shared" si="3"/>
        <v>SP500</v>
      </c>
      <c r="D1393" s="2" t="str">
        <f t="shared" si="4"/>
        <v/>
      </c>
      <c r="E1393" s="2">
        <f t="shared" si="5"/>
        <v>2725.16</v>
      </c>
      <c r="G1393" s="10">
        <f t="shared" si="9"/>
        <v>39375.64583</v>
      </c>
      <c r="H1393" s="6" t="str">
        <f t="shared" si="6"/>
        <v/>
      </c>
      <c r="I1393" s="2">
        <f t="shared" si="7"/>
        <v>1970.1</v>
      </c>
      <c r="M1393" s="10">
        <f>IFERROR(__xludf.DUMMYFUNCTION("""COMPUTED_VALUE"""),40001.666666666664)</f>
        <v>40001.66667</v>
      </c>
      <c r="N1393" s="2">
        <f>IFERROR(__xludf.DUMMYFUNCTION("""COMPUTED_VALUE"""),1746.17)</f>
        <v>1746.17</v>
      </c>
    </row>
    <row r="1394">
      <c r="A1394" s="10">
        <f t="shared" si="8"/>
        <v>39376.66667</v>
      </c>
      <c r="B1394" s="2" t="str">
        <f t="shared" si="2"/>
        <v/>
      </c>
      <c r="C1394" s="2" t="str">
        <f t="shared" si="3"/>
        <v>SP500</v>
      </c>
      <c r="D1394" s="2" t="str">
        <f t="shared" si="4"/>
        <v/>
      </c>
      <c r="E1394" s="2">
        <f t="shared" si="5"/>
        <v>2725.16</v>
      </c>
      <c r="G1394" s="10">
        <f t="shared" si="9"/>
        <v>39376.64583</v>
      </c>
      <c r="H1394" s="6" t="str">
        <f t="shared" si="6"/>
        <v/>
      </c>
      <c r="I1394" s="2">
        <f t="shared" si="7"/>
        <v>1970.1</v>
      </c>
      <c r="M1394" s="10">
        <f>IFERROR(__xludf.DUMMYFUNCTION("""COMPUTED_VALUE"""),40002.666666666664)</f>
        <v>40002.66667</v>
      </c>
      <c r="N1394" s="2">
        <f>IFERROR(__xludf.DUMMYFUNCTION("""COMPUTED_VALUE"""),1747.17)</f>
        <v>1747.17</v>
      </c>
    </row>
    <row r="1395">
      <c r="A1395" s="10">
        <f t="shared" si="8"/>
        <v>39377.66667</v>
      </c>
      <c r="B1395" s="2" t="str">
        <f t="shared" si="2"/>
        <v/>
      </c>
      <c r="C1395" s="2" t="str">
        <f t="shared" si="3"/>
        <v>SP500</v>
      </c>
      <c r="D1395" s="2">
        <f t="shared" si="4"/>
        <v>2753.93</v>
      </c>
      <c r="E1395" s="2">
        <f t="shared" si="5"/>
        <v>2753.93</v>
      </c>
      <c r="G1395" s="10">
        <f t="shared" si="9"/>
        <v>39377.64583</v>
      </c>
      <c r="H1395" s="6">
        <f t="shared" si="6"/>
        <v>1903.81</v>
      </c>
      <c r="I1395" s="2">
        <f t="shared" si="7"/>
        <v>1903.81</v>
      </c>
      <c r="M1395" s="10">
        <f>IFERROR(__xludf.DUMMYFUNCTION("""COMPUTED_VALUE"""),40003.666666666664)</f>
        <v>40003.66667</v>
      </c>
      <c r="N1395" s="2">
        <f>IFERROR(__xludf.DUMMYFUNCTION("""COMPUTED_VALUE"""),1752.55)</f>
        <v>1752.55</v>
      </c>
    </row>
    <row r="1396">
      <c r="A1396" s="10">
        <f t="shared" si="8"/>
        <v>39378.66667</v>
      </c>
      <c r="B1396" s="2" t="str">
        <f t="shared" si="2"/>
        <v/>
      </c>
      <c r="C1396" s="2" t="str">
        <f t="shared" si="3"/>
        <v>SP500</v>
      </c>
      <c r="D1396" s="2">
        <f t="shared" si="4"/>
        <v>2799.26</v>
      </c>
      <c r="E1396" s="2">
        <f t="shared" si="5"/>
        <v>2799.26</v>
      </c>
      <c r="G1396" s="10">
        <f t="shared" si="9"/>
        <v>39378.64583</v>
      </c>
      <c r="H1396" s="6">
        <f t="shared" si="6"/>
        <v>1947.98</v>
      </c>
      <c r="I1396" s="2">
        <f t="shared" si="7"/>
        <v>1947.98</v>
      </c>
      <c r="M1396" s="10">
        <f>IFERROR(__xludf.DUMMYFUNCTION("""COMPUTED_VALUE"""),40004.666666666664)</f>
        <v>40004.66667</v>
      </c>
      <c r="N1396" s="2">
        <f>IFERROR(__xludf.DUMMYFUNCTION("""COMPUTED_VALUE"""),1756.03)</f>
        <v>1756.03</v>
      </c>
    </row>
    <row r="1397">
      <c r="A1397" s="10">
        <f t="shared" si="8"/>
        <v>39379.66667</v>
      </c>
      <c r="B1397" s="2" t="str">
        <f t="shared" si="2"/>
        <v/>
      </c>
      <c r="C1397" s="2" t="str">
        <f t="shared" si="3"/>
        <v>SP500</v>
      </c>
      <c r="D1397" s="2">
        <f t="shared" si="4"/>
        <v>2774.76</v>
      </c>
      <c r="E1397" s="2">
        <f t="shared" si="5"/>
        <v>2774.76</v>
      </c>
      <c r="G1397" s="10">
        <f t="shared" si="9"/>
        <v>39379.64583</v>
      </c>
      <c r="H1397" s="6">
        <f t="shared" si="6"/>
        <v>1933.36</v>
      </c>
      <c r="I1397" s="2">
        <f t="shared" si="7"/>
        <v>1933.36</v>
      </c>
      <c r="M1397" s="10">
        <f>IFERROR(__xludf.DUMMYFUNCTION("""COMPUTED_VALUE"""),40007.666666666664)</f>
        <v>40007.66667</v>
      </c>
      <c r="N1397" s="2">
        <f>IFERROR(__xludf.DUMMYFUNCTION("""COMPUTED_VALUE"""),1793.21)</f>
        <v>1793.21</v>
      </c>
    </row>
    <row r="1398">
      <c r="A1398" s="10">
        <f t="shared" si="8"/>
        <v>39380.66667</v>
      </c>
      <c r="B1398" s="2" t="str">
        <f t="shared" si="2"/>
        <v/>
      </c>
      <c r="C1398" s="2" t="str">
        <f t="shared" si="3"/>
        <v>SP500</v>
      </c>
      <c r="D1398" s="2">
        <f t="shared" si="4"/>
        <v>2750.86</v>
      </c>
      <c r="E1398" s="2">
        <f t="shared" si="5"/>
        <v>2750.86</v>
      </c>
      <c r="G1398" s="10">
        <f t="shared" si="9"/>
        <v>39380.64583</v>
      </c>
      <c r="H1398" s="6">
        <f t="shared" si="6"/>
        <v>1976.75</v>
      </c>
      <c r="I1398" s="2">
        <f t="shared" si="7"/>
        <v>1976.75</v>
      </c>
      <c r="M1398" s="10">
        <f>IFERROR(__xludf.DUMMYFUNCTION("""COMPUTED_VALUE"""),40008.666666666664)</f>
        <v>40008.66667</v>
      </c>
      <c r="N1398" s="2">
        <f>IFERROR(__xludf.DUMMYFUNCTION("""COMPUTED_VALUE"""),1799.73)</f>
        <v>1799.73</v>
      </c>
    </row>
    <row r="1399">
      <c r="A1399" s="10">
        <f t="shared" si="8"/>
        <v>39381.66667</v>
      </c>
      <c r="B1399" s="2" t="str">
        <f t="shared" si="2"/>
        <v/>
      </c>
      <c r="C1399" s="2" t="str">
        <f t="shared" si="3"/>
        <v>SP500</v>
      </c>
      <c r="D1399" s="2">
        <f t="shared" si="4"/>
        <v>2804.19</v>
      </c>
      <c r="E1399" s="2">
        <f t="shared" si="5"/>
        <v>2804.19</v>
      </c>
      <c r="G1399" s="10">
        <f t="shared" si="9"/>
        <v>39381.64583</v>
      </c>
      <c r="H1399" s="6">
        <f t="shared" si="6"/>
        <v>2028.06</v>
      </c>
      <c r="I1399" s="2">
        <f t="shared" si="7"/>
        <v>2028.06</v>
      </c>
      <c r="M1399" s="10">
        <f>IFERROR(__xludf.DUMMYFUNCTION("""COMPUTED_VALUE"""),40009.666666666664)</f>
        <v>40009.66667</v>
      </c>
      <c r="N1399" s="2">
        <f>IFERROR(__xludf.DUMMYFUNCTION("""COMPUTED_VALUE"""),1862.9)</f>
        <v>1862.9</v>
      </c>
    </row>
    <row r="1400">
      <c r="A1400" s="10">
        <f t="shared" si="8"/>
        <v>39382.66667</v>
      </c>
      <c r="B1400" s="2" t="str">
        <f t="shared" si="2"/>
        <v/>
      </c>
      <c r="C1400" s="2" t="str">
        <f t="shared" si="3"/>
        <v>SP500</v>
      </c>
      <c r="D1400" s="2" t="str">
        <f t="shared" si="4"/>
        <v/>
      </c>
      <c r="E1400" s="2">
        <f t="shared" si="5"/>
        <v>2804.19</v>
      </c>
      <c r="G1400" s="10">
        <f t="shared" si="9"/>
        <v>39382.64583</v>
      </c>
      <c r="H1400" s="6" t="str">
        <f t="shared" si="6"/>
        <v/>
      </c>
      <c r="I1400" s="2">
        <f t="shared" si="7"/>
        <v>2028.06</v>
      </c>
      <c r="M1400" s="10">
        <f>IFERROR(__xludf.DUMMYFUNCTION("""COMPUTED_VALUE"""),40010.666666666664)</f>
        <v>40010.66667</v>
      </c>
      <c r="N1400" s="2">
        <f>IFERROR(__xludf.DUMMYFUNCTION("""COMPUTED_VALUE"""),1885.03)</f>
        <v>1885.03</v>
      </c>
    </row>
    <row r="1401">
      <c r="A1401" s="10">
        <f t="shared" si="8"/>
        <v>39383.66667</v>
      </c>
      <c r="B1401" s="2" t="str">
        <f t="shared" si="2"/>
        <v/>
      </c>
      <c r="C1401" s="2" t="str">
        <f t="shared" si="3"/>
        <v>SP500</v>
      </c>
      <c r="D1401" s="2" t="str">
        <f t="shared" si="4"/>
        <v/>
      </c>
      <c r="E1401" s="2">
        <f t="shared" si="5"/>
        <v>2804.19</v>
      </c>
      <c r="G1401" s="10">
        <f t="shared" si="9"/>
        <v>39383.64583</v>
      </c>
      <c r="H1401" s="6" t="str">
        <f t="shared" si="6"/>
        <v/>
      </c>
      <c r="I1401" s="2">
        <f t="shared" si="7"/>
        <v>2028.06</v>
      </c>
      <c r="M1401" s="10">
        <f>IFERROR(__xludf.DUMMYFUNCTION("""COMPUTED_VALUE"""),40011.666666666664)</f>
        <v>40011.66667</v>
      </c>
      <c r="N1401" s="2">
        <f>IFERROR(__xludf.DUMMYFUNCTION("""COMPUTED_VALUE"""),1886.61)</f>
        <v>1886.61</v>
      </c>
    </row>
    <row r="1402">
      <c r="A1402" s="10">
        <f t="shared" si="8"/>
        <v>39384.66667</v>
      </c>
      <c r="B1402" s="2" t="str">
        <f t="shared" si="2"/>
        <v/>
      </c>
      <c r="C1402" s="2" t="str">
        <f t="shared" si="3"/>
        <v>SP500</v>
      </c>
      <c r="D1402" s="2">
        <f t="shared" si="4"/>
        <v>2817.44</v>
      </c>
      <c r="E1402" s="2">
        <f t="shared" si="5"/>
        <v>2817.44</v>
      </c>
      <c r="G1402" s="10">
        <f t="shared" si="9"/>
        <v>39384.64583</v>
      </c>
      <c r="H1402" s="6">
        <f t="shared" si="6"/>
        <v>2062.92</v>
      </c>
      <c r="I1402" s="2">
        <f t="shared" si="7"/>
        <v>2062.92</v>
      </c>
      <c r="M1402" s="10">
        <f>IFERROR(__xludf.DUMMYFUNCTION("""COMPUTED_VALUE"""),40014.666666666664)</f>
        <v>40014.66667</v>
      </c>
      <c r="N1402" s="2">
        <f>IFERROR(__xludf.DUMMYFUNCTION("""COMPUTED_VALUE"""),1909.29)</f>
        <v>1909.29</v>
      </c>
    </row>
    <row r="1403">
      <c r="A1403" s="10">
        <f t="shared" si="8"/>
        <v>39385.66667</v>
      </c>
      <c r="B1403" s="2" t="str">
        <f t="shared" si="2"/>
        <v/>
      </c>
      <c r="C1403" s="2" t="str">
        <f t="shared" si="3"/>
        <v>SP500</v>
      </c>
      <c r="D1403" s="2">
        <f t="shared" si="4"/>
        <v>2816.71</v>
      </c>
      <c r="E1403" s="2">
        <f t="shared" si="5"/>
        <v>2816.71</v>
      </c>
      <c r="G1403" s="10">
        <f t="shared" si="9"/>
        <v>39385.64583</v>
      </c>
      <c r="H1403" s="6">
        <f t="shared" si="6"/>
        <v>2052.37</v>
      </c>
      <c r="I1403" s="2">
        <f t="shared" si="7"/>
        <v>2052.37</v>
      </c>
      <c r="M1403" s="10">
        <f>IFERROR(__xludf.DUMMYFUNCTION("""COMPUTED_VALUE"""),40015.666666666664)</f>
        <v>40015.66667</v>
      </c>
      <c r="N1403" s="2">
        <f>IFERROR(__xludf.DUMMYFUNCTION("""COMPUTED_VALUE"""),1916.2)</f>
        <v>1916.2</v>
      </c>
    </row>
    <row r="1404">
      <c r="A1404" s="10">
        <f t="shared" si="8"/>
        <v>39386.66667</v>
      </c>
      <c r="B1404" s="2" t="str">
        <f t="shared" si="2"/>
        <v/>
      </c>
      <c r="C1404" s="2" t="str">
        <f t="shared" si="3"/>
        <v>SP500</v>
      </c>
      <c r="D1404" s="2">
        <f t="shared" si="4"/>
        <v>2859.12</v>
      </c>
      <c r="E1404" s="2">
        <f t="shared" si="5"/>
        <v>2859.12</v>
      </c>
      <c r="G1404" s="10">
        <f t="shared" si="9"/>
        <v>39386.64583</v>
      </c>
      <c r="H1404" s="6">
        <f t="shared" si="6"/>
        <v>2064.85</v>
      </c>
      <c r="I1404" s="2">
        <f t="shared" si="7"/>
        <v>2064.85</v>
      </c>
      <c r="M1404" s="10">
        <f>IFERROR(__xludf.DUMMYFUNCTION("""COMPUTED_VALUE"""),40016.666666666664)</f>
        <v>40016.66667</v>
      </c>
      <c r="N1404" s="2">
        <f>IFERROR(__xludf.DUMMYFUNCTION("""COMPUTED_VALUE"""),1926.38)</f>
        <v>1926.38</v>
      </c>
    </row>
    <row r="1405">
      <c r="A1405" s="10">
        <f t="shared" si="8"/>
        <v>39387.66667</v>
      </c>
      <c r="B1405" s="2" t="str">
        <f t="shared" si="2"/>
        <v/>
      </c>
      <c r="C1405" s="2" t="str">
        <f t="shared" si="3"/>
        <v>SP500</v>
      </c>
      <c r="D1405" s="2">
        <f t="shared" si="4"/>
        <v>2794.83</v>
      </c>
      <c r="E1405" s="2">
        <f t="shared" si="5"/>
        <v>2794.83</v>
      </c>
      <c r="G1405" s="10">
        <f t="shared" si="9"/>
        <v>39387.64583</v>
      </c>
      <c r="H1405" s="6">
        <f t="shared" si="6"/>
        <v>2063.14</v>
      </c>
      <c r="I1405" s="2">
        <f t="shared" si="7"/>
        <v>2063.14</v>
      </c>
      <c r="M1405" s="10">
        <f>IFERROR(__xludf.DUMMYFUNCTION("""COMPUTED_VALUE"""),40017.666666666664)</f>
        <v>40017.66667</v>
      </c>
      <c r="N1405" s="2">
        <f>IFERROR(__xludf.DUMMYFUNCTION("""COMPUTED_VALUE"""),1973.6)</f>
        <v>1973.6</v>
      </c>
    </row>
    <row r="1406">
      <c r="A1406" s="10">
        <f t="shared" si="8"/>
        <v>39388.66667</v>
      </c>
      <c r="B1406" s="2" t="str">
        <f t="shared" si="2"/>
        <v/>
      </c>
      <c r="C1406" s="2" t="str">
        <f t="shared" si="3"/>
        <v>SP500</v>
      </c>
      <c r="D1406" s="2">
        <f t="shared" si="4"/>
        <v>2810.38</v>
      </c>
      <c r="E1406" s="2">
        <f t="shared" si="5"/>
        <v>2810.38</v>
      </c>
      <c r="G1406" s="10">
        <f t="shared" si="9"/>
        <v>39388.64583</v>
      </c>
      <c r="H1406" s="6">
        <f t="shared" si="6"/>
        <v>2019.34</v>
      </c>
      <c r="I1406" s="2">
        <f t="shared" si="7"/>
        <v>2019.34</v>
      </c>
      <c r="M1406" s="10">
        <f>IFERROR(__xludf.DUMMYFUNCTION("""COMPUTED_VALUE"""),40018.666666666664)</f>
        <v>40018.66667</v>
      </c>
      <c r="N1406" s="2">
        <f>IFERROR(__xludf.DUMMYFUNCTION("""COMPUTED_VALUE"""),1965.96)</f>
        <v>1965.96</v>
      </c>
    </row>
    <row r="1407">
      <c r="A1407" s="10">
        <f t="shared" si="8"/>
        <v>39389.66667</v>
      </c>
      <c r="B1407" s="2" t="str">
        <f t="shared" si="2"/>
        <v/>
      </c>
      <c r="C1407" s="2" t="str">
        <f t="shared" si="3"/>
        <v>SP500</v>
      </c>
      <c r="D1407" s="2" t="str">
        <f t="shared" si="4"/>
        <v/>
      </c>
      <c r="E1407" s="2">
        <f t="shared" si="5"/>
        <v>2810.38</v>
      </c>
      <c r="G1407" s="10">
        <f t="shared" si="9"/>
        <v>39389.64583</v>
      </c>
      <c r="H1407" s="6" t="str">
        <f t="shared" si="6"/>
        <v/>
      </c>
      <c r="I1407" s="2">
        <f t="shared" si="7"/>
        <v>2019.34</v>
      </c>
      <c r="M1407" s="10">
        <f>IFERROR(__xludf.DUMMYFUNCTION("""COMPUTED_VALUE"""),40021.666666666664)</f>
        <v>40021.66667</v>
      </c>
      <c r="N1407" s="2">
        <f>IFERROR(__xludf.DUMMYFUNCTION("""COMPUTED_VALUE"""),1967.89)</f>
        <v>1967.89</v>
      </c>
    </row>
    <row r="1408">
      <c r="A1408" s="10">
        <f t="shared" si="8"/>
        <v>39390.66667</v>
      </c>
      <c r="B1408" s="2" t="str">
        <f t="shared" si="2"/>
        <v/>
      </c>
      <c r="C1408" s="2" t="str">
        <f t="shared" si="3"/>
        <v>SP500</v>
      </c>
      <c r="D1408" s="2" t="str">
        <f t="shared" si="4"/>
        <v/>
      </c>
      <c r="E1408" s="2">
        <f t="shared" si="5"/>
        <v>2810.38</v>
      </c>
      <c r="G1408" s="10">
        <f t="shared" si="9"/>
        <v>39390.64583</v>
      </c>
      <c r="H1408" s="6" t="str">
        <f t="shared" si="6"/>
        <v/>
      </c>
      <c r="I1408" s="2">
        <f t="shared" si="7"/>
        <v>2019.34</v>
      </c>
      <c r="M1408" s="10">
        <f>IFERROR(__xludf.DUMMYFUNCTION("""COMPUTED_VALUE"""),40022.666666666664)</f>
        <v>40022.66667</v>
      </c>
      <c r="N1408" s="2">
        <f>IFERROR(__xludf.DUMMYFUNCTION("""COMPUTED_VALUE"""),1975.51)</f>
        <v>1975.51</v>
      </c>
    </row>
    <row r="1409">
      <c r="A1409" s="10">
        <f t="shared" si="8"/>
        <v>39391.66667</v>
      </c>
      <c r="B1409" s="2" t="str">
        <f t="shared" si="2"/>
        <v/>
      </c>
      <c r="C1409" s="2" t="str">
        <f t="shared" si="3"/>
        <v>SP500</v>
      </c>
      <c r="D1409" s="2">
        <f t="shared" si="4"/>
        <v>2795.18</v>
      </c>
      <c r="E1409" s="2">
        <f t="shared" si="5"/>
        <v>2795.18</v>
      </c>
      <c r="G1409" s="10">
        <f t="shared" si="9"/>
        <v>39391.64583</v>
      </c>
      <c r="H1409" s="6">
        <f t="shared" si="6"/>
        <v>2015.76</v>
      </c>
      <c r="I1409" s="2">
        <f t="shared" si="7"/>
        <v>2015.76</v>
      </c>
      <c r="M1409" s="10">
        <f>IFERROR(__xludf.DUMMYFUNCTION("""COMPUTED_VALUE"""),40023.666666666664)</f>
        <v>40023.66667</v>
      </c>
      <c r="N1409" s="2">
        <f>IFERROR(__xludf.DUMMYFUNCTION("""COMPUTED_VALUE"""),1967.76)</f>
        <v>1967.76</v>
      </c>
    </row>
    <row r="1410">
      <c r="A1410" s="10">
        <f t="shared" si="8"/>
        <v>39392.66667</v>
      </c>
      <c r="B1410" s="2" t="str">
        <f t="shared" si="2"/>
        <v/>
      </c>
      <c r="C1410" s="2" t="str">
        <f t="shared" si="3"/>
        <v>SP500</v>
      </c>
      <c r="D1410" s="2">
        <f t="shared" si="4"/>
        <v>2825.18</v>
      </c>
      <c r="E1410" s="2">
        <f t="shared" si="5"/>
        <v>2825.18</v>
      </c>
      <c r="G1410" s="10">
        <f t="shared" si="9"/>
        <v>39392.64583</v>
      </c>
      <c r="H1410" s="6">
        <f t="shared" si="6"/>
        <v>2054.24</v>
      </c>
      <c r="I1410" s="2">
        <f t="shared" si="7"/>
        <v>2054.24</v>
      </c>
      <c r="M1410" s="10">
        <f>IFERROR(__xludf.DUMMYFUNCTION("""COMPUTED_VALUE"""),40024.666666666664)</f>
        <v>40024.66667</v>
      </c>
      <c r="N1410" s="2">
        <f>IFERROR(__xludf.DUMMYFUNCTION("""COMPUTED_VALUE"""),1984.3)</f>
        <v>1984.3</v>
      </c>
    </row>
    <row r="1411">
      <c r="A1411" s="10">
        <f t="shared" si="8"/>
        <v>39393.66667</v>
      </c>
      <c r="B1411" s="2" t="str">
        <f t="shared" si="2"/>
        <v/>
      </c>
      <c r="C1411" s="2" t="str">
        <f t="shared" si="3"/>
        <v>SP500</v>
      </c>
      <c r="D1411" s="2">
        <f t="shared" si="4"/>
        <v>2748.76</v>
      </c>
      <c r="E1411" s="2">
        <f t="shared" si="5"/>
        <v>2748.76</v>
      </c>
      <c r="G1411" s="10">
        <f t="shared" si="9"/>
        <v>39393.64583</v>
      </c>
      <c r="H1411" s="6">
        <f t="shared" si="6"/>
        <v>2043.19</v>
      </c>
      <c r="I1411" s="2">
        <f t="shared" si="7"/>
        <v>2043.19</v>
      </c>
      <c r="M1411" s="10">
        <f>IFERROR(__xludf.DUMMYFUNCTION("""COMPUTED_VALUE"""),40025.666666666664)</f>
        <v>40025.66667</v>
      </c>
      <c r="N1411" s="2">
        <f>IFERROR(__xludf.DUMMYFUNCTION("""COMPUTED_VALUE"""),1978.5)</f>
        <v>1978.5</v>
      </c>
    </row>
    <row r="1412">
      <c r="A1412" s="10">
        <f t="shared" si="8"/>
        <v>39394.66667</v>
      </c>
      <c r="B1412" s="2" t="str">
        <f t="shared" si="2"/>
        <v/>
      </c>
      <c r="C1412" s="2" t="str">
        <f t="shared" si="3"/>
        <v>SP500</v>
      </c>
      <c r="D1412" s="2">
        <f t="shared" si="4"/>
        <v>2696</v>
      </c>
      <c r="E1412" s="2">
        <f t="shared" si="5"/>
        <v>2696</v>
      </c>
      <c r="G1412" s="10">
        <f t="shared" si="9"/>
        <v>39394.64583</v>
      </c>
      <c r="H1412" s="6">
        <f t="shared" si="6"/>
        <v>1979.56</v>
      </c>
      <c r="I1412" s="2">
        <f t="shared" si="7"/>
        <v>1979.56</v>
      </c>
      <c r="M1412" s="10">
        <f>IFERROR(__xludf.DUMMYFUNCTION("""COMPUTED_VALUE"""),40028.666666666664)</f>
        <v>40028.66667</v>
      </c>
      <c r="N1412" s="2">
        <f>IFERROR(__xludf.DUMMYFUNCTION("""COMPUTED_VALUE"""),2008.61)</f>
        <v>2008.61</v>
      </c>
    </row>
    <row r="1413">
      <c r="A1413" s="10">
        <f t="shared" si="8"/>
        <v>39395.66667</v>
      </c>
      <c r="B1413" s="2" t="str">
        <f t="shared" si="2"/>
        <v/>
      </c>
      <c r="C1413" s="2" t="str">
        <f t="shared" si="3"/>
        <v>SP500</v>
      </c>
      <c r="D1413" s="2">
        <f t="shared" si="4"/>
        <v>2627.94</v>
      </c>
      <c r="E1413" s="2">
        <f t="shared" si="5"/>
        <v>2627.94</v>
      </c>
      <c r="G1413" s="10">
        <f t="shared" si="9"/>
        <v>39395.64583</v>
      </c>
      <c r="H1413" s="6">
        <f t="shared" si="6"/>
        <v>1990.47</v>
      </c>
      <c r="I1413" s="2">
        <f t="shared" si="7"/>
        <v>1990.47</v>
      </c>
      <c r="M1413" s="10">
        <f>IFERROR(__xludf.DUMMYFUNCTION("""COMPUTED_VALUE"""),40029.666666666664)</f>
        <v>40029.66667</v>
      </c>
      <c r="N1413" s="2">
        <f>IFERROR(__xludf.DUMMYFUNCTION("""COMPUTED_VALUE"""),2011.31)</f>
        <v>2011.31</v>
      </c>
    </row>
    <row r="1414">
      <c r="A1414" s="10">
        <f t="shared" si="8"/>
        <v>39396.66667</v>
      </c>
      <c r="B1414" s="2" t="str">
        <f t="shared" si="2"/>
        <v/>
      </c>
      <c r="C1414" s="2" t="str">
        <f t="shared" si="3"/>
        <v>SP500</v>
      </c>
      <c r="D1414" s="2" t="str">
        <f t="shared" si="4"/>
        <v/>
      </c>
      <c r="E1414" s="2">
        <f t="shared" si="5"/>
        <v>2627.94</v>
      </c>
      <c r="G1414" s="10">
        <f t="shared" si="9"/>
        <v>39396.64583</v>
      </c>
      <c r="H1414" s="6" t="str">
        <f t="shared" si="6"/>
        <v/>
      </c>
      <c r="I1414" s="2">
        <f t="shared" si="7"/>
        <v>1990.47</v>
      </c>
      <c r="M1414" s="10">
        <f>IFERROR(__xludf.DUMMYFUNCTION("""COMPUTED_VALUE"""),40030.666666666664)</f>
        <v>40030.66667</v>
      </c>
      <c r="N1414" s="2">
        <f>IFERROR(__xludf.DUMMYFUNCTION("""COMPUTED_VALUE"""),1993.05)</f>
        <v>1993.05</v>
      </c>
    </row>
    <row r="1415">
      <c r="A1415" s="10">
        <f t="shared" si="8"/>
        <v>39397.66667</v>
      </c>
      <c r="B1415" s="2" t="str">
        <f t="shared" si="2"/>
        <v/>
      </c>
      <c r="C1415" s="2" t="str">
        <f t="shared" si="3"/>
        <v>SP500</v>
      </c>
      <c r="D1415" s="2" t="str">
        <f t="shared" si="4"/>
        <v/>
      </c>
      <c r="E1415" s="2">
        <f t="shared" si="5"/>
        <v>2627.94</v>
      </c>
      <c r="G1415" s="10">
        <f t="shared" si="9"/>
        <v>39397.64583</v>
      </c>
      <c r="H1415" s="6" t="str">
        <f t="shared" si="6"/>
        <v/>
      </c>
      <c r="I1415" s="2">
        <f t="shared" si="7"/>
        <v>1990.47</v>
      </c>
      <c r="M1415" s="10">
        <f>IFERROR(__xludf.DUMMYFUNCTION("""COMPUTED_VALUE"""),40031.666666666664)</f>
        <v>40031.66667</v>
      </c>
      <c r="N1415" s="2">
        <f>IFERROR(__xludf.DUMMYFUNCTION("""COMPUTED_VALUE"""),1973.16)</f>
        <v>1973.16</v>
      </c>
    </row>
    <row r="1416">
      <c r="A1416" s="10">
        <f t="shared" si="8"/>
        <v>39398.66667</v>
      </c>
      <c r="B1416" s="2" t="str">
        <f t="shared" si="2"/>
        <v/>
      </c>
      <c r="C1416" s="2" t="str">
        <f t="shared" si="3"/>
        <v>SP500</v>
      </c>
      <c r="D1416" s="2">
        <f t="shared" si="4"/>
        <v>2584.13</v>
      </c>
      <c r="E1416" s="2">
        <f t="shared" si="5"/>
        <v>2584.13</v>
      </c>
      <c r="G1416" s="10">
        <f t="shared" si="9"/>
        <v>39398.64583</v>
      </c>
      <c r="H1416" s="6">
        <f t="shared" si="6"/>
        <v>1923.42</v>
      </c>
      <c r="I1416" s="2">
        <f t="shared" si="7"/>
        <v>1923.42</v>
      </c>
      <c r="M1416" s="10">
        <f>IFERROR(__xludf.DUMMYFUNCTION("""COMPUTED_VALUE"""),40032.666666666664)</f>
        <v>40032.66667</v>
      </c>
      <c r="N1416" s="2">
        <f>IFERROR(__xludf.DUMMYFUNCTION("""COMPUTED_VALUE"""),2000.25)</f>
        <v>2000.25</v>
      </c>
    </row>
    <row r="1417">
      <c r="A1417" s="10">
        <f t="shared" si="8"/>
        <v>39399.66667</v>
      </c>
      <c r="B1417" s="2" t="str">
        <f t="shared" si="2"/>
        <v/>
      </c>
      <c r="C1417" s="2" t="str">
        <f t="shared" si="3"/>
        <v>SP500</v>
      </c>
      <c r="D1417" s="2">
        <f t="shared" si="4"/>
        <v>2673.65</v>
      </c>
      <c r="E1417" s="2">
        <f t="shared" si="5"/>
        <v>2673.65</v>
      </c>
      <c r="G1417" s="10">
        <f t="shared" si="9"/>
        <v>39399.64583</v>
      </c>
      <c r="H1417" s="6">
        <f t="shared" si="6"/>
        <v>1932.89</v>
      </c>
      <c r="I1417" s="2">
        <f t="shared" si="7"/>
        <v>1932.89</v>
      </c>
      <c r="M1417" s="10">
        <f>IFERROR(__xludf.DUMMYFUNCTION("""COMPUTED_VALUE"""),40035.666666666664)</f>
        <v>40035.66667</v>
      </c>
      <c r="N1417" s="2">
        <f>IFERROR(__xludf.DUMMYFUNCTION("""COMPUTED_VALUE"""),1992.24)</f>
        <v>1992.24</v>
      </c>
    </row>
    <row r="1418">
      <c r="A1418" s="10">
        <f t="shared" si="8"/>
        <v>39400.66667</v>
      </c>
      <c r="B1418" s="2" t="str">
        <f t="shared" si="2"/>
        <v/>
      </c>
      <c r="C1418" s="2" t="str">
        <f t="shared" si="3"/>
        <v>SP500</v>
      </c>
      <c r="D1418" s="2">
        <f t="shared" si="4"/>
        <v>2644.32</v>
      </c>
      <c r="E1418" s="2">
        <f t="shared" si="5"/>
        <v>2644.32</v>
      </c>
      <c r="G1418" s="10">
        <f t="shared" si="9"/>
        <v>39400.64583</v>
      </c>
      <c r="H1418" s="6">
        <f t="shared" si="6"/>
        <v>1972.58</v>
      </c>
      <c r="I1418" s="2">
        <f t="shared" si="7"/>
        <v>1972.58</v>
      </c>
      <c r="M1418" s="10">
        <f>IFERROR(__xludf.DUMMYFUNCTION("""COMPUTED_VALUE"""),40036.666666666664)</f>
        <v>40036.66667</v>
      </c>
      <c r="N1418" s="2">
        <f>IFERROR(__xludf.DUMMYFUNCTION("""COMPUTED_VALUE"""),1969.73)</f>
        <v>1969.73</v>
      </c>
    </row>
    <row r="1419">
      <c r="A1419" s="10">
        <f t="shared" si="8"/>
        <v>39401.66667</v>
      </c>
      <c r="B1419" s="2" t="str">
        <f t="shared" si="2"/>
        <v/>
      </c>
      <c r="C1419" s="2" t="str">
        <f t="shared" si="3"/>
        <v>SP500</v>
      </c>
      <c r="D1419" s="2">
        <f t="shared" si="4"/>
        <v>2618.51</v>
      </c>
      <c r="E1419" s="2">
        <f t="shared" si="5"/>
        <v>2618.51</v>
      </c>
      <c r="G1419" s="10">
        <f t="shared" si="9"/>
        <v>39401.64583</v>
      </c>
      <c r="H1419" s="6">
        <f t="shared" si="6"/>
        <v>1947.74</v>
      </c>
      <c r="I1419" s="2">
        <f t="shared" si="7"/>
        <v>1947.74</v>
      </c>
      <c r="M1419" s="10">
        <f>IFERROR(__xludf.DUMMYFUNCTION("""COMPUTED_VALUE"""),40037.666666666664)</f>
        <v>40037.66667</v>
      </c>
      <c r="N1419" s="2">
        <f>IFERROR(__xludf.DUMMYFUNCTION("""COMPUTED_VALUE"""),1998.72)</f>
        <v>1998.72</v>
      </c>
    </row>
    <row r="1420">
      <c r="A1420" s="10">
        <f t="shared" si="8"/>
        <v>39402.66667</v>
      </c>
      <c r="B1420" s="2" t="str">
        <f t="shared" si="2"/>
        <v/>
      </c>
      <c r="C1420" s="2" t="str">
        <f t="shared" si="3"/>
        <v>SP500</v>
      </c>
      <c r="D1420" s="2">
        <f t="shared" si="4"/>
        <v>2637.24</v>
      </c>
      <c r="E1420" s="2">
        <f t="shared" si="5"/>
        <v>2637.24</v>
      </c>
      <c r="G1420" s="10">
        <f t="shared" si="9"/>
        <v>39402.64583</v>
      </c>
      <c r="H1420" s="6">
        <f t="shared" si="6"/>
        <v>1926.2</v>
      </c>
      <c r="I1420" s="2">
        <f t="shared" si="7"/>
        <v>1926.2</v>
      </c>
      <c r="M1420" s="10">
        <f>IFERROR(__xludf.DUMMYFUNCTION("""COMPUTED_VALUE"""),40038.666666666664)</f>
        <v>40038.66667</v>
      </c>
      <c r="N1420" s="2">
        <f>IFERROR(__xludf.DUMMYFUNCTION("""COMPUTED_VALUE"""),2009.35)</f>
        <v>2009.35</v>
      </c>
    </row>
    <row r="1421">
      <c r="A1421" s="10">
        <f t="shared" si="8"/>
        <v>39403.66667</v>
      </c>
      <c r="B1421" s="2" t="str">
        <f t="shared" si="2"/>
        <v/>
      </c>
      <c r="C1421" s="2" t="str">
        <f t="shared" si="3"/>
        <v>SP500</v>
      </c>
      <c r="D1421" s="2" t="str">
        <f t="shared" si="4"/>
        <v/>
      </c>
      <c r="E1421" s="2">
        <f t="shared" si="5"/>
        <v>2637.24</v>
      </c>
      <c r="G1421" s="10">
        <f t="shared" si="9"/>
        <v>39403.64583</v>
      </c>
      <c r="H1421" s="6" t="str">
        <f t="shared" si="6"/>
        <v/>
      </c>
      <c r="I1421" s="2">
        <f t="shared" si="7"/>
        <v>1926.2</v>
      </c>
      <c r="M1421" s="10">
        <f>IFERROR(__xludf.DUMMYFUNCTION("""COMPUTED_VALUE"""),40039.666666666664)</f>
        <v>40039.66667</v>
      </c>
      <c r="N1421" s="2">
        <f>IFERROR(__xludf.DUMMYFUNCTION("""COMPUTED_VALUE"""),1985.52)</f>
        <v>1985.52</v>
      </c>
    </row>
    <row r="1422">
      <c r="A1422" s="10">
        <f t="shared" si="8"/>
        <v>39404.66667</v>
      </c>
      <c r="B1422" s="2" t="str">
        <f t="shared" si="2"/>
        <v/>
      </c>
      <c r="C1422" s="2" t="str">
        <f t="shared" si="3"/>
        <v>SP500</v>
      </c>
      <c r="D1422" s="2" t="str">
        <f t="shared" si="4"/>
        <v/>
      </c>
      <c r="E1422" s="2">
        <f t="shared" si="5"/>
        <v>2637.24</v>
      </c>
      <c r="G1422" s="10">
        <f t="shared" si="9"/>
        <v>39404.64583</v>
      </c>
      <c r="H1422" s="6" t="str">
        <f t="shared" si="6"/>
        <v/>
      </c>
      <c r="I1422" s="2">
        <f t="shared" si="7"/>
        <v>1926.2</v>
      </c>
      <c r="M1422" s="10">
        <f>IFERROR(__xludf.DUMMYFUNCTION("""COMPUTED_VALUE"""),40042.666666666664)</f>
        <v>40042.66667</v>
      </c>
      <c r="N1422" s="2">
        <f>IFERROR(__xludf.DUMMYFUNCTION("""COMPUTED_VALUE"""),1930.84)</f>
        <v>1930.84</v>
      </c>
    </row>
    <row r="1423">
      <c r="A1423" s="10">
        <f t="shared" si="8"/>
        <v>39405.66667</v>
      </c>
      <c r="B1423" s="2" t="str">
        <f t="shared" si="2"/>
        <v/>
      </c>
      <c r="C1423" s="2" t="str">
        <f t="shared" si="3"/>
        <v>SP500</v>
      </c>
      <c r="D1423" s="2">
        <f t="shared" si="4"/>
        <v>2593.38</v>
      </c>
      <c r="E1423" s="2">
        <f t="shared" si="5"/>
        <v>2593.38</v>
      </c>
      <c r="G1423" s="10">
        <f t="shared" si="9"/>
        <v>39405.64583</v>
      </c>
      <c r="H1423" s="6">
        <f t="shared" si="6"/>
        <v>1893.47</v>
      </c>
      <c r="I1423" s="2">
        <f t="shared" si="7"/>
        <v>1893.47</v>
      </c>
      <c r="M1423" s="10">
        <f>IFERROR(__xludf.DUMMYFUNCTION("""COMPUTED_VALUE"""),40043.666666666664)</f>
        <v>40043.66667</v>
      </c>
      <c r="N1423" s="2">
        <f>IFERROR(__xludf.DUMMYFUNCTION("""COMPUTED_VALUE"""),1955.92)</f>
        <v>1955.92</v>
      </c>
    </row>
    <row r="1424">
      <c r="A1424" s="10">
        <f t="shared" si="8"/>
        <v>39406.66667</v>
      </c>
      <c r="B1424" s="2" t="str">
        <f t="shared" si="2"/>
        <v/>
      </c>
      <c r="C1424" s="2" t="str">
        <f t="shared" si="3"/>
        <v>SP500</v>
      </c>
      <c r="D1424" s="2">
        <f t="shared" si="4"/>
        <v>2596.81</v>
      </c>
      <c r="E1424" s="2">
        <f t="shared" si="5"/>
        <v>2596.81</v>
      </c>
      <c r="G1424" s="10">
        <f t="shared" si="9"/>
        <v>39406.64583</v>
      </c>
      <c r="H1424" s="6">
        <f t="shared" si="6"/>
        <v>1872.24</v>
      </c>
      <c r="I1424" s="2">
        <f t="shared" si="7"/>
        <v>1872.24</v>
      </c>
      <c r="M1424" s="10">
        <f>IFERROR(__xludf.DUMMYFUNCTION("""COMPUTED_VALUE"""),40044.666666666664)</f>
        <v>40044.66667</v>
      </c>
      <c r="N1424" s="2">
        <f>IFERROR(__xludf.DUMMYFUNCTION("""COMPUTED_VALUE"""),1969.24)</f>
        <v>1969.24</v>
      </c>
    </row>
    <row r="1425">
      <c r="A1425" s="10">
        <f t="shared" si="8"/>
        <v>39407.66667</v>
      </c>
      <c r="B1425" s="2" t="str">
        <f t="shared" si="2"/>
        <v/>
      </c>
      <c r="C1425" s="2" t="str">
        <f t="shared" si="3"/>
        <v>SP500</v>
      </c>
      <c r="D1425" s="2">
        <f t="shared" si="4"/>
        <v>2562.15</v>
      </c>
      <c r="E1425" s="2">
        <f t="shared" si="5"/>
        <v>2562.15</v>
      </c>
      <c r="G1425" s="10">
        <f t="shared" si="9"/>
        <v>39407.64583</v>
      </c>
      <c r="H1425" s="6">
        <f t="shared" si="6"/>
        <v>1806.99</v>
      </c>
      <c r="I1425" s="2">
        <f t="shared" si="7"/>
        <v>1806.99</v>
      </c>
      <c r="M1425" s="10">
        <f>IFERROR(__xludf.DUMMYFUNCTION("""COMPUTED_VALUE"""),40045.666666666664)</f>
        <v>40045.66667</v>
      </c>
      <c r="N1425" s="2">
        <f>IFERROR(__xludf.DUMMYFUNCTION("""COMPUTED_VALUE"""),1989.22)</f>
        <v>1989.22</v>
      </c>
    </row>
    <row r="1426">
      <c r="A1426" s="10">
        <f t="shared" si="8"/>
        <v>39408.66667</v>
      </c>
      <c r="B1426" s="2" t="str">
        <f t="shared" si="2"/>
        <v/>
      </c>
      <c r="C1426" s="2" t="str">
        <f t="shared" si="3"/>
        <v>SP500</v>
      </c>
      <c r="D1426" s="2" t="str">
        <f t="shared" si="4"/>
        <v/>
      </c>
      <c r="E1426" s="2">
        <f t="shared" si="5"/>
        <v>2562.15</v>
      </c>
      <c r="G1426" s="10">
        <f t="shared" si="9"/>
        <v>39408.64583</v>
      </c>
      <c r="H1426" s="6">
        <f t="shared" si="6"/>
        <v>1799.02</v>
      </c>
      <c r="I1426" s="2">
        <f t="shared" si="7"/>
        <v>1799.02</v>
      </c>
      <c r="M1426" s="10">
        <f>IFERROR(__xludf.DUMMYFUNCTION("""COMPUTED_VALUE"""),40046.666666666664)</f>
        <v>40046.66667</v>
      </c>
      <c r="N1426" s="2">
        <f>IFERROR(__xludf.DUMMYFUNCTION("""COMPUTED_VALUE"""),2020.9)</f>
        <v>2020.9</v>
      </c>
    </row>
    <row r="1427">
      <c r="A1427" s="10">
        <f t="shared" si="8"/>
        <v>39409.66667</v>
      </c>
      <c r="B1427" s="2" t="str">
        <f t="shared" si="2"/>
        <v/>
      </c>
      <c r="C1427" s="2" t="str">
        <f t="shared" si="3"/>
        <v>SP500</v>
      </c>
      <c r="D1427" s="2">
        <f t="shared" si="4"/>
        <v>2596.6</v>
      </c>
      <c r="E1427" s="2">
        <f t="shared" si="5"/>
        <v>2596.6</v>
      </c>
      <c r="G1427" s="10">
        <f t="shared" si="9"/>
        <v>39409.64583</v>
      </c>
      <c r="H1427" s="6">
        <f t="shared" si="6"/>
        <v>1772.88</v>
      </c>
      <c r="I1427" s="2">
        <f t="shared" si="7"/>
        <v>1772.88</v>
      </c>
      <c r="M1427" s="10">
        <f>IFERROR(__xludf.DUMMYFUNCTION("""COMPUTED_VALUE"""),40049.666666666664)</f>
        <v>40049.66667</v>
      </c>
      <c r="N1427" s="2">
        <f>IFERROR(__xludf.DUMMYFUNCTION("""COMPUTED_VALUE"""),2017.98)</f>
        <v>2017.98</v>
      </c>
    </row>
    <row r="1428">
      <c r="A1428" s="10">
        <f t="shared" si="8"/>
        <v>39410.66667</v>
      </c>
      <c r="B1428" s="2" t="str">
        <f t="shared" si="2"/>
        <v/>
      </c>
      <c r="C1428" s="2" t="str">
        <f t="shared" si="3"/>
        <v>SP500</v>
      </c>
      <c r="D1428" s="2" t="str">
        <f t="shared" si="4"/>
        <v/>
      </c>
      <c r="E1428" s="2">
        <f t="shared" si="5"/>
        <v>2596.6</v>
      </c>
      <c r="G1428" s="10">
        <f t="shared" si="9"/>
        <v>39410.64583</v>
      </c>
      <c r="H1428" s="6" t="str">
        <f t="shared" si="6"/>
        <v/>
      </c>
      <c r="I1428" s="2">
        <f t="shared" si="7"/>
        <v>1772.88</v>
      </c>
      <c r="M1428" s="10">
        <f>IFERROR(__xludf.DUMMYFUNCTION("""COMPUTED_VALUE"""),40050.666666666664)</f>
        <v>40050.66667</v>
      </c>
      <c r="N1428" s="2">
        <f>IFERROR(__xludf.DUMMYFUNCTION("""COMPUTED_VALUE"""),2024.23)</f>
        <v>2024.23</v>
      </c>
    </row>
    <row r="1429">
      <c r="A1429" s="10">
        <f t="shared" si="8"/>
        <v>39411.66667</v>
      </c>
      <c r="B1429" s="2" t="str">
        <f t="shared" si="2"/>
        <v/>
      </c>
      <c r="C1429" s="2" t="str">
        <f t="shared" si="3"/>
        <v>SP500</v>
      </c>
      <c r="D1429" s="2" t="str">
        <f t="shared" si="4"/>
        <v/>
      </c>
      <c r="E1429" s="2">
        <f t="shared" si="5"/>
        <v>2596.6</v>
      </c>
      <c r="G1429" s="10">
        <f t="shared" si="9"/>
        <v>39411.64583</v>
      </c>
      <c r="H1429" s="6" t="str">
        <f t="shared" si="6"/>
        <v/>
      </c>
      <c r="I1429" s="2">
        <f t="shared" si="7"/>
        <v>1772.88</v>
      </c>
      <c r="M1429" s="10">
        <f>IFERROR(__xludf.DUMMYFUNCTION("""COMPUTED_VALUE"""),40051.666666666664)</f>
        <v>40051.66667</v>
      </c>
      <c r="N1429" s="2">
        <f>IFERROR(__xludf.DUMMYFUNCTION("""COMPUTED_VALUE"""),2024.43)</f>
        <v>2024.43</v>
      </c>
    </row>
    <row r="1430">
      <c r="A1430" s="10">
        <f t="shared" si="8"/>
        <v>39412.66667</v>
      </c>
      <c r="B1430" s="2" t="str">
        <f t="shared" si="2"/>
        <v/>
      </c>
      <c r="C1430" s="2" t="str">
        <f t="shared" si="3"/>
        <v>SP500</v>
      </c>
      <c r="D1430" s="2">
        <f t="shared" si="4"/>
        <v>2540.99</v>
      </c>
      <c r="E1430" s="2">
        <f t="shared" si="5"/>
        <v>2540.99</v>
      </c>
      <c r="G1430" s="10">
        <f t="shared" si="9"/>
        <v>39412.64583</v>
      </c>
      <c r="H1430" s="6">
        <f t="shared" si="6"/>
        <v>1855.33</v>
      </c>
      <c r="I1430" s="2">
        <f t="shared" si="7"/>
        <v>1855.33</v>
      </c>
      <c r="M1430" s="10">
        <f>IFERROR(__xludf.DUMMYFUNCTION("""COMPUTED_VALUE"""),40052.666666666664)</f>
        <v>40052.66667</v>
      </c>
      <c r="N1430" s="2">
        <f>IFERROR(__xludf.DUMMYFUNCTION("""COMPUTED_VALUE"""),2027.73)</f>
        <v>2027.73</v>
      </c>
    </row>
    <row r="1431">
      <c r="A1431" s="10">
        <f t="shared" si="8"/>
        <v>39413.66667</v>
      </c>
      <c r="B1431" s="2" t="str">
        <f t="shared" si="2"/>
        <v/>
      </c>
      <c r="C1431" s="2" t="str">
        <f t="shared" si="3"/>
        <v>SP500</v>
      </c>
      <c r="D1431" s="2">
        <f t="shared" si="4"/>
        <v>2580.8</v>
      </c>
      <c r="E1431" s="2">
        <f t="shared" si="5"/>
        <v>2580.8</v>
      </c>
      <c r="G1431" s="10">
        <f t="shared" si="9"/>
        <v>39413.64583</v>
      </c>
      <c r="H1431" s="6">
        <f t="shared" si="6"/>
        <v>1859.79</v>
      </c>
      <c r="I1431" s="2">
        <f t="shared" si="7"/>
        <v>1859.79</v>
      </c>
      <c r="M1431" s="10">
        <f>IFERROR(__xludf.DUMMYFUNCTION("""COMPUTED_VALUE"""),40053.666666666664)</f>
        <v>40053.66667</v>
      </c>
      <c r="N1431" s="2">
        <f>IFERROR(__xludf.DUMMYFUNCTION("""COMPUTED_VALUE"""),2028.77)</f>
        <v>2028.77</v>
      </c>
    </row>
    <row r="1432">
      <c r="A1432" s="10">
        <f t="shared" si="8"/>
        <v>39414.66667</v>
      </c>
      <c r="B1432" s="2" t="str">
        <f t="shared" si="2"/>
        <v/>
      </c>
      <c r="C1432" s="2" t="str">
        <f t="shared" si="3"/>
        <v>SP500</v>
      </c>
      <c r="D1432" s="2">
        <f t="shared" si="4"/>
        <v>2662.91</v>
      </c>
      <c r="E1432" s="2">
        <f t="shared" si="5"/>
        <v>2662.91</v>
      </c>
      <c r="G1432" s="10">
        <f t="shared" si="9"/>
        <v>39414.64583</v>
      </c>
      <c r="H1432" s="6">
        <f t="shared" si="6"/>
        <v>1834.69</v>
      </c>
      <c r="I1432" s="2">
        <f t="shared" si="7"/>
        <v>1834.69</v>
      </c>
      <c r="M1432" s="10">
        <f>IFERROR(__xludf.DUMMYFUNCTION("""COMPUTED_VALUE"""),40056.666666666664)</f>
        <v>40056.66667</v>
      </c>
      <c r="N1432" s="2">
        <f>IFERROR(__xludf.DUMMYFUNCTION("""COMPUTED_VALUE"""),2009.06)</f>
        <v>2009.06</v>
      </c>
    </row>
    <row r="1433">
      <c r="A1433" s="10">
        <f t="shared" si="8"/>
        <v>39415.66667</v>
      </c>
      <c r="B1433" s="2" t="str">
        <f t="shared" si="2"/>
        <v/>
      </c>
      <c r="C1433" s="2" t="str">
        <f t="shared" si="3"/>
        <v>SP500</v>
      </c>
      <c r="D1433" s="2">
        <f t="shared" si="4"/>
        <v>2668.13</v>
      </c>
      <c r="E1433" s="2">
        <f t="shared" si="5"/>
        <v>2668.13</v>
      </c>
      <c r="G1433" s="10">
        <f t="shared" si="9"/>
        <v>39415.64583</v>
      </c>
      <c r="H1433" s="6">
        <f t="shared" si="6"/>
        <v>1877.56</v>
      </c>
      <c r="I1433" s="2">
        <f t="shared" si="7"/>
        <v>1877.56</v>
      </c>
      <c r="M1433" s="10">
        <f>IFERROR(__xludf.DUMMYFUNCTION("""COMPUTED_VALUE"""),40057.666666666664)</f>
        <v>40057.66667</v>
      </c>
      <c r="N1433" s="2">
        <f>IFERROR(__xludf.DUMMYFUNCTION("""COMPUTED_VALUE"""),1968.89)</f>
        <v>1968.89</v>
      </c>
    </row>
    <row r="1434">
      <c r="A1434" s="10">
        <f t="shared" si="8"/>
        <v>39416.66667</v>
      </c>
      <c r="B1434" s="2" t="str">
        <f t="shared" si="2"/>
        <v/>
      </c>
      <c r="C1434" s="2" t="str">
        <f t="shared" si="3"/>
        <v>SP500</v>
      </c>
      <c r="D1434" s="2">
        <f t="shared" si="4"/>
        <v>2660.96</v>
      </c>
      <c r="E1434" s="2">
        <f t="shared" si="5"/>
        <v>2660.96</v>
      </c>
      <c r="G1434" s="10">
        <f t="shared" si="9"/>
        <v>39416.64583</v>
      </c>
      <c r="H1434" s="6">
        <f t="shared" si="6"/>
        <v>1906</v>
      </c>
      <c r="I1434" s="2">
        <f t="shared" si="7"/>
        <v>1906</v>
      </c>
      <c r="M1434" s="10">
        <f>IFERROR(__xludf.DUMMYFUNCTION("""COMPUTED_VALUE"""),40058.666666666664)</f>
        <v>40058.66667</v>
      </c>
      <c r="N1434" s="2">
        <f>IFERROR(__xludf.DUMMYFUNCTION("""COMPUTED_VALUE"""),1967.07)</f>
        <v>1967.07</v>
      </c>
    </row>
    <row r="1435">
      <c r="A1435" s="10">
        <f t="shared" si="8"/>
        <v>39417.66667</v>
      </c>
      <c r="B1435" s="2" t="str">
        <f t="shared" si="2"/>
        <v/>
      </c>
      <c r="C1435" s="2" t="str">
        <f t="shared" si="3"/>
        <v>SP500</v>
      </c>
      <c r="D1435" s="2" t="str">
        <f t="shared" si="4"/>
        <v/>
      </c>
      <c r="E1435" s="2">
        <f t="shared" si="5"/>
        <v>2660.96</v>
      </c>
      <c r="G1435" s="10">
        <f t="shared" si="9"/>
        <v>39417.64583</v>
      </c>
      <c r="H1435" s="6" t="str">
        <f t="shared" si="6"/>
        <v/>
      </c>
      <c r="I1435" s="2">
        <f t="shared" si="7"/>
        <v>1906</v>
      </c>
      <c r="M1435" s="10">
        <f>IFERROR(__xludf.DUMMYFUNCTION("""COMPUTED_VALUE"""),40059.666666666664)</f>
        <v>40059.66667</v>
      </c>
      <c r="N1435" s="2">
        <f>IFERROR(__xludf.DUMMYFUNCTION("""COMPUTED_VALUE"""),1983.2)</f>
        <v>1983.2</v>
      </c>
    </row>
    <row r="1436">
      <c r="A1436" s="10">
        <f t="shared" si="8"/>
        <v>39418.66667</v>
      </c>
      <c r="B1436" s="2" t="str">
        <f t="shared" si="2"/>
        <v/>
      </c>
      <c r="C1436" s="2" t="str">
        <f t="shared" si="3"/>
        <v>SP500</v>
      </c>
      <c r="D1436" s="2" t="str">
        <f t="shared" si="4"/>
        <v/>
      </c>
      <c r="E1436" s="2">
        <f t="shared" si="5"/>
        <v>2660.96</v>
      </c>
      <c r="G1436" s="10">
        <f t="shared" si="9"/>
        <v>39418.64583</v>
      </c>
      <c r="H1436" s="6" t="str">
        <f t="shared" si="6"/>
        <v/>
      </c>
      <c r="I1436" s="2">
        <f t="shared" si="7"/>
        <v>1906</v>
      </c>
      <c r="M1436" s="10">
        <f>IFERROR(__xludf.DUMMYFUNCTION("""COMPUTED_VALUE"""),40060.666666666664)</f>
        <v>40060.66667</v>
      </c>
      <c r="N1436" s="2">
        <f>IFERROR(__xludf.DUMMYFUNCTION("""COMPUTED_VALUE"""),2018.78)</f>
        <v>2018.78</v>
      </c>
    </row>
    <row r="1437">
      <c r="A1437" s="10">
        <f t="shared" si="8"/>
        <v>39419.66667</v>
      </c>
      <c r="B1437" s="2" t="str">
        <f t="shared" si="2"/>
        <v/>
      </c>
      <c r="C1437" s="2" t="str">
        <f t="shared" si="3"/>
        <v>SP500</v>
      </c>
      <c r="D1437" s="2">
        <f t="shared" si="4"/>
        <v>2637.13</v>
      </c>
      <c r="E1437" s="2">
        <f t="shared" si="5"/>
        <v>2637.13</v>
      </c>
      <c r="G1437" s="10">
        <f t="shared" si="9"/>
        <v>39419.64583</v>
      </c>
      <c r="H1437" s="6">
        <f t="shared" si="6"/>
        <v>1902.43</v>
      </c>
      <c r="I1437" s="2">
        <f t="shared" si="7"/>
        <v>1902.43</v>
      </c>
      <c r="M1437" s="10">
        <f>IFERROR(__xludf.DUMMYFUNCTION("""COMPUTED_VALUE"""),40064.666666666664)</f>
        <v>40064.66667</v>
      </c>
      <c r="N1437" s="2">
        <f>IFERROR(__xludf.DUMMYFUNCTION("""COMPUTED_VALUE"""),2037.77)</f>
        <v>2037.77</v>
      </c>
    </row>
    <row r="1438">
      <c r="A1438" s="10">
        <f t="shared" si="8"/>
        <v>39420.66667</v>
      </c>
      <c r="B1438" s="2" t="str">
        <f t="shared" si="2"/>
        <v/>
      </c>
      <c r="C1438" s="2" t="str">
        <f t="shared" si="3"/>
        <v>SP500</v>
      </c>
      <c r="D1438" s="2">
        <f t="shared" si="4"/>
        <v>2619.83</v>
      </c>
      <c r="E1438" s="2">
        <f t="shared" si="5"/>
        <v>2619.83</v>
      </c>
      <c r="G1438" s="10">
        <f t="shared" si="9"/>
        <v>39420.64583</v>
      </c>
      <c r="H1438" s="6">
        <f t="shared" si="6"/>
        <v>1917.83</v>
      </c>
      <c r="I1438" s="2">
        <f t="shared" si="7"/>
        <v>1917.83</v>
      </c>
      <c r="M1438" s="10">
        <f>IFERROR(__xludf.DUMMYFUNCTION("""COMPUTED_VALUE"""),40065.666666666664)</f>
        <v>40065.66667</v>
      </c>
      <c r="N1438" s="2">
        <f>IFERROR(__xludf.DUMMYFUNCTION("""COMPUTED_VALUE"""),2060.39)</f>
        <v>2060.39</v>
      </c>
    </row>
    <row r="1439">
      <c r="A1439" s="10">
        <f t="shared" si="8"/>
        <v>39421.66667</v>
      </c>
      <c r="B1439" s="2" t="str">
        <f t="shared" si="2"/>
        <v/>
      </c>
      <c r="C1439" s="2" t="str">
        <f t="shared" si="3"/>
        <v>SP500</v>
      </c>
      <c r="D1439" s="2">
        <f t="shared" si="4"/>
        <v>2666.36</v>
      </c>
      <c r="E1439" s="2">
        <f t="shared" si="5"/>
        <v>2666.36</v>
      </c>
      <c r="G1439" s="10">
        <f t="shared" si="9"/>
        <v>39421.64583</v>
      </c>
      <c r="H1439" s="6">
        <f t="shared" si="6"/>
        <v>1938.2</v>
      </c>
      <c r="I1439" s="2">
        <f t="shared" si="7"/>
        <v>1938.2</v>
      </c>
      <c r="M1439" s="10">
        <f>IFERROR(__xludf.DUMMYFUNCTION("""COMPUTED_VALUE"""),40066.666666666664)</f>
        <v>40066.66667</v>
      </c>
      <c r="N1439" s="2">
        <f>IFERROR(__xludf.DUMMYFUNCTION("""COMPUTED_VALUE"""),2084.02)</f>
        <v>2084.02</v>
      </c>
    </row>
    <row r="1440">
      <c r="A1440" s="10">
        <f t="shared" si="8"/>
        <v>39422.66667</v>
      </c>
      <c r="B1440" s="2" t="str">
        <f t="shared" si="2"/>
        <v/>
      </c>
      <c r="C1440" s="2" t="str">
        <f t="shared" si="3"/>
        <v>SP500</v>
      </c>
      <c r="D1440" s="2">
        <f t="shared" si="4"/>
        <v>2709.03</v>
      </c>
      <c r="E1440" s="2">
        <f t="shared" si="5"/>
        <v>2709.03</v>
      </c>
      <c r="G1440" s="10">
        <f t="shared" si="9"/>
        <v>39422.64583</v>
      </c>
      <c r="H1440" s="6">
        <f t="shared" si="6"/>
        <v>1953.17</v>
      </c>
      <c r="I1440" s="2">
        <f t="shared" si="7"/>
        <v>1953.17</v>
      </c>
      <c r="M1440" s="10">
        <f>IFERROR(__xludf.DUMMYFUNCTION("""COMPUTED_VALUE"""),40067.666666666664)</f>
        <v>40067.66667</v>
      </c>
      <c r="N1440" s="2">
        <f>IFERROR(__xludf.DUMMYFUNCTION("""COMPUTED_VALUE"""),2080.9)</f>
        <v>2080.9</v>
      </c>
    </row>
    <row r="1441">
      <c r="A1441" s="10">
        <f t="shared" si="8"/>
        <v>39423.66667</v>
      </c>
      <c r="B1441" s="2" t="str">
        <f t="shared" si="2"/>
        <v/>
      </c>
      <c r="C1441" s="2" t="str">
        <f t="shared" si="3"/>
        <v>SP500</v>
      </c>
      <c r="D1441" s="2">
        <f t="shared" si="4"/>
        <v>2706.16</v>
      </c>
      <c r="E1441" s="2">
        <f t="shared" si="5"/>
        <v>2706.16</v>
      </c>
      <c r="G1441" s="10">
        <f t="shared" si="9"/>
        <v>39423.64583</v>
      </c>
      <c r="H1441" s="6">
        <f t="shared" si="6"/>
        <v>1934.32</v>
      </c>
      <c r="I1441" s="2">
        <f t="shared" si="7"/>
        <v>1934.32</v>
      </c>
      <c r="M1441" s="10">
        <f>IFERROR(__xludf.DUMMYFUNCTION("""COMPUTED_VALUE"""),40070.666666666664)</f>
        <v>40070.66667</v>
      </c>
      <c r="N1441" s="2">
        <f>IFERROR(__xludf.DUMMYFUNCTION("""COMPUTED_VALUE"""),2091.78)</f>
        <v>2091.78</v>
      </c>
    </row>
    <row r="1442">
      <c r="A1442" s="10">
        <f t="shared" si="8"/>
        <v>39424.66667</v>
      </c>
      <c r="B1442" s="2" t="str">
        <f t="shared" si="2"/>
        <v/>
      </c>
      <c r="C1442" s="2" t="str">
        <f t="shared" si="3"/>
        <v>SP500</v>
      </c>
      <c r="D1442" s="2" t="str">
        <f t="shared" si="4"/>
        <v/>
      </c>
      <c r="E1442" s="2">
        <f t="shared" si="5"/>
        <v>2706.16</v>
      </c>
      <c r="G1442" s="10">
        <f t="shared" si="9"/>
        <v>39424.64583</v>
      </c>
      <c r="H1442" s="6" t="str">
        <f t="shared" si="6"/>
        <v/>
      </c>
      <c r="I1442" s="2">
        <f t="shared" si="7"/>
        <v>1934.32</v>
      </c>
      <c r="M1442" s="10">
        <f>IFERROR(__xludf.DUMMYFUNCTION("""COMPUTED_VALUE"""),40071.666666666664)</f>
        <v>40071.66667</v>
      </c>
      <c r="N1442" s="2">
        <f>IFERROR(__xludf.DUMMYFUNCTION("""COMPUTED_VALUE"""),2102.64)</f>
        <v>2102.64</v>
      </c>
    </row>
    <row r="1443">
      <c r="A1443" s="10">
        <f t="shared" si="8"/>
        <v>39425.66667</v>
      </c>
      <c r="B1443" s="2" t="str">
        <f t="shared" si="2"/>
        <v/>
      </c>
      <c r="C1443" s="2" t="str">
        <f t="shared" si="3"/>
        <v>SP500</v>
      </c>
      <c r="D1443" s="2" t="str">
        <f t="shared" si="4"/>
        <v/>
      </c>
      <c r="E1443" s="2">
        <f t="shared" si="5"/>
        <v>2706.16</v>
      </c>
      <c r="G1443" s="10">
        <f t="shared" si="9"/>
        <v>39425.64583</v>
      </c>
      <c r="H1443" s="6" t="str">
        <f t="shared" si="6"/>
        <v/>
      </c>
      <c r="I1443" s="2">
        <f t="shared" si="7"/>
        <v>1934.32</v>
      </c>
      <c r="M1443" s="10">
        <f>IFERROR(__xludf.DUMMYFUNCTION("""COMPUTED_VALUE"""),40072.666666666664)</f>
        <v>40072.66667</v>
      </c>
      <c r="N1443" s="2">
        <f>IFERROR(__xludf.DUMMYFUNCTION("""COMPUTED_VALUE"""),2133.15)</f>
        <v>2133.15</v>
      </c>
    </row>
    <row r="1444">
      <c r="A1444" s="10">
        <f t="shared" si="8"/>
        <v>39426.66667</v>
      </c>
      <c r="B1444" s="2" t="str">
        <f t="shared" si="2"/>
        <v/>
      </c>
      <c r="C1444" s="2" t="str">
        <f t="shared" si="3"/>
        <v>SP500</v>
      </c>
      <c r="D1444" s="2">
        <f t="shared" si="4"/>
        <v>2718.95</v>
      </c>
      <c r="E1444" s="2">
        <f t="shared" si="5"/>
        <v>2718.95</v>
      </c>
      <c r="G1444" s="10">
        <f t="shared" si="9"/>
        <v>39426.64583</v>
      </c>
      <c r="H1444" s="6">
        <f t="shared" si="6"/>
        <v>1906.42</v>
      </c>
      <c r="I1444" s="2">
        <f t="shared" si="7"/>
        <v>1906.42</v>
      </c>
      <c r="M1444" s="10">
        <f>IFERROR(__xludf.DUMMYFUNCTION("""COMPUTED_VALUE"""),40073.666666666664)</f>
        <v>40073.66667</v>
      </c>
      <c r="N1444" s="2">
        <f>IFERROR(__xludf.DUMMYFUNCTION("""COMPUTED_VALUE"""),2126.75)</f>
        <v>2126.75</v>
      </c>
    </row>
    <row r="1445">
      <c r="A1445" s="10">
        <f t="shared" si="8"/>
        <v>39427.66667</v>
      </c>
      <c r="B1445" s="2" t="str">
        <f t="shared" si="2"/>
        <v/>
      </c>
      <c r="C1445" s="2" t="str">
        <f t="shared" si="3"/>
        <v>SP500</v>
      </c>
      <c r="D1445" s="2">
        <f t="shared" si="4"/>
        <v>2652.35</v>
      </c>
      <c r="E1445" s="2">
        <f t="shared" si="5"/>
        <v>2652.35</v>
      </c>
      <c r="G1445" s="10">
        <f t="shared" si="9"/>
        <v>39427.64583</v>
      </c>
      <c r="H1445" s="6">
        <f t="shared" si="6"/>
        <v>1925.07</v>
      </c>
      <c r="I1445" s="2">
        <f t="shared" si="7"/>
        <v>1925.07</v>
      </c>
      <c r="M1445" s="10">
        <f>IFERROR(__xludf.DUMMYFUNCTION("""COMPUTED_VALUE"""),40074.666666666664)</f>
        <v>40074.66667</v>
      </c>
      <c r="N1445" s="2">
        <f>IFERROR(__xludf.DUMMYFUNCTION("""COMPUTED_VALUE"""),2132.86)</f>
        <v>2132.86</v>
      </c>
    </row>
    <row r="1446">
      <c r="A1446" s="10">
        <f t="shared" si="8"/>
        <v>39428.66667</v>
      </c>
      <c r="B1446" s="2" t="str">
        <f t="shared" si="2"/>
        <v/>
      </c>
      <c r="C1446" s="2" t="str">
        <f t="shared" si="3"/>
        <v>SP500</v>
      </c>
      <c r="D1446" s="2">
        <f t="shared" si="4"/>
        <v>2671.14</v>
      </c>
      <c r="E1446" s="2">
        <f t="shared" si="5"/>
        <v>2671.14</v>
      </c>
      <c r="G1446" s="10">
        <f t="shared" si="9"/>
        <v>39428.64583</v>
      </c>
      <c r="H1446" s="6">
        <f t="shared" si="6"/>
        <v>1927.45</v>
      </c>
      <c r="I1446" s="2">
        <f t="shared" si="7"/>
        <v>1927.45</v>
      </c>
      <c r="M1446" s="10">
        <f>IFERROR(__xludf.DUMMYFUNCTION("""COMPUTED_VALUE"""),40077.666666666664)</f>
        <v>40077.66667</v>
      </c>
      <c r="N1446" s="2">
        <f>IFERROR(__xludf.DUMMYFUNCTION("""COMPUTED_VALUE"""),2138.04)</f>
        <v>2138.04</v>
      </c>
    </row>
    <row r="1447">
      <c r="A1447" s="10">
        <f t="shared" si="8"/>
        <v>39429.66667</v>
      </c>
      <c r="B1447" s="2" t="str">
        <f t="shared" si="2"/>
        <v/>
      </c>
      <c r="C1447" s="2" t="str">
        <f t="shared" si="3"/>
        <v>SP500</v>
      </c>
      <c r="D1447" s="2">
        <f t="shared" si="4"/>
        <v>2668.49</v>
      </c>
      <c r="E1447" s="2">
        <f t="shared" si="5"/>
        <v>2668.49</v>
      </c>
      <c r="G1447" s="10">
        <f t="shared" si="9"/>
        <v>39429.64583</v>
      </c>
      <c r="H1447" s="6">
        <f t="shared" si="6"/>
        <v>1915.9</v>
      </c>
      <c r="I1447" s="2">
        <f t="shared" si="7"/>
        <v>1915.9</v>
      </c>
      <c r="M1447" s="10">
        <f>IFERROR(__xludf.DUMMYFUNCTION("""COMPUTED_VALUE"""),40078.666666666664)</f>
        <v>40078.66667</v>
      </c>
      <c r="N1447" s="2">
        <f>IFERROR(__xludf.DUMMYFUNCTION("""COMPUTED_VALUE"""),2146.3)</f>
        <v>2146.3</v>
      </c>
    </row>
    <row r="1448">
      <c r="A1448" s="10">
        <f t="shared" si="8"/>
        <v>39430.66667</v>
      </c>
      <c r="B1448" s="2" t="str">
        <f t="shared" si="2"/>
        <v/>
      </c>
      <c r="C1448" s="2" t="str">
        <f t="shared" si="3"/>
        <v>SP500</v>
      </c>
      <c r="D1448" s="2">
        <f t="shared" si="4"/>
        <v>2635.74</v>
      </c>
      <c r="E1448" s="2">
        <f t="shared" si="5"/>
        <v>2635.74</v>
      </c>
      <c r="G1448" s="10">
        <f t="shared" si="9"/>
        <v>39430.64583</v>
      </c>
      <c r="H1448" s="6">
        <f t="shared" si="6"/>
        <v>1895.05</v>
      </c>
      <c r="I1448" s="2">
        <f t="shared" si="7"/>
        <v>1895.05</v>
      </c>
      <c r="M1448" s="10">
        <f>IFERROR(__xludf.DUMMYFUNCTION("""COMPUTED_VALUE"""),40079.666666666664)</f>
        <v>40079.66667</v>
      </c>
      <c r="N1448" s="2">
        <f>IFERROR(__xludf.DUMMYFUNCTION("""COMPUTED_VALUE"""),2131.42)</f>
        <v>2131.42</v>
      </c>
    </row>
    <row r="1449">
      <c r="A1449" s="10">
        <f t="shared" si="8"/>
        <v>39431.66667</v>
      </c>
      <c r="B1449" s="2" t="str">
        <f t="shared" si="2"/>
        <v/>
      </c>
      <c r="C1449" s="2" t="str">
        <f t="shared" si="3"/>
        <v>SP500</v>
      </c>
      <c r="D1449" s="2" t="str">
        <f t="shared" si="4"/>
        <v/>
      </c>
      <c r="E1449" s="2">
        <f t="shared" si="5"/>
        <v>2635.74</v>
      </c>
      <c r="G1449" s="10">
        <f t="shared" si="9"/>
        <v>39431.64583</v>
      </c>
      <c r="H1449" s="6" t="str">
        <f t="shared" si="6"/>
        <v/>
      </c>
      <c r="I1449" s="2">
        <f t="shared" si="7"/>
        <v>1895.05</v>
      </c>
      <c r="M1449" s="10">
        <f>IFERROR(__xludf.DUMMYFUNCTION("""COMPUTED_VALUE"""),40080.666666666664)</f>
        <v>40080.66667</v>
      </c>
      <c r="N1449" s="2">
        <f>IFERROR(__xludf.DUMMYFUNCTION("""COMPUTED_VALUE"""),2107.61)</f>
        <v>2107.61</v>
      </c>
    </row>
    <row r="1450">
      <c r="A1450" s="10">
        <f t="shared" si="8"/>
        <v>39432.66667</v>
      </c>
      <c r="B1450" s="2" t="str">
        <f t="shared" si="2"/>
        <v/>
      </c>
      <c r="C1450" s="2" t="str">
        <f t="shared" si="3"/>
        <v>SP500</v>
      </c>
      <c r="D1450" s="2" t="str">
        <f t="shared" si="4"/>
        <v/>
      </c>
      <c r="E1450" s="2">
        <f t="shared" si="5"/>
        <v>2635.74</v>
      </c>
      <c r="G1450" s="10">
        <f t="shared" si="9"/>
        <v>39432.64583</v>
      </c>
      <c r="H1450" s="6" t="str">
        <f t="shared" si="6"/>
        <v/>
      </c>
      <c r="I1450" s="2">
        <f t="shared" si="7"/>
        <v>1895.05</v>
      </c>
      <c r="M1450" s="10">
        <f>IFERROR(__xludf.DUMMYFUNCTION("""COMPUTED_VALUE"""),40081.666666666664)</f>
        <v>40081.66667</v>
      </c>
      <c r="N1450" s="2">
        <f>IFERROR(__xludf.DUMMYFUNCTION("""COMPUTED_VALUE"""),2090.92)</f>
        <v>2090.92</v>
      </c>
    </row>
    <row r="1451">
      <c r="A1451" s="10">
        <f t="shared" si="8"/>
        <v>39433.66667</v>
      </c>
      <c r="B1451" s="2" t="str">
        <f t="shared" si="2"/>
        <v/>
      </c>
      <c r="C1451" s="2" t="str">
        <f t="shared" si="3"/>
        <v>SP500</v>
      </c>
      <c r="D1451" s="2">
        <f t="shared" si="4"/>
        <v>2574.46</v>
      </c>
      <c r="E1451" s="2">
        <f t="shared" si="5"/>
        <v>2574.46</v>
      </c>
      <c r="G1451" s="10">
        <f t="shared" si="9"/>
        <v>39433.64583</v>
      </c>
      <c r="H1451" s="6">
        <f t="shared" si="6"/>
        <v>1839.82</v>
      </c>
      <c r="I1451" s="2">
        <f t="shared" si="7"/>
        <v>1839.82</v>
      </c>
      <c r="M1451" s="10">
        <f>IFERROR(__xludf.DUMMYFUNCTION("""COMPUTED_VALUE"""),40084.666666666664)</f>
        <v>40084.66667</v>
      </c>
      <c r="N1451" s="2">
        <f>IFERROR(__xludf.DUMMYFUNCTION("""COMPUTED_VALUE"""),2130.74)</f>
        <v>2130.74</v>
      </c>
    </row>
    <row r="1452">
      <c r="A1452" s="10">
        <f t="shared" si="8"/>
        <v>39434.66667</v>
      </c>
      <c r="B1452" s="2" t="str">
        <f t="shared" si="2"/>
        <v/>
      </c>
      <c r="C1452" s="2" t="str">
        <f t="shared" si="3"/>
        <v>SP500</v>
      </c>
      <c r="D1452" s="2">
        <f t="shared" si="4"/>
        <v>2596.03</v>
      </c>
      <c r="E1452" s="2">
        <f t="shared" si="5"/>
        <v>2596.03</v>
      </c>
      <c r="G1452" s="10">
        <f t="shared" si="9"/>
        <v>39434.64583</v>
      </c>
      <c r="H1452" s="6">
        <f t="shared" si="6"/>
        <v>1861.47</v>
      </c>
      <c r="I1452" s="2">
        <f t="shared" si="7"/>
        <v>1861.47</v>
      </c>
      <c r="M1452" s="10">
        <f>IFERROR(__xludf.DUMMYFUNCTION("""COMPUTED_VALUE"""),40085.666666666664)</f>
        <v>40085.66667</v>
      </c>
      <c r="N1452" s="2">
        <f>IFERROR(__xludf.DUMMYFUNCTION("""COMPUTED_VALUE"""),2124.04)</f>
        <v>2124.04</v>
      </c>
    </row>
    <row r="1453">
      <c r="A1453" s="10">
        <f t="shared" si="8"/>
        <v>39435.66667</v>
      </c>
      <c r="B1453" s="2" t="str">
        <f t="shared" si="2"/>
        <v/>
      </c>
      <c r="C1453" s="2" t="str">
        <f t="shared" si="3"/>
        <v>SP500</v>
      </c>
      <c r="D1453" s="2">
        <f t="shared" si="4"/>
        <v>2601.01</v>
      </c>
      <c r="E1453" s="2">
        <f t="shared" si="5"/>
        <v>2601.01</v>
      </c>
      <c r="G1453" s="10">
        <f t="shared" si="9"/>
        <v>39435.64583</v>
      </c>
      <c r="H1453" s="6" t="str">
        <f t="shared" si="6"/>
        <v/>
      </c>
      <c r="I1453" s="2">
        <f t="shared" si="7"/>
        <v>1861.47</v>
      </c>
      <c r="M1453" s="10">
        <f>IFERROR(__xludf.DUMMYFUNCTION("""COMPUTED_VALUE"""),40086.666666666664)</f>
        <v>40086.66667</v>
      </c>
      <c r="N1453" s="2">
        <f>IFERROR(__xludf.DUMMYFUNCTION("""COMPUTED_VALUE"""),2122.42)</f>
        <v>2122.42</v>
      </c>
    </row>
    <row r="1454">
      <c r="A1454" s="10">
        <f t="shared" si="8"/>
        <v>39436.66667</v>
      </c>
      <c r="B1454" s="2" t="str">
        <f t="shared" si="2"/>
        <v/>
      </c>
      <c r="C1454" s="2" t="str">
        <f t="shared" si="3"/>
        <v>SP500</v>
      </c>
      <c r="D1454" s="2">
        <f t="shared" si="4"/>
        <v>2640.86</v>
      </c>
      <c r="E1454" s="2">
        <f t="shared" si="5"/>
        <v>2640.86</v>
      </c>
      <c r="G1454" s="10">
        <f t="shared" si="9"/>
        <v>39436.64583</v>
      </c>
      <c r="H1454" s="6">
        <f t="shared" si="6"/>
        <v>1844.37</v>
      </c>
      <c r="I1454" s="2">
        <f t="shared" si="7"/>
        <v>1844.37</v>
      </c>
      <c r="M1454" s="10">
        <f>IFERROR(__xludf.DUMMYFUNCTION("""COMPUTED_VALUE"""),40087.666666666664)</f>
        <v>40087.66667</v>
      </c>
      <c r="N1454" s="2">
        <f>IFERROR(__xludf.DUMMYFUNCTION("""COMPUTED_VALUE"""),2057.48)</f>
        <v>2057.48</v>
      </c>
    </row>
    <row r="1455">
      <c r="A1455" s="10">
        <f t="shared" si="8"/>
        <v>39437.66667</v>
      </c>
      <c r="B1455" s="2" t="str">
        <f t="shared" si="2"/>
        <v/>
      </c>
      <c r="C1455" s="2" t="str">
        <f t="shared" si="3"/>
        <v>SP500</v>
      </c>
      <c r="D1455" s="2">
        <f t="shared" si="4"/>
        <v>2691.99</v>
      </c>
      <c r="E1455" s="2">
        <f t="shared" si="5"/>
        <v>2691.99</v>
      </c>
      <c r="G1455" s="10">
        <f t="shared" si="9"/>
        <v>39437.64583</v>
      </c>
      <c r="H1455" s="6">
        <f t="shared" si="6"/>
        <v>1878.32</v>
      </c>
      <c r="I1455" s="2">
        <f t="shared" si="7"/>
        <v>1878.32</v>
      </c>
      <c r="M1455" s="10">
        <f>IFERROR(__xludf.DUMMYFUNCTION("""COMPUTED_VALUE"""),40088.666666666664)</f>
        <v>40088.66667</v>
      </c>
      <c r="N1455" s="2">
        <f>IFERROR(__xludf.DUMMYFUNCTION("""COMPUTED_VALUE"""),2048.11)</f>
        <v>2048.11</v>
      </c>
    </row>
    <row r="1456">
      <c r="A1456" s="10">
        <f t="shared" si="8"/>
        <v>39438.66667</v>
      </c>
      <c r="B1456" s="2" t="str">
        <f t="shared" si="2"/>
        <v/>
      </c>
      <c r="C1456" s="2" t="str">
        <f t="shared" si="3"/>
        <v>SP500</v>
      </c>
      <c r="D1456" s="2" t="str">
        <f t="shared" si="4"/>
        <v/>
      </c>
      <c r="E1456" s="2">
        <f t="shared" si="5"/>
        <v>2691.99</v>
      </c>
      <c r="G1456" s="10">
        <f t="shared" si="9"/>
        <v>39438.64583</v>
      </c>
      <c r="H1456" s="6" t="str">
        <f t="shared" si="6"/>
        <v/>
      </c>
      <c r="I1456" s="2">
        <f t="shared" si="7"/>
        <v>1878.32</v>
      </c>
      <c r="M1456" s="10">
        <f>IFERROR(__xludf.DUMMYFUNCTION("""COMPUTED_VALUE"""),40091.666666666664)</f>
        <v>40091.66667</v>
      </c>
      <c r="N1456" s="2">
        <f>IFERROR(__xludf.DUMMYFUNCTION("""COMPUTED_VALUE"""),2068.15)</f>
        <v>2068.15</v>
      </c>
    </row>
    <row r="1457">
      <c r="A1457" s="10">
        <f t="shared" si="8"/>
        <v>39439.66667</v>
      </c>
      <c r="B1457" s="2" t="str">
        <f t="shared" si="2"/>
        <v/>
      </c>
      <c r="C1457" s="2" t="str">
        <f t="shared" si="3"/>
        <v>SP500</v>
      </c>
      <c r="D1457" s="2" t="str">
        <f t="shared" si="4"/>
        <v/>
      </c>
      <c r="E1457" s="2">
        <f t="shared" si="5"/>
        <v>2691.99</v>
      </c>
      <c r="G1457" s="10">
        <f t="shared" si="9"/>
        <v>39439.64583</v>
      </c>
      <c r="H1457" s="6" t="str">
        <f t="shared" si="6"/>
        <v/>
      </c>
      <c r="I1457" s="2">
        <f t="shared" si="7"/>
        <v>1878.32</v>
      </c>
      <c r="M1457" s="10">
        <f>IFERROR(__xludf.DUMMYFUNCTION("""COMPUTED_VALUE"""),40092.666666666664)</f>
        <v>40092.66667</v>
      </c>
      <c r="N1457" s="2">
        <f>IFERROR(__xludf.DUMMYFUNCTION("""COMPUTED_VALUE"""),2103.57)</f>
        <v>2103.57</v>
      </c>
    </row>
    <row r="1458">
      <c r="A1458" s="10">
        <f t="shared" si="8"/>
        <v>39440.66667</v>
      </c>
      <c r="B1458" s="2" t="str">
        <f t="shared" si="2"/>
        <v/>
      </c>
      <c r="C1458" s="2" t="str">
        <f t="shared" si="3"/>
        <v>SP500</v>
      </c>
      <c r="D1458" s="2">
        <f t="shared" si="4"/>
        <v>2713.5</v>
      </c>
      <c r="E1458" s="2">
        <f t="shared" si="5"/>
        <v>2713.5</v>
      </c>
      <c r="G1458" s="10">
        <f t="shared" si="9"/>
        <v>39440.64583</v>
      </c>
      <c r="H1458" s="6">
        <f t="shared" si="6"/>
        <v>1919.47</v>
      </c>
      <c r="I1458" s="2">
        <f t="shared" si="7"/>
        <v>1919.47</v>
      </c>
      <c r="M1458" s="10">
        <f>IFERROR(__xludf.DUMMYFUNCTION("""COMPUTED_VALUE"""),40093.666666666664)</f>
        <v>40093.66667</v>
      </c>
      <c r="N1458" s="2">
        <f>IFERROR(__xludf.DUMMYFUNCTION("""COMPUTED_VALUE"""),2110.33)</f>
        <v>2110.33</v>
      </c>
    </row>
    <row r="1459">
      <c r="A1459" s="10">
        <f t="shared" si="8"/>
        <v>39441.66667</v>
      </c>
      <c r="B1459" s="2" t="str">
        <f t="shared" si="2"/>
        <v/>
      </c>
      <c r="C1459" s="2" t="str">
        <f t="shared" si="3"/>
        <v>SP500</v>
      </c>
      <c r="D1459" s="2" t="str">
        <f t="shared" si="4"/>
        <v/>
      </c>
      <c r="E1459" s="2">
        <f t="shared" si="5"/>
        <v>2713.5</v>
      </c>
      <c r="G1459" s="10">
        <f t="shared" si="9"/>
        <v>39441.64583</v>
      </c>
      <c r="H1459" s="6" t="str">
        <f t="shared" si="6"/>
        <v/>
      </c>
      <c r="I1459" s="2">
        <f t="shared" si="7"/>
        <v>1919.47</v>
      </c>
      <c r="M1459" s="10">
        <f>IFERROR(__xludf.DUMMYFUNCTION("""COMPUTED_VALUE"""),40094.666666666664)</f>
        <v>40094.66667</v>
      </c>
      <c r="N1459" s="2">
        <f>IFERROR(__xludf.DUMMYFUNCTION("""COMPUTED_VALUE"""),2123.93)</f>
        <v>2123.93</v>
      </c>
    </row>
    <row r="1460">
      <c r="A1460" s="10">
        <f t="shared" si="8"/>
        <v>39442.66667</v>
      </c>
      <c r="B1460" s="2" t="str">
        <f t="shared" si="2"/>
        <v/>
      </c>
      <c r="C1460" s="2" t="str">
        <f t="shared" si="3"/>
        <v>SP500</v>
      </c>
      <c r="D1460" s="2">
        <f t="shared" si="4"/>
        <v>2724.41</v>
      </c>
      <c r="E1460" s="2">
        <f t="shared" si="5"/>
        <v>2724.41</v>
      </c>
      <c r="G1460" s="10">
        <f t="shared" si="9"/>
        <v>39442.64583</v>
      </c>
      <c r="H1460" s="6">
        <f t="shared" si="6"/>
        <v>1906.72</v>
      </c>
      <c r="I1460" s="2">
        <f t="shared" si="7"/>
        <v>1906.72</v>
      </c>
      <c r="M1460" s="10">
        <f>IFERROR(__xludf.DUMMYFUNCTION("""COMPUTED_VALUE"""),40095.666666666664)</f>
        <v>40095.66667</v>
      </c>
      <c r="N1460" s="2">
        <f>IFERROR(__xludf.DUMMYFUNCTION("""COMPUTED_VALUE"""),2139.28)</f>
        <v>2139.28</v>
      </c>
    </row>
    <row r="1461">
      <c r="A1461" s="10">
        <f t="shared" si="8"/>
        <v>39443.66667</v>
      </c>
      <c r="B1461" s="2" t="str">
        <f t="shared" si="2"/>
        <v/>
      </c>
      <c r="C1461" s="2" t="str">
        <f t="shared" si="3"/>
        <v>SP500</v>
      </c>
      <c r="D1461" s="2">
        <f t="shared" si="4"/>
        <v>2676.79</v>
      </c>
      <c r="E1461" s="2">
        <f t="shared" si="5"/>
        <v>2676.79</v>
      </c>
      <c r="G1461" s="10">
        <f t="shared" si="9"/>
        <v>39443.64583</v>
      </c>
      <c r="H1461" s="6">
        <f t="shared" si="6"/>
        <v>1908.62</v>
      </c>
      <c r="I1461" s="2">
        <f t="shared" si="7"/>
        <v>1908.62</v>
      </c>
      <c r="M1461" s="10">
        <f>IFERROR(__xludf.DUMMYFUNCTION("""COMPUTED_VALUE"""),40098.666666666664)</f>
        <v>40098.66667</v>
      </c>
      <c r="N1461" s="2">
        <f>IFERROR(__xludf.DUMMYFUNCTION("""COMPUTED_VALUE"""),2139.14)</f>
        <v>2139.14</v>
      </c>
    </row>
    <row r="1462">
      <c r="A1462" s="10">
        <f t="shared" si="8"/>
        <v>39444.66667</v>
      </c>
      <c r="B1462" s="2" t="str">
        <f t="shared" si="2"/>
        <v/>
      </c>
      <c r="C1462" s="2" t="str">
        <f t="shared" si="3"/>
        <v>SP500</v>
      </c>
      <c r="D1462" s="2">
        <f t="shared" si="4"/>
        <v>2674.46</v>
      </c>
      <c r="E1462" s="2">
        <f t="shared" si="5"/>
        <v>2674.46</v>
      </c>
      <c r="G1462" s="10">
        <f t="shared" si="9"/>
        <v>39444.64583</v>
      </c>
      <c r="H1462" s="6">
        <f t="shared" si="6"/>
        <v>1897.13</v>
      </c>
      <c r="I1462" s="2">
        <f t="shared" si="7"/>
        <v>1897.13</v>
      </c>
      <c r="M1462" s="10">
        <f>IFERROR(__xludf.DUMMYFUNCTION("""COMPUTED_VALUE"""),40099.666666666664)</f>
        <v>40099.66667</v>
      </c>
      <c r="N1462" s="2">
        <f>IFERROR(__xludf.DUMMYFUNCTION("""COMPUTED_VALUE"""),2139.89)</f>
        <v>2139.89</v>
      </c>
    </row>
    <row r="1463">
      <c r="A1463" s="10">
        <f t="shared" si="8"/>
        <v>39445.66667</v>
      </c>
      <c r="B1463" s="2" t="str">
        <f t="shared" si="2"/>
        <v/>
      </c>
      <c r="C1463" s="2" t="str">
        <f t="shared" si="3"/>
        <v>SP500</v>
      </c>
      <c r="D1463" s="2" t="str">
        <f t="shared" si="4"/>
        <v/>
      </c>
      <c r="E1463" s="2">
        <f t="shared" si="5"/>
        <v>2674.46</v>
      </c>
      <c r="G1463" s="10">
        <f t="shared" si="9"/>
        <v>39445.64583</v>
      </c>
      <c r="H1463" s="6" t="str">
        <f t="shared" si="6"/>
        <v/>
      </c>
      <c r="I1463" s="2">
        <f t="shared" si="7"/>
        <v>1897.13</v>
      </c>
      <c r="M1463" s="10">
        <f>IFERROR(__xludf.DUMMYFUNCTION("""COMPUTED_VALUE"""),40100.666666666664)</f>
        <v>40100.66667</v>
      </c>
      <c r="N1463" s="2">
        <f>IFERROR(__xludf.DUMMYFUNCTION("""COMPUTED_VALUE"""),2172.23)</f>
        <v>2172.23</v>
      </c>
    </row>
    <row r="1464">
      <c r="A1464" s="10">
        <f t="shared" si="8"/>
        <v>39446.66667</v>
      </c>
      <c r="B1464" s="2" t="str">
        <f t="shared" si="2"/>
        <v/>
      </c>
      <c r="C1464" s="2" t="str">
        <f t="shared" si="3"/>
        <v>SP500</v>
      </c>
      <c r="D1464" s="2" t="str">
        <f t="shared" si="4"/>
        <v/>
      </c>
      <c r="E1464" s="2">
        <f t="shared" si="5"/>
        <v>2674.46</v>
      </c>
      <c r="G1464" s="10">
        <f t="shared" si="9"/>
        <v>39446.64583</v>
      </c>
      <c r="H1464" s="6" t="str">
        <f t="shared" si="6"/>
        <v/>
      </c>
      <c r="I1464" s="2">
        <f t="shared" si="7"/>
        <v>1897.13</v>
      </c>
      <c r="M1464" s="10">
        <f>IFERROR(__xludf.DUMMYFUNCTION("""COMPUTED_VALUE"""),40101.666666666664)</f>
        <v>40101.66667</v>
      </c>
      <c r="N1464" s="2">
        <f>IFERROR(__xludf.DUMMYFUNCTION("""COMPUTED_VALUE"""),2173.29)</f>
        <v>2173.29</v>
      </c>
    </row>
    <row r="1465">
      <c r="A1465" s="10">
        <f t="shared" si="8"/>
        <v>39447.66667</v>
      </c>
      <c r="B1465" s="2" t="str">
        <f t="shared" si="2"/>
        <v/>
      </c>
      <c r="C1465" s="2" t="str">
        <f t="shared" si="3"/>
        <v>SP500</v>
      </c>
      <c r="D1465" s="2">
        <f t="shared" si="4"/>
        <v>2652.28</v>
      </c>
      <c r="E1465" s="2">
        <f t="shared" si="5"/>
        <v>2652.28</v>
      </c>
      <c r="G1465" s="10">
        <f t="shared" si="9"/>
        <v>39447.64583</v>
      </c>
      <c r="H1465" s="6" t="str">
        <f t="shared" si="6"/>
        <v/>
      </c>
      <c r="I1465" s="2">
        <f t="shared" si="7"/>
        <v>1897.13</v>
      </c>
      <c r="M1465" s="10">
        <f>IFERROR(__xludf.DUMMYFUNCTION("""COMPUTED_VALUE"""),40102.666666666664)</f>
        <v>40102.66667</v>
      </c>
      <c r="N1465" s="2">
        <f>IFERROR(__xludf.DUMMYFUNCTION("""COMPUTED_VALUE"""),2156.8)</f>
        <v>2156.8</v>
      </c>
    </row>
    <row r="1466">
      <c r="A1466" s="10">
        <f t="shared" si="8"/>
        <v>39448.66667</v>
      </c>
      <c r="B1466" s="2" t="str">
        <f t="shared" si="2"/>
        <v/>
      </c>
      <c r="C1466" s="2" t="str">
        <f t="shared" si="3"/>
        <v>SP500</v>
      </c>
      <c r="D1466" s="2" t="str">
        <f t="shared" si="4"/>
        <v/>
      </c>
      <c r="E1466" s="2">
        <f t="shared" si="5"/>
        <v>2652.28</v>
      </c>
      <c r="G1466" s="10">
        <f t="shared" si="9"/>
        <v>39448.64583</v>
      </c>
      <c r="H1466" s="6" t="str">
        <f t="shared" si="6"/>
        <v/>
      </c>
      <c r="I1466" s="2">
        <f t="shared" si="7"/>
        <v>1897.13</v>
      </c>
      <c r="M1466" s="10">
        <f>IFERROR(__xludf.DUMMYFUNCTION("""COMPUTED_VALUE"""),40105.666666666664)</f>
        <v>40105.66667</v>
      </c>
      <c r="N1466" s="2">
        <f>IFERROR(__xludf.DUMMYFUNCTION("""COMPUTED_VALUE"""),2176.32)</f>
        <v>2176.32</v>
      </c>
    </row>
    <row r="1467">
      <c r="A1467" s="10">
        <f t="shared" si="8"/>
        <v>39449.66667</v>
      </c>
      <c r="B1467" s="2" t="str">
        <f t="shared" si="2"/>
        <v/>
      </c>
      <c r="C1467" s="2" t="str">
        <f t="shared" si="3"/>
        <v>SP500</v>
      </c>
      <c r="D1467" s="2">
        <f t="shared" si="4"/>
        <v>2609.63</v>
      </c>
      <c r="E1467" s="2">
        <f t="shared" si="5"/>
        <v>2609.63</v>
      </c>
      <c r="G1467" s="10">
        <f t="shared" si="9"/>
        <v>39449.64583</v>
      </c>
      <c r="H1467" s="6">
        <f t="shared" si="6"/>
        <v>1853.45</v>
      </c>
      <c r="I1467" s="2">
        <f t="shared" si="7"/>
        <v>1853.45</v>
      </c>
      <c r="M1467" s="10">
        <f>IFERROR(__xludf.DUMMYFUNCTION("""COMPUTED_VALUE"""),40106.666666666664)</f>
        <v>40106.66667</v>
      </c>
      <c r="N1467" s="2">
        <f>IFERROR(__xludf.DUMMYFUNCTION("""COMPUTED_VALUE"""),2163.47)</f>
        <v>2163.47</v>
      </c>
    </row>
    <row r="1468">
      <c r="A1468" s="10">
        <f t="shared" si="8"/>
        <v>39450.66667</v>
      </c>
      <c r="B1468" s="2" t="str">
        <f t="shared" si="2"/>
        <v/>
      </c>
      <c r="C1468" s="2" t="str">
        <f t="shared" si="3"/>
        <v>SP500</v>
      </c>
      <c r="D1468" s="2">
        <f t="shared" si="4"/>
        <v>2602.68</v>
      </c>
      <c r="E1468" s="2">
        <f t="shared" si="5"/>
        <v>2602.68</v>
      </c>
      <c r="G1468" s="10">
        <f t="shared" si="9"/>
        <v>39450.64583</v>
      </c>
      <c r="H1468" s="6">
        <f t="shared" si="6"/>
        <v>1852.73</v>
      </c>
      <c r="I1468" s="2">
        <f t="shared" si="7"/>
        <v>1852.73</v>
      </c>
      <c r="M1468" s="10">
        <f>IFERROR(__xludf.DUMMYFUNCTION("""COMPUTED_VALUE"""),40107.666666666664)</f>
        <v>40107.66667</v>
      </c>
      <c r="N1468" s="2">
        <f>IFERROR(__xludf.DUMMYFUNCTION("""COMPUTED_VALUE"""),2150.73)</f>
        <v>2150.73</v>
      </c>
    </row>
    <row r="1469">
      <c r="A1469" s="10">
        <f t="shared" si="8"/>
        <v>39451.66667</v>
      </c>
      <c r="B1469" s="2" t="str">
        <f t="shared" si="2"/>
        <v/>
      </c>
      <c r="C1469" s="2" t="str">
        <f t="shared" si="3"/>
        <v>SP500</v>
      </c>
      <c r="D1469" s="2">
        <f t="shared" si="4"/>
        <v>2504.65</v>
      </c>
      <c r="E1469" s="2">
        <f t="shared" si="5"/>
        <v>2504.65</v>
      </c>
      <c r="G1469" s="10">
        <f t="shared" si="9"/>
        <v>39451.64583</v>
      </c>
      <c r="H1469" s="6">
        <f t="shared" si="6"/>
        <v>1863.9</v>
      </c>
      <c r="I1469" s="2">
        <f t="shared" si="7"/>
        <v>1863.9</v>
      </c>
      <c r="M1469" s="10">
        <f>IFERROR(__xludf.DUMMYFUNCTION("""COMPUTED_VALUE"""),40108.666666666664)</f>
        <v>40108.66667</v>
      </c>
      <c r="N1469" s="2">
        <f>IFERROR(__xludf.DUMMYFUNCTION("""COMPUTED_VALUE"""),2165.29)</f>
        <v>2165.29</v>
      </c>
    </row>
    <row r="1470">
      <c r="A1470" s="10">
        <f t="shared" si="8"/>
        <v>39452.66667</v>
      </c>
      <c r="B1470" s="2" t="str">
        <f t="shared" si="2"/>
        <v/>
      </c>
      <c r="C1470" s="2" t="str">
        <f t="shared" si="3"/>
        <v>SP500</v>
      </c>
      <c r="D1470" s="2" t="str">
        <f t="shared" si="4"/>
        <v/>
      </c>
      <c r="E1470" s="2">
        <f t="shared" si="5"/>
        <v>2504.65</v>
      </c>
      <c r="G1470" s="10">
        <f t="shared" si="9"/>
        <v>39452.64583</v>
      </c>
      <c r="H1470" s="6" t="str">
        <f t="shared" si="6"/>
        <v/>
      </c>
      <c r="I1470" s="2">
        <f t="shared" si="7"/>
        <v>1863.9</v>
      </c>
      <c r="M1470" s="10">
        <f>IFERROR(__xludf.DUMMYFUNCTION("""COMPUTED_VALUE"""),40109.666666666664)</f>
        <v>40109.66667</v>
      </c>
      <c r="N1470" s="2">
        <f>IFERROR(__xludf.DUMMYFUNCTION("""COMPUTED_VALUE"""),2154.47)</f>
        <v>2154.47</v>
      </c>
    </row>
    <row r="1471">
      <c r="A1471" s="10">
        <f t="shared" si="8"/>
        <v>39453.66667</v>
      </c>
      <c r="B1471" s="2" t="str">
        <f t="shared" si="2"/>
        <v/>
      </c>
      <c r="C1471" s="2" t="str">
        <f t="shared" si="3"/>
        <v>SP500</v>
      </c>
      <c r="D1471" s="2" t="str">
        <f t="shared" si="4"/>
        <v/>
      </c>
      <c r="E1471" s="2">
        <f t="shared" si="5"/>
        <v>2504.65</v>
      </c>
      <c r="G1471" s="10">
        <f t="shared" si="9"/>
        <v>39453.64583</v>
      </c>
      <c r="H1471" s="6" t="str">
        <f t="shared" si="6"/>
        <v/>
      </c>
      <c r="I1471" s="2">
        <f t="shared" si="7"/>
        <v>1863.9</v>
      </c>
      <c r="M1471" s="10">
        <f>IFERROR(__xludf.DUMMYFUNCTION("""COMPUTED_VALUE"""),40112.666666666664)</f>
        <v>40112.66667</v>
      </c>
      <c r="N1471" s="2">
        <f>IFERROR(__xludf.DUMMYFUNCTION("""COMPUTED_VALUE"""),2141.85)</f>
        <v>2141.85</v>
      </c>
    </row>
    <row r="1472">
      <c r="A1472" s="10">
        <f t="shared" si="8"/>
        <v>39454.66667</v>
      </c>
      <c r="B1472" s="2" t="str">
        <f t="shared" si="2"/>
        <v/>
      </c>
      <c r="C1472" s="2" t="str">
        <f t="shared" si="3"/>
        <v>SP500</v>
      </c>
      <c r="D1472" s="2">
        <f t="shared" si="4"/>
        <v>2499.46</v>
      </c>
      <c r="E1472" s="2">
        <f t="shared" si="5"/>
        <v>2499.46</v>
      </c>
      <c r="G1472" s="10">
        <f t="shared" si="9"/>
        <v>39454.64583</v>
      </c>
      <c r="H1472" s="6">
        <f t="shared" si="6"/>
        <v>1831.14</v>
      </c>
      <c r="I1472" s="2">
        <f t="shared" si="7"/>
        <v>1831.14</v>
      </c>
      <c r="M1472" s="10">
        <f>IFERROR(__xludf.DUMMYFUNCTION("""COMPUTED_VALUE"""),40113.666666666664)</f>
        <v>40113.66667</v>
      </c>
      <c r="N1472" s="2">
        <f>IFERROR(__xludf.DUMMYFUNCTION("""COMPUTED_VALUE"""),2116.09)</f>
        <v>2116.09</v>
      </c>
    </row>
    <row r="1473">
      <c r="A1473" s="10">
        <f t="shared" si="8"/>
        <v>39455.66667</v>
      </c>
      <c r="B1473" s="2" t="str">
        <f t="shared" si="2"/>
        <v/>
      </c>
      <c r="C1473" s="2" t="str">
        <f t="shared" si="3"/>
        <v>SP500</v>
      </c>
      <c r="D1473" s="2">
        <f t="shared" si="4"/>
        <v>2440.51</v>
      </c>
      <c r="E1473" s="2">
        <f t="shared" si="5"/>
        <v>2440.51</v>
      </c>
      <c r="G1473" s="10">
        <f t="shared" si="9"/>
        <v>39455.64583</v>
      </c>
      <c r="H1473" s="6">
        <f t="shared" si="6"/>
        <v>1826.23</v>
      </c>
      <c r="I1473" s="2">
        <f t="shared" si="7"/>
        <v>1826.23</v>
      </c>
      <c r="M1473" s="10">
        <f>IFERROR(__xludf.DUMMYFUNCTION("""COMPUTED_VALUE"""),40114.666666666664)</f>
        <v>40114.66667</v>
      </c>
      <c r="N1473" s="2">
        <f>IFERROR(__xludf.DUMMYFUNCTION("""COMPUTED_VALUE"""),2059.61)</f>
        <v>2059.61</v>
      </c>
    </row>
    <row r="1474">
      <c r="A1474" s="10">
        <f t="shared" si="8"/>
        <v>39456.66667</v>
      </c>
      <c r="B1474" s="2" t="str">
        <f t="shared" si="2"/>
        <v/>
      </c>
      <c r="C1474" s="2" t="str">
        <f t="shared" si="3"/>
        <v>SP500</v>
      </c>
      <c r="D1474" s="2">
        <f t="shared" si="4"/>
        <v>2474.55</v>
      </c>
      <c r="E1474" s="2">
        <f t="shared" si="5"/>
        <v>2474.55</v>
      </c>
      <c r="G1474" s="10">
        <f t="shared" si="9"/>
        <v>39456.64583</v>
      </c>
      <c r="H1474" s="6">
        <f t="shared" si="6"/>
        <v>1844.47</v>
      </c>
      <c r="I1474" s="2">
        <f t="shared" si="7"/>
        <v>1844.47</v>
      </c>
      <c r="M1474" s="10">
        <f>IFERROR(__xludf.DUMMYFUNCTION("""COMPUTED_VALUE"""),40115.666666666664)</f>
        <v>40115.66667</v>
      </c>
      <c r="N1474" s="2">
        <f>IFERROR(__xludf.DUMMYFUNCTION("""COMPUTED_VALUE"""),2097.55)</f>
        <v>2097.55</v>
      </c>
    </row>
    <row r="1475">
      <c r="A1475" s="10">
        <f t="shared" si="8"/>
        <v>39457.66667</v>
      </c>
      <c r="B1475" s="2" t="str">
        <f t="shared" si="2"/>
        <v/>
      </c>
      <c r="C1475" s="2" t="str">
        <f t="shared" si="3"/>
        <v>SP500</v>
      </c>
      <c r="D1475" s="2">
        <f t="shared" si="4"/>
        <v>2488.52</v>
      </c>
      <c r="E1475" s="2">
        <f t="shared" si="5"/>
        <v>2488.52</v>
      </c>
      <c r="G1475" s="10">
        <f t="shared" si="9"/>
        <v>39457.64583</v>
      </c>
      <c r="H1475" s="6">
        <f t="shared" si="6"/>
        <v>1824.78</v>
      </c>
      <c r="I1475" s="2">
        <f t="shared" si="7"/>
        <v>1824.78</v>
      </c>
      <c r="M1475" s="10">
        <f>IFERROR(__xludf.DUMMYFUNCTION("""COMPUTED_VALUE"""),40116.666666666664)</f>
        <v>40116.66667</v>
      </c>
      <c r="N1475" s="2">
        <f>IFERROR(__xludf.DUMMYFUNCTION("""COMPUTED_VALUE"""),2045.11)</f>
        <v>2045.11</v>
      </c>
    </row>
    <row r="1476">
      <c r="A1476" s="10">
        <f t="shared" si="8"/>
        <v>39458.66667</v>
      </c>
      <c r="B1476" s="2" t="str">
        <f t="shared" si="2"/>
        <v/>
      </c>
      <c r="C1476" s="2" t="str">
        <f t="shared" si="3"/>
        <v>SP500</v>
      </c>
      <c r="D1476" s="2">
        <f t="shared" si="4"/>
        <v>2439.94</v>
      </c>
      <c r="E1476" s="2">
        <f t="shared" si="5"/>
        <v>2439.94</v>
      </c>
      <c r="G1476" s="10">
        <f t="shared" si="9"/>
        <v>39458.64583</v>
      </c>
      <c r="H1476" s="6">
        <f t="shared" si="6"/>
        <v>1782.27</v>
      </c>
      <c r="I1476" s="2">
        <f t="shared" si="7"/>
        <v>1782.27</v>
      </c>
      <c r="M1476" s="10">
        <f>IFERROR(__xludf.DUMMYFUNCTION("""COMPUTED_VALUE"""),40119.666666666664)</f>
        <v>40119.66667</v>
      </c>
      <c r="N1476" s="2">
        <f>IFERROR(__xludf.DUMMYFUNCTION("""COMPUTED_VALUE"""),2049.2)</f>
        <v>2049.2</v>
      </c>
    </row>
    <row r="1477">
      <c r="A1477" s="10">
        <f t="shared" si="8"/>
        <v>39459.66667</v>
      </c>
      <c r="B1477" s="2" t="str">
        <f t="shared" si="2"/>
        <v/>
      </c>
      <c r="C1477" s="2" t="str">
        <f t="shared" si="3"/>
        <v>SP500</v>
      </c>
      <c r="D1477" s="2" t="str">
        <f t="shared" si="4"/>
        <v/>
      </c>
      <c r="E1477" s="2">
        <f t="shared" si="5"/>
        <v>2439.94</v>
      </c>
      <c r="G1477" s="10">
        <f t="shared" si="9"/>
        <v>39459.64583</v>
      </c>
      <c r="H1477" s="6" t="str">
        <f t="shared" si="6"/>
        <v/>
      </c>
      <c r="I1477" s="2">
        <f t="shared" si="7"/>
        <v>1782.27</v>
      </c>
      <c r="M1477" s="10">
        <f>IFERROR(__xludf.DUMMYFUNCTION("""COMPUTED_VALUE"""),40120.666666666664)</f>
        <v>40120.66667</v>
      </c>
      <c r="N1477" s="2">
        <f>IFERROR(__xludf.DUMMYFUNCTION("""COMPUTED_VALUE"""),2057.32)</f>
        <v>2057.32</v>
      </c>
    </row>
    <row r="1478">
      <c r="A1478" s="10">
        <f t="shared" si="8"/>
        <v>39460.66667</v>
      </c>
      <c r="B1478" s="2" t="str">
        <f t="shared" si="2"/>
        <v/>
      </c>
      <c r="C1478" s="2" t="str">
        <f t="shared" si="3"/>
        <v>SP500</v>
      </c>
      <c r="D1478" s="2" t="str">
        <f t="shared" si="4"/>
        <v/>
      </c>
      <c r="E1478" s="2">
        <f t="shared" si="5"/>
        <v>2439.94</v>
      </c>
      <c r="G1478" s="10">
        <f t="shared" si="9"/>
        <v>39460.64583</v>
      </c>
      <c r="H1478" s="6" t="str">
        <f t="shared" si="6"/>
        <v/>
      </c>
      <c r="I1478" s="2">
        <f t="shared" si="7"/>
        <v>1782.27</v>
      </c>
      <c r="M1478" s="10">
        <f>IFERROR(__xludf.DUMMYFUNCTION("""COMPUTED_VALUE"""),40121.666666666664)</f>
        <v>40121.66667</v>
      </c>
      <c r="N1478" s="2">
        <f>IFERROR(__xludf.DUMMYFUNCTION("""COMPUTED_VALUE"""),2055.52)</f>
        <v>2055.52</v>
      </c>
    </row>
    <row r="1479">
      <c r="A1479" s="10">
        <f t="shared" si="8"/>
        <v>39461.66667</v>
      </c>
      <c r="B1479" s="2" t="str">
        <f t="shared" si="2"/>
        <v/>
      </c>
      <c r="C1479" s="2" t="str">
        <f t="shared" si="3"/>
        <v>SP500</v>
      </c>
      <c r="D1479" s="2">
        <f t="shared" si="4"/>
        <v>2478.3</v>
      </c>
      <c r="E1479" s="2">
        <f t="shared" si="5"/>
        <v>2478.3</v>
      </c>
      <c r="G1479" s="10">
        <f t="shared" si="9"/>
        <v>39461.64583</v>
      </c>
      <c r="H1479" s="6">
        <f t="shared" si="6"/>
        <v>1765.88</v>
      </c>
      <c r="I1479" s="2">
        <f t="shared" si="7"/>
        <v>1765.88</v>
      </c>
      <c r="M1479" s="10">
        <f>IFERROR(__xludf.DUMMYFUNCTION("""COMPUTED_VALUE"""),40122.666666666664)</f>
        <v>40122.66667</v>
      </c>
      <c r="N1479" s="2">
        <f>IFERROR(__xludf.DUMMYFUNCTION("""COMPUTED_VALUE"""),2105.32)</f>
        <v>2105.32</v>
      </c>
    </row>
    <row r="1480">
      <c r="A1480" s="10">
        <f t="shared" si="8"/>
        <v>39462.66667</v>
      </c>
      <c r="B1480" s="2" t="str">
        <f t="shared" si="2"/>
        <v/>
      </c>
      <c r="C1480" s="2" t="str">
        <f t="shared" si="3"/>
        <v>SP500</v>
      </c>
      <c r="D1480" s="2">
        <f t="shared" si="4"/>
        <v>2417.59</v>
      </c>
      <c r="E1480" s="2">
        <f t="shared" si="5"/>
        <v>2417.59</v>
      </c>
      <c r="G1480" s="10">
        <f t="shared" si="9"/>
        <v>39462.64583</v>
      </c>
      <c r="H1480" s="6">
        <f t="shared" si="6"/>
        <v>1746.95</v>
      </c>
      <c r="I1480" s="2">
        <f t="shared" si="7"/>
        <v>1746.95</v>
      </c>
      <c r="M1480" s="10">
        <f>IFERROR(__xludf.DUMMYFUNCTION("""COMPUTED_VALUE"""),40123.666666666664)</f>
        <v>40123.66667</v>
      </c>
      <c r="N1480" s="2">
        <f>IFERROR(__xludf.DUMMYFUNCTION("""COMPUTED_VALUE"""),2112.44)</f>
        <v>2112.44</v>
      </c>
    </row>
    <row r="1481">
      <c r="A1481" s="10">
        <f t="shared" si="8"/>
        <v>39463.66667</v>
      </c>
      <c r="B1481" s="2" t="str">
        <f t="shared" si="2"/>
        <v/>
      </c>
      <c r="C1481" s="2" t="str">
        <f t="shared" si="3"/>
        <v>SP500</v>
      </c>
      <c r="D1481" s="2">
        <f t="shared" si="4"/>
        <v>2394.59</v>
      </c>
      <c r="E1481" s="2">
        <f t="shared" si="5"/>
        <v>2394.59</v>
      </c>
      <c r="G1481" s="10">
        <f t="shared" si="9"/>
        <v>39463.64583</v>
      </c>
      <c r="H1481" s="6">
        <f t="shared" si="6"/>
        <v>1704.97</v>
      </c>
      <c r="I1481" s="2">
        <f t="shared" si="7"/>
        <v>1704.97</v>
      </c>
      <c r="M1481" s="10">
        <f>IFERROR(__xludf.DUMMYFUNCTION("""COMPUTED_VALUE"""),40126.666666666664)</f>
        <v>40126.66667</v>
      </c>
      <c r="N1481" s="2">
        <f>IFERROR(__xludf.DUMMYFUNCTION("""COMPUTED_VALUE"""),2154.06)</f>
        <v>2154.06</v>
      </c>
    </row>
    <row r="1482">
      <c r="A1482" s="10">
        <f t="shared" si="8"/>
        <v>39464.66667</v>
      </c>
      <c r="B1482" s="2" t="str">
        <f t="shared" si="2"/>
        <v/>
      </c>
      <c r="C1482" s="2" t="str">
        <f t="shared" si="3"/>
        <v>SP500</v>
      </c>
      <c r="D1482" s="2">
        <f t="shared" si="4"/>
        <v>2346.9</v>
      </c>
      <c r="E1482" s="2">
        <f t="shared" si="5"/>
        <v>2346.9</v>
      </c>
      <c r="G1482" s="10">
        <f t="shared" si="9"/>
        <v>39464.64583</v>
      </c>
      <c r="H1482" s="6">
        <f t="shared" si="6"/>
        <v>1723.55</v>
      </c>
      <c r="I1482" s="2">
        <f t="shared" si="7"/>
        <v>1723.55</v>
      </c>
      <c r="M1482" s="10">
        <f>IFERROR(__xludf.DUMMYFUNCTION("""COMPUTED_VALUE"""),40127.666666666664)</f>
        <v>40127.66667</v>
      </c>
      <c r="N1482" s="2">
        <f>IFERROR(__xludf.DUMMYFUNCTION("""COMPUTED_VALUE"""),2151.08)</f>
        <v>2151.08</v>
      </c>
    </row>
    <row r="1483">
      <c r="A1483" s="10">
        <f t="shared" si="8"/>
        <v>39465.66667</v>
      </c>
      <c r="B1483" s="2" t="str">
        <f t="shared" si="2"/>
        <v/>
      </c>
      <c r="C1483" s="2" t="str">
        <f t="shared" si="3"/>
        <v>SP500</v>
      </c>
      <c r="D1483" s="2">
        <f t="shared" si="4"/>
        <v>2340.02</v>
      </c>
      <c r="E1483" s="2">
        <f t="shared" si="5"/>
        <v>2340.02</v>
      </c>
      <c r="G1483" s="10">
        <f t="shared" si="9"/>
        <v>39465.64583</v>
      </c>
      <c r="H1483" s="6">
        <f t="shared" si="6"/>
        <v>1734.72</v>
      </c>
      <c r="I1483" s="2">
        <f t="shared" si="7"/>
        <v>1734.72</v>
      </c>
      <c r="M1483" s="10">
        <f>IFERROR(__xludf.DUMMYFUNCTION("""COMPUTED_VALUE"""),40128.666666666664)</f>
        <v>40128.66667</v>
      </c>
      <c r="N1483" s="2">
        <f>IFERROR(__xludf.DUMMYFUNCTION("""COMPUTED_VALUE"""),2166.9)</f>
        <v>2166.9</v>
      </c>
    </row>
    <row r="1484">
      <c r="A1484" s="10">
        <f t="shared" si="8"/>
        <v>39466.66667</v>
      </c>
      <c r="B1484" s="2" t="str">
        <f t="shared" si="2"/>
        <v/>
      </c>
      <c r="C1484" s="2" t="str">
        <f t="shared" si="3"/>
        <v>SP500</v>
      </c>
      <c r="D1484" s="2" t="str">
        <f t="shared" si="4"/>
        <v/>
      </c>
      <c r="E1484" s="2">
        <f t="shared" si="5"/>
        <v>2340.02</v>
      </c>
      <c r="G1484" s="10">
        <f t="shared" si="9"/>
        <v>39466.64583</v>
      </c>
      <c r="H1484" s="6" t="str">
        <f t="shared" si="6"/>
        <v/>
      </c>
      <c r="I1484" s="2">
        <f t="shared" si="7"/>
        <v>1734.72</v>
      </c>
      <c r="M1484" s="10">
        <f>IFERROR(__xludf.DUMMYFUNCTION("""COMPUTED_VALUE"""),40129.666666666664)</f>
        <v>40129.66667</v>
      </c>
      <c r="N1484" s="2">
        <f>IFERROR(__xludf.DUMMYFUNCTION("""COMPUTED_VALUE"""),2149.02)</f>
        <v>2149.02</v>
      </c>
    </row>
    <row r="1485">
      <c r="A1485" s="10">
        <f t="shared" si="8"/>
        <v>39467.66667</v>
      </c>
      <c r="B1485" s="2" t="str">
        <f t="shared" si="2"/>
        <v/>
      </c>
      <c r="C1485" s="2" t="str">
        <f t="shared" si="3"/>
        <v>SP500</v>
      </c>
      <c r="D1485" s="2" t="str">
        <f t="shared" si="4"/>
        <v/>
      </c>
      <c r="E1485" s="2">
        <f t="shared" si="5"/>
        <v>2340.02</v>
      </c>
      <c r="G1485" s="10">
        <f t="shared" si="9"/>
        <v>39467.64583</v>
      </c>
      <c r="H1485" s="6" t="str">
        <f t="shared" si="6"/>
        <v/>
      </c>
      <c r="I1485" s="2">
        <f t="shared" si="7"/>
        <v>1734.72</v>
      </c>
      <c r="M1485" s="10">
        <f>IFERROR(__xludf.DUMMYFUNCTION("""COMPUTED_VALUE"""),40130.666666666664)</f>
        <v>40130.66667</v>
      </c>
      <c r="N1485" s="2">
        <f>IFERROR(__xludf.DUMMYFUNCTION("""COMPUTED_VALUE"""),2167.88)</f>
        <v>2167.88</v>
      </c>
    </row>
    <row r="1486">
      <c r="A1486" s="10">
        <f t="shared" si="8"/>
        <v>39468.66667</v>
      </c>
      <c r="B1486" s="2" t="str">
        <f t="shared" si="2"/>
        <v/>
      </c>
      <c r="C1486" s="2" t="str">
        <f t="shared" si="3"/>
        <v>SP500</v>
      </c>
      <c r="D1486" s="2" t="str">
        <f t="shared" si="4"/>
        <v/>
      </c>
      <c r="E1486" s="2">
        <f t="shared" si="5"/>
        <v>2340.02</v>
      </c>
      <c r="G1486" s="10">
        <f t="shared" si="9"/>
        <v>39468.64583</v>
      </c>
      <c r="H1486" s="6">
        <f t="shared" si="6"/>
        <v>1683.56</v>
      </c>
      <c r="I1486" s="2">
        <f t="shared" si="7"/>
        <v>1683.56</v>
      </c>
      <c r="M1486" s="10">
        <f>IFERROR(__xludf.DUMMYFUNCTION("""COMPUTED_VALUE"""),40133.666666666664)</f>
        <v>40133.66667</v>
      </c>
      <c r="N1486" s="2">
        <f>IFERROR(__xludf.DUMMYFUNCTION("""COMPUTED_VALUE"""),2197.85)</f>
        <v>2197.85</v>
      </c>
    </row>
    <row r="1487">
      <c r="A1487" s="10">
        <f t="shared" si="8"/>
        <v>39469.66667</v>
      </c>
      <c r="B1487" s="2" t="str">
        <f t="shared" si="2"/>
        <v/>
      </c>
      <c r="C1487" s="2" t="str">
        <f t="shared" si="3"/>
        <v>SP500</v>
      </c>
      <c r="D1487" s="2">
        <f t="shared" si="4"/>
        <v>2292.27</v>
      </c>
      <c r="E1487" s="2">
        <f t="shared" si="5"/>
        <v>2292.27</v>
      </c>
      <c r="G1487" s="10">
        <f t="shared" si="9"/>
        <v>39469.64583</v>
      </c>
      <c r="H1487" s="6">
        <f t="shared" si="6"/>
        <v>1609.02</v>
      </c>
      <c r="I1487" s="2">
        <f t="shared" si="7"/>
        <v>1609.02</v>
      </c>
      <c r="M1487" s="10">
        <f>IFERROR(__xludf.DUMMYFUNCTION("""COMPUTED_VALUE"""),40134.666666666664)</f>
        <v>40134.66667</v>
      </c>
      <c r="N1487" s="2">
        <f>IFERROR(__xludf.DUMMYFUNCTION("""COMPUTED_VALUE"""),2203.78)</f>
        <v>2203.78</v>
      </c>
    </row>
    <row r="1488">
      <c r="A1488" s="10">
        <f t="shared" si="8"/>
        <v>39470.66667</v>
      </c>
      <c r="B1488" s="2" t="str">
        <f t="shared" si="2"/>
        <v/>
      </c>
      <c r="C1488" s="2" t="str">
        <f t="shared" si="3"/>
        <v>SP500</v>
      </c>
      <c r="D1488" s="2">
        <f t="shared" si="4"/>
        <v>2316.41</v>
      </c>
      <c r="E1488" s="2">
        <f t="shared" si="5"/>
        <v>2316.41</v>
      </c>
      <c r="G1488" s="10">
        <f t="shared" si="9"/>
        <v>39470.64583</v>
      </c>
      <c r="H1488" s="6">
        <f t="shared" si="6"/>
        <v>1628.42</v>
      </c>
      <c r="I1488" s="2">
        <f t="shared" si="7"/>
        <v>1628.42</v>
      </c>
      <c r="M1488" s="10">
        <f>IFERROR(__xludf.DUMMYFUNCTION("""COMPUTED_VALUE"""),40135.666666666664)</f>
        <v>40135.66667</v>
      </c>
      <c r="N1488" s="2">
        <f>IFERROR(__xludf.DUMMYFUNCTION("""COMPUTED_VALUE"""),2193.14)</f>
        <v>2193.14</v>
      </c>
    </row>
    <row r="1489">
      <c r="A1489" s="10">
        <f t="shared" si="8"/>
        <v>39471.66667</v>
      </c>
      <c r="B1489" s="2" t="str">
        <f t="shared" si="2"/>
        <v/>
      </c>
      <c r="C1489" s="2" t="str">
        <f t="shared" si="3"/>
        <v>SP500</v>
      </c>
      <c r="D1489" s="2">
        <f t="shared" si="4"/>
        <v>2360.92</v>
      </c>
      <c r="E1489" s="2">
        <f t="shared" si="5"/>
        <v>2360.92</v>
      </c>
      <c r="G1489" s="10">
        <f t="shared" si="9"/>
        <v>39471.64583</v>
      </c>
      <c r="H1489" s="6">
        <f t="shared" si="6"/>
        <v>1663</v>
      </c>
      <c r="I1489" s="2">
        <f t="shared" si="7"/>
        <v>1663</v>
      </c>
      <c r="M1489" s="10">
        <f>IFERROR(__xludf.DUMMYFUNCTION("""COMPUTED_VALUE"""),40136.666666666664)</f>
        <v>40136.66667</v>
      </c>
      <c r="N1489" s="2">
        <f>IFERROR(__xludf.DUMMYFUNCTION("""COMPUTED_VALUE"""),2156.82)</f>
        <v>2156.82</v>
      </c>
    </row>
    <row r="1490">
      <c r="A1490" s="10">
        <f t="shared" si="8"/>
        <v>39472.66667</v>
      </c>
      <c r="B1490" s="2" t="str">
        <f t="shared" si="2"/>
        <v/>
      </c>
      <c r="C1490" s="2" t="str">
        <f t="shared" si="3"/>
        <v>SP500</v>
      </c>
      <c r="D1490" s="2">
        <f t="shared" si="4"/>
        <v>2326.2</v>
      </c>
      <c r="E1490" s="2">
        <f t="shared" si="5"/>
        <v>2326.2</v>
      </c>
      <c r="G1490" s="10">
        <f t="shared" si="9"/>
        <v>39472.64583</v>
      </c>
      <c r="H1490" s="6">
        <f t="shared" si="6"/>
        <v>1692.41</v>
      </c>
      <c r="I1490" s="2">
        <f t="shared" si="7"/>
        <v>1692.41</v>
      </c>
      <c r="M1490" s="10">
        <f>IFERROR(__xludf.DUMMYFUNCTION("""COMPUTED_VALUE"""),40137.666666666664)</f>
        <v>40137.66667</v>
      </c>
      <c r="N1490" s="2">
        <f>IFERROR(__xludf.DUMMYFUNCTION("""COMPUTED_VALUE"""),2146.04)</f>
        <v>2146.04</v>
      </c>
    </row>
    <row r="1491">
      <c r="A1491" s="10">
        <f t="shared" si="8"/>
        <v>39473.66667</v>
      </c>
      <c r="B1491" s="2" t="str">
        <f t="shared" si="2"/>
        <v/>
      </c>
      <c r="C1491" s="2" t="str">
        <f t="shared" si="3"/>
        <v>SP500</v>
      </c>
      <c r="D1491" s="2" t="str">
        <f t="shared" si="4"/>
        <v/>
      </c>
      <c r="E1491" s="2">
        <f t="shared" si="5"/>
        <v>2326.2</v>
      </c>
      <c r="G1491" s="10">
        <f t="shared" si="9"/>
        <v>39473.64583</v>
      </c>
      <c r="H1491" s="6" t="str">
        <f t="shared" si="6"/>
        <v/>
      </c>
      <c r="I1491" s="2">
        <f t="shared" si="7"/>
        <v>1692.41</v>
      </c>
      <c r="M1491" s="10">
        <f>IFERROR(__xludf.DUMMYFUNCTION("""COMPUTED_VALUE"""),40140.666666666664)</f>
        <v>40140.66667</v>
      </c>
      <c r="N1491" s="2">
        <f>IFERROR(__xludf.DUMMYFUNCTION("""COMPUTED_VALUE"""),2176.01)</f>
        <v>2176.01</v>
      </c>
    </row>
    <row r="1492">
      <c r="A1492" s="10">
        <f t="shared" si="8"/>
        <v>39474.66667</v>
      </c>
      <c r="B1492" s="2" t="str">
        <f t="shared" si="2"/>
        <v/>
      </c>
      <c r="C1492" s="2" t="str">
        <f t="shared" si="3"/>
        <v>SP500</v>
      </c>
      <c r="D1492" s="2" t="str">
        <f t="shared" si="4"/>
        <v/>
      </c>
      <c r="E1492" s="2">
        <f t="shared" si="5"/>
        <v>2326.2</v>
      </c>
      <c r="G1492" s="10">
        <f t="shared" si="9"/>
        <v>39474.64583</v>
      </c>
      <c r="H1492" s="6" t="str">
        <f t="shared" si="6"/>
        <v/>
      </c>
      <c r="I1492" s="2">
        <f t="shared" si="7"/>
        <v>1692.41</v>
      </c>
      <c r="M1492" s="10">
        <f>IFERROR(__xludf.DUMMYFUNCTION("""COMPUTED_VALUE"""),40141.666666666664)</f>
        <v>40141.66667</v>
      </c>
      <c r="N1492" s="2">
        <f>IFERROR(__xludf.DUMMYFUNCTION("""COMPUTED_VALUE"""),2169.18)</f>
        <v>2169.18</v>
      </c>
    </row>
    <row r="1493">
      <c r="A1493" s="10">
        <f t="shared" si="8"/>
        <v>39475.66667</v>
      </c>
      <c r="B1493" s="2" t="str">
        <f t="shared" si="2"/>
        <v/>
      </c>
      <c r="C1493" s="2" t="str">
        <f t="shared" si="3"/>
        <v>SP500</v>
      </c>
      <c r="D1493" s="2">
        <f t="shared" si="4"/>
        <v>2349.91</v>
      </c>
      <c r="E1493" s="2">
        <f t="shared" si="5"/>
        <v>2349.91</v>
      </c>
      <c r="G1493" s="10">
        <f t="shared" si="9"/>
        <v>39475.64583</v>
      </c>
      <c r="H1493" s="6">
        <f t="shared" si="6"/>
        <v>1627.19</v>
      </c>
      <c r="I1493" s="2">
        <f t="shared" si="7"/>
        <v>1627.19</v>
      </c>
      <c r="M1493" s="10">
        <f>IFERROR(__xludf.DUMMYFUNCTION("""COMPUTED_VALUE"""),40142.666666666664)</f>
        <v>40142.66667</v>
      </c>
      <c r="N1493" s="2">
        <f>IFERROR(__xludf.DUMMYFUNCTION("""COMPUTED_VALUE"""),2176.05)</f>
        <v>2176.05</v>
      </c>
    </row>
    <row r="1494">
      <c r="A1494" s="10">
        <f t="shared" si="8"/>
        <v>39476.66667</v>
      </c>
      <c r="B1494" s="2" t="str">
        <f t="shared" si="2"/>
        <v/>
      </c>
      <c r="C1494" s="2" t="str">
        <f t="shared" si="3"/>
        <v>SP500</v>
      </c>
      <c r="D1494" s="2">
        <f t="shared" si="4"/>
        <v>2358.06</v>
      </c>
      <c r="E1494" s="2">
        <f t="shared" si="5"/>
        <v>2358.06</v>
      </c>
      <c r="G1494" s="10">
        <f t="shared" si="9"/>
        <v>39476.64583</v>
      </c>
      <c r="H1494" s="6">
        <f t="shared" si="6"/>
        <v>1637.91</v>
      </c>
      <c r="I1494" s="2">
        <f t="shared" si="7"/>
        <v>1637.91</v>
      </c>
      <c r="M1494" s="10">
        <f>IFERROR(__xludf.DUMMYFUNCTION("""COMPUTED_VALUE"""),40144.666666666664)</f>
        <v>40144.66667</v>
      </c>
      <c r="N1494" s="2">
        <f>IFERROR(__xludf.DUMMYFUNCTION("""COMPUTED_VALUE"""),2138.44)</f>
        <v>2138.44</v>
      </c>
    </row>
    <row r="1495">
      <c r="A1495" s="10">
        <f t="shared" si="8"/>
        <v>39477.66667</v>
      </c>
      <c r="B1495" s="2" t="str">
        <f t="shared" si="2"/>
        <v/>
      </c>
      <c r="C1495" s="2" t="str">
        <f t="shared" si="3"/>
        <v>SP500</v>
      </c>
      <c r="D1495" s="2">
        <f t="shared" si="4"/>
        <v>2349</v>
      </c>
      <c r="E1495" s="2">
        <f t="shared" si="5"/>
        <v>2349</v>
      </c>
      <c r="G1495" s="10">
        <f t="shared" si="9"/>
        <v>39477.64583</v>
      </c>
      <c r="H1495" s="6">
        <f t="shared" si="6"/>
        <v>1589.06</v>
      </c>
      <c r="I1495" s="2">
        <f t="shared" si="7"/>
        <v>1589.06</v>
      </c>
      <c r="M1495" s="10">
        <f>IFERROR(__xludf.DUMMYFUNCTION("""COMPUTED_VALUE"""),40147.666666666664)</f>
        <v>40147.66667</v>
      </c>
      <c r="N1495" s="2">
        <f>IFERROR(__xludf.DUMMYFUNCTION("""COMPUTED_VALUE"""),2144.6)</f>
        <v>2144.6</v>
      </c>
    </row>
    <row r="1496">
      <c r="A1496" s="10">
        <f t="shared" si="8"/>
        <v>39478.66667</v>
      </c>
      <c r="B1496" s="2" t="str">
        <f t="shared" si="2"/>
        <v/>
      </c>
      <c r="C1496" s="2" t="str">
        <f t="shared" si="3"/>
        <v>SP500</v>
      </c>
      <c r="D1496" s="2">
        <f t="shared" si="4"/>
        <v>2389.86</v>
      </c>
      <c r="E1496" s="2">
        <f t="shared" si="5"/>
        <v>2389.86</v>
      </c>
      <c r="G1496" s="10">
        <f t="shared" si="9"/>
        <v>39478.64583</v>
      </c>
      <c r="H1496" s="6">
        <f t="shared" si="6"/>
        <v>1624.68</v>
      </c>
      <c r="I1496" s="2">
        <f t="shared" si="7"/>
        <v>1624.68</v>
      </c>
      <c r="M1496" s="10">
        <f>IFERROR(__xludf.DUMMYFUNCTION("""COMPUTED_VALUE"""),40148.666666666664)</f>
        <v>40148.66667</v>
      </c>
      <c r="N1496" s="2">
        <f>IFERROR(__xludf.DUMMYFUNCTION("""COMPUTED_VALUE"""),2175.81)</f>
        <v>2175.81</v>
      </c>
    </row>
    <row r="1497">
      <c r="A1497" s="10">
        <f t="shared" si="8"/>
        <v>39479.66667</v>
      </c>
      <c r="B1497" s="2" t="str">
        <f t="shared" si="2"/>
        <v/>
      </c>
      <c r="C1497" s="2" t="str">
        <f t="shared" si="3"/>
        <v>SP500</v>
      </c>
      <c r="D1497" s="2">
        <f t="shared" si="4"/>
        <v>2413.36</v>
      </c>
      <c r="E1497" s="2">
        <f t="shared" si="5"/>
        <v>2413.36</v>
      </c>
      <c r="G1497" s="10">
        <f t="shared" si="9"/>
        <v>39479.64583</v>
      </c>
      <c r="H1497" s="6">
        <f t="shared" si="6"/>
        <v>1634.53</v>
      </c>
      <c r="I1497" s="2">
        <f t="shared" si="7"/>
        <v>1634.53</v>
      </c>
      <c r="M1497" s="10">
        <f>IFERROR(__xludf.DUMMYFUNCTION("""COMPUTED_VALUE"""),40149.666666666664)</f>
        <v>40149.66667</v>
      </c>
      <c r="N1497" s="2">
        <f>IFERROR(__xludf.DUMMYFUNCTION("""COMPUTED_VALUE"""),2185.03)</f>
        <v>2185.03</v>
      </c>
    </row>
    <row r="1498">
      <c r="A1498" s="10">
        <f t="shared" si="8"/>
        <v>39480.66667</v>
      </c>
      <c r="B1498" s="2" t="str">
        <f t="shared" si="2"/>
        <v/>
      </c>
      <c r="C1498" s="2" t="str">
        <f t="shared" si="3"/>
        <v>SP500</v>
      </c>
      <c r="D1498" s="2" t="str">
        <f t="shared" si="4"/>
        <v/>
      </c>
      <c r="E1498" s="2">
        <f t="shared" si="5"/>
        <v>2413.36</v>
      </c>
      <c r="G1498" s="10">
        <f t="shared" si="9"/>
        <v>39480.64583</v>
      </c>
      <c r="H1498" s="6" t="str">
        <f t="shared" si="6"/>
        <v/>
      </c>
      <c r="I1498" s="2">
        <f t="shared" si="7"/>
        <v>1634.53</v>
      </c>
      <c r="M1498" s="10">
        <f>IFERROR(__xludf.DUMMYFUNCTION("""COMPUTED_VALUE"""),40150.666666666664)</f>
        <v>40150.66667</v>
      </c>
      <c r="N1498" s="2">
        <f>IFERROR(__xludf.DUMMYFUNCTION("""COMPUTED_VALUE"""),2173.14)</f>
        <v>2173.14</v>
      </c>
    </row>
    <row r="1499">
      <c r="A1499" s="10">
        <f t="shared" si="8"/>
        <v>39481.66667</v>
      </c>
      <c r="B1499" s="2" t="str">
        <f t="shared" si="2"/>
        <v/>
      </c>
      <c r="C1499" s="2" t="str">
        <f t="shared" si="3"/>
        <v>SP500</v>
      </c>
      <c r="D1499" s="2" t="str">
        <f t="shared" si="4"/>
        <v/>
      </c>
      <c r="E1499" s="2">
        <f t="shared" si="5"/>
        <v>2413.36</v>
      </c>
      <c r="G1499" s="10">
        <f t="shared" si="9"/>
        <v>39481.64583</v>
      </c>
      <c r="H1499" s="6" t="str">
        <f t="shared" si="6"/>
        <v/>
      </c>
      <c r="I1499" s="2">
        <f t="shared" si="7"/>
        <v>1634.53</v>
      </c>
      <c r="M1499" s="10">
        <f>IFERROR(__xludf.DUMMYFUNCTION("""COMPUTED_VALUE"""),40151.666666666664)</f>
        <v>40151.66667</v>
      </c>
      <c r="N1499" s="2">
        <f>IFERROR(__xludf.DUMMYFUNCTION("""COMPUTED_VALUE"""),2194.35)</f>
        <v>2194.35</v>
      </c>
    </row>
    <row r="1500">
      <c r="A1500" s="10">
        <f t="shared" si="8"/>
        <v>39482.66667</v>
      </c>
      <c r="B1500" s="2" t="str">
        <f t="shared" si="2"/>
        <v/>
      </c>
      <c r="C1500" s="2" t="str">
        <f t="shared" si="3"/>
        <v>SP500</v>
      </c>
      <c r="D1500" s="2">
        <f t="shared" si="4"/>
        <v>2382.85</v>
      </c>
      <c r="E1500" s="2">
        <f t="shared" si="5"/>
        <v>2382.85</v>
      </c>
      <c r="G1500" s="10">
        <f t="shared" si="9"/>
        <v>39482.64583</v>
      </c>
      <c r="H1500" s="6">
        <f t="shared" si="6"/>
        <v>1690.13</v>
      </c>
      <c r="I1500" s="2">
        <f t="shared" si="7"/>
        <v>1690.13</v>
      </c>
      <c r="M1500" s="10">
        <f>IFERROR(__xludf.DUMMYFUNCTION("""COMPUTED_VALUE"""),40154.666666666664)</f>
        <v>40154.66667</v>
      </c>
      <c r="N1500" s="2">
        <f>IFERROR(__xludf.DUMMYFUNCTION("""COMPUTED_VALUE"""),2189.61)</f>
        <v>2189.61</v>
      </c>
    </row>
    <row r="1501">
      <c r="A1501" s="10">
        <f t="shared" si="8"/>
        <v>39483.66667</v>
      </c>
      <c r="B1501" s="2" t="str">
        <f t="shared" si="2"/>
        <v/>
      </c>
      <c r="C1501" s="2" t="str">
        <f t="shared" si="3"/>
        <v>SP500</v>
      </c>
      <c r="D1501" s="2">
        <f t="shared" si="4"/>
        <v>2309.57</v>
      </c>
      <c r="E1501" s="2">
        <f t="shared" si="5"/>
        <v>2309.57</v>
      </c>
      <c r="G1501" s="10">
        <f t="shared" si="9"/>
        <v>39483.64583</v>
      </c>
      <c r="H1501" s="6">
        <f t="shared" si="6"/>
        <v>1696.57</v>
      </c>
      <c r="I1501" s="2">
        <f t="shared" si="7"/>
        <v>1696.57</v>
      </c>
      <c r="M1501" s="10">
        <f>IFERROR(__xludf.DUMMYFUNCTION("""COMPUTED_VALUE"""),40155.666666666664)</f>
        <v>40155.66667</v>
      </c>
      <c r="N1501" s="2">
        <f>IFERROR(__xludf.DUMMYFUNCTION("""COMPUTED_VALUE"""),2172.99)</f>
        <v>2172.99</v>
      </c>
    </row>
    <row r="1502">
      <c r="A1502" s="10">
        <f t="shared" si="8"/>
        <v>39484.66667</v>
      </c>
      <c r="B1502" s="2" t="str">
        <f t="shared" si="2"/>
        <v/>
      </c>
      <c r="C1502" s="2" t="str">
        <f t="shared" si="3"/>
        <v>SP500</v>
      </c>
      <c r="D1502" s="2">
        <f t="shared" si="4"/>
        <v>2278.75</v>
      </c>
      <c r="E1502" s="2">
        <f t="shared" si="5"/>
        <v>2278.75</v>
      </c>
      <c r="G1502" s="10">
        <f t="shared" si="9"/>
        <v>39484.64583</v>
      </c>
      <c r="H1502" s="6" t="str">
        <f t="shared" si="6"/>
        <v/>
      </c>
      <c r="I1502" s="2">
        <f t="shared" si="7"/>
        <v>1696.57</v>
      </c>
      <c r="M1502" s="10">
        <f>IFERROR(__xludf.DUMMYFUNCTION("""COMPUTED_VALUE"""),40156.666666666664)</f>
        <v>40156.66667</v>
      </c>
      <c r="N1502" s="2">
        <f>IFERROR(__xludf.DUMMYFUNCTION("""COMPUTED_VALUE"""),2183.73)</f>
        <v>2183.73</v>
      </c>
    </row>
    <row r="1503">
      <c r="A1503" s="10">
        <f t="shared" si="8"/>
        <v>39485.66667</v>
      </c>
      <c r="B1503" s="2" t="str">
        <f t="shared" si="2"/>
        <v/>
      </c>
      <c r="C1503" s="2" t="str">
        <f t="shared" si="3"/>
        <v>SP500</v>
      </c>
      <c r="D1503" s="2">
        <f t="shared" si="4"/>
        <v>2293.03</v>
      </c>
      <c r="E1503" s="2">
        <f t="shared" si="5"/>
        <v>2293.03</v>
      </c>
      <c r="G1503" s="10">
        <f t="shared" si="9"/>
        <v>39485.64583</v>
      </c>
      <c r="H1503" s="6" t="str">
        <f t="shared" si="6"/>
        <v/>
      </c>
      <c r="I1503" s="2">
        <f t="shared" si="7"/>
        <v>1696.57</v>
      </c>
      <c r="M1503" s="10">
        <f>IFERROR(__xludf.DUMMYFUNCTION("""COMPUTED_VALUE"""),40157.666666666664)</f>
        <v>40157.66667</v>
      </c>
      <c r="N1503" s="2">
        <f>IFERROR(__xludf.DUMMYFUNCTION("""COMPUTED_VALUE"""),2190.86)</f>
        <v>2190.86</v>
      </c>
    </row>
    <row r="1504">
      <c r="A1504" s="10">
        <f t="shared" si="8"/>
        <v>39486.66667</v>
      </c>
      <c r="B1504" s="2" t="str">
        <f t="shared" si="2"/>
        <v/>
      </c>
      <c r="C1504" s="2" t="str">
        <f t="shared" si="3"/>
        <v>SP500</v>
      </c>
      <c r="D1504" s="2">
        <f t="shared" si="4"/>
        <v>2304.85</v>
      </c>
      <c r="E1504" s="2">
        <f t="shared" si="5"/>
        <v>2304.85</v>
      </c>
      <c r="G1504" s="10">
        <f t="shared" si="9"/>
        <v>39486.64583</v>
      </c>
      <c r="H1504" s="6" t="str">
        <f t="shared" si="6"/>
        <v/>
      </c>
      <c r="I1504" s="2">
        <f t="shared" si="7"/>
        <v>1696.57</v>
      </c>
      <c r="M1504" s="10">
        <f>IFERROR(__xludf.DUMMYFUNCTION("""COMPUTED_VALUE"""),40158.666666666664)</f>
        <v>40158.66667</v>
      </c>
      <c r="N1504" s="2">
        <f>IFERROR(__xludf.DUMMYFUNCTION("""COMPUTED_VALUE"""),2190.31)</f>
        <v>2190.31</v>
      </c>
    </row>
    <row r="1505">
      <c r="A1505" s="10">
        <f t="shared" si="8"/>
        <v>39487.66667</v>
      </c>
      <c r="B1505" s="2" t="str">
        <f t="shared" si="2"/>
        <v/>
      </c>
      <c r="C1505" s="2" t="str">
        <f t="shared" si="3"/>
        <v>SP500</v>
      </c>
      <c r="D1505" s="2" t="str">
        <f t="shared" si="4"/>
        <v/>
      </c>
      <c r="E1505" s="2">
        <f t="shared" si="5"/>
        <v>2304.85</v>
      </c>
      <c r="G1505" s="10">
        <f t="shared" si="9"/>
        <v>39487.64583</v>
      </c>
      <c r="H1505" s="6" t="str">
        <f t="shared" si="6"/>
        <v/>
      </c>
      <c r="I1505" s="2">
        <f t="shared" si="7"/>
        <v>1696.57</v>
      </c>
      <c r="M1505" s="10">
        <f>IFERROR(__xludf.DUMMYFUNCTION("""COMPUTED_VALUE"""),40161.666666666664)</f>
        <v>40161.66667</v>
      </c>
      <c r="N1505" s="2">
        <f>IFERROR(__xludf.DUMMYFUNCTION("""COMPUTED_VALUE"""),2212.1)</f>
        <v>2212.1</v>
      </c>
    </row>
    <row r="1506">
      <c r="A1506" s="10">
        <f t="shared" si="8"/>
        <v>39488.66667</v>
      </c>
      <c r="B1506" s="2" t="str">
        <f t="shared" si="2"/>
        <v/>
      </c>
      <c r="C1506" s="2" t="str">
        <f t="shared" si="3"/>
        <v>SP500</v>
      </c>
      <c r="D1506" s="2" t="str">
        <f t="shared" si="4"/>
        <v/>
      </c>
      <c r="E1506" s="2">
        <f t="shared" si="5"/>
        <v>2304.85</v>
      </c>
      <c r="G1506" s="10">
        <f t="shared" si="9"/>
        <v>39488.64583</v>
      </c>
      <c r="H1506" s="6" t="str">
        <f t="shared" si="6"/>
        <v/>
      </c>
      <c r="I1506" s="2">
        <f t="shared" si="7"/>
        <v>1696.57</v>
      </c>
      <c r="M1506" s="10">
        <f>IFERROR(__xludf.DUMMYFUNCTION("""COMPUTED_VALUE"""),40162.666666666664)</f>
        <v>40162.66667</v>
      </c>
      <c r="N1506" s="2">
        <f>IFERROR(__xludf.DUMMYFUNCTION("""COMPUTED_VALUE"""),2201.05)</f>
        <v>2201.05</v>
      </c>
    </row>
    <row r="1507">
      <c r="A1507" s="10">
        <f t="shared" si="8"/>
        <v>39489.66667</v>
      </c>
      <c r="B1507" s="2" t="str">
        <f t="shared" si="2"/>
        <v/>
      </c>
      <c r="C1507" s="2" t="str">
        <f t="shared" si="3"/>
        <v>SP500</v>
      </c>
      <c r="D1507" s="2">
        <f t="shared" si="4"/>
        <v>2320.06</v>
      </c>
      <c r="E1507" s="2">
        <f t="shared" si="5"/>
        <v>2320.06</v>
      </c>
      <c r="G1507" s="10">
        <f t="shared" si="9"/>
        <v>39489.64583</v>
      </c>
      <c r="H1507" s="6">
        <f t="shared" si="6"/>
        <v>1640.67</v>
      </c>
      <c r="I1507" s="2">
        <f t="shared" si="7"/>
        <v>1640.67</v>
      </c>
      <c r="M1507" s="10">
        <f>IFERROR(__xludf.DUMMYFUNCTION("""COMPUTED_VALUE"""),40163.666666666664)</f>
        <v>40163.66667</v>
      </c>
      <c r="N1507" s="2">
        <f>IFERROR(__xludf.DUMMYFUNCTION("""COMPUTED_VALUE"""),2206.91)</f>
        <v>2206.91</v>
      </c>
    </row>
    <row r="1508">
      <c r="A1508" s="10">
        <f t="shared" si="8"/>
        <v>39490.66667</v>
      </c>
      <c r="B1508" s="2" t="str">
        <f t="shared" si="2"/>
        <v/>
      </c>
      <c r="C1508" s="2" t="str">
        <f t="shared" si="3"/>
        <v>SP500</v>
      </c>
      <c r="D1508" s="2">
        <f t="shared" si="4"/>
        <v>2320.04</v>
      </c>
      <c r="E1508" s="2">
        <f t="shared" si="5"/>
        <v>2320.04</v>
      </c>
      <c r="G1508" s="10">
        <f t="shared" si="9"/>
        <v>39490.64583</v>
      </c>
      <c r="H1508" s="6">
        <f t="shared" si="6"/>
        <v>1643.29</v>
      </c>
      <c r="I1508" s="2">
        <f t="shared" si="7"/>
        <v>1643.29</v>
      </c>
      <c r="M1508" s="10">
        <f>IFERROR(__xludf.DUMMYFUNCTION("""COMPUTED_VALUE"""),40164.666666666664)</f>
        <v>40164.66667</v>
      </c>
      <c r="N1508" s="2">
        <f>IFERROR(__xludf.DUMMYFUNCTION("""COMPUTED_VALUE"""),2180.05)</f>
        <v>2180.05</v>
      </c>
    </row>
    <row r="1509">
      <c r="A1509" s="10">
        <f t="shared" si="8"/>
        <v>39491.66667</v>
      </c>
      <c r="B1509" s="2" t="str">
        <f t="shared" si="2"/>
        <v/>
      </c>
      <c r="C1509" s="2" t="str">
        <f t="shared" si="3"/>
        <v>SP500</v>
      </c>
      <c r="D1509" s="2">
        <f t="shared" si="4"/>
        <v>2373.93</v>
      </c>
      <c r="E1509" s="2">
        <f t="shared" si="5"/>
        <v>2373.93</v>
      </c>
      <c r="G1509" s="10">
        <f t="shared" si="9"/>
        <v>39491.64583</v>
      </c>
      <c r="H1509" s="6">
        <f t="shared" si="6"/>
        <v>1631.78</v>
      </c>
      <c r="I1509" s="2">
        <f t="shared" si="7"/>
        <v>1631.78</v>
      </c>
      <c r="M1509" s="10">
        <f>IFERROR(__xludf.DUMMYFUNCTION("""COMPUTED_VALUE"""),40165.666666666664)</f>
        <v>40165.66667</v>
      </c>
      <c r="N1509" s="2">
        <f>IFERROR(__xludf.DUMMYFUNCTION("""COMPUTED_VALUE"""),2211.69)</f>
        <v>2211.69</v>
      </c>
    </row>
    <row r="1510">
      <c r="A1510" s="10">
        <f t="shared" si="8"/>
        <v>39492.66667</v>
      </c>
      <c r="B1510" s="2" t="str">
        <f t="shared" si="2"/>
        <v/>
      </c>
      <c r="C1510" s="2" t="str">
        <f t="shared" si="3"/>
        <v>SP500</v>
      </c>
      <c r="D1510" s="2">
        <f t="shared" si="4"/>
        <v>2332.54</v>
      </c>
      <c r="E1510" s="2">
        <f t="shared" si="5"/>
        <v>2332.54</v>
      </c>
      <c r="G1510" s="10">
        <f t="shared" si="9"/>
        <v>39492.64583</v>
      </c>
      <c r="H1510" s="6">
        <f t="shared" si="6"/>
        <v>1697.45</v>
      </c>
      <c r="I1510" s="2">
        <f t="shared" si="7"/>
        <v>1697.45</v>
      </c>
      <c r="M1510" s="10">
        <f>IFERROR(__xludf.DUMMYFUNCTION("""COMPUTED_VALUE"""),40168.666666666664)</f>
        <v>40168.66667</v>
      </c>
      <c r="N1510" s="2">
        <f>IFERROR(__xludf.DUMMYFUNCTION("""COMPUTED_VALUE"""),2237.66)</f>
        <v>2237.66</v>
      </c>
    </row>
    <row r="1511">
      <c r="A1511" s="10">
        <f t="shared" si="8"/>
        <v>39493.66667</v>
      </c>
      <c r="B1511" s="2" t="str">
        <f t="shared" si="2"/>
        <v/>
      </c>
      <c r="C1511" s="2" t="str">
        <f t="shared" si="3"/>
        <v>SP500</v>
      </c>
      <c r="D1511" s="2">
        <f t="shared" si="4"/>
        <v>2321.8</v>
      </c>
      <c r="E1511" s="2">
        <f t="shared" si="5"/>
        <v>2321.8</v>
      </c>
      <c r="G1511" s="10">
        <f t="shared" si="9"/>
        <v>39493.64583</v>
      </c>
      <c r="H1511" s="6">
        <f t="shared" si="6"/>
        <v>1694.77</v>
      </c>
      <c r="I1511" s="2">
        <f t="shared" si="7"/>
        <v>1694.77</v>
      </c>
      <c r="M1511" s="10">
        <f>IFERROR(__xludf.DUMMYFUNCTION("""COMPUTED_VALUE"""),40169.666666666664)</f>
        <v>40169.66667</v>
      </c>
      <c r="N1511" s="2">
        <f>IFERROR(__xludf.DUMMYFUNCTION("""COMPUTED_VALUE"""),2252.67)</f>
        <v>2252.67</v>
      </c>
    </row>
    <row r="1512">
      <c r="A1512" s="10">
        <f t="shared" si="8"/>
        <v>39494.66667</v>
      </c>
      <c r="B1512" s="2" t="str">
        <f t="shared" si="2"/>
        <v/>
      </c>
      <c r="C1512" s="2" t="str">
        <f t="shared" si="3"/>
        <v>SP500</v>
      </c>
      <c r="D1512" s="2" t="str">
        <f t="shared" si="4"/>
        <v/>
      </c>
      <c r="E1512" s="2">
        <f t="shared" si="5"/>
        <v>2321.8</v>
      </c>
      <c r="G1512" s="10">
        <f t="shared" si="9"/>
        <v>39494.64583</v>
      </c>
      <c r="H1512" s="6" t="str">
        <f t="shared" si="6"/>
        <v/>
      </c>
      <c r="I1512" s="2">
        <f t="shared" si="7"/>
        <v>1694.77</v>
      </c>
      <c r="M1512" s="10">
        <f>IFERROR(__xludf.DUMMYFUNCTION("""COMPUTED_VALUE"""),40170.666666666664)</f>
        <v>40170.66667</v>
      </c>
      <c r="N1512" s="2">
        <f>IFERROR(__xludf.DUMMYFUNCTION("""COMPUTED_VALUE"""),2269.64)</f>
        <v>2269.64</v>
      </c>
    </row>
    <row r="1513">
      <c r="A1513" s="10">
        <f t="shared" si="8"/>
        <v>39495.66667</v>
      </c>
      <c r="B1513" s="2" t="str">
        <f t="shared" si="2"/>
        <v/>
      </c>
      <c r="C1513" s="2" t="str">
        <f t="shared" si="3"/>
        <v>SP500</v>
      </c>
      <c r="D1513" s="2" t="str">
        <f t="shared" si="4"/>
        <v/>
      </c>
      <c r="E1513" s="2">
        <f t="shared" si="5"/>
        <v>2321.8</v>
      </c>
      <c r="G1513" s="10">
        <f t="shared" si="9"/>
        <v>39495.64583</v>
      </c>
      <c r="H1513" s="6" t="str">
        <f t="shared" si="6"/>
        <v/>
      </c>
      <c r="I1513" s="2">
        <f t="shared" si="7"/>
        <v>1694.77</v>
      </c>
      <c r="M1513" s="10">
        <f>IFERROR(__xludf.DUMMYFUNCTION("""COMPUTED_VALUE"""),40171.666666666664)</f>
        <v>40171.66667</v>
      </c>
      <c r="N1513" s="2">
        <f>IFERROR(__xludf.DUMMYFUNCTION("""COMPUTED_VALUE"""),2285.69)</f>
        <v>2285.69</v>
      </c>
    </row>
    <row r="1514">
      <c r="A1514" s="10">
        <f t="shared" si="8"/>
        <v>39496.66667</v>
      </c>
      <c r="B1514" s="2" t="str">
        <f t="shared" si="2"/>
        <v/>
      </c>
      <c r="C1514" s="2" t="str">
        <f t="shared" si="3"/>
        <v>SP500</v>
      </c>
      <c r="D1514" s="2" t="str">
        <f t="shared" si="4"/>
        <v/>
      </c>
      <c r="E1514" s="2">
        <f t="shared" si="5"/>
        <v>2321.8</v>
      </c>
      <c r="G1514" s="10">
        <f t="shared" si="9"/>
        <v>39496.64583</v>
      </c>
      <c r="H1514" s="6">
        <f t="shared" si="6"/>
        <v>1696.24</v>
      </c>
      <c r="I1514" s="2">
        <f t="shared" si="7"/>
        <v>1696.24</v>
      </c>
      <c r="M1514" s="10">
        <f>IFERROR(__xludf.DUMMYFUNCTION("""COMPUTED_VALUE"""),40175.666666666664)</f>
        <v>40175.66667</v>
      </c>
      <c r="N1514" s="2">
        <f>IFERROR(__xludf.DUMMYFUNCTION("""COMPUTED_VALUE"""),2291.08)</f>
        <v>2291.08</v>
      </c>
    </row>
    <row r="1515">
      <c r="A1515" s="10">
        <f t="shared" si="8"/>
        <v>39497.66667</v>
      </c>
      <c r="B1515" s="2" t="str">
        <f t="shared" si="2"/>
        <v/>
      </c>
      <c r="C1515" s="2" t="str">
        <f t="shared" si="3"/>
        <v>SP500</v>
      </c>
      <c r="D1515" s="2">
        <f t="shared" si="4"/>
        <v>2306.2</v>
      </c>
      <c r="E1515" s="2">
        <f t="shared" si="5"/>
        <v>2306.2</v>
      </c>
      <c r="G1515" s="10">
        <f t="shared" si="9"/>
        <v>39497.64583</v>
      </c>
      <c r="H1515" s="6">
        <f t="shared" si="6"/>
        <v>1720.52</v>
      </c>
      <c r="I1515" s="2">
        <f t="shared" si="7"/>
        <v>1720.52</v>
      </c>
      <c r="M1515" s="10">
        <f>IFERROR(__xludf.DUMMYFUNCTION("""COMPUTED_VALUE"""),40176.666666666664)</f>
        <v>40176.66667</v>
      </c>
      <c r="N1515" s="2">
        <f>IFERROR(__xludf.DUMMYFUNCTION("""COMPUTED_VALUE"""),2288.4)</f>
        <v>2288.4</v>
      </c>
    </row>
    <row r="1516">
      <c r="A1516" s="10">
        <f t="shared" si="8"/>
        <v>39498.66667</v>
      </c>
      <c r="B1516" s="2" t="str">
        <f t="shared" si="2"/>
        <v/>
      </c>
      <c r="C1516" s="2" t="str">
        <f t="shared" si="3"/>
        <v>SP500</v>
      </c>
      <c r="D1516" s="2">
        <f t="shared" si="4"/>
        <v>2327.1</v>
      </c>
      <c r="E1516" s="2">
        <f t="shared" si="5"/>
        <v>2327.1</v>
      </c>
      <c r="G1516" s="10">
        <f t="shared" si="9"/>
        <v>39498.64583</v>
      </c>
      <c r="H1516" s="6">
        <f t="shared" si="6"/>
        <v>1687.91</v>
      </c>
      <c r="I1516" s="2">
        <f t="shared" si="7"/>
        <v>1687.91</v>
      </c>
      <c r="M1516" s="10">
        <f>IFERROR(__xludf.DUMMYFUNCTION("""COMPUTED_VALUE"""),40177.666666666664)</f>
        <v>40177.66667</v>
      </c>
      <c r="N1516" s="2">
        <f>IFERROR(__xludf.DUMMYFUNCTION("""COMPUTED_VALUE"""),2291.28)</f>
        <v>2291.28</v>
      </c>
    </row>
    <row r="1517">
      <c r="A1517" s="10">
        <f t="shared" si="8"/>
        <v>39499.66667</v>
      </c>
      <c r="B1517" s="2" t="str">
        <f t="shared" si="2"/>
        <v/>
      </c>
      <c r="C1517" s="2" t="str">
        <f t="shared" si="3"/>
        <v>SP500</v>
      </c>
      <c r="D1517" s="2">
        <f t="shared" si="4"/>
        <v>2299.78</v>
      </c>
      <c r="E1517" s="2">
        <f t="shared" si="5"/>
        <v>2299.78</v>
      </c>
      <c r="G1517" s="10">
        <f t="shared" si="9"/>
        <v>39499.64583</v>
      </c>
      <c r="H1517" s="6">
        <f t="shared" si="6"/>
        <v>1704.36</v>
      </c>
      <c r="I1517" s="2">
        <f t="shared" si="7"/>
        <v>1704.36</v>
      </c>
      <c r="M1517" s="10">
        <f>IFERROR(__xludf.DUMMYFUNCTION("""COMPUTED_VALUE"""),40178.666666666664)</f>
        <v>40178.66667</v>
      </c>
      <c r="N1517" s="2">
        <f>IFERROR(__xludf.DUMMYFUNCTION("""COMPUTED_VALUE"""),2269.15)</f>
        <v>2269.15</v>
      </c>
    </row>
    <row r="1518">
      <c r="A1518" s="10">
        <f t="shared" si="8"/>
        <v>39500.66667</v>
      </c>
      <c r="B1518" s="2" t="str">
        <f t="shared" si="2"/>
        <v/>
      </c>
      <c r="C1518" s="2" t="str">
        <f t="shared" si="3"/>
        <v>SP500</v>
      </c>
      <c r="D1518" s="2">
        <f t="shared" si="4"/>
        <v>2303.35</v>
      </c>
      <c r="E1518" s="2">
        <f t="shared" si="5"/>
        <v>2303.35</v>
      </c>
      <c r="G1518" s="10">
        <f t="shared" si="9"/>
        <v>39500.64583</v>
      </c>
      <c r="H1518" s="6">
        <f t="shared" si="6"/>
        <v>1686.45</v>
      </c>
      <c r="I1518" s="2">
        <f t="shared" si="7"/>
        <v>1686.45</v>
      </c>
      <c r="M1518" s="10">
        <f>IFERROR(__xludf.DUMMYFUNCTION("""COMPUTED_VALUE"""),40182.666666666664)</f>
        <v>40182.66667</v>
      </c>
      <c r="N1518" s="2">
        <f>IFERROR(__xludf.DUMMYFUNCTION("""COMPUTED_VALUE"""),2308.42)</f>
        <v>2308.42</v>
      </c>
    </row>
    <row r="1519">
      <c r="A1519" s="10">
        <f t="shared" si="8"/>
        <v>39501.66667</v>
      </c>
      <c r="B1519" s="2" t="str">
        <f t="shared" si="2"/>
        <v/>
      </c>
      <c r="C1519" s="2" t="str">
        <f t="shared" si="3"/>
        <v>SP500</v>
      </c>
      <c r="D1519" s="2" t="str">
        <f t="shared" si="4"/>
        <v/>
      </c>
      <c r="E1519" s="2">
        <f t="shared" si="5"/>
        <v>2303.35</v>
      </c>
      <c r="G1519" s="10">
        <f t="shared" si="9"/>
        <v>39501.64583</v>
      </c>
      <c r="H1519" s="6" t="str">
        <f t="shared" si="6"/>
        <v/>
      </c>
      <c r="I1519" s="2">
        <f t="shared" si="7"/>
        <v>1686.45</v>
      </c>
      <c r="M1519" s="10">
        <f>IFERROR(__xludf.DUMMYFUNCTION("""COMPUTED_VALUE"""),40183.666666666664)</f>
        <v>40183.66667</v>
      </c>
      <c r="N1519" s="2">
        <f>IFERROR(__xludf.DUMMYFUNCTION("""COMPUTED_VALUE"""),2308.71)</f>
        <v>2308.71</v>
      </c>
    </row>
    <row r="1520">
      <c r="A1520" s="10">
        <f t="shared" si="8"/>
        <v>39502.66667</v>
      </c>
      <c r="B1520" s="2" t="str">
        <f t="shared" si="2"/>
        <v/>
      </c>
      <c r="C1520" s="2" t="str">
        <f t="shared" si="3"/>
        <v>SP500</v>
      </c>
      <c r="D1520" s="2" t="str">
        <f t="shared" si="4"/>
        <v/>
      </c>
      <c r="E1520" s="2">
        <f t="shared" si="5"/>
        <v>2303.35</v>
      </c>
      <c r="G1520" s="10">
        <f t="shared" si="9"/>
        <v>39502.64583</v>
      </c>
      <c r="H1520" s="6" t="str">
        <f t="shared" si="6"/>
        <v/>
      </c>
      <c r="I1520" s="2">
        <f t="shared" si="7"/>
        <v>1686.45</v>
      </c>
      <c r="M1520" s="10">
        <f>IFERROR(__xludf.DUMMYFUNCTION("""COMPUTED_VALUE"""),40184.666666666664)</f>
        <v>40184.66667</v>
      </c>
      <c r="N1520" s="2">
        <f>IFERROR(__xludf.DUMMYFUNCTION("""COMPUTED_VALUE"""),2301.09)</f>
        <v>2301.09</v>
      </c>
    </row>
    <row r="1521">
      <c r="A1521" s="10">
        <f t="shared" si="8"/>
        <v>39503.66667</v>
      </c>
      <c r="B1521" s="2" t="str">
        <f t="shared" si="2"/>
        <v/>
      </c>
      <c r="C1521" s="2" t="str">
        <f t="shared" si="3"/>
        <v>SP500</v>
      </c>
      <c r="D1521" s="2">
        <f t="shared" si="4"/>
        <v>2327.48</v>
      </c>
      <c r="E1521" s="2">
        <f t="shared" si="5"/>
        <v>2327.48</v>
      </c>
      <c r="G1521" s="10">
        <f t="shared" si="9"/>
        <v>39503.64583</v>
      </c>
      <c r="H1521" s="6">
        <f t="shared" si="6"/>
        <v>1709.13</v>
      </c>
      <c r="I1521" s="2">
        <f t="shared" si="7"/>
        <v>1709.13</v>
      </c>
      <c r="M1521" s="10">
        <f>IFERROR(__xludf.DUMMYFUNCTION("""COMPUTED_VALUE"""),40185.666666666664)</f>
        <v>40185.66667</v>
      </c>
      <c r="N1521" s="2">
        <f>IFERROR(__xludf.DUMMYFUNCTION("""COMPUTED_VALUE"""),2300.05)</f>
        <v>2300.05</v>
      </c>
    </row>
    <row r="1522">
      <c r="A1522" s="10">
        <f t="shared" si="8"/>
        <v>39504.66667</v>
      </c>
      <c r="B1522" s="2" t="str">
        <f t="shared" si="2"/>
        <v/>
      </c>
      <c r="C1522" s="2" t="str">
        <f t="shared" si="3"/>
        <v>SP500</v>
      </c>
      <c r="D1522" s="2">
        <f t="shared" si="4"/>
        <v>2344.99</v>
      </c>
      <c r="E1522" s="2">
        <f t="shared" si="5"/>
        <v>2344.99</v>
      </c>
      <c r="G1522" s="10">
        <f t="shared" si="9"/>
        <v>39504.64583</v>
      </c>
      <c r="H1522" s="6">
        <f t="shared" si="6"/>
        <v>1709.13</v>
      </c>
      <c r="I1522" s="2">
        <f t="shared" si="7"/>
        <v>1709.13</v>
      </c>
      <c r="M1522" s="10">
        <f>IFERROR(__xludf.DUMMYFUNCTION("""COMPUTED_VALUE"""),40186.666666666664)</f>
        <v>40186.66667</v>
      </c>
      <c r="N1522" s="2">
        <f>IFERROR(__xludf.DUMMYFUNCTION("""COMPUTED_VALUE"""),2317.17)</f>
        <v>2317.17</v>
      </c>
    </row>
    <row r="1523">
      <c r="A1523" s="10">
        <f t="shared" si="8"/>
        <v>39505.66667</v>
      </c>
      <c r="B1523" s="2" t="str">
        <f t="shared" si="2"/>
        <v/>
      </c>
      <c r="C1523" s="2" t="str">
        <f t="shared" si="3"/>
        <v>SP500</v>
      </c>
      <c r="D1523" s="2">
        <f t="shared" si="4"/>
        <v>2353.78</v>
      </c>
      <c r="E1523" s="2">
        <f t="shared" si="5"/>
        <v>2353.78</v>
      </c>
      <c r="G1523" s="10">
        <f t="shared" si="9"/>
        <v>39505.64583</v>
      </c>
      <c r="H1523" s="6">
        <f t="shared" si="6"/>
        <v>1720.89</v>
      </c>
      <c r="I1523" s="2">
        <f t="shared" si="7"/>
        <v>1720.89</v>
      </c>
      <c r="M1523" s="10">
        <f>IFERROR(__xludf.DUMMYFUNCTION("""COMPUTED_VALUE"""),40189.666666666664)</f>
        <v>40189.66667</v>
      </c>
      <c r="N1523" s="2">
        <f>IFERROR(__xludf.DUMMYFUNCTION("""COMPUTED_VALUE"""),2312.41)</f>
        <v>2312.41</v>
      </c>
    </row>
    <row r="1524">
      <c r="A1524" s="10">
        <f t="shared" si="8"/>
        <v>39506.66667</v>
      </c>
      <c r="B1524" s="2" t="str">
        <f t="shared" si="2"/>
        <v/>
      </c>
      <c r="C1524" s="2" t="str">
        <f t="shared" si="3"/>
        <v>SP500</v>
      </c>
      <c r="D1524" s="2">
        <f t="shared" si="4"/>
        <v>2331.57</v>
      </c>
      <c r="E1524" s="2">
        <f t="shared" si="5"/>
        <v>2331.57</v>
      </c>
      <c r="G1524" s="10">
        <f t="shared" si="9"/>
        <v>39506.64583</v>
      </c>
      <c r="H1524" s="6">
        <f t="shared" si="6"/>
        <v>1736.17</v>
      </c>
      <c r="I1524" s="2">
        <f t="shared" si="7"/>
        <v>1736.17</v>
      </c>
      <c r="M1524" s="10">
        <f>IFERROR(__xludf.DUMMYFUNCTION("""COMPUTED_VALUE"""),40190.666666666664)</f>
        <v>40190.66667</v>
      </c>
      <c r="N1524" s="2">
        <f>IFERROR(__xludf.DUMMYFUNCTION("""COMPUTED_VALUE"""),2282.31)</f>
        <v>2282.31</v>
      </c>
    </row>
    <row r="1525">
      <c r="A1525" s="10">
        <f t="shared" si="8"/>
        <v>39507.66667</v>
      </c>
      <c r="B1525" s="2" t="str">
        <f t="shared" si="2"/>
        <v/>
      </c>
      <c r="C1525" s="2" t="str">
        <f t="shared" si="3"/>
        <v>SP500</v>
      </c>
      <c r="D1525" s="2">
        <f t="shared" si="4"/>
        <v>2271.48</v>
      </c>
      <c r="E1525" s="2">
        <f t="shared" si="5"/>
        <v>2271.48</v>
      </c>
      <c r="G1525" s="10">
        <f t="shared" si="9"/>
        <v>39507.64583</v>
      </c>
      <c r="H1525" s="6">
        <f t="shared" si="6"/>
        <v>1711.62</v>
      </c>
      <c r="I1525" s="2">
        <f t="shared" si="7"/>
        <v>1711.62</v>
      </c>
      <c r="M1525" s="10">
        <f>IFERROR(__xludf.DUMMYFUNCTION("""COMPUTED_VALUE"""),40191.666666666664)</f>
        <v>40191.66667</v>
      </c>
      <c r="N1525" s="2">
        <f>IFERROR(__xludf.DUMMYFUNCTION("""COMPUTED_VALUE"""),2307.9)</f>
        <v>2307.9</v>
      </c>
    </row>
    <row r="1526">
      <c r="A1526" s="10">
        <f t="shared" si="8"/>
        <v>39508.66667</v>
      </c>
      <c r="B1526" s="2" t="str">
        <f t="shared" si="2"/>
        <v/>
      </c>
      <c r="C1526" s="2" t="str">
        <f t="shared" si="3"/>
        <v>SP500</v>
      </c>
      <c r="D1526" s="2" t="str">
        <f t="shared" si="4"/>
        <v/>
      </c>
      <c r="E1526" s="2">
        <f t="shared" si="5"/>
        <v>2271.48</v>
      </c>
      <c r="G1526" s="10">
        <f t="shared" si="9"/>
        <v>39508.64583</v>
      </c>
      <c r="H1526" s="6" t="str">
        <f t="shared" si="6"/>
        <v/>
      </c>
      <c r="I1526" s="2">
        <f t="shared" si="7"/>
        <v>1711.62</v>
      </c>
      <c r="M1526" s="10">
        <f>IFERROR(__xludf.DUMMYFUNCTION("""COMPUTED_VALUE"""),40192.666666666664)</f>
        <v>40192.66667</v>
      </c>
      <c r="N1526" s="2">
        <f>IFERROR(__xludf.DUMMYFUNCTION("""COMPUTED_VALUE"""),2316.74)</f>
        <v>2316.74</v>
      </c>
    </row>
    <row r="1527">
      <c r="A1527" s="10">
        <f t="shared" si="8"/>
        <v>39509.66667</v>
      </c>
      <c r="B1527" s="2" t="str">
        <f t="shared" si="2"/>
        <v/>
      </c>
      <c r="C1527" s="2" t="str">
        <f t="shared" si="3"/>
        <v>SP500</v>
      </c>
      <c r="D1527" s="2" t="str">
        <f t="shared" si="4"/>
        <v/>
      </c>
      <c r="E1527" s="2">
        <f t="shared" si="5"/>
        <v>2271.48</v>
      </c>
      <c r="G1527" s="10">
        <f t="shared" si="9"/>
        <v>39509.64583</v>
      </c>
      <c r="H1527" s="6" t="str">
        <f t="shared" si="6"/>
        <v/>
      </c>
      <c r="I1527" s="2">
        <f t="shared" si="7"/>
        <v>1711.62</v>
      </c>
      <c r="M1527" s="10">
        <f>IFERROR(__xludf.DUMMYFUNCTION("""COMPUTED_VALUE"""),40193.666666666664)</f>
        <v>40193.66667</v>
      </c>
      <c r="N1527" s="2">
        <f>IFERROR(__xludf.DUMMYFUNCTION("""COMPUTED_VALUE"""),2287.99)</f>
        <v>2287.99</v>
      </c>
    </row>
    <row r="1528">
      <c r="A1528" s="10">
        <f t="shared" si="8"/>
        <v>39510.66667</v>
      </c>
      <c r="B1528" s="2" t="str">
        <f t="shared" si="2"/>
        <v/>
      </c>
      <c r="C1528" s="2" t="str">
        <f t="shared" si="3"/>
        <v>SP500</v>
      </c>
      <c r="D1528" s="2">
        <f t="shared" si="4"/>
        <v>2258.6</v>
      </c>
      <c r="E1528" s="2">
        <f t="shared" si="5"/>
        <v>2258.6</v>
      </c>
      <c r="G1528" s="10">
        <f t="shared" si="9"/>
        <v>39510.64583</v>
      </c>
      <c r="H1528" s="6">
        <f t="shared" si="6"/>
        <v>1671.73</v>
      </c>
      <c r="I1528" s="2">
        <f t="shared" si="7"/>
        <v>1671.73</v>
      </c>
      <c r="M1528" s="10">
        <f>IFERROR(__xludf.DUMMYFUNCTION("""COMPUTED_VALUE"""),40197.666666666664)</f>
        <v>40197.66667</v>
      </c>
      <c r="N1528" s="2">
        <f>IFERROR(__xludf.DUMMYFUNCTION("""COMPUTED_VALUE"""),2320.4)</f>
        <v>2320.4</v>
      </c>
    </row>
    <row r="1529">
      <c r="A1529" s="10">
        <f t="shared" si="8"/>
        <v>39511.66667</v>
      </c>
      <c r="B1529" s="2" t="str">
        <f t="shared" si="2"/>
        <v/>
      </c>
      <c r="C1529" s="2" t="str">
        <f t="shared" si="3"/>
        <v>SP500</v>
      </c>
      <c r="D1529" s="2">
        <f t="shared" si="4"/>
        <v>2260.28</v>
      </c>
      <c r="E1529" s="2">
        <f t="shared" si="5"/>
        <v>2260.28</v>
      </c>
      <c r="G1529" s="10">
        <f t="shared" si="9"/>
        <v>39511.64583</v>
      </c>
      <c r="H1529" s="6">
        <f t="shared" si="6"/>
        <v>1676.18</v>
      </c>
      <c r="I1529" s="2">
        <f t="shared" si="7"/>
        <v>1676.18</v>
      </c>
      <c r="M1529" s="10">
        <f>IFERROR(__xludf.DUMMYFUNCTION("""COMPUTED_VALUE"""),40198.666666666664)</f>
        <v>40198.66667</v>
      </c>
      <c r="N1529" s="2">
        <f>IFERROR(__xludf.DUMMYFUNCTION("""COMPUTED_VALUE"""),2291.25)</f>
        <v>2291.25</v>
      </c>
    </row>
    <row r="1530">
      <c r="A1530" s="10">
        <f t="shared" si="8"/>
        <v>39512.66667</v>
      </c>
      <c r="B1530" s="2" t="str">
        <f t="shared" si="2"/>
        <v/>
      </c>
      <c r="C1530" s="2" t="str">
        <f t="shared" si="3"/>
        <v>SP500</v>
      </c>
      <c r="D1530" s="2">
        <f t="shared" si="4"/>
        <v>2272.81</v>
      </c>
      <c r="E1530" s="2">
        <f t="shared" si="5"/>
        <v>2272.81</v>
      </c>
      <c r="G1530" s="10">
        <f t="shared" si="9"/>
        <v>39512.64583</v>
      </c>
      <c r="H1530" s="6">
        <f t="shared" si="6"/>
        <v>1677.1</v>
      </c>
      <c r="I1530" s="2">
        <f t="shared" si="7"/>
        <v>1677.1</v>
      </c>
      <c r="M1530" s="10">
        <f>IFERROR(__xludf.DUMMYFUNCTION("""COMPUTED_VALUE"""),40199.666666666664)</f>
        <v>40199.66667</v>
      </c>
      <c r="N1530" s="2">
        <f>IFERROR(__xludf.DUMMYFUNCTION("""COMPUTED_VALUE"""),2265.7)</f>
        <v>2265.7</v>
      </c>
    </row>
    <row r="1531">
      <c r="A1531" s="10">
        <f t="shared" si="8"/>
        <v>39513.66667</v>
      </c>
      <c r="B1531" s="2" t="str">
        <f t="shared" si="2"/>
        <v/>
      </c>
      <c r="C1531" s="2" t="str">
        <f t="shared" si="3"/>
        <v>SP500</v>
      </c>
      <c r="D1531" s="2">
        <f t="shared" si="4"/>
        <v>2220.5</v>
      </c>
      <c r="E1531" s="2">
        <f t="shared" si="5"/>
        <v>2220.5</v>
      </c>
      <c r="G1531" s="10">
        <f t="shared" si="9"/>
        <v>39513.64583</v>
      </c>
      <c r="H1531" s="6">
        <f t="shared" si="6"/>
        <v>1697.44</v>
      </c>
      <c r="I1531" s="2">
        <f t="shared" si="7"/>
        <v>1697.44</v>
      </c>
      <c r="M1531" s="10">
        <f>IFERROR(__xludf.DUMMYFUNCTION("""COMPUTED_VALUE"""),40200.666666666664)</f>
        <v>40200.66667</v>
      </c>
      <c r="N1531" s="2">
        <f>IFERROR(__xludf.DUMMYFUNCTION("""COMPUTED_VALUE"""),2205.29)</f>
        <v>2205.29</v>
      </c>
    </row>
    <row r="1532">
      <c r="A1532" s="10">
        <f t="shared" si="8"/>
        <v>39514.66667</v>
      </c>
      <c r="B1532" s="2" t="str">
        <f t="shared" si="2"/>
        <v/>
      </c>
      <c r="C1532" s="2" t="str">
        <f t="shared" si="3"/>
        <v>SP500</v>
      </c>
      <c r="D1532" s="2">
        <f t="shared" si="4"/>
        <v>2212.49</v>
      </c>
      <c r="E1532" s="2">
        <f t="shared" si="5"/>
        <v>2212.49</v>
      </c>
      <c r="G1532" s="10">
        <f t="shared" si="9"/>
        <v>39514.64583</v>
      </c>
      <c r="H1532" s="6">
        <f t="shared" si="6"/>
        <v>1663.97</v>
      </c>
      <c r="I1532" s="2">
        <f t="shared" si="7"/>
        <v>1663.97</v>
      </c>
      <c r="M1532" s="10">
        <f>IFERROR(__xludf.DUMMYFUNCTION("""COMPUTED_VALUE"""),40203.666666666664)</f>
        <v>40203.66667</v>
      </c>
      <c r="N1532" s="2">
        <f>IFERROR(__xludf.DUMMYFUNCTION("""COMPUTED_VALUE"""),2210.8)</f>
        <v>2210.8</v>
      </c>
    </row>
    <row r="1533">
      <c r="A1533" s="10">
        <f t="shared" si="8"/>
        <v>39515.66667</v>
      </c>
      <c r="B1533" s="2" t="str">
        <f t="shared" si="2"/>
        <v/>
      </c>
      <c r="C1533" s="2" t="str">
        <f t="shared" si="3"/>
        <v>SP500</v>
      </c>
      <c r="D1533" s="2" t="str">
        <f t="shared" si="4"/>
        <v/>
      </c>
      <c r="E1533" s="2">
        <f t="shared" si="5"/>
        <v>2212.49</v>
      </c>
      <c r="G1533" s="10">
        <f t="shared" si="9"/>
        <v>39515.64583</v>
      </c>
      <c r="H1533" s="6" t="str">
        <f t="shared" si="6"/>
        <v/>
      </c>
      <c r="I1533" s="2">
        <f t="shared" si="7"/>
        <v>1663.97</v>
      </c>
      <c r="M1533" s="10">
        <f>IFERROR(__xludf.DUMMYFUNCTION("""COMPUTED_VALUE"""),40204.666666666664)</f>
        <v>40204.66667</v>
      </c>
      <c r="N1533" s="2">
        <f>IFERROR(__xludf.DUMMYFUNCTION("""COMPUTED_VALUE"""),2203.73)</f>
        <v>2203.73</v>
      </c>
    </row>
    <row r="1534">
      <c r="A1534" s="10">
        <f t="shared" si="8"/>
        <v>39516.66667</v>
      </c>
      <c r="B1534" s="2" t="str">
        <f t="shared" si="2"/>
        <v/>
      </c>
      <c r="C1534" s="2" t="str">
        <f t="shared" si="3"/>
        <v>SP500</v>
      </c>
      <c r="D1534" s="2" t="str">
        <f t="shared" si="4"/>
        <v/>
      </c>
      <c r="E1534" s="2">
        <f t="shared" si="5"/>
        <v>2212.49</v>
      </c>
      <c r="G1534" s="10">
        <f t="shared" si="9"/>
        <v>39516.64583</v>
      </c>
      <c r="H1534" s="6" t="str">
        <f t="shared" si="6"/>
        <v/>
      </c>
      <c r="I1534" s="2">
        <f t="shared" si="7"/>
        <v>1663.97</v>
      </c>
      <c r="M1534" s="10">
        <f>IFERROR(__xludf.DUMMYFUNCTION("""COMPUTED_VALUE"""),40205.666666666664)</f>
        <v>40205.66667</v>
      </c>
      <c r="N1534" s="2">
        <f>IFERROR(__xludf.DUMMYFUNCTION("""COMPUTED_VALUE"""),2221.41)</f>
        <v>2221.41</v>
      </c>
    </row>
    <row r="1535">
      <c r="A1535" s="10">
        <f t="shared" si="8"/>
        <v>39517.66667</v>
      </c>
      <c r="B1535" s="2" t="str">
        <f t="shared" si="2"/>
        <v/>
      </c>
      <c r="C1535" s="2" t="str">
        <f t="shared" si="3"/>
        <v>SP500</v>
      </c>
      <c r="D1535" s="2">
        <f t="shared" si="4"/>
        <v>2169.34</v>
      </c>
      <c r="E1535" s="2">
        <f t="shared" si="5"/>
        <v>2169.34</v>
      </c>
      <c r="G1535" s="10">
        <f t="shared" si="9"/>
        <v>39517.64583</v>
      </c>
      <c r="H1535" s="6">
        <f t="shared" si="6"/>
        <v>1625.17</v>
      </c>
      <c r="I1535" s="2">
        <f t="shared" si="7"/>
        <v>1625.17</v>
      </c>
      <c r="M1535" s="10">
        <f>IFERROR(__xludf.DUMMYFUNCTION("""COMPUTED_VALUE"""),40206.666666666664)</f>
        <v>40206.66667</v>
      </c>
      <c r="N1535" s="2">
        <f>IFERROR(__xludf.DUMMYFUNCTION("""COMPUTED_VALUE"""),2179.0)</f>
        <v>2179</v>
      </c>
    </row>
    <row r="1536">
      <c r="A1536" s="10">
        <f t="shared" si="8"/>
        <v>39518.66667</v>
      </c>
      <c r="B1536" s="2" t="str">
        <f t="shared" si="2"/>
        <v/>
      </c>
      <c r="C1536" s="2" t="str">
        <f t="shared" si="3"/>
        <v>SP500</v>
      </c>
      <c r="D1536" s="2">
        <f t="shared" si="4"/>
        <v>2255.76</v>
      </c>
      <c r="E1536" s="2">
        <f t="shared" si="5"/>
        <v>2255.76</v>
      </c>
      <c r="G1536" s="10">
        <f t="shared" si="9"/>
        <v>39518.64583</v>
      </c>
      <c r="H1536" s="6">
        <f t="shared" si="6"/>
        <v>1641.48</v>
      </c>
      <c r="I1536" s="2">
        <f t="shared" si="7"/>
        <v>1641.48</v>
      </c>
      <c r="M1536" s="10">
        <f>IFERROR(__xludf.DUMMYFUNCTION("""COMPUTED_VALUE"""),40207.666666666664)</f>
        <v>40207.66667</v>
      </c>
      <c r="N1536" s="2">
        <f>IFERROR(__xludf.DUMMYFUNCTION("""COMPUTED_VALUE"""),2147.35)</f>
        <v>2147.35</v>
      </c>
    </row>
    <row r="1537">
      <c r="A1537" s="10">
        <f t="shared" si="8"/>
        <v>39519.66667</v>
      </c>
      <c r="B1537" s="2" t="str">
        <f t="shared" si="2"/>
        <v/>
      </c>
      <c r="C1537" s="2" t="str">
        <f t="shared" si="3"/>
        <v>SP500</v>
      </c>
      <c r="D1537" s="2">
        <f t="shared" si="4"/>
        <v>2243.87</v>
      </c>
      <c r="E1537" s="2">
        <f t="shared" si="5"/>
        <v>2243.87</v>
      </c>
      <c r="G1537" s="10">
        <f t="shared" si="9"/>
        <v>39519.64583</v>
      </c>
      <c r="H1537" s="6">
        <f t="shared" si="6"/>
        <v>1658.83</v>
      </c>
      <c r="I1537" s="2">
        <f t="shared" si="7"/>
        <v>1658.83</v>
      </c>
      <c r="M1537" s="10">
        <f>IFERROR(__xludf.DUMMYFUNCTION("""COMPUTED_VALUE"""),40210.666666666664)</f>
        <v>40210.66667</v>
      </c>
      <c r="N1537" s="2">
        <f>IFERROR(__xludf.DUMMYFUNCTION("""COMPUTED_VALUE"""),2171.2)</f>
        <v>2171.2</v>
      </c>
    </row>
    <row r="1538">
      <c r="A1538" s="10">
        <f t="shared" si="8"/>
        <v>39520.66667</v>
      </c>
      <c r="B1538" s="2" t="str">
        <f t="shared" si="2"/>
        <v/>
      </c>
      <c r="C1538" s="2" t="str">
        <f t="shared" si="3"/>
        <v>SP500</v>
      </c>
      <c r="D1538" s="2">
        <f t="shared" si="4"/>
        <v>2263.61</v>
      </c>
      <c r="E1538" s="2">
        <f t="shared" si="5"/>
        <v>2263.61</v>
      </c>
      <c r="G1538" s="10">
        <f t="shared" si="9"/>
        <v>39520.64583</v>
      </c>
      <c r="H1538" s="6">
        <f t="shared" si="6"/>
        <v>1615.62</v>
      </c>
      <c r="I1538" s="2">
        <f t="shared" si="7"/>
        <v>1615.62</v>
      </c>
      <c r="M1538" s="10">
        <f>IFERROR(__xludf.DUMMYFUNCTION("""COMPUTED_VALUE"""),40211.666666666664)</f>
        <v>40211.66667</v>
      </c>
      <c r="N1538" s="2">
        <f>IFERROR(__xludf.DUMMYFUNCTION("""COMPUTED_VALUE"""),2190.06)</f>
        <v>2190.06</v>
      </c>
    </row>
    <row r="1539">
      <c r="A1539" s="10">
        <f t="shared" si="8"/>
        <v>39521.66667</v>
      </c>
      <c r="B1539" s="2" t="str">
        <f t="shared" si="2"/>
        <v/>
      </c>
      <c r="C1539" s="2" t="str">
        <f t="shared" si="3"/>
        <v>SP500</v>
      </c>
      <c r="D1539" s="2">
        <f t="shared" si="4"/>
        <v>2212.49</v>
      </c>
      <c r="E1539" s="2">
        <f t="shared" si="5"/>
        <v>2212.49</v>
      </c>
      <c r="G1539" s="10">
        <f t="shared" si="9"/>
        <v>39521.64583</v>
      </c>
      <c r="H1539" s="6">
        <f t="shared" si="6"/>
        <v>1600.26</v>
      </c>
      <c r="I1539" s="2">
        <f t="shared" si="7"/>
        <v>1600.26</v>
      </c>
      <c r="M1539" s="10">
        <f>IFERROR(__xludf.DUMMYFUNCTION("""COMPUTED_VALUE"""),40212.666666666664)</f>
        <v>40212.66667</v>
      </c>
      <c r="N1539" s="2">
        <f>IFERROR(__xludf.DUMMYFUNCTION("""COMPUTED_VALUE"""),2190.91)</f>
        <v>2190.91</v>
      </c>
    </row>
    <row r="1540">
      <c r="A1540" s="10">
        <f t="shared" si="8"/>
        <v>39522.66667</v>
      </c>
      <c r="B1540" s="2" t="str">
        <f t="shared" si="2"/>
        <v/>
      </c>
      <c r="C1540" s="2" t="str">
        <f t="shared" si="3"/>
        <v>SP500</v>
      </c>
      <c r="D1540" s="2" t="str">
        <f t="shared" si="4"/>
        <v/>
      </c>
      <c r="E1540" s="2">
        <f t="shared" si="5"/>
        <v>2212.49</v>
      </c>
      <c r="G1540" s="10">
        <f t="shared" si="9"/>
        <v>39522.64583</v>
      </c>
      <c r="H1540" s="6" t="str">
        <f t="shared" si="6"/>
        <v/>
      </c>
      <c r="I1540" s="2">
        <f t="shared" si="7"/>
        <v>1600.26</v>
      </c>
      <c r="M1540" s="10">
        <f>IFERROR(__xludf.DUMMYFUNCTION("""COMPUTED_VALUE"""),40213.666666666664)</f>
        <v>40213.66667</v>
      </c>
      <c r="N1540" s="2">
        <f>IFERROR(__xludf.DUMMYFUNCTION("""COMPUTED_VALUE"""),2125.43)</f>
        <v>2125.43</v>
      </c>
    </row>
    <row r="1541">
      <c r="A1541" s="10">
        <f t="shared" si="8"/>
        <v>39523.66667</v>
      </c>
      <c r="B1541" s="2" t="str">
        <f t="shared" si="2"/>
        <v/>
      </c>
      <c r="C1541" s="2" t="str">
        <f t="shared" si="3"/>
        <v>SP500</v>
      </c>
      <c r="D1541" s="2" t="str">
        <f t="shared" si="4"/>
        <v/>
      </c>
      <c r="E1541" s="2">
        <f t="shared" si="5"/>
        <v>2212.49</v>
      </c>
      <c r="G1541" s="10">
        <f t="shared" si="9"/>
        <v>39523.64583</v>
      </c>
      <c r="H1541" s="6" t="str">
        <f t="shared" si="6"/>
        <v/>
      </c>
      <c r="I1541" s="2">
        <f t="shared" si="7"/>
        <v>1600.26</v>
      </c>
      <c r="M1541" s="10">
        <f>IFERROR(__xludf.DUMMYFUNCTION("""COMPUTED_VALUE"""),40214.666666666664)</f>
        <v>40214.66667</v>
      </c>
      <c r="N1541" s="2">
        <f>IFERROR(__xludf.DUMMYFUNCTION("""COMPUTED_VALUE"""),2141.12)</f>
        <v>2141.12</v>
      </c>
    </row>
    <row r="1542">
      <c r="A1542" s="10">
        <f t="shared" si="8"/>
        <v>39524.66667</v>
      </c>
      <c r="B1542" s="2" t="str">
        <f t="shared" si="2"/>
        <v/>
      </c>
      <c r="C1542" s="2" t="str">
        <f t="shared" si="3"/>
        <v>SP500</v>
      </c>
      <c r="D1542" s="2">
        <f t="shared" si="4"/>
        <v>2177.01</v>
      </c>
      <c r="E1542" s="2">
        <f t="shared" si="5"/>
        <v>2177.01</v>
      </c>
      <c r="G1542" s="10">
        <f t="shared" si="9"/>
        <v>39524.64583</v>
      </c>
      <c r="H1542" s="6">
        <f t="shared" si="6"/>
        <v>1574.44</v>
      </c>
      <c r="I1542" s="2">
        <f t="shared" si="7"/>
        <v>1574.44</v>
      </c>
      <c r="M1542" s="10">
        <f>IFERROR(__xludf.DUMMYFUNCTION("""COMPUTED_VALUE"""),40217.666666666664)</f>
        <v>40217.66667</v>
      </c>
      <c r="N1542" s="2">
        <f>IFERROR(__xludf.DUMMYFUNCTION("""COMPUTED_VALUE"""),2126.05)</f>
        <v>2126.05</v>
      </c>
    </row>
    <row r="1543">
      <c r="A1543" s="10">
        <f t="shared" si="8"/>
        <v>39525.66667</v>
      </c>
      <c r="B1543" s="2" t="str">
        <f t="shared" si="2"/>
        <v/>
      </c>
      <c r="C1543" s="2" t="str">
        <f t="shared" si="3"/>
        <v>SP500</v>
      </c>
      <c r="D1543" s="2">
        <f t="shared" si="4"/>
        <v>2268.26</v>
      </c>
      <c r="E1543" s="2">
        <f t="shared" si="5"/>
        <v>2268.26</v>
      </c>
      <c r="G1543" s="10">
        <f t="shared" si="9"/>
        <v>39525.64583</v>
      </c>
      <c r="H1543" s="6">
        <f t="shared" si="6"/>
        <v>1588.75</v>
      </c>
      <c r="I1543" s="2">
        <f t="shared" si="7"/>
        <v>1588.75</v>
      </c>
      <c r="M1543" s="10">
        <f>IFERROR(__xludf.DUMMYFUNCTION("""COMPUTED_VALUE"""),40218.666666666664)</f>
        <v>40218.66667</v>
      </c>
      <c r="N1543" s="2">
        <f>IFERROR(__xludf.DUMMYFUNCTION("""COMPUTED_VALUE"""),2150.87)</f>
        <v>2150.87</v>
      </c>
    </row>
    <row r="1544">
      <c r="A1544" s="10">
        <f t="shared" si="8"/>
        <v>39526.66667</v>
      </c>
      <c r="B1544" s="2" t="str">
        <f t="shared" si="2"/>
        <v/>
      </c>
      <c r="C1544" s="2" t="str">
        <f t="shared" si="3"/>
        <v>SP500</v>
      </c>
      <c r="D1544" s="2">
        <f t="shared" si="4"/>
        <v>2209.96</v>
      </c>
      <c r="E1544" s="2">
        <f t="shared" si="5"/>
        <v>2209.96</v>
      </c>
      <c r="G1544" s="10">
        <f t="shared" si="9"/>
        <v>39526.64583</v>
      </c>
      <c r="H1544" s="6">
        <f t="shared" si="6"/>
        <v>1622.23</v>
      </c>
      <c r="I1544" s="2">
        <f t="shared" si="7"/>
        <v>1622.23</v>
      </c>
      <c r="M1544" s="10">
        <f>IFERROR(__xludf.DUMMYFUNCTION("""COMPUTED_VALUE"""),40219.666666666664)</f>
        <v>40219.66667</v>
      </c>
      <c r="N1544" s="2">
        <f>IFERROR(__xludf.DUMMYFUNCTION("""COMPUTED_VALUE"""),2147.87)</f>
        <v>2147.87</v>
      </c>
    </row>
    <row r="1545">
      <c r="A1545" s="10">
        <f t="shared" si="8"/>
        <v>39527.66667</v>
      </c>
      <c r="B1545" s="2" t="str">
        <f t="shared" si="2"/>
        <v/>
      </c>
      <c r="C1545" s="2" t="str">
        <f t="shared" si="3"/>
        <v>SP500</v>
      </c>
      <c r="D1545" s="2">
        <f t="shared" si="4"/>
        <v>2258.11</v>
      </c>
      <c r="E1545" s="2">
        <f t="shared" si="5"/>
        <v>2258.11</v>
      </c>
      <c r="G1545" s="10">
        <f t="shared" si="9"/>
        <v>39527.64583</v>
      </c>
      <c r="H1545" s="6">
        <f t="shared" si="6"/>
        <v>1623.39</v>
      </c>
      <c r="I1545" s="2">
        <f t="shared" si="7"/>
        <v>1623.39</v>
      </c>
      <c r="M1545" s="10">
        <f>IFERROR(__xludf.DUMMYFUNCTION("""COMPUTED_VALUE"""),40220.666666666664)</f>
        <v>40220.66667</v>
      </c>
      <c r="N1545" s="2">
        <f>IFERROR(__xludf.DUMMYFUNCTION("""COMPUTED_VALUE"""),2177.41)</f>
        <v>2177.41</v>
      </c>
    </row>
    <row r="1546">
      <c r="A1546" s="10">
        <f t="shared" si="8"/>
        <v>39528.66667</v>
      </c>
      <c r="B1546" s="2" t="str">
        <f t="shared" si="2"/>
        <v/>
      </c>
      <c r="C1546" s="2" t="str">
        <f t="shared" si="3"/>
        <v>SP500</v>
      </c>
      <c r="D1546" s="2" t="str">
        <f t="shared" si="4"/>
        <v/>
      </c>
      <c r="E1546" s="2">
        <f t="shared" si="5"/>
        <v>2258.11</v>
      </c>
      <c r="G1546" s="10">
        <f t="shared" si="9"/>
        <v>39528.64583</v>
      </c>
      <c r="H1546" s="6">
        <f t="shared" si="6"/>
        <v>1645.69</v>
      </c>
      <c r="I1546" s="2">
        <f t="shared" si="7"/>
        <v>1645.69</v>
      </c>
      <c r="M1546" s="10">
        <f>IFERROR(__xludf.DUMMYFUNCTION("""COMPUTED_VALUE"""),40221.666666666664)</f>
        <v>40221.66667</v>
      </c>
      <c r="N1546" s="2">
        <f>IFERROR(__xludf.DUMMYFUNCTION("""COMPUTED_VALUE"""),2183.53)</f>
        <v>2183.53</v>
      </c>
    </row>
    <row r="1547">
      <c r="A1547" s="10">
        <f t="shared" si="8"/>
        <v>39529.66667</v>
      </c>
      <c r="B1547" s="2" t="str">
        <f t="shared" si="2"/>
        <v/>
      </c>
      <c r="C1547" s="2" t="str">
        <f t="shared" si="3"/>
        <v>SP500</v>
      </c>
      <c r="D1547" s="2" t="str">
        <f t="shared" si="4"/>
        <v/>
      </c>
      <c r="E1547" s="2">
        <f t="shared" si="5"/>
        <v>2258.11</v>
      </c>
      <c r="G1547" s="10">
        <f t="shared" si="9"/>
        <v>39529.64583</v>
      </c>
      <c r="H1547" s="6" t="str">
        <f t="shared" si="6"/>
        <v/>
      </c>
      <c r="I1547" s="2">
        <f t="shared" si="7"/>
        <v>1645.69</v>
      </c>
      <c r="M1547" s="10">
        <f>IFERROR(__xludf.DUMMYFUNCTION("""COMPUTED_VALUE"""),40225.666666666664)</f>
        <v>40225.66667</v>
      </c>
      <c r="N1547" s="2">
        <f>IFERROR(__xludf.DUMMYFUNCTION("""COMPUTED_VALUE"""),2214.19)</f>
        <v>2214.19</v>
      </c>
    </row>
    <row r="1548">
      <c r="A1548" s="10">
        <f t="shared" si="8"/>
        <v>39530.66667</v>
      </c>
      <c r="B1548" s="2" t="str">
        <f t="shared" si="2"/>
        <v/>
      </c>
      <c r="C1548" s="2" t="str">
        <f t="shared" si="3"/>
        <v>SP500</v>
      </c>
      <c r="D1548" s="2" t="str">
        <f t="shared" si="4"/>
        <v/>
      </c>
      <c r="E1548" s="2">
        <f t="shared" si="5"/>
        <v>2258.11</v>
      </c>
      <c r="G1548" s="10">
        <f t="shared" si="9"/>
        <v>39530.64583</v>
      </c>
      <c r="H1548" s="6" t="str">
        <f t="shared" si="6"/>
        <v/>
      </c>
      <c r="I1548" s="2">
        <f t="shared" si="7"/>
        <v>1645.69</v>
      </c>
      <c r="M1548" s="10">
        <f>IFERROR(__xludf.DUMMYFUNCTION("""COMPUTED_VALUE"""),40226.666666666664)</f>
        <v>40226.66667</v>
      </c>
      <c r="N1548" s="2">
        <f>IFERROR(__xludf.DUMMYFUNCTION("""COMPUTED_VALUE"""),2226.29)</f>
        <v>2226.29</v>
      </c>
    </row>
    <row r="1549">
      <c r="A1549" s="10">
        <f t="shared" si="8"/>
        <v>39531.66667</v>
      </c>
      <c r="B1549" s="2" t="str">
        <f t="shared" si="2"/>
        <v/>
      </c>
      <c r="C1549" s="2" t="str">
        <f t="shared" si="3"/>
        <v>SP500</v>
      </c>
      <c r="D1549" s="2">
        <f t="shared" si="4"/>
        <v>2326.75</v>
      </c>
      <c r="E1549" s="2">
        <f t="shared" si="5"/>
        <v>2326.75</v>
      </c>
      <c r="G1549" s="10">
        <f t="shared" si="9"/>
        <v>39531.64583</v>
      </c>
      <c r="H1549" s="6">
        <f t="shared" si="6"/>
        <v>1655.3</v>
      </c>
      <c r="I1549" s="2">
        <f t="shared" si="7"/>
        <v>1655.3</v>
      </c>
      <c r="M1549" s="10">
        <f>IFERROR(__xludf.DUMMYFUNCTION("""COMPUTED_VALUE"""),40227.666666666664)</f>
        <v>40227.66667</v>
      </c>
      <c r="N1549" s="2">
        <f>IFERROR(__xludf.DUMMYFUNCTION("""COMPUTED_VALUE"""),2241.71)</f>
        <v>2241.71</v>
      </c>
    </row>
    <row r="1550">
      <c r="A1550" s="10">
        <f t="shared" si="8"/>
        <v>39532.66667</v>
      </c>
      <c r="B1550" s="2" t="str">
        <f t="shared" si="2"/>
        <v/>
      </c>
      <c r="C1550" s="2" t="str">
        <f t="shared" si="3"/>
        <v>SP500</v>
      </c>
      <c r="D1550" s="2">
        <f t="shared" si="4"/>
        <v>2341.05</v>
      </c>
      <c r="E1550" s="2">
        <f t="shared" si="5"/>
        <v>2341.05</v>
      </c>
      <c r="G1550" s="10">
        <f t="shared" si="9"/>
        <v>39532.64583</v>
      </c>
      <c r="H1550" s="6">
        <f t="shared" si="6"/>
        <v>1674.93</v>
      </c>
      <c r="I1550" s="2">
        <f t="shared" si="7"/>
        <v>1674.93</v>
      </c>
      <c r="M1550" s="10">
        <f>IFERROR(__xludf.DUMMYFUNCTION("""COMPUTED_VALUE"""),40228.666666666664)</f>
        <v>40228.66667</v>
      </c>
      <c r="N1550" s="2">
        <f>IFERROR(__xludf.DUMMYFUNCTION("""COMPUTED_VALUE"""),2243.87)</f>
        <v>2243.87</v>
      </c>
    </row>
    <row r="1551">
      <c r="A1551" s="10">
        <f t="shared" si="8"/>
        <v>39533.66667</v>
      </c>
      <c r="B1551" s="2" t="str">
        <f t="shared" si="2"/>
        <v/>
      </c>
      <c r="C1551" s="2" t="str">
        <f t="shared" si="3"/>
        <v>SP500</v>
      </c>
      <c r="D1551" s="2">
        <f t="shared" si="4"/>
        <v>2324.36</v>
      </c>
      <c r="E1551" s="2">
        <f t="shared" si="5"/>
        <v>2324.36</v>
      </c>
      <c r="G1551" s="10">
        <f t="shared" si="9"/>
        <v>39533.64583</v>
      </c>
      <c r="H1551" s="6">
        <f t="shared" si="6"/>
        <v>1679.67</v>
      </c>
      <c r="I1551" s="2">
        <f t="shared" si="7"/>
        <v>1679.67</v>
      </c>
      <c r="M1551" s="10">
        <f>IFERROR(__xludf.DUMMYFUNCTION("""COMPUTED_VALUE"""),40231.666666666664)</f>
        <v>40231.66667</v>
      </c>
      <c r="N1551" s="2">
        <f>IFERROR(__xludf.DUMMYFUNCTION("""COMPUTED_VALUE"""),2242.03)</f>
        <v>2242.03</v>
      </c>
    </row>
    <row r="1552">
      <c r="A1552" s="10">
        <f t="shared" si="8"/>
        <v>39534.66667</v>
      </c>
      <c r="B1552" s="2" t="str">
        <f t="shared" si="2"/>
        <v/>
      </c>
      <c r="C1552" s="2" t="str">
        <f t="shared" si="3"/>
        <v>SP500</v>
      </c>
      <c r="D1552" s="2">
        <f t="shared" si="4"/>
        <v>2280.83</v>
      </c>
      <c r="E1552" s="2">
        <f t="shared" si="5"/>
        <v>2280.83</v>
      </c>
      <c r="G1552" s="10">
        <f t="shared" si="9"/>
        <v>39534.64583</v>
      </c>
      <c r="H1552" s="6">
        <f t="shared" si="6"/>
        <v>1676.24</v>
      </c>
      <c r="I1552" s="2">
        <f t="shared" si="7"/>
        <v>1676.24</v>
      </c>
      <c r="M1552" s="10">
        <f>IFERROR(__xludf.DUMMYFUNCTION("""COMPUTED_VALUE"""),40232.666666666664)</f>
        <v>40232.66667</v>
      </c>
      <c r="N1552" s="2">
        <f>IFERROR(__xludf.DUMMYFUNCTION("""COMPUTED_VALUE"""),2213.44)</f>
        <v>2213.44</v>
      </c>
    </row>
    <row r="1553">
      <c r="A1553" s="10">
        <f t="shared" si="8"/>
        <v>39535.66667</v>
      </c>
      <c r="B1553" s="2" t="str">
        <f t="shared" si="2"/>
        <v/>
      </c>
      <c r="C1553" s="2" t="str">
        <f t="shared" si="3"/>
        <v>SP500</v>
      </c>
      <c r="D1553" s="2">
        <f t="shared" si="4"/>
        <v>2261.18</v>
      </c>
      <c r="E1553" s="2">
        <f t="shared" si="5"/>
        <v>2261.18</v>
      </c>
      <c r="G1553" s="10">
        <f t="shared" si="9"/>
        <v>39535.64583</v>
      </c>
      <c r="H1553" s="6">
        <f t="shared" si="6"/>
        <v>1701.83</v>
      </c>
      <c r="I1553" s="2">
        <f t="shared" si="7"/>
        <v>1701.83</v>
      </c>
      <c r="M1553" s="10">
        <f>IFERROR(__xludf.DUMMYFUNCTION("""COMPUTED_VALUE"""),40233.666666666664)</f>
        <v>40233.66667</v>
      </c>
      <c r="N1553" s="2">
        <f>IFERROR(__xludf.DUMMYFUNCTION("""COMPUTED_VALUE"""),2235.9)</f>
        <v>2235.9</v>
      </c>
    </row>
    <row r="1554">
      <c r="A1554" s="10">
        <f t="shared" si="8"/>
        <v>39536.66667</v>
      </c>
      <c r="B1554" s="2" t="str">
        <f t="shared" si="2"/>
        <v/>
      </c>
      <c r="C1554" s="2" t="str">
        <f t="shared" si="3"/>
        <v>SP500</v>
      </c>
      <c r="D1554" s="2" t="str">
        <f t="shared" si="4"/>
        <v/>
      </c>
      <c r="E1554" s="2">
        <f t="shared" si="5"/>
        <v>2261.18</v>
      </c>
      <c r="G1554" s="10">
        <f t="shared" si="9"/>
        <v>39536.64583</v>
      </c>
      <c r="H1554" s="6" t="str">
        <f t="shared" si="6"/>
        <v/>
      </c>
      <c r="I1554" s="2">
        <f t="shared" si="7"/>
        <v>1701.83</v>
      </c>
      <c r="M1554" s="10">
        <f>IFERROR(__xludf.DUMMYFUNCTION("""COMPUTED_VALUE"""),40234.666666666664)</f>
        <v>40234.66667</v>
      </c>
      <c r="N1554" s="2">
        <f>IFERROR(__xludf.DUMMYFUNCTION("""COMPUTED_VALUE"""),2234.22)</f>
        <v>2234.22</v>
      </c>
    </row>
    <row r="1555">
      <c r="A1555" s="10">
        <f t="shared" si="8"/>
        <v>39537.66667</v>
      </c>
      <c r="B1555" s="2" t="str">
        <f t="shared" si="2"/>
        <v/>
      </c>
      <c r="C1555" s="2" t="str">
        <f t="shared" si="3"/>
        <v>SP500</v>
      </c>
      <c r="D1555" s="2" t="str">
        <f t="shared" si="4"/>
        <v/>
      </c>
      <c r="E1555" s="2">
        <f t="shared" si="5"/>
        <v>2261.18</v>
      </c>
      <c r="G1555" s="10">
        <f t="shared" si="9"/>
        <v>39537.64583</v>
      </c>
      <c r="H1555" s="6" t="str">
        <f t="shared" si="6"/>
        <v/>
      </c>
      <c r="I1555" s="2">
        <f t="shared" si="7"/>
        <v>1701.83</v>
      </c>
      <c r="M1555" s="10">
        <f>IFERROR(__xludf.DUMMYFUNCTION("""COMPUTED_VALUE"""),40235.666666666664)</f>
        <v>40235.66667</v>
      </c>
      <c r="N1555" s="2">
        <f>IFERROR(__xludf.DUMMYFUNCTION("""COMPUTED_VALUE"""),2238.26)</f>
        <v>2238.26</v>
      </c>
    </row>
    <row r="1556">
      <c r="A1556" s="10">
        <f t="shared" si="8"/>
        <v>39538.66667</v>
      </c>
      <c r="B1556" s="2" t="str">
        <f t="shared" si="2"/>
        <v/>
      </c>
      <c r="C1556" s="2" t="str">
        <f t="shared" si="3"/>
        <v>SP500</v>
      </c>
      <c r="D1556" s="2">
        <f t="shared" si="4"/>
        <v>2279.1</v>
      </c>
      <c r="E1556" s="2">
        <f t="shared" si="5"/>
        <v>2279.1</v>
      </c>
      <c r="G1556" s="10">
        <f t="shared" si="9"/>
        <v>39538.64583</v>
      </c>
      <c r="H1556" s="6">
        <f t="shared" si="6"/>
        <v>1703.99</v>
      </c>
      <c r="I1556" s="2">
        <f t="shared" si="7"/>
        <v>1703.99</v>
      </c>
      <c r="M1556" s="10">
        <f>IFERROR(__xludf.DUMMYFUNCTION("""COMPUTED_VALUE"""),40238.666666666664)</f>
        <v>40238.66667</v>
      </c>
      <c r="N1556" s="2">
        <f>IFERROR(__xludf.DUMMYFUNCTION("""COMPUTED_VALUE"""),2273.57)</f>
        <v>2273.57</v>
      </c>
    </row>
    <row r="1557">
      <c r="A1557" s="10">
        <f t="shared" si="8"/>
        <v>39539.66667</v>
      </c>
      <c r="B1557" s="2" t="str">
        <f t="shared" si="2"/>
        <v/>
      </c>
      <c r="C1557" s="2" t="str">
        <f t="shared" si="3"/>
        <v>SP500</v>
      </c>
      <c r="D1557" s="2">
        <f t="shared" si="4"/>
        <v>2362.75</v>
      </c>
      <c r="E1557" s="2">
        <f t="shared" si="5"/>
        <v>2362.75</v>
      </c>
      <c r="G1557" s="10">
        <f t="shared" si="9"/>
        <v>39539.64583</v>
      </c>
      <c r="H1557" s="6">
        <f t="shared" si="6"/>
        <v>1702.25</v>
      </c>
      <c r="I1557" s="2">
        <f t="shared" si="7"/>
        <v>1702.25</v>
      </c>
      <c r="M1557" s="10">
        <f>IFERROR(__xludf.DUMMYFUNCTION("""COMPUTED_VALUE"""),40239.666666666664)</f>
        <v>40239.66667</v>
      </c>
      <c r="N1557" s="2">
        <f>IFERROR(__xludf.DUMMYFUNCTION("""COMPUTED_VALUE"""),2280.79)</f>
        <v>2280.79</v>
      </c>
    </row>
    <row r="1558">
      <c r="A1558" s="10">
        <f t="shared" si="8"/>
        <v>39540.66667</v>
      </c>
      <c r="B1558" s="2" t="str">
        <f t="shared" si="2"/>
        <v/>
      </c>
      <c r="C1558" s="2" t="str">
        <f t="shared" si="3"/>
        <v>SP500</v>
      </c>
      <c r="D1558" s="2">
        <f t="shared" si="4"/>
        <v>2361.4</v>
      </c>
      <c r="E1558" s="2">
        <f t="shared" si="5"/>
        <v>2361.4</v>
      </c>
      <c r="G1558" s="10">
        <f t="shared" si="9"/>
        <v>39540.64583</v>
      </c>
      <c r="H1558" s="6">
        <f t="shared" si="6"/>
        <v>1742.19</v>
      </c>
      <c r="I1558" s="2">
        <f t="shared" si="7"/>
        <v>1742.19</v>
      </c>
      <c r="M1558" s="10">
        <f>IFERROR(__xludf.DUMMYFUNCTION("""COMPUTED_VALUE"""),40240.666666666664)</f>
        <v>40240.66667</v>
      </c>
      <c r="N1558" s="2">
        <f>IFERROR(__xludf.DUMMYFUNCTION("""COMPUTED_VALUE"""),2280.68)</f>
        <v>2280.68</v>
      </c>
    </row>
    <row r="1559">
      <c r="A1559" s="10">
        <f t="shared" si="8"/>
        <v>39541.66667</v>
      </c>
      <c r="B1559" s="2" t="str">
        <f t="shared" si="2"/>
        <v/>
      </c>
      <c r="C1559" s="2" t="str">
        <f t="shared" si="3"/>
        <v>SP500</v>
      </c>
      <c r="D1559" s="2">
        <f t="shared" si="4"/>
        <v>2363.3</v>
      </c>
      <c r="E1559" s="2">
        <f t="shared" si="5"/>
        <v>2363.3</v>
      </c>
      <c r="G1559" s="10">
        <f t="shared" si="9"/>
        <v>39541.64583</v>
      </c>
      <c r="H1559" s="6">
        <f t="shared" si="6"/>
        <v>1763.63</v>
      </c>
      <c r="I1559" s="2">
        <f t="shared" si="7"/>
        <v>1763.63</v>
      </c>
      <c r="M1559" s="10">
        <f>IFERROR(__xludf.DUMMYFUNCTION("""COMPUTED_VALUE"""),40241.666666666664)</f>
        <v>40241.66667</v>
      </c>
      <c r="N1559" s="2">
        <f>IFERROR(__xludf.DUMMYFUNCTION("""COMPUTED_VALUE"""),2292.31)</f>
        <v>2292.31</v>
      </c>
    </row>
    <row r="1560">
      <c r="A1560" s="10">
        <f t="shared" si="8"/>
        <v>39542.66667</v>
      </c>
      <c r="B1560" s="2" t="str">
        <f t="shared" si="2"/>
        <v/>
      </c>
      <c r="C1560" s="2" t="str">
        <f t="shared" si="3"/>
        <v>SP500</v>
      </c>
      <c r="D1560" s="2">
        <f t="shared" si="4"/>
        <v>2370.98</v>
      </c>
      <c r="E1560" s="2">
        <f t="shared" si="5"/>
        <v>2370.98</v>
      </c>
      <c r="G1560" s="10">
        <f t="shared" si="9"/>
        <v>39542.64583</v>
      </c>
      <c r="H1560" s="6">
        <f t="shared" si="6"/>
        <v>1766.49</v>
      </c>
      <c r="I1560" s="2">
        <f t="shared" si="7"/>
        <v>1766.49</v>
      </c>
      <c r="M1560" s="10">
        <f>IFERROR(__xludf.DUMMYFUNCTION("""COMPUTED_VALUE"""),40242.666666666664)</f>
        <v>40242.66667</v>
      </c>
      <c r="N1560" s="2">
        <f>IFERROR(__xludf.DUMMYFUNCTION("""COMPUTED_VALUE"""),2326.35)</f>
        <v>2326.35</v>
      </c>
    </row>
    <row r="1561">
      <c r="A1561" s="10">
        <f t="shared" si="8"/>
        <v>39543.66667</v>
      </c>
      <c r="B1561" s="2" t="str">
        <f t="shared" si="2"/>
        <v/>
      </c>
      <c r="C1561" s="2" t="str">
        <f t="shared" si="3"/>
        <v>SP500</v>
      </c>
      <c r="D1561" s="2" t="str">
        <f t="shared" si="4"/>
        <v/>
      </c>
      <c r="E1561" s="2">
        <f t="shared" si="5"/>
        <v>2370.98</v>
      </c>
      <c r="G1561" s="10">
        <f t="shared" si="9"/>
        <v>39543.64583</v>
      </c>
      <c r="H1561" s="6" t="str">
        <f t="shared" si="6"/>
        <v/>
      </c>
      <c r="I1561" s="2">
        <f t="shared" si="7"/>
        <v>1766.49</v>
      </c>
      <c r="M1561" s="10">
        <f>IFERROR(__xludf.DUMMYFUNCTION("""COMPUTED_VALUE"""),40245.666666666664)</f>
        <v>40245.66667</v>
      </c>
      <c r="N1561" s="2">
        <f>IFERROR(__xludf.DUMMYFUNCTION("""COMPUTED_VALUE"""),2332.21)</f>
        <v>2332.21</v>
      </c>
    </row>
    <row r="1562">
      <c r="A1562" s="10">
        <f t="shared" si="8"/>
        <v>39544.66667</v>
      </c>
      <c r="B1562" s="2" t="str">
        <f t="shared" si="2"/>
        <v/>
      </c>
      <c r="C1562" s="2" t="str">
        <f t="shared" si="3"/>
        <v>SP500</v>
      </c>
      <c r="D1562" s="2" t="str">
        <f t="shared" si="4"/>
        <v/>
      </c>
      <c r="E1562" s="2">
        <f t="shared" si="5"/>
        <v>2370.98</v>
      </c>
      <c r="G1562" s="10">
        <f t="shared" si="9"/>
        <v>39544.64583</v>
      </c>
      <c r="H1562" s="6" t="str">
        <f t="shared" si="6"/>
        <v/>
      </c>
      <c r="I1562" s="2">
        <f t="shared" si="7"/>
        <v>1766.49</v>
      </c>
      <c r="M1562" s="10">
        <f>IFERROR(__xludf.DUMMYFUNCTION("""COMPUTED_VALUE"""),40246.666666666664)</f>
        <v>40246.66667</v>
      </c>
      <c r="N1562" s="2">
        <f>IFERROR(__xludf.DUMMYFUNCTION("""COMPUTED_VALUE"""),2340.68)</f>
        <v>2340.68</v>
      </c>
    </row>
    <row r="1563">
      <c r="A1563" s="10">
        <f t="shared" si="8"/>
        <v>39545.66667</v>
      </c>
      <c r="B1563" s="2" t="str">
        <f t="shared" si="2"/>
        <v/>
      </c>
      <c r="C1563" s="2" t="str">
        <f t="shared" si="3"/>
        <v>SP500</v>
      </c>
      <c r="D1563" s="2">
        <f t="shared" si="4"/>
        <v>2364.83</v>
      </c>
      <c r="E1563" s="2">
        <f t="shared" si="5"/>
        <v>2364.83</v>
      </c>
      <c r="G1563" s="10">
        <f t="shared" si="9"/>
        <v>39545.64583</v>
      </c>
      <c r="H1563" s="6">
        <f t="shared" si="6"/>
        <v>1773.56</v>
      </c>
      <c r="I1563" s="2">
        <f t="shared" si="7"/>
        <v>1773.56</v>
      </c>
      <c r="M1563" s="10">
        <f>IFERROR(__xludf.DUMMYFUNCTION("""COMPUTED_VALUE"""),40247.666666666664)</f>
        <v>40247.66667</v>
      </c>
      <c r="N1563" s="2">
        <f>IFERROR(__xludf.DUMMYFUNCTION("""COMPUTED_VALUE"""),2358.95)</f>
        <v>2358.95</v>
      </c>
    </row>
    <row r="1564">
      <c r="A1564" s="10">
        <f t="shared" si="8"/>
        <v>39546.66667</v>
      </c>
      <c r="B1564" s="2" t="str">
        <f t="shared" si="2"/>
        <v/>
      </c>
      <c r="C1564" s="2" t="str">
        <f t="shared" si="3"/>
        <v>SP500</v>
      </c>
      <c r="D1564" s="2">
        <f t="shared" si="4"/>
        <v>2348.76</v>
      </c>
      <c r="E1564" s="2">
        <f t="shared" si="5"/>
        <v>2348.76</v>
      </c>
      <c r="G1564" s="10">
        <f t="shared" si="9"/>
        <v>39546.64583</v>
      </c>
      <c r="H1564" s="6">
        <f t="shared" si="6"/>
        <v>1754.71</v>
      </c>
      <c r="I1564" s="2">
        <f t="shared" si="7"/>
        <v>1754.71</v>
      </c>
      <c r="M1564" s="10">
        <f>IFERROR(__xludf.DUMMYFUNCTION("""COMPUTED_VALUE"""),40248.666666666664)</f>
        <v>40248.66667</v>
      </c>
      <c r="N1564" s="2">
        <f>IFERROR(__xludf.DUMMYFUNCTION("""COMPUTED_VALUE"""),2368.46)</f>
        <v>2368.46</v>
      </c>
    </row>
    <row r="1565">
      <c r="A1565" s="10">
        <f t="shared" si="8"/>
        <v>39547.66667</v>
      </c>
      <c r="B1565" s="2" t="str">
        <f t="shared" si="2"/>
        <v/>
      </c>
      <c r="C1565" s="2" t="str">
        <f t="shared" si="3"/>
        <v>SP500</v>
      </c>
      <c r="D1565" s="2">
        <f t="shared" si="4"/>
        <v>2322.12</v>
      </c>
      <c r="E1565" s="2">
        <f t="shared" si="5"/>
        <v>2322.12</v>
      </c>
      <c r="G1565" s="10">
        <f t="shared" si="9"/>
        <v>39547.64583</v>
      </c>
      <c r="H1565" s="6" t="str">
        <f t="shared" si="6"/>
        <v/>
      </c>
      <c r="I1565" s="2">
        <f t="shared" si="7"/>
        <v>1754.71</v>
      </c>
      <c r="M1565" s="10">
        <f>IFERROR(__xludf.DUMMYFUNCTION("""COMPUTED_VALUE"""),40249.666666666664)</f>
        <v>40249.66667</v>
      </c>
      <c r="N1565" s="2">
        <f>IFERROR(__xludf.DUMMYFUNCTION("""COMPUTED_VALUE"""),2367.66)</f>
        <v>2367.66</v>
      </c>
    </row>
    <row r="1566">
      <c r="A1566" s="10">
        <f t="shared" si="8"/>
        <v>39548.66667</v>
      </c>
      <c r="B1566" s="2" t="str">
        <f t="shared" si="2"/>
        <v/>
      </c>
      <c r="C1566" s="2" t="str">
        <f t="shared" si="3"/>
        <v>SP500</v>
      </c>
      <c r="D1566" s="2">
        <f t="shared" si="4"/>
        <v>2351.7</v>
      </c>
      <c r="E1566" s="2">
        <f t="shared" si="5"/>
        <v>2351.7</v>
      </c>
      <c r="G1566" s="10">
        <f t="shared" si="9"/>
        <v>39548.64583</v>
      </c>
      <c r="H1566" s="6">
        <f t="shared" si="6"/>
        <v>1764.64</v>
      </c>
      <c r="I1566" s="2">
        <f t="shared" si="7"/>
        <v>1764.64</v>
      </c>
      <c r="M1566" s="10">
        <f>IFERROR(__xludf.DUMMYFUNCTION("""COMPUTED_VALUE"""),40252.666666666664)</f>
        <v>40252.66667</v>
      </c>
      <c r="N1566" s="2">
        <f>IFERROR(__xludf.DUMMYFUNCTION("""COMPUTED_VALUE"""),2362.21)</f>
        <v>2362.21</v>
      </c>
    </row>
    <row r="1567">
      <c r="A1567" s="10">
        <f t="shared" si="8"/>
        <v>39549.66667</v>
      </c>
      <c r="B1567" s="2" t="str">
        <f t="shared" si="2"/>
        <v/>
      </c>
      <c r="C1567" s="2" t="str">
        <f t="shared" si="3"/>
        <v>SP500</v>
      </c>
      <c r="D1567" s="2">
        <f t="shared" si="4"/>
        <v>2290.24</v>
      </c>
      <c r="E1567" s="2">
        <f t="shared" si="5"/>
        <v>2290.24</v>
      </c>
      <c r="G1567" s="10">
        <f t="shared" si="9"/>
        <v>39549.64583</v>
      </c>
      <c r="H1567" s="6">
        <f t="shared" si="6"/>
        <v>1779.71</v>
      </c>
      <c r="I1567" s="2">
        <f t="shared" si="7"/>
        <v>1779.71</v>
      </c>
      <c r="M1567" s="10">
        <f>IFERROR(__xludf.DUMMYFUNCTION("""COMPUTED_VALUE"""),40253.666666666664)</f>
        <v>40253.66667</v>
      </c>
      <c r="N1567" s="2">
        <f>IFERROR(__xludf.DUMMYFUNCTION("""COMPUTED_VALUE"""),2378.01)</f>
        <v>2378.01</v>
      </c>
    </row>
    <row r="1568">
      <c r="A1568" s="10">
        <f t="shared" si="8"/>
        <v>39550.66667</v>
      </c>
      <c r="B1568" s="2" t="str">
        <f t="shared" si="2"/>
        <v/>
      </c>
      <c r="C1568" s="2" t="str">
        <f t="shared" si="3"/>
        <v>SP500</v>
      </c>
      <c r="D1568" s="2" t="str">
        <f t="shared" si="4"/>
        <v/>
      </c>
      <c r="E1568" s="2">
        <f t="shared" si="5"/>
        <v>2290.24</v>
      </c>
      <c r="G1568" s="10">
        <f t="shared" si="9"/>
        <v>39550.64583</v>
      </c>
      <c r="H1568" s="6" t="str">
        <f t="shared" si="6"/>
        <v/>
      </c>
      <c r="I1568" s="2">
        <f t="shared" si="7"/>
        <v>1779.71</v>
      </c>
      <c r="M1568" s="10">
        <f>IFERROR(__xludf.DUMMYFUNCTION("""COMPUTED_VALUE"""),40254.666666666664)</f>
        <v>40254.66667</v>
      </c>
      <c r="N1568" s="2">
        <f>IFERROR(__xludf.DUMMYFUNCTION("""COMPUTED_VALUE"""),2389.09)</f>
        <v>2389.09</v>
      </c>
    </row>
    <row r="1569">
      <c r="A1569" s="10">
        <f t="shared" si="8"/>
        <v>39551.66667</v>
      </c>
      <c r="B1569" s="2" t="str">
        <f t="shared" si="2"/>
        <v/>
      </c>
      <c r="C1569" s="2" t="str">
        <f t="shared" si="3"/>
        <v>SP500</v>
      </c>
      <c r="D1569" s="2" t="str">
        <f t="shared" si="4"/>
        <v/>
      </c>
      <c r="E1569" s="2">
        <f t="shared" si="5"/>
        <v>2290.24</v>
      </c>
      <c r="G1569" s="10">
        <f t="shared" si="9"/>
        <v>39551.64583</v>
      </c>
      <c r="H1569" s="6" t="str">
        <f t="shared" si="6"/>
        <v/>
      </c>
      <c r="I1569" s="2">
        <f t="shared" si="7"/>
        <v>1779.71</v>
      </c>
      <c r="M1569" s="10">
        <f>IFERROR(__xludf.DUMMYFUNCTION("""COMPUTED_VALUE"""),40255.666666666664)</f>
        <v>40255.66667</v>
      </c>
      <c r="N1569" s="2">
        <f>IFERROR(__xludf.DUMMYFUNCTION("""COMPUTED_VALUE"""),2391.28)</f>
        <v>2391.28</v>
      </c>
    </row>
    <row r="1570">
      <c r="A1570" s="10">
        <f t="shared" si="8"/>
        <v>39552.66667</v>
      </c>
      <c r="B1570" s="2" t="str">
        <f t="shared" si="2"/>
        <v/>
      </c>
      <c r="C1570" s="2" t="str">
        <f t="shared" si="3"/>
        <v>SP500</v>
      </c>
      <c r="D1570" s="2">
        <f t="shared" si="4"/>
        <v>2275.82</v>
      </c>
      <c r="E1570" s="2">
        <f t="shared" si="5"/>
        <v>2275.82</v>
      </c>
      <c r="G1570" s="10">
        <f t="shared" si="9"/>
        <v>39552.64583</v>
      </c>
      <c r="H1570" s="6">
        <f t="shared" si="6"/>
        <v>1746.71</v>
      </c>
      <c r="I1570" s="2">
        <f t="shared" si="7"/>
        <v>1746.71</v>
      </c>
      <c r="M1570" s="10">
        <f>IFERROR(__xludf.DUMMYFUNCTION("""COMPUTED_VALUE"""),40256.666666666664)</f>
        <v>40256.66667</v>
      </c>
      <c r="N1570" s="2">
        <f>IFERROR(__xludf.DUMMYFUNCTION("""COMPUTED_VALUE"""),2374.41)</f>
        <v>2374.41</v>
      </c>
    </row>
    <row r="1571">
      <c r="A1571" s="10">
        <f t="shared" si="8"/>
        <v>39553.66667</v>
      </c>
      <c r="B1571" s="2" t="str">
        <f t="shared" si="2"/>
        <v/>
      </c>
      <c r="C1571" s="2" t="str">
        <f t="shared" si="3"/>
        <v>SP500</v>
      </c>
      <c r="D1571" s="2">
        <f t="shared" si="4"/>
        <v>2286.04</v>
      </c>
      <c r="E1571" s="2">
        <f t="shared" si="5"/>
        <v>2286.04</v>
      </c>
      <c r="G1571" s="10">
        <f t="shared" si="9"/>
        <v>39553.64583</v>
      </c>
      <c r="H1571" s="6">
        <f t="shared" si="6"/>
        <v>1742.17</v>
      </c>
      <c r="I1571" s="2">
        <f t="shared" si="7"/>
        <v>1742.17</v>
      </c>
      <c r="M1571" s="10">
        <f>IFERROR(__xludf.DUMMYFUNCTION("""COMPUTED_VALUE"""),40259.666666666664)</f>
        <v>40259.66667</v>
      </c>
      <c r="N1571" s="2">
        <f>IFERROR(__xludf.DUMMYFUNCTION("""COMPUTED_VALUE"""),2395.4)</f>
        <v>2395.4</v>
      </c>
    </row>
    <row r="1572">
      <c r="A1572" s="10">
        <f t="shared" si="8"/>
        <v>39554.66667</v>
      </c>
      <c r="B1572" s="2" t="str">
        <f t="shared" si="2"/>
        <v/>
      </c>
      <c r="C1572" s="2" t="str">
        <f t="shared" si="3"/>
        <v>SP500</v>
      </c>
      <c r="D1572" s="2">
        <f t="shared" si="4"/>
        <v>2350.11</v>
      </c>
      <c r="E1572" s="2">
        <f t="shared" si="5"/>
        <v>2350.11</v>
      </c>
      <c r="G1572" s="10">
        <f t="shared" si="9"/>
        <v>39554.64583</v>
      </c>
      <c r="H1572" s="6">
        <f t="shared" si="6"/>
        <v>1758.56</v>
      </c>
      <c r="I1572" s="2">
        <f t="shared" si="7"/>
        <v>1758.56</v>
      </c>
      <c r="M1572" s="10">
        <f>IFERROR(__xludf.DUMMYFUNCTION("""COMPUTED_VALUE"""),40260.666666666664)</f>
        <v>40260.66667</v>
      </c>
      <c r="N1572" s="2">
        <f>IFERROR(__xludf.DUMMYFUNCTION("""COMPUTED_VALUE"""),2415.24)</f>
        <v>2415.24</v>
      </c>
    </row>
    <row r="1573">
      <c r="A1573" s="10">
        <f t="shared" si="8"/>
        <v>39555.66667</v>
      </c>
      <c r="B1573" s="2" t="str">
        <f t="shared" si="2"/>
        <v/>
      </c>
      <c r="C1573" s="2" t="str">
        <f t="shared" si="3"/>
        <v>SP500</v>
      </c>
      <c r="D1573" s="2">
        <f t="shared" si="4"/>
        <v>2341.83</v>
      </c>
      <c r="E1573" s="2">
        <f t="shared" si="5"/>
        <v>2341.83</v>
      </c>
      <c r="G1573" s="10">
        <f t="shared" si="9"/>
        <v>39555.64583</v>
      </c>
      <c r="H1573" s="6">
        <f t="shared" si="6"/>
        <v>1768.67</v>
      </c>
      <c r="I1573" s="2">
        <f t="shared" si="7"/>
        <v>1768.67</v>
      </c>
      <c r="M1573" s="10">
        <f>IFERROR(__xludf.DUMMYFUNCTION("""COMPUTED_VALUE"""),40261.666666666664)</f>
        <v>40261.66667</v>
      </c>
      <c r="N1573" s="2">
        <f>IFERROR(__xludf.DUMMYFUNCTION("""COMPUTED_VALUE"""),2398.76)</f>
        <v>2398.76</v>
      </c>
    </row>
    <row r="1574">
      <c r="A1574" s="10">
        <f t="shared" si="8"/>
        <v>39556.66667</v>
      </c>
      <c r="B1574" s="2" t="str">
        <f t="shared" si="2"/>
        <v/>
      </c>
      <c r="C1574" s="2" t="str">
        <f t="shared" si="3"/>
        <v>SP500</v>
      </c>
      <c r="D1574" s="2">
        <f t="shared" si="4"/>
        <v>2402.97</v>
      </c>
      <c r="E1574" s="2">
        <f t="shared" si="5"/>
        <v>2402.97</v>
      </c>
      <c r="G1574" s="10">
        <f t="shared" si="9"/>
        <v>39556.64583</v>
      </c>
      <c r="H1574" s="6">
        <f t="shared" si="6"/>
        <v>1771.9</v>
      </c>
      <c r="I1574" s="2">
        <f t="shared" si="7"/>
        <v>1771.9</v>
      </c>
      <c r="M1574" s="10">
        <f>IFERROR(__xludf.DUMMYFUNCTION("""COMPUTED_VALUE"""),40262.666666666664)</f>
        <v>40262.66667</v>
      </c>
      <c r="N1574" s="2">
        <f>IFERROR(__xludf.DUMMYFUNCTION("""COMPUTED_VALUE"""),2397.41)</f>
        <v>2397.41</v>
      </c>
    </row>
    <row r="1575">
      <c r="A1575" s="10">
        <f t="shared" si="8"/>
        <v>39557.66667</v>
      </c>
      <c r="B1575" s="2" t="str">
        <f t="shared" si="2"/>
        <v/>
      </c>
      <c r="C1575" s="2" t="str">
        <f t="shared" si="3"/>
        <v>SP500</v>
      </c>
      <c r="D1575" s="2" t="str">
        <f t="shared" si="4"/>
        <v/>
      </c>
      <c r="E1575" s="2">
        <f t="shared" si="5"/>
        <v>2402.97</v>
      </c>
      <c r="G1575" s="10">
        <f t="shared" si="9"/>
        <v>39557.64583</v>
      </c>
      <c r="H1575" s="6" t="str">
        <f t="shared" si="6"/>
        <v/>
      </c>
      <c r="I1575" s="2">
        <f t="shared" si="7"/>
        <v>1771.9</v>
      </c>
      <c r="M1575" s="10">
        <f>IFERROR(__xludf.DUMMYFUNCTION("""COMPUTED_VALUE"""),40263.666666666664)</f>
        <v>40263.66667</v>
      </c>
      <c r="N1575" s="2">
        <f>IFERROR(__xludf.DUMMYFUNCTION("""COMPUTED_VALUE"""),2395.13)</f>
        <v>2395.13</v>
      </c>
    </row>
    <row r="1576">
      <c r="A1576" s="10">
        <f t="shared" si="8"/>
        <v>39558.66667</v>
      </c>
      <c r="B1576" s="2" t="str">
        <f t="shared" si="2"/>
        <v/>
      </c>
      <c r="C1576" s="2" t="str">
        <f t="shared" si="3"/>
        <v>SP500</v>
      </c>
      <c r="D1576" s="2" t="str">
        <f t="shared" si="4"/>
        <v/>
      </c>
      <c r="E1576" s="2">
        <f t="shared" si="5"/>
        <v>2402.97</v>
      </c>
      <c r="G1576" s="10">
        <f t="shared" si="9"/>
        <v>39558.64583</v>
      </c>
      <c r="H1576" s="6" t="str">
        <f t="shared" si="6"/>
        <v/>
      </c>
      <c r="I1576" s="2">
        <f t="shared" si="7"/>
        <v>1771.9</v>
      </c>
      <c r="M1576" s="10">
        <f>IFERROR(__xludf.DUMMYFUNCTION("""COMPUTED_VALUE"""),40266.666666666664)</f>
        <v>40266.66667</v>
      </c>
      <c r="N1576" s="2">
        <f>IFERROR(__xludf.DUMMYFUNCTION("""COMPUTED_VALUE"""),2404.36)</f>
        <v>2404.36</v>
      </c>
    </row>
    <row r="1577">
      <c r="A1577" s="10">
        <f t="shared" si="8"/>
        <v>39559.66667</v>
      </c>
      <c r="B1577" s="2" t="str">
        <f t="shared" si="2"/>
        <v/>
      </c>
      <c r="C1577" s="2" t="str">
        <f t="shared" si="3"/>
        <v>SP500</v>
      </c>
      <c r="D1577" s="2">
        <f t="shared" si="4"/>
        <v>2408.04</v>
      </c>
      <c r="E1577" s="2">
        <f t="shared" si="5"/>
        <v>2408.04</v>
      </c>
      <c r="G1577" s="10">
        <f t="shared" si="9"/>
        <v>39559.64583</v>
      </c>
      <c r="H1577" s="6">
        <f t="shared" si="6"/>
        <v>1800.48</v>
      </c>
      <c r="I1577" s="2">
        <f t="shared" si="7"/>
        <v>1800.48</v>
      </c>
      <c r="M1577" s="10">
        <f>IFERROR(__xludf.DUMMYFUNCTION("""COMPUTED_VALUE"""),40267.666666666664)</f>
        <v>40267.66667</v>
      </c>
      <c r="N1577" s="2">
        <f>IFERROR(__xludf.DUMMYFUNCTION("""COMPUTED_VALUE"""),2410.69)</f>
        <v>2410.69</v>
      </c>
    </row>
    <row r="1578">
      <c r="A1578" s="10">
        <f t="shared" si="8"/>
        <v>39560.66667</v>
      </c>
      <c r="B1578" s="2" t="str">
        <f t="shared" si="2"/>
        <v/>
      </c>
      <c r="C1578" s="2" t="str">
        <f t="shared" si="3"/>
        <v>SP500</v>
      </c>
      <c r="D1578" s="2">
        <f t="shared" si="4"/>
        <v>2376.94</v>
      </c>
      <c r="E1578" s="2">
        <f t="shared" si="5"/>
        <v>2376.94</v>
      </c>
      <c r="G1578" s="10">
        <f t="shared" si="9"/>
        <v>39560.64583</v>
      </c>
      <c r="H1578" s="6">
        <f t="shared" si="6"/>
        <v>1787.49</v>
      </c>
      <c r="I1578" s="2">
        <f t="shared" si="7"/>
        <v>1787.49</v>
      </c>
      <c r="M1578" s="10">
        <f>IFERROR(__xludf.DUMMYFUNCTION("""COMPUTED_VALUE"""),40268.666666666664)</f>
        <v>40268.66667</v>
      </c>
      <c r="N1578" s="2">
        <f>IFERROR(__xludf.DUMMYFUNCTION("""COMPUTED_VALUE"""),2397.96)</f>
        <v>2397.96</v>
      </c>
    </row>
    <row r="1579">
      <c r="A1579" s="10">
        <f t="shared" si="8"/>
        <v>39561.66667</v>
      </c>
      <c r="B1579" s="2" t="str">
        <f t="shared" si="2"/>
        <v/>
      </c>
      <c r="C1579" s="2" t="str">
        <f t="shared" si="3"/>
        <v>SP500</v>
      </c>
      <c r="D1579" s="2">
        <f t="shared" si="4"/>
        <v>2405.21</v>
      </c>
      <c r="E1579" s="2">
        <f t="shared" si="5"/>
        <v>2405.21</v>
      </c>
      <c r="G1579" s="10">
        <f t="shared" si="9"/>
        <v>39561.64583</v>
      </c>
      <c r="H1579" s="6">
        <f t="shared" si="6"/>
        <v>1800.79</v>
      </c>
      <c r="I1579" s="2">
        <f t="shared" si="7"/>
        <v>1800.79</v>
      </c>
      <c r="M1579" s="10">
        <f>IFERROR(__xludf.DUMMYFUNCTION("""COMPUTED_VALUE"""),40269.666666666664)</f>
        <v>40269.66667</v>
      </c>
      <c r="N1579" s="2">
        <f>IFERROR(__xludf.DUMMYFUNCTION("""COMPUTED_VALUE"""),2402.58)</f>
        <v>2402.58</v>
      </c>
    </row>
    <row r="1580">
      <c r="A1580" s="10">
        <f t="shared" si="8"/>
        <v>39562.66667</v>
      </c>
      <c r="B1580" s="2" t="str">
        <f t="shared" si="2"/>
        <v/>
      </c>
      <c r="C1580" s="2" t="str">
        <f t="shared" si="3"/>
        <v>SP500</v>
      </c>
      <c r="D1580" s="2">
        <f t="shared" si="4"/>
        <v>2428.92</v>
      </c>
      <c r="E1580" s="2">
        <f t="shared" si="5"/>
        <v>2428.92</v>
      </c>
      <c r="G1580" s="10">
        <f t="shared" si="9"/>
        <v>39562.64583</v>
      </c>
      <c r="H1580" s="6">
        <f t="shared" si="6"/>
        <v>1799.34</v>
      </c>
      <c r="I1580" s="2">
        <f t="shared" si="7"/>
        <v>1799.34</v>
      </c>
      <c r="M1580" s="10">
        <f>IFERROR(__xludf.DUMMYFUNCTION("""COMPUTED_VALUE"""),40273.666666666664)</f>
        <v>40273.66667</v>
      </c>
      <c r="N1580" s="2">
        <f>IFERROR(__xludf.DUMMYFUNCTION("""COMPUTED_VALUE"""),2429.53)</f>
        <v>2429.53</v>
      </c>
    </row>
    <row r="1581">
      <c r="A1581" s="10">
        <f t="shared" si="8"/>
        <v>39563.66667</v>
      </c>
      <c r="B1581" s="2" t="str">
        <f t="shared" si="2"/>
        <v/>
      </c>
      <c r="C1581" s="2" t="str">
        <f t="shared" si="3"/>
        <v>SP500</v>
      </c>
      <c r="D1581" s="2">
        <f t="shared" si="4"/>
        <v>2422.93</v>
      </c>
      <c r="E1581" s="2">
        <f t="shared" si="5"/>
        <v>2422.93</v>
      </c>
      <c r="G1581" s="10">
        <f t="shared" si="9"/>
        <v>39563.64583</v>
      </c>
      <c r="H1581" s="6">
        <f t="shared" si="6"/>
        <v>1824.68</v>
      </c>
      <c r="I1581" s="2">
        <f t="shared" si="7"/>
        <v>1824.68</v>
      </c>
      <c r="M1581" s="10">
        <f>IFERROR(__xludf.DUMMYFUNCTION("""COMPUTED_VALUE"""),40274.666666666664)</f>
        <v>40274.66667</v>
      </c>
      <c r="N1581" s="2">
        <f>IFERROR(__xludf.DUMMYFUNCTION("""COMPUTED_VALUE"""),2436.81)</f>
        <v>2436.81</v>
      </c>
    </row>
    <row r="1582">
      <c r="A1582" s="10">
        <f t="shared" si="8"/>
        <v>39564.66667</v>
      </c>
      <c r="B1582" s="2" t="str">
        <f t="shared" si="2"/>
        <v/>
      </c>
      <c r="C1582" s="2" t="str">
        <f t="shared" si="3"/>
        <v>SP500</v>
      </c>
      <c r="D1582" s="2" t="str">
        <f t="shared" si="4"/>
        <v/>
      </c>
      <c r="E1582" s="2">
        <f t="shared" si="5"/>
        <v>2422.93</v>
      </c>
      <c r="G1582" s="10">
        <f t="shared" si="9"/>
        <v>39564.64583</v>
      </c>
      <c r="H1582" s="6" t="str">
        <f t="shared" si="6"/>
        <v/>
      </c>
      <c r="I1582" s="2">
        <f t="shared" si="7"/>
        <v>1824.68</v>
      </c>
      <c r="M1582" s="10">
        <f>IFERROR(__xludf.DUMMYFUNCTION("""COMPUTED_VALUE"""),40275.666666666664)</f>
        <v>40275.66667</v>
      </c>
      <c r="N1582" s="2">
        <f>IFERROR(__xludf.DUMMYFUNCTION("""COMPUTED_VALUE"""),2431.16)</f>
        <v>2431.16</v>
      </c>
    </row>
    <row r="1583">
      <c r="A1583" s="10">
        <f t="shared" si="8"/>
        <v>39565.66667</v>
      </c>
      <c r="B1583" s="2" t="str">
        <f t="shared" si="2"/>
        <v/>
      </c>
      <c r="C1583" s="2" t="str">
        <f t="shared" si="3"/>
        <v>SP500</v>
      </c>
      <c r="D1583" s="2" t="str">
        <f t="shared" si="4"/>
        <v/>
      </c>
      <c r="E1583" s="2">
        <f t="shared" si="5"/>
        <v>2422.93</v>
      </c>
      <c r="G1583" s="10">
        <f t="shared" si="9"/>
        <v>39565.64583</v>
      </c>
      <c r="H1583" s="6" t="str">
        <f t="shared" si="6"/>
        <v/>
      </c>
      <c r="I1583" s="2">
        <f t="shared" si="7"/>
        <v>1824.68</v>
      </c>
      <c r="M1583" s="10">
        <f>IFERROR(__xludf.DUMMYFUNCTION("""COMPUTED_VALUE"""),40276.666666666664)</f>
        <v>40276.66667</v>
      </c>
      <c r="N1583" s="2">
        <f>IFERROR(__xludf.DUMMYFUNCTION("""COMPUTED_VALUE"""),2436.81)</f>
        <v>2436.81</v>
      </c>
    </row>
    <row r="1584">
      <c r="A1584" s="10">
        <f t="shared" si="8"/>
        <v>39566.66667</v>
      </c>
      <c r="B1584" s="2" t="str">
        <f t="shared" si="2"/>
        <v/>
      </c>
      <c r="C1584" s="2" t="str">
        <f t="shared" si="3"/>
        <v>SP500</v>
      </c>
      <c r="D1584" s="2">
        <f t="shared" si="4"/>
        <v>2424.4</v>
      </c>
      <c r="E1584" s="2">
        <f t="shared" si="5"/>
        <v>2424.4</v>
      </c>
      <c r="G1584" s="10">
        <f t="shared" si="9"/>
        <v>39566.64583</v>
      </c>
      <c r="H1584" s="6">
        <f t="shared" si="6"/>
        <v>1823.17</v>
      </c>
      <c r="I1584" s="2">
        <f t="shared" si="7"/>
        <v>1823.17</v>
      </c>
      <c r="M1584" s="10">
        <f>IFERROR(__xludf.DUMMYFUNCTION("""COMPUTED_VALUE"""),40277.666666666664)</f>
        <v>40277.66667</v>
      </c>
      <c r="N1584" s="2">
        <f>IFERROR(__xludf.DUMMYFUNCTION("""COMPUTED_VALUE"""),2454.05)</f>
        <v>2454.05</v>
      </c>
    </row>
    <row r="1585">
      <c r="A1585" s="10">
        <f t="shared" si="8"/>
        <v>39567.66667</v>
      </c>
      <c r="B1585" s="2" t="str">
        <f t="shared" si="2"/>
        <v/>
      </c>
      <c r="C1585" s="2" t="str">
        <f t="shared" si="3"/>
        <v>SP500</v>
      </c>
      <c r="D1585" s="2">
        <f t="shared" si="4"/>
        <v>2426.1</v>
      </c>
      <c r="E1585" s="2">
        <f t="shared" si="5"/>
        <v>2426.1</v>
      </c>
      <c r="G1585" s="10">
        <f t="shared" si="9"/>
        <v>39567.64583</v>
      </c>
      <c r="H1585" s="6">
        <f t="shared" si="6"/>
        <v>1811.51</v>
      </c>
      <c r="I1585" s="2">
        <f t="shared" si="7"/>
        <v>1811.51</v>
      </c>
      <c r="M1585" s="10">
        <f>IFERROR(__xludf.DUMMYFUNCTION("""COMPUTED_VALUE"""),40280.666666666664)</f>
        <v>40280.66667</v>
      </c>
      <c r="N1585" s="2">
        <f>IFERROR(__xludf.DUMMYFUNCTION("""COMPUTED_VALUE"""),2457.87)</f>
        <v>2457.87</v>
      </c>
    </row>
    <row r="1586">
      <c r="A1586" s="10">
        <f t="shared" si="8"/>
        <v>39568.66667</v>
      </c>
      <c r="B1586" s="2" t="str">
        <f t="shared" si="2"/>
        <v/>
      </c>
      <c r="C1586" s="2" t="str">
        <f t="shared" si="3"/>
        <v>SP500</v>
      </c>
      <c r="D1586" s="2">
        <f t="shared" si="4"/>
        <v>2412.8</v>
      </c>
      <c r="E1586" s="2">
        <f t="shared" si="5"/>
        <v>2412.8</v>
      </c>
      <c r="G1586" s="10">
        <f t="shared" si="9"/>
        <v>39568.64583</v>
      </c>
      <c r="H1586" s="6">
        <f t="shared" si="6"/>
        <v>1825.47</v>
      </c>
      <c r="I1586" s="2">
        <f t="shared" si="7"/>
        <v>1825.47</v>
      </c>
      <c r="M1586" s="10">
        <f>IFERROR(__xludf.DUMMYFUNCTION("""COMPUTED_VALUE"""),40281.666666666664)</f>
        <v>40281.66667</v>
      </c>
      <c r="N1586" s="2">
        <f>IFERROR(__xludf.DUMMYFUNCTION("""COMPUTED_VALUE"""),2465.99)</f>
        <v>2465.99</v>
      </c>
    </row>
    <row r="1587">
      <c r="A1587" s="10">
        <f t="shared" si="8"/>
        <v>39569.66667</v>
      </c>
      <c r="B1587" s="2" t="str">
        <f t="shared" si="2"/>
        <v/>
      </c>
      <c r="C1587" s="2" t="str">
        <f t="shared" si="3"/>
        <v>SP500</v>
      </c>
      <c r="D1587" s="2">
        <f t="shared" si="4"/>
        <v>2480.71</v>
      </c>
      <c r="E1587" s="2">
        <f t="shared" si="5"/>
        <v>2480.71</v>
      </c>
      <c r="G1587" s="10">
        <f t="shared" si="9"/>
        <v>39569.64583</v>
      </c>
      <c r="H1587" s="6" t="str">
        <f t="shared" si="6"/>
        <v/>
      </c>
      <c r="I1587" s="2">
        <f t="shared" si="7"/>
        <v>1825.47</v>
      </c>
      <c r="M1587" s="10">
        <f>IFERROR(__xludf.DUMMYFUNCTION("""COMPUTED_VALUE"""),40282.666666666664)</f>
        <v>40282.66667</v>
      </c>
      <c r="N1587" s="2">
        <f>IFERROR(__xludf.DUMMYFUNCTION("""COMPUTED_VALUE"""),2504.86)</f>
        <v>2504.86</v>
      </c>
    </row>
    <row r="1588">
      <c r="A1588" s="10">
        <f t="shared" si="8"/>
        <v>39570.66667</v>
      </c>
      <c r="B1588" s="2" t="str">
        <f t="shared" si="2"/>
        <v/>
      </c>
      <c r="C1588" s="2" t="str">
        <f t="shared" si="3"/>
        <v>SP500</v>
      </c>
      <c r="D1588" s="2">
        <f t="shared" si="4"/>
        <v>2476.99</v>
      </c>
      <c r="E1588" s="2">
        <f t="shared" si="5"/>
        <v>2476.99</v>
      </c>
      <c r="G1588" s="10">
        <f t="shared" si="9"/>
        <v>39570.64583</v>
      </c>
      <c r="H1588" s="6">
        <f t="shared" si="6"/>
        <v>1848.27</v>
      </c>
      <c r="I1588" s="2">
        <f t="shared" si="7"/>
        <v>1848.27</v>
      </c>
      <c r="M1588" s="10">
        <f>IFERROR(__xludf.DUMMYFUNCTION("""COMPUTED_VALUE"""),40283.666666666664)</f>
        <v>40283.66667</v>
      </c>
      <c r="N1588" s="2">
        <f>IFERROR(__xludf.DUMMYFUNCTION("""COMPUTED_VALUE"""),2515.69)</f>
        <v>2515.69</v>
      </c>
    </row>
    <row r="1589">
      <c r="A1589" s="10">
        <f t="shared" si="8"/>
        <v>39571.66667</v>
      </c>
      <c r="B1589" s="2" t="str">
        <f t="shared" si="2"/>
        <v/>
      </c>
      <c r="C1589" s="2" t="str">
        <f t="shared" si="3"/>
        <v>SP500</v>
      </c>
      <c r="D1589" s="2" t="str">
        <f t="shared" si="4"/>
        <v/>
      </c>
      <c r="E1589" s="2">
        <f t="shared" si="5"/>
        <v>2476.99</v>
      </c>
      <c r="G1589" s="10">
        <f t="shared" si="9"/>
        <v>39571.64583</v>
      </c>
      <c r="H1589" s="6" t="str">
        <f t="shared" si="6"/>
        <v/>
      </c>
      <c r="I1589" s="2">
        <f t="shared" si="7"/>
        <v>1848.27</v>
      </c>
      <c r="M1589" s="10">
        <f>IFERROR(__xludf.DUMMYFUNCTION("""COMPUTED_VALUE"""),40284.666666666664)</f>
        <v>40284.66667</v>
      </c>
      <c r="N1589" s="2">
        <f>IFERROR(__xludf.DUMMYFUNCTION("""COMPUTED_VALUE"""),2481.26)</f>
        <v>2481.26</v>
      </c>
    </row>
    <row r="1590">
      <c r="A1590" s="10">
        <f t="shared" si="8"/>
        <v>39572.66667</v>
      </c>
      <c r="B1590" s="2" t="str">
        <f t="shared" si="2"/>
        <v/>
      </c>
      <c r="C1590" s="2" t="str">
        <f t="shared" si="3"/>
        <v>SP500</v>
      </c>
      <c r="D1590" s="2" t="str">
        <f t="shared" si="4"/>
        <v/>
      </c>
      <c r="E1590" s="2">
        <f t="shared" si="5"/>
        <v>2476.99</v>
      </c>
      <c r="G1590" s="10">
        <f t="shared" si="9"/>
        <v>39572.64583</v>
      </c>
      <c r="H1590" s="6" t="str">
        <f t="shared" si="6"/>
        <v/>
      </c>
      <c r="I1590" s="2">
        <f t="shared" si="7"/>
        <v>1848.27</v>
      </c>
      <c r="M1590" s="10">
        <f>IFERROR(__xludf.DUMMYFUNCTION("""COMPUTED_VALUE"""),40287.666666666664)</f>
        <v>40287.66667</v>
      </c>
      <c r="N1590" s="2">
        <f>IFERROR(__xludf.DUMMYFUNCTION("""COMPUTED_VALUE"""),2480.11)</f>
        <v>2480.11</v>
      </c>
    </row>
    <row r="1591">
      <c r="A1591" s="10">
        <f t="shared" si="8"/>
        <v>39573.66667</v>
      </c>
      <c r="B1591" s="2" t="str">
        <f t="shared" si="2"/>
        <v/>
      </c>
      <c r="C1591" s="2" t="str">
        <f t="shared" si="3"/>
        <v>SP500</v>
      </c>
      <c r="D1591" s="2">
        <f t="shared" si="4"/>
        <v>2464.12</v>
      </c>
      <c r="E1591" s="2">
        <f t="shared" si="5"/>
        <v>2464.12</v>
      </c>
      <c r="G1591" s="10">
        <f t="shared" si="9"/>
        <v>39573.64583</v>
      </c>
      <c r="H1591" s="6" t="str">
        <f t="shared" si="6"/>
        <v/>
      </c>
      <c r="I1591" s="2">
        <f t="shared" si="7"/>
        <v>1848.27</v>
      </c>
      <c r="M1591" s="10">
        <f>IFERROR(__xludf.DUMMYFUNCTION("""COMPUTED_VALUE"""),40288.666666666664)</f>
        <v>40288.66667</v>
      </c>
      <c r="N1591" s="2">
        <f>IFERROR(__xludf.DUMMYFUNCTION("""COMPUTED_VALUE"""),2500.31)</f>
        <v>2500.31</v>
      </c>
    </row>
    <row r="1592">
      <c r="A1592" s="10">
        <f t="shared" si="8"/>
        <v>39574.66667</v>
      </c>
      <c r="B1592" s="2" t="str">
        <f t="shared" si="2"/>
        <v/>
      </c>
      <c r="C1592" s="2" t="str">
        <f t="shared" si="3"/>
        <v>SP500</v>
      </c>
      <c r="D1592" s="2">
        <f t="shared" si="4"/>
        <v>2483.31</v>
      </c>
      <c r="E1592" s="2">
        <f t="shared" si="5"/>
        <v>2483.31</v>
      </c>
      <c r="G1592" s="10">
        <f t="shared" si="9"/>
        <v>39574.64583</v>
      </c>
      <c r="H1592" s="6">
        <f t="shared" si="6"/>
        <v>1859.06</v>
      </c>
      <c r="I1592" s="2">
        <f t="shared" si="7"/>
        <v>1859.06</v>
      </c>
      <c r="M1592" s="10">
        <f>IFERROR(__xludf.DUMMYFUNCTION("""COMPUTED_VALUE"""),40289.666666666664)</f>
        <v>40289.66667</v>
      </c>
      <c r="N1592" s="2">
        <f>IFERROR(__xludf.DUMMYFUNCTION("""COMPUTED_VALUE"""),2504.61)</f>
        <v>2504.61</v>
      </c>
    </row>
    <row r="1593">
      <c r="A1593" s="10">
        <f t="shared" si="8"/>
        <v>39575.66667</v>
      </c>
      <c r="B1593" s="2" t="str">
        <f t="shared" si="2"/>
        <v/>
      </c>
      <c r="C1593" s="2" t="str">
        <f t="shared" si="3"/>
        <v>SP500</v>
      </c>
      <c r="D1593" s="2">
        <f t="shared" si="4"/>
        <v>2438.49</v>
      </c>
      <c r="E1593" s="2">
        <f t="shared" si="5"/>
        <v>2438.49</v>
      </c>
      <c r="G1593" s="10">
        <f t="shared" si="9"/>
        <v>39575.64583</v>
      </c>
      <c r="H1593" s="6">
        <f t="shared" si="6"/>
        <v>1854.01</v>
      </c>
      <c r="I1593" s="2">
        <f t="shared" si="7"/>
        <v>1854.01</v>
      </c>
      <c r="M1593" s="10">
        <f>IFERROR(__xludf.DUMMYFUNCTION("""COMPUTED_VALUE"""),40290.666666666664)</f>
        <v>40290.66667</v>
      </c>
      <c r="N1593" s="2">
        <f>IFERROR(__xludf.DUMMYFUNCTION("""COMPUTED_VALUE"""),2519.07)</f>
        <v>2519.07</v>
      </c>
    </row>
    <row r="1594">
      <c r="A1594" s="10">
        <f t="shared" si="8"/>
        <v>39576.66667</v>
      </c>
      <c r="B1594" s="2" t="str">
        <f t="shared" si="2"/>
        <v/>
      </c>
      <c r="C1594" s="2" t="str">
        <f t="shared" si="3"/>
        <v>SP500</v>
      </c>
      <c r="D1594" s="2">
        <f t="shared" si="4"/>
        <v>2451.24</v>
      </c>
      <c r="E1594" s="2">
        <f t="shared" si="5"/>
        <v>2451.24</v>
      </c>
      <c r="G1594" s="10">
        <f t="shared" si="9"/>
        <v>39576.64583</v>
      </c>
      <c r="H1594" s="6">
        <f t="shared" si="6"/>
        <v>1848</v>
      </c>
      <c r="I1594" s="2">
        <f t="shared" si="7"/>
        <v>1848</v>
      </c>
      <c r="M1594" s="10">
        <f>IFERROR(__xludf.DUMMYFUNCTION("""COMPUTED_VALUE"""),40291.666666666664)</f>
        <v>40291.66667</v>
      </c>
      <c r="N1594" s="2">
        <f>IFERROR(__xludf.DUMMYFUNCTION("""COMPUTED_VALUE"""),2530.15)</f>
        <v>2530.15</v>
      </c>
    </row>
    <row r="1595">
      <c r="A1595" s="10">
        <f t="shared" si="8"/>
        <v>39577.66667</v>
      </c>
      <c r="B1595" s="2" t="str">
        <f t="shared" si="2"/>
        <v/>
      </c>
      <c r="C1595" s="2" t="str">
        <f t="shared" si="3"/>
        <v>SP500</v>
      </c>
      <c r="D1595" s="2">
        <f t="shared" si="4"/>
        <v>2445.52</v>
      </c>
      <c r="E1595" s="2">
        <f t="shared" si="5"/>
        <v>2445.52</v>
      </c>
      <c r="G1595" s="10">
        <f t="shared" si="9"/>
        <v>39577.64583</v>
      </c>
      <c r="H1595" s="6">
        <f t="shared" si="6"/>
        <v>1823.7</v>
      </c>
      <c r="I1595" s="2">
        <f t="shared" si="7"/>
        <v>1823.7</v>
      </c>
      <c r="M1595" s="10">
        <f>IFERROR(__xludf.DUMMYFUNCTION("""COMPUTED_VALUE"""),40294.666666666664)</f>
        <v>40294.66667</v>
      </c>
      <c r="N1595" s="2">
        <f>IFERROR(__xludf.DUMMYFUNCTION("""COMPUTED_VALUE"""),2522.95)</f>
        <v>2522.95</v>
      </c>
    </row>
    <row r="1596">
      <c r="A1596" s="10">
        <f t="shared" si="8"/>
        <v>39578.66667</v>
      </c>
      <c r="B1596" s="2" t="str">
        <f t="shared" si="2"/>
        <v/>
      </c>
      <c r="C1596" s="2" t="str">
        <f t="shared" si="3"/>
        <v>SP500</v>
      </c>
      <c r="D1596" s="2" t="str">
        <f t="shared" si="4"/>
        <v/>
      </c>
      <c r="E1596" s="2">
        <f t="shared" si="5"/>
        <v>2445.52</v>
      </c>
      <c r="G1596" s="10">
        <f t="shared" si="9"/>
        <v>39578.64583</v>
      </c>
      <c r="H1596" s="6" t="str">
        <f t="shared" si="6"/>
        <v/>
      </c>
      <c r="I1596" s="2">
        <f t="shared" si="7"/>
        <v>1823.7</v>
      </c>
      <c r="M1596" s="10">
        <f>IFERROR(__xludf.DUMMYFUNCTION("""COMPUTED_VALUE"""),40295.666666666664)</f>
        <v>40295.66667</v>
      </c>
      <c r="N1596" s="2">
        <f>IFERROR(__xludf.DUMMYFUNCTION("""COMPUTED_VALUE"""),2471.47)</f>
        <v>2471.47</v>
      </c>
    </row>
    <row r="1597">
      <c r="A1597" s="10">
        <f t="shared" si="8"/>
        <v>39579.66667</v>
      </c>
      <c r="B1597" s="2" t="str">
        <f t="shared" si="2"/>
        <v/>
      </c>
      <c r="C1597" s="2" t="str">
        <f t="shared" si="3"/>
        <v>SP500</v>
      </c>
      <c r="D1597" s="2" t="str">
        <f t="shared" si="4"/>
        <v/>
      </c>
      <c r="E1597" s="2">
        <f t="shared" si="5"/>
        <v>2445.52</v>
      </c>
      <c r="G1597" s="10">
        <f t="shared" si="9"/>
        <v>39579.64583</v>
      </c>
      <c r="H1597" s="6" t="str">
        <f t="shared" si="6"/>
        <v/>
      </c>
      <c r="I1597" s="2">
        <f t="shared" si="7"/>
        <v>1823.7</v>
      </c>
      <c r="M1597" s="10">
        <f>IFERROR(__xludf.DUMMYFUNCTION("""COMPUTED_VALUE"""),40296.666666666664)</f>
        <v>40296.66667</v>
      </c>
      <c r="N1597" s="2">
        <f>IFERROR(__xludf.DUMMYFUNCTION("""COMPUTED_VALUE"""),2471.73)</f>
        <v>2471.73</v>
      </c>
    </row>
    <row r="1598">
      <c r="A1598" s="10">
        <f t="shared" si="8"/>
        <v>39580.66667</v>
      </c>
      <c r="B1598" s="2" t="str">
        <f t="shared" si="2"/>
        <v/>
      </c>
      <c r="C1598" s="2" t="str">
        <f t="shared" si="3"/>
        <v>SP500</v>
      </c>
      <c r="D1598" s="2">
        <f t="shared" si="4"/>
        <v>2488.49</v>
      </c>
      <c r="E1598" s="2">
        <f t="shared" si="5"/>
        <v>2488.49</v>
      </c>
      <c r="G1598" s="10">
        <f t="shared" si="9"/>
        <v>39580.64583</v>
      </c>
      <c r="H1598" s="6" t="str">
        <f t="shared" si="6"/>
        <v/>
      </c>
      <c r="I1598" s="2">
        <f t="shared" si="7"/>
        <v>1823.7</v>
      </c>
      <c r="M1598" s="10">
        <f>IFERROR(__xludf.DUMMYFUNCTION("""COMPUTED_VALUE"""),40297.666666666664)</f>
        <v>40297.66667</v>
      </c>
      <c r="N1598" s="2">
        <f>IFERROR(__xludf.DUMMYFUNCTION("""COMPUTED_VALUE"""),2511.92)</f>
        <v>2511.92</v>
      </c>
    </row>
    <row r="1599">
      <c r="A1599" s="10">
        <f t="shared" si="8"/>
        <v>39581.66667</v>
      </c>
      <c r="B1599" s="2" t="str">
        <f t="shared" si="2"/>
        <v/>
      </c>
      <c r="C1599" s="2" t="str">
        <f t="shared" si="3"/>
        <v>SP500</v>
      </c>
      <c r="D1599" s="2">
        <f t="shared" si="4"/>
        <v>2495.12</v>
      </c>
      <c r="E1599" s="2">
        <f t="shared" si="5"/>
        <v>2495.12</v>
      </c>
      <c r="G1599" s="10">
        <f t="shared" si="9"/>
        <v>39581.64583</v>
      </c>
      <c r="H1599" s="6">
        <f t="shared" si="6"/>
        <v>1842.8</v>
      </c>
      <c r="I1599" s="2">
        <f t="shared" si="7"/>
        <v>1842.8</v>
      </c>
      <c r="M1599" s="10">
        <f>IFERROR(__xludf.DUMMYFUNCTION("""COMPUTED_VALUE"""),40298.666666666664)</f>
        <v>40298.66667</v>
      </c>
      <c r="N1599" s="2">
        <f>IFERROR(__xludf.DUMMYFUNCTION("""COMPUTED_VALUE"""),2461.19)</f>
        <v>2461.19</v>
      </c>
    </row>
    <row r="1600">
      <c r="A1600" s="10">
        <f t="shared" si="8"/>
        <v>39582.66667</v>
      </c>
      <c r="B1600" s="2" t="str">
        <f t="shared" si="2"/>
        <v/>
      </c>
      <c r="C1600" s="2" t="str">
        <f t="shared" si="3"/>
        <v>SP500</v>
      </c>
      <c r="D1600" s="2">
        <f t="shared" si="4"/>
        <v>2496.7</v>
      </c>
      <c r="E1600" s="2">
        <f t="shared" si="5"/>
        <v>2496.7</v>
      </c>
      <c r="G1600" s="10">
        <f t="shared" si="9"/>
        <v>39582.64583</v>
      </c>
      <c r="H1600" s="6">
        <f t="shared" si="6"/>
        <v>1843.75</v>
      </c>
      <c r="I1600" s="2">
        <f t="shared" si="7"/>
        <v>1843.75</v>
      </c>
      <c r="M1600" s="10">
        <f>IFERROR(__xludf.DUMMYFUNCTION("""COMPUTED_VALUE"""),40301.666666666664)</f>
        <v>40301.66667</v>
      </c>
      <c r="N1600" s="2">
        <f>IFERROR(__xludf.DUMMYFUNCTION("""COMPUTED_VALUE"""),2498.74)</f>
        <v>2498.74</v>
      </c>
    </row>
    <row r="1601">
      <c r="A1601" s="10">
        <f t="shared" si="8"/>
        <v>39583.66667</v>
      </c>
      <c r="B1601" s="2" t="str">
        <f t="shared" si="2"/>
        <v/>
      </c>
      <c r="C1601" s="2" t="str">
        <f t="shared" si="3"/>
        <v>SP500</v>
      </c>
      <c r="D1601" s="2">
        <f t="shared" si="4"/>
        <v>2533.73</v>
      </c>
      <c r="E1601" s="2">
        <f t="shared" si="5"/>
        <v>2533.73</v>
      </c>
      <c r="G1601" s="10">
        <f t="shared" si="9"/>
        <v>39583.64583</v>
      </c>
      <c r="H1601" s="6">
        <f t="shared" si="6"/>
        <v>1885.71</v>
      </c>
      <c r="I1601" s="2">
        <f t="shared" si="7"/>
        <v>1885.71</v>
      </c>
      <c r="M1601" s="10">
        <f>IFERROR(__xludf.DUMMYFUNCTION("""COMPUTED_VALUE"""),40302.666666666664)</f>
        <v>40302.66667</v>
      </c>
      <c r="N1601" s="2">
        <f>IFERROR(__xludf.DUMMYFUNCTION("""COMPUTED_VALUE"""),2424.25)</f>
        <v>2424.25</v>
      </c>
    </row>
    <row r="1602">
      <c r="A1602" s="10">
        <f t="shared" si="8"/>
        <v>39584.66667</v>
      </c>
      <c r="B1602" s="2" t="str">
        <f t="shared" si="2"/>
        <v/>
      </c>
      <c r="C1602" s="2" t="str">
        <f t="shared" si="3"/>
        <v>SP500</v>
      </c>
      <c r="D1602" s="2">
        <f t="shared" si="4"/>
        <v>2528.85</v>
      </c>
      <c r="E1602" s="2">
        <f t="shared" si="5"/>
        <v>2528.85</v>
      </c>
      <c r="G1602" s="10">
        <f t="shared" si="9"/>
        <v>39584.64583</v>
      </c>
      <c r="H1602" s="6">
        <f t="shared" si="6"/>
        <v>1888.88</v>
      </c>
      <c r="I1602" s="2">
        <f t="shared" si="7"/>
        <v>1888.88</v>
      </c>
      <c r="M1602" s="10">
        <f>IFERROR(__xludf.DUMMYFUNCTION("""COMPUTED_VALUE"""),40303.666666666664)</f>
        <v>40303.66667</v>
      </c>
      <c r="N1602" s="2">
        <f>IFERROR(__xludf.DUMMYFUNCTION("""COMPUTED_VALUE"""),2402.29)</f>
        <v>2402.29</v>
      </c>
    </row>
    <row r="1603">
      <c r="A1603" s="10">
        <f t="shared" si="8"/>
        <v>39585.66667</v>
      </c>
      <c r="B1603" s="2" t="str">
        <f t="shared" si="2"/>
        <v/>
      </c>
      <c r="C1603" s="2" t="str">
        <f t="shared" si="3"/>
        <v>SP500</v>
      </c>
      <c r="D1603" s="2" t="str">
        <f t="shared" si="4"/>
        <v/>
      </c>
      <c r="E1603" s="2">
        <f t="shared" si="5"/>
        <v>2528.85</v>
      </c>
      <c r="G1603" s="10">
        <f t="shared" si="9"/>
        <v>39585.64583</v>
      </c>
      <c r="H1603" s="6" t="str">
        <f t="shared" si="6"/>
        <v/>
      </c>
      <c r="I1603" s="2">
        <f t="shared" si="7"/>
        <v>1888.88</v>
      </c>
      <c r="M1603" s="10">
        <f>IFERROR(__xludf.DUMMYFUNCTION("""COMPUTED_VALUE"""),40304.666666666664)</f>
        <v>40304.66667</v>
      </c>
      <c r="N1603" s="2">
        <f>IFERROR(__xludf.DUMMYFUNCTION("""COMPUTED_VALUE"""),2319.64)</f>
        <v>2319.64</v>
      </c>
    </row>
    <row r="1604">
      <c r="A1604" s="10">
        <f t="shared" si="8"/>
        <v>39586.66667</v>
      </c>
      <c r="B1604" s="2" t="str">
        <f t="shared" si="2"/>
        <v/>
      </c>
      <c r="C1604" s="2" t="str">
        <f t="shared" si="3"/>
        <v>SP500</v>
      </c>
      <c r="D1604" s="2" t="str">
        <f t="shared" si="4"/>
        <v/>
      </c>
      <c r="E1604" s="2">
        <f t="shared" si="5"/>
        <v>2528.85</v>
      </c>
      <c r="G1604" s="10">
        <f t="shared" si="9"/>
        <v>39586.64583</v>
      </c>
      <c r="H1604" s="6" t="str">
        <f t="shared" si="6"/>
        <v/>
      </c>
      <c r="I1604" s="2">
        <f t="shared" si="7"/>
        <v>1888.88</v>
      </c>
      <c r="M1604" s="10">
        <f>IFERROR(__xludf.DUMMYFUNCTION("""COMPUTED_VALUE"""),40305.666666666664)</f>
        <v>40305.66667</v>
      </c>
      <c r="N1604" s="2">
        <f>IFERROR(__xludf.DUMMYFUNCTION("""COMPUTED_VALUE"""),2265.64)</f>
        <v>2265.64</v>
      </c>
    </row>
    <row r="1605">
      <c r="A1605" s="10">
        <f t="shared" si="8"/>
        <v>39587.66667</v>
      </c>
      <c r="B1605" s="2" t="str">
        <f t="shared" si="2"/>
        <v/>
      </c>
      <c r="C1605" s="2" t="str">
        <f t="shared" si="3"/>
        <v>SP500</v>
      </c>
      <c r="D1605" s="2">
        <f t="shared" si="4"/>
        <v>2516.09</v>
      </c>
      <c r="E1605" s="2">
        <f t="shared" si="5"/>
        <v>2516.09</v>
      </c>
      <c r="G1605" s="10">
        <f t="shared" si="9"/>
        <v>39587.64583</v>
      </c>
      <c r="H1605" s="6">
        <f t="shared" si="6"/>
        <v>1885.37</v>
      </c>
      <c r="I1605" s="2">
        <f t="shared" si="7"/>
        <v>1885.37</v>
      </c>
      <c r="M1605" s="10">
        <f>IFERROR(__xludf.DUMMYFUNCTION("""COMPUTED_VALUE"""),40308.666666666664)</f>
        <v>40308.66667</v>
      </c>
      <c r="N1605" s="2">
        <f>IFERROR(__xludf.DUMMYFUNCTION("""COMPUTED_VALUE"""),2374.67)</f>
        <v>2374.67</v>
      </c>
    </row>
    <row r="1606">
      <c r="A1606" s="10">
        <f t="shared" si="8"/>
        <v>39588.66667</v>
      </c>
      <c r="B1606" s="2" t="str">
        <f t="shared" si="2"/>
        <v/>
      </c>
      <c r="C1606" s="2" t="str">
        <f t="shared" si="3"/>
        <v>SP500</v>
      </c>
      <c r="D1606" s="2">
        <f t="shared" si="4"/>
        <v>2492.26</v>
      </c>
      <c r="E1606" s="2">
        <f t="shared" si="5"/>
        <v>2492.26</v>
      </c>
      <c r="G1606" s="10">
        <f t="shared" si="9"/>
        <v>39588.64583</v>
      </c>
      <c r="H1606" s="6">
        <f t="shared" si="6"/>
        <v>1873.15</v>
      </c>
      <c r="I1606" s="2">
        <f t="shared" si="7"/>
        <v>1873.15</v>
      </c>
      <c r="M1606" s="10">
        <f>IFERROR(__xludf.DUMMYFUNCTION("""COMPUTED_VALUE"""),40309.666666666664)</f>
        <v>40309.66667</v>
      </c>
      <c r="N1606" s="2">
        <f>IFERROR(__xludf.DUMMYFUNCTION("""COMPUTED_VALUE"""),2375.31)</f>
        <v>2375.31</v>
      </c>
    </row>
    <row r="1607">
      <c r="A1607" s="10">
        <f t="shared" si="8"/>
        <v>39589.66667</v>
      </c>
      <c r="B1607" s="2" t="str">
        <f t="shared" si="2"/>
        <v/>
      </c>
      <c r="C1607" s="2" t="str">
        <f t="shared" si="3"/>
        <v>SP500</v>
      </c>
      <c r="D1607" s="2">
        <f t="shared" si="4"/>
        <v>2448.27</v>
      </c>
      <c r="E1607" s="2">
        <f t="shared" si="5"/>
        <v>2448.27</v>
      </c>
      <c r="G1607" s="10">
        <f t="shared" si="9"/>
        <v>39589.64583</v>
      </c>
      <c r="H1607" s="6">
        <f t="shared" si="6"/>
        <v>1847.51</v>
      </c>
      <c r="I1607" s="2">
        <f t="shared" si="7"/>
        <v>1847.51</v>
      </c>
      <c r="M1607" s="10">
        <f>IFERROR(__xludf.DUMMYFUNCTION("""COMPUTED_VALUE"""),40310.666666666664)</f>
        <v>40310.66667</v>
      </c>
      <c r="N1607" s="2">
        <f>IFERROR(__xludf.DUMMYFUNCTION("""COMPUTED_VALUE"""),2425.02)</f>
        <v>2425.02</v>
      </c>
    </row>
    <row r="1608">
      <c r="A1608" s="10">
        <f t="shared" si="8"/>
        <v>39590.66667</v>
      </c>
      <c r="B1608" s="2" t="str">
        <f t="shared" si="2"/>
        <v/>
      </c>
      <c r="C1608" s="2" t="str">
        <f t="shared" si="3"/>
        <v>SP500</v>
      </c>
      <c r="D1608" s="2">
        <f t="shared" si="4"/>
        <v>2464.58</v>
      </c>
      <c r="E1608" s="2">
        <f t="shared" si="5"/>
        <v>2464.58</v>
      </c>
      <c r="G1608" s="10">
        <f t="shared" si="9"/>
        <v>39590.64583</v>
      </c>
      <c r="H1608" s="6">
        <f t="shared" si="6"/>
        <v>1835.42</v>
      </c>
      <c r="I1608" s="2">
        <f t="shared" si="7"/>
        <v>1835.42</v>
      </c>
      <c r="M1608" s="10">
        <f>IFERROR(__xludf.DUMMYFUNCTION("""COMPUTED_VALUE"""),40311.666666666664)</f>
        <v>40311.66667</v>
      </c>
      <c r="N1608" s="2">
        <f>IFERROR(__xludf.DUMMYFUNCTION("""COMPUTED_VALUE"""),2394.36)</f>
        <v>2394.36</v>
      </c>
    </row>
    <row r="1609">
      <c r="A1609" s="10">
        <f t="shared" si="8"/>
        <v>39591.66667</v>
      </c>
      <c r="B1609" s="2" t="str">
        <f t="shared" si="2"/>
        <v/>
      </c>
      <c r="C1609" s="2" t="str">
        <f t="shared" si="3"/>
        <v>SP500</v>
      </c>
      <c r="D1609" s="2">
        <f t="shared" si="4"/>
        <v>2444.67</v>
      </c>
      <c r="E1609" s="2">
        <f t="shared" si="5"/>
        <v>2444.67</v>
      </c>
      <c r="G1609" s="10">
        <f t="shared" si="9"/>
        <v>39591.64583</v>
      </c>
      <c r="H1609" s="6">
        <f t="shared" si="6"/>
        <v>1827.94</v>
      </c>
      <c r="I1609" s="2">
        <f t="shared" si="7"/>
        <v>1827.94</v>
      </c>
      <c r="M1609" s="10">
        <f>IFERROR(__xludf.DUMMYFUNCTION("""COMPUTED_VALUE"""),40312.666666666664)</f>
        <v>40312.66667</v>
      </c>
      <c r="N1609" s="2">
        <f>IFERROR(__xludf.DUMMYFUNCTION("""COMPUTED_VALUE"""),2346.85)</f>
        <v>2346.85</v>
      </c>
    </row>
    <row r="1610">
      <c r="A1610" s="10">
        <f t="shared" si="8"/>
        <v>39592.66667</v>
      </c>
      <c r="B1610" s="2" t="str">
        <f t="shared" si="2"/>
        <v/>
      </c>
      <c r="C1610" s="2" t="str">
        <f t="shared" si="3"/>
        <v>SP500</v>
      </c>
      <c r="D1610" s="2" t="str">
        <f t="shared" si="4"/>
        <v/>
      </c>
      <c r="E1610" s="2">
        <f t="shared" si="5"/>
        <v>2444.67</v>
      </c>
      <c r="G1610" s="10">
        <f t="shared" si="9"/>
        <v>39592.64583</v>
      </c>
      <c r="H1610" s="6" t="str">
        <f t="shared" si="6"/>
        <v/>
      </c>
      <c r="I1610" s="2">
        <f t="shared" si="7"/>
        <v>1827.94</v>
      </c>
      <c r="M1610" s="10">
        <f>IFERROR(__xludf.DUMMYFUNCTION("""COMPUTED_VALUE"""),40315.666666666664)</f>
        <v>40315.66667</v>
      </c>
      <c r="N1610" s="2">
        <f>IFERROR(__xludf.DUMMYFUNCTION("""COMPUTED_VALUE"""),2354.23)</f>
        <v>2354.23</v>
      </c>
    </row>
    <row r="1611">
      <c r="A1611" s="10">
        <f t="shared" si="8"/>
        <v>39593.66667</v>
      </c>
      <c r="B1611" s="2" t="str">
        <f t="shared" si="2"/>
        <v/>
      </c>
      <c r="C1611" s="2" t="str">
        <f t="shared" si="3"/>
        <v>SP500</v>
      </c>
      <c r="D1611" s="2" t="str">
        <f t="shared" si="4"/>
        <v/>
      </c>
      <c r="E1611" s="2">
        <f t="shared" si="5"/>
        <v>2444.67</v>
      </c>
      <c r="G1611" s="10">
        <f t="shared" si="9"/>
        <v>39593.64583</v>
      </c>
      <c r="H1611" s="6" t="str">
        <f t="shared" si="6"/>
        <v/>
      </c>
      <c r="I1611" s="2">
        <f t="shared" si="7"/>
        <v>1827.94</v>
      </c>
      <c r="M1611" s="10">
        <f>IFERROR(__xludf.DUMMYFUNCTION("""COMPUTED_VALUE"""),40316.666666666664)</f>
        <v>40316.66667</v>
      </c>
      <c r="N1611" s="2">
        <f>IFERROR(__xludf.DUMMYFUNCTION("""COMPUTED_VALUE"""),2317.26)</f>
        <v>2317.26</v>
      </c>
    </row>
    <row r="1612">
      <c r="A1612" s="10">
        <f t="shared" si="8"/>
        <v>39594.66667</v>
      </c>
      <c r="B1612" s="2" t="str">
        <f t="shared" si="2"/>
        <v/>
      </c>
      <c r="C1612" s="2" t="str">
        <f t="shared" si="3"/>
        <v>SP500</v>
      </c>
      <c r="D1612" s="2" t="str">
        <f t="shared" si="4"/>
        <v/>
      </c>
      <c r="E1612" s="2">
        <f t="shared" si="5"/>
        <v>2444.67</v>
      </c>
      <c r="G1612" s="10">
        <f t="shared" si="9"/>
        <v>39594.64583</v>
      </c>
      <c r="H1612" s="6">
        <f t="shared" si="6"/>
        <v>1800.58</v>
      </c>
      <c r="I1612" s="2">
        <f t="shared" si="7"/>
        <v>1800.58</v>
      </c>
      <c r="M1612" s="10">
        <f>IFERROR(__xludf.DUMMYFUNCTION("""COMPUTED_VALUE"""),40317.666666666664)</f>
        <v>40317.66667</v>
      </c>
      <c r="N1612" s="2">
        <f>IFERROR(__xludf.DUMMYFUNCTION("""COMPUTED_VALUE"""),2298.37)</f>
        <v>2298.37</v>
      </c>
    </row>
    <row r="1613">
      <c r="A1613" s="10">
        <f t="shared" si="8"/>
        <v>39595.66667</v>
      </c>
      <c r="B1613" s="2" t="str">
        <f t="shared" si="2"/>
        <v/>
      </c>
      <c r="C1613" s="2" t="str">
        <f t="shared" si="3"/>
        <v>SP500</v>
      </c>
      <c r="D1613" s="2">
        <f t="shared" si="4"/>
        <v>2481.24</v>
      </c>
      <c r="E1613" s="2">
        <f t="shared" si="5"/>
        <v>2481.24</v>
      </c>
      <c r="G1613" s="10">
        <f t="shared" si="9"/>
        <v>39595.64583</v>
      </c>
      <c r="H1613" s="6">
        <f t="shared" si="6"/>
        <v>1825.23</v>
      </c>
      <c r="I1613" s="2">
        <f t="shared" si="7"/>
        <v>1825.23</v>
      </c>
      <c r="M1613" s="10">
        <f>IFERROR(__xludf.DUMMYFUNCTION("""COMPUTED_VALUE"""),40318.666666666664)</f>
        <v>40318.66667</v>
      </c>
      <c r="N1613" s="2">
        <f>IFERROR(__xludf.DUMMYFUNCTION("""COMPUTED_VALUE"""),2204.01)</f>
        <v>2204.01</v>
      </c>
    </row>
    <row r="1614">
      <c r="A1614" s="10">
        <f t="shared" si="8"/>
        <v>39596.66667</v>
      </c>
      <c r="B1614" s="2" t="str">
        <f t="shared" si="2"/>
        <v/>
      </c>
      <c r="C1614" s="2" t="str">
        <f t="shared" si="3"/>
        <v>SP500</v>
      </c>
      <c r="D1614" s="2">
        <f t="shared" si="4"/>
        <v>2486.7</v>
      </c>
      <c r="E1614" s="2">
        <f t="shared" si="5"/>
        <v>2486.7</v>
      </c>
      <c r="G1614" s="10">
        <f t="shared" si="9"/>
        <v>39596.64583</v>
      </c>
      <c r="H1614" s="6">
        <f t="shared" si="6"/>
        <v>1805.64</v>
      </c>
      <c r="I1614" s="2">
        <f t="shared" si="7"/>
        <v>1805.64</v>
      </c>
      <c r="M1614" s="10">
        <f>IFERROR(__xludf.DUMMYFUNCTION("""COMPUTED_VALUE"""),40319.666666666664)</f>
        <v>40319.66667</v>
      </c>
      <c r="N1614" s="2">
        <f>IFERROR(__xludf.DUMMYFUNCTION("""COMPUTED_VALUE"""),2229.04)</f>
        <v>2229.04</v>
      </c>
    </row>
    <row r="1615">
      <c r="A1615" s="10">
        <f t="shared" si="8"/>
        <v>39597.66667</v>
      </c>
      <c r="B1615" s="2" t="str">
        <f t="shared" si="2"/>
        <v/>
      </c>
      <c r="C1615" s="2" t="str">
        <f t="shared" si="3"/>
        <v>SP500</v>
      </c>
      <c r="D1615" s="2">
        <f t="shared" si="4"/>
        <v>2508.32</v>
      </c>
      <c r="E1615" s="2">
        <f t="shared" si="5"/>
        <v>2508.32</v>
      </c>
      <c r="G1615" s="10">
        <f t="shared" si="9"/>
        <v>39597.64583</v>
      </c>
      <c r="H1615" s="6">
        <f t="shared" si="6"/>
        <v>1841.22</v>
      </c>
      <c r="I1615" s="2">
        <f t="shared" si="7"/>
        <v>1841.22</v>
      </c>
      <c r="M1615" s="10">
        <f>IFERROR(__xludf.DUMMYFUNCTION("""COMPUTED_VALUE"""),40322.666666666664)</f>
        <v>40322.66667</v>
      </c>
      <c r="N1615" s="2">
        <f>IFERROR(__xludf.DUMMYFUNCTION("""COMPUTED_VALUE"""),2213.55)</f>
        <v>2213.55</v>
      </c>
    </row>
    <row r="1616">
      <c r="A1616" s="10">
        <f t="shared" si="8"/>
        <v>39598.66667</v>
      </c>
      <c r="B1616" s="2" t="str">
        <f t="shared" si="2"/>
        <v/>
      </c>
      <c r="C1616" s="2" t="str">
        <f t="shared" si="3"/>
        <v>SP500</v>
      </c>
      <c r="D1616" s="2">
        <f t="shared" si="4"/>
        <v>2522.66</v>
      </c>
      <c r="E1616" s="2">
        <f t="shared" si="5"/>
        <v>2522.66</v>
      </c>
      <c r="G1616" s="10">
        <f t="shared" si="9"/>
        <v>39598.64583</v>
      </c>
      <c r="H1616" s="6">
        <f t="shared" si="6"/>
        <v>1852.02</v>
      </c>
      <c r="I1616" s="2">
        <f t="shared" si="7"/>
        <v>1852.02</v>
      </c>
      <c r="M1616" s="10">
        <f>IFERROR(__xludf.DUMMYFUNCTION("""COMPUTED_VALUE"""),40323.666666666664)</f>
        <v>40323.66667</v>
      </c>
      <c r="N1616" s="2">
        <f>IFERROR(__xludf.DUMMYFUNCTION("""COMPUTED_VALUE"""),2210.95)</f>
        <v>2210.95</v>
      </c>
    </row>
    <row r="1617">
      <c r="A1617" s="10">
        <f t="shared" si="8"/>
        <v>39599.66667</v>
      </c>
      <c r="B1617" s="2" t="str">
        <f t="shared" si="2"/>
        <v/>
      </c>
      <c r="C1617" s="2" t="str">
        <f t="shared" si="3"/>
        <v>SP500</v>
      </c>
      <c r="D1617" s="2" t="str">
        <f t="shared" si="4"/>
        <v/>
      </c>
      <c r="E1617" s="2">
        <f t="shared" si="5"/>
        <v>2522.66</v>
      </c>
      <c r="G1617" s="10">
        <f t="shared" si="9"/>
        <v>39599.64583</v>
      </c>
      <c r="H1617" s="6" t="str">
        <f t="shared" si="6"/>
        <v/>
      </c>
      <c r="I1617" s="2">
        <f t="shared" si="7"/>
        <v>1852.02</v>
      </c>
      <c r="M1617" s="10">
        <f>IFERROR(__xludf.DUMMYFUNCTION("""COMPUTED_VALUE"""),40324.666666666664)</f>
        <v>40324.66667</v>
      </c>
      <c r="N1617" s="2">
        <f>IFERROR(__xludf.DUMMYFUNCTION("""COMPUTED_VALUE"""),2195.88)</f>
        <v>2195.88</v>
      </c>
    </row>
    <row r="1618">
      <c r="A1618" s="10">
        <f t="shared" si="8"/>
        <v>39600.66667</v>
      </c>
      <c r="B1618" s="2" t="str">
        <f t="shared" si="2"/>
        <v/>
      </c>
      <c r="C1618" s="2" t="str">
        <f t="shared" si="3"/>
        <v>SP500</v>
      </c>
      <c r="D1618" s="2" t="str">
        <f t="shared" si="4"/>
        <v/>
      </c>
      <c r="E1618" s="2">
        <f t="shared" si="5"/>
        <v>2522.66</v>
      </c>
      <c r="G1618" s="10">
        <f t="shared" si="9"/>
        <v>39600.64583</v>
      </c>
      <c r="H1618" s="6" t="str">
        <f t="shared" si="6"/>
        <v/>
      </c>
      <c r="I1618" s="2">
        <f t="shared" si="7"/>
        <v>1852.02</v>
      </c>
      <c r="M1618" s="10">
        <f>IFERROR(__xludf.DUMMYFUNCTION("""COMPUTED_VALUE"""),40325.666666666664)</f>
        <v>40325.66667</v>
      </c>
      <c r="N1618" s="2">
        <f>IFERROR(__xludf.DUMMYFUNCTION("""COMPUTED_VALUE"""),2277.68)</f>
        <v>2277.68</v>
      </c>
    </row>
    <row r="1619">
      <c r="A1619" s="10">
        <f t="shared" si="8"/>
        <v>39601.66667</v>
      </c>
      <c r="B1619" s="2" t="str">
        <f t="shared" si="2"/>
        <v/>
      </c>
      <c r="C1619" s="2" t="str">
        <f t="shared" si="3"/>
        <v>SP500</v>
      </c>
      <c r="D1619" s="2">
        <f t="shared" si="4"/>
        <v>2491.53</v>
      </c>
      <c r="E1619" s="2">
        <f t="shared" si="5"/>
        <v>2491.53</v>
      </c>
      <c r="G1619" s="10">
        <f t="shared" si="9"/>
        <v>39601.64583</v>
      </c>
      <c r="H1619" s="6">
        <f t="shared" si="6"/>
        <v>1847.53</v>
      </c>
      <c r="I1619" s="2">
        <f t="shared" si="7"/>
        <v>1847.53</v>
      </c>
      <c r="M1619" s="10">
        <f>IFERROR(__xludf.DUMMYFUNCTION("""COMPUTED_VALUE"""),40326.666666666664)</f>
        <v>40326.66667</v>
      </c>
      <c r="N1619" s="2">
        <f>IFERROR(__xludf.DUMMYFUNCTION("""COMPUTED_VALUE"""),2257.04)</f>
        <v>2257.04</v>
      </c>
    </row>
    <row r="1620">
      <c r="A1620" s="10">
        <f t="shared" si="8"/>
        <v>39602.66667</v>
      </c>
      <c r="B1620" s="2" t="str">
        <f t="shared" si="2"/>
        <v/>
      </c>
      <c r="C1620" s="2" t="str">
        <f t="shared" si="3"/>
        <v>SP500</v>
      </c>
      <c r="D1620" s="2">
        <f t="shared" si="4"/>
        <v>2480.48</v>
      </c>
      <c r="E1620" s="2">
        <f t="shared" si="5"/>
        <v>2480.48</v>
      </c>
      <c r="G1620" s="10">
        <f t="shared" si="9"/>
        <v>39602.64583</v>
      </c>
      <c r="H1620" s="6">
        <f t="shared" si="6"/>
        <v>1819.39</v>
      </c>
      <c r="I1620" s="2">
        <f t="shared" si="7"/>
        <v>1819.39</v>
      </c>
      <c r="M1620" s="10">
        <f>IFERROR(__xludf.DUMMYFUNCTION("""COMPUTED_VALUE"""),40330.666666666664)</f>
        <v>40330.66667</v>
      </c>
      <c r="N1620" s="2">
        <f>IFERROR(__xludf.DUMMYFUNCTION("""COMPUTED_VALUE"""),2222.33)</f>
        <v>2222.33</v>
      </c>
    </row>
    <row r="1621">
      <c r="A1621" s="10">
        <f t="shared" si="8"/>
        <v>39603.66667</v>
      </c>
      <c r="B1621" s="2" t="str">
        <f t="shared" si="2"/>
        <v/>
      </c>
      <c r="C1621" s="2" t="str">
        <f t="shared" si="3"/>
        <v>SP500</v>
      </c>
      <c r="D1621" s="2">
        <f t="shared" si="4"/>
        <v>2503.14</v>
      </c>
      <c r="E1621" s="2">
        <f t="shared" si="5"/>
        <v>2503.14</v>
      </c>
      <c r="G1621" s="10">
        <f t="shared" si="9"/>
        <v>39603.64583</v>
      </c>
      <c r="H1621" s="6">
        <f t="shared" si="6"/>
        <v>1833.81</v>
      </c>
      <c r="I1621" s="2">
        <f t="shared" si="7"/>
        <v>1833.81</v>
      </c>
      <c r="M1621" s="10">
        <f>IFERROR(__xludf.DUMMYFUNCTION("""COMPUTED_VALUE"""),40331.666666666664)</f>
        <v>40331.66667</v>
      </c>
      <c r="N1621" s="2">
        <f>IFERROR(__xludf.DUMMYFUNCTION("""COMPUTED_VALUE"""),2281.07)</f>
        <v>2281.07</v>
      </c>
    </row>
    <row r="1622">
      <c r="A1622" s="10">
        <f t="shared" si="8"/>
        <v>39604.66667</v>
      </c>
      <c r="B1622" s="2" t="str">
        <f t="shared" si="2"/>
        <v/>
      </c>
      <c r="C1622" s="2" t="str">
        <f t="shared" si="3"/>
        <v>SP500</v>
      </c>
      <c r="D1622" s="2">
        <f t="shared" si="4"/>
        <v>2549.94</v>
      </c>
      <c r="E1622" s="2">
        <f t="shared" si="5"/>
        <v>2549.94</v>
      </c>
      <c r="G1622" s="10">
        <f t="shared" si="9"/>
        <v>39604.64583</v>
      </c>
      <c r="H1622" s="6">
        <f t="shared" si="6"/>
        <v>1832.31</v>
      </c>
      <c r="I1622" s="2">
        <f t="shared" si="7"/>
        <v>1832.31</v>
      </c>
      <c r="M1622" s="10">
        <f>IFERROR(__xludf.DUMMYFUNCTION("""COMPUTED_VALUE"""),40332.666666666664)</f>
        <v>40332.66667</v>
      </c>
      <c r="N1622" s="2">
        <f>IFERROR(__xludf.DUMMYFUNCTION("""COMPUTED_VALUE"""),2303.03)</f>
        <v>2303.03</v>
      </c>
    </row>
    <row r="1623">
      <c r="A1623" s="10">
        <f t="shared" si="8"/>
        <v>39605.66667</v>
      </c>
      <c r="B1623" s="2" t="str">
        <f t="shared" si="2"/>
        <v/>
      </c>
      <c r="C1623" s="2" t="str">
        <f t="shared" si="3"/>
        <v>SP500</v>
      </c>
      <c r="D1623" s="2">
        <f t="shared" si="4"/>
        <v>2474.56</v>
      </c>
      <c r="E1623" s="2">
        <f t="shared" si="5"/>
        <v>2474.56</v>
      </c>
      <c r="G1623" s="10">
        <f t="shared" si="9"/>
        <v>39605.64583</v>
      </c>
      <c r="H1623" s="6" t="str">
        <f t="shared" si="6"/>
        <v/>
      </c>
      <c r="I1623" s="2">
        <f t="shared" si="7"/>
        <v>1832.31</v>
      </c>
      <c r="M1623" s="10">
        <f>IFERROR(__xludf.DUMMYFUNCTION("""COMPUTED_VALUE"""),40333.666666666664)</f>
        <v>40333.66667</v>
      </c>
      <c r="N1623" s="2">
        <f>IFERROR(__xludf.DUMMYFUNCTION("""COMPUTED_VALUE"""),2219.17)</f>
        <v>2219.17</v>
      </c>
    </row>
    <row r="1624">
      <c r="A1624" s="10">
        <f t="shared" si="8"/>
        <v>39606.66667</v>
      </c>
      <c r="B1624" s="2" t="str">
        <f t="shared" si="2"/>
        <v/>
      </c>
      <c r="C1624" s="2" t="str">
        <f t="shared" si="3"/>
        <v>SP500</v>
      </c>
      <c r="D1624" s="2" t="str">
        <f t="shared" si="4"/>
        <v/>
      </c>
      <c r="E1624" s="2">
        <f t="shared" si="5"/>
        <v>2474.56</v>
      </c>
      <c r="G1624" s="10">
        <f t="shared" si="9"/>
        <v>39606.64583</v>
      </c>
      <c r="H1624" s="6" t="str">
        <f t="shared" si="6"/>
        <v/>
      </c>
      <c r="I1624" s="2">
        <f t="shared" si="7"/>
        <v>1832.31</v>
      </c>
      <c r="M1624" s="10">
        <f>IFERROR(__xludf.DUMMYFUNCTION("""COMPUTED_VALUE"""),40336.666666666664)</f>
        <v>40336.66667</v>
      </c>
      <c r="N1624" s="2">
        <f>IFERROR(__xludf.DUMMYFUNCTION("""COMPUTED_VALUE"""),2173.9)</f>
        <v>2173.9</v>
      </c>
    </row>
    <row r="1625">
      <c r="A1625" s="10">
        <f t="shared" si="8"/>
        <v>39607.66667</v>
      </c>
      <c r="B1625" s="2" t="str">
        <f t="shared" si="2"/>
        <v/>
      </c>
      <c r="C1625" s="2" t="str">
        <f t="shared" si="3"/>
        <v>SP500</v>
      </c>
      <c r="D1625" s="2" t="str">
        <f t="shared" si="4"/>
        <v/>
      </c>
      <c r="E1625" s="2">
        <f t="shared" si="5"/>
        <v>2474.56</v>
      </c>
      <c r="G1625" s="10">
        <f t="shared" si="9"/>
        <v>39607.64583</v>
      </c>
      <c r="H1625" s="6" t="str">
        <f t="shared" si="6"/>
        <v/>
      </c>
      <c r="I1625" s="2">
        <f t="shared" si="7"/>
        <v>1832.31</v>
      </c>
      <c r="M1625" s="10">
        <f>IFERROR(__xludf.DUMMYFUNCTION("""COMPUTED_VALUE"""),40337.666666666664)</f>
        <v>40337.66667</v>
      </c>
      <c r="N1625" s="2">
        <f>IFERROR(__xludf.DUMMYFUNCTION("""COMPUTED_VALUE"""),2170.57)</f>
        <v>2170.57</v>
      </c>
    </row>
    <row r="1626">
      <c r="A1626" s="10">
        <f t="shared" si="8"/>
        <v>39608.66667</v>
      </c>
      <c r="B1626" s="2" t="str">
        <f t="shared" si="2"/>
        <v/>
      </c>
      <c r="C1626" s="2" t="str">
        <f t="shared" si="3"/>
        <v>SP500</v>
      </c>
      <c r="D1626" s="2">
        <f t="shared" si="4"/>
        <v>2459.46</v>
      </c>
      <c r="E1626" s="2">
        <f t="shared" si="5"/>
        <v>2459.46</v>
      </c>
      <c r="G1626" s="10">
        <f t="shared" si="9"/>
        <v>39608.64583</v>
      </c>
      <c r="H1626" s="6">
        <f t="shared" si="6"/>
        <v>1808.96</v>
      </c>
      <c r="I1626" s="2">
        <f t="shared" si="7"/>
        <v>1808.96</v>
      </c>
      <c r="M1626" s="10">
        <f>IFERROR(__xludf.DUMMYFUNCTION("""COMPUTED_VALUE"""),40338.666666666664)</f>
        <v>40338.66667</v>
      </c>
      <c r="N1626" s="2">
        <f>IFERROR(__xludf.DUMMYFUNCTION("""COMPUTED_VALUE"""),2158.85)</f>
        <v>2158.85</v>
      </c>
    </row>
    <row r="1627">
      <c r="A1627" s="10">
        <f t="shared" si="8"/>
        <v>39609.66667</v>
      </c>
      <c r="B1627" s="2" t="str">
        <f t="shared" si="2"/>
        <v/>
      </c>
      <c r="C1627" s="2" t="str">
        <f t="shared" si="3"/>
        <v>SP500</v>
      </c>
      <c r="D1627" s="2">
        <f t="shared" si="4"/>
        <v>2448.94</v>
      </c>
      <c r="E1627" s="2">
        <f t="shared" si="5"/>
        <v>2448.94</v>
      </c>
      <c r="G1627" s="10">
        <f t="shared" si="9"/>
        <v>39609.64583</v>
      </c>
      <c r="H1627" s="6">
        <f t="shared" si="6"/>
        <v>1774.38</v>
      </c>
      <c r="I1627" s="2">
        <f t="shared" si="7"/>
        <v>1774.38</v>
      </c>
      <c r="M1627" s="10">
        <f>IFERROR(__xludf.DUMMYFUNCTION("""COMPUTED_VALUE"""),40339.666666666664)</f>
        <v>40339.66667</v>
      </c>
      <c r="N1627" s="2">
        <f>IFERROR(__xludf.DUMMYFUNCTION("""COMPUTED_VALUE"""),2218.71)</f>
        <v>2218.71</v>
      </c>
    </row>
    <row r="1628">
      <c r="A1628" s="10">
        <f t="shared" si="8"/>
        <v>39610.66667</v>
      </c>
      <c r="B1628" s="2" t="str">
        <f t="shared" si="2"/>
        <v/>
      </c>
      <c r="C1628" s="2" t="str">
        <f t="shared" si="3"/>
        <v>SP500</v>
      </c>
      <c r="D1628" s="2">
        <f t="shared" si="4"/>
        <v>2394.01</v>
      </c>
      <c r="E1628" s="2">
        <f t="shared" si="5"/>
        <v>2394.01</v>
      </c>
      <c r="G1628" s="10">
        <f t="shared" si="9"/>
        <v>39610.64583</v>
      </c>
      <c r="H1628" s="6">
        <f t="shared" si="6"/>
        <v>1781.67</v>
      </c>
      <c r="I1628" s="2">
        <f t="shared" si="7"/>
        <v>1781.67</v>
      </c>
      <c r="M1628" s="10">
        <f>IFERROR(__xludf.DUMMYFUNCTION("""COMPUTED_VALUE"""),40340.666666666664)</f>
        <v>40340.66667</v>
      </c>
      <c r="N1628" s="2">
        <f>IFERROR(__xludf.DUMMYFUNCTION("""COMPUTED_VALUE"""),2243.6)</f>
        <v>2243.6</v>
      </c>
    </row>
    <row r="1629">
      <c r="A1629" s="10">
        <f t="shared" si="8"/>
        <v>39611.66667</v>
      </c>
      <c r="B1629" s="2" t="str">
        <f t="shared" si="2"/>
        <v/>
      </c>
      <c r="C1629" s="2" t="str">
        <f t="shared" si="3"/>
        <v>SP500</v>
      </c>
      <c r="D1629" s="2">
        <f t="shared" si="4"/>
        <v>2404.35</v>
      </c>
      <c r="E1629" s="2">
        <f t="shared" si="5"/>
        <v>2404.35</v>
      </c>
      <c r="G1629" s="10">
        <f t="shared" si="9"/>
        <v>39611.64583</v>
      </c>
      <c r="H1629" s="6">
        <f t="shared" si="6"/>
        <v>1739.36</v>
      </c>
      <c r="I1629" s="2">
        <f t="shared" si="7"/>
        <v>1739.36</v>
      </c>
      <c r="M1629" s="10">
        <f>IFERROR(__xludf.DUMMYFUNCTION("""COMPUTED_VALUE"""),40343.666666666664)</f>
        <v>40343.66667</v>
      </c>
      <c r="N1629" s="2">
        <f>IFERROR(__xludf.DUMMYFUNCTION("""COMPUTED_VALUE"""),2243.96)</f>
        <v>2243.96</v>
      </c>
    </row>
    <row r="1630">
      <c r="A1630" s="10">
        <f t="shared" si="8"/>
        <v>39612.66667</v>
      </c>
      <c r="B1630" s="2" t="str">
        <f t="shared" si="2"/>
        <v/>
      </c>
      <c r="C1630" s="2" t="str">
        <f t="shared" si="3"/>
        <v>SP500</v>
      </c>
      <c r="D1630" s="2">
        <f t="shared" si="4"/>
        <v>2454.5</v>
      </c>
      <c r="E1630" s="2">
        <f t="shared" si="5"/>
        <v>2454.5</v>
      </c>
      <c r="G1630" s="10">
        <f t="shared" si="9"/>
        <v>39612.64583</v>
      </c>
      <c r="H1630" s="6">
        <f t="shared" si="6"/>
        <v>1747.35</v>
      </c>
      <c r="I1630" s="2">
        <f t="shared" si="7"/>
        <v>1747.35</v>
      </c>
      <c r="M1630" s="10">
        <f>IFERROR(__xludf.DUMMYFUNCTION("""COMPUTED_VALUE"""),40344.666666666664)</f>
        <v>40344.66667</v>
      </c>
      <c r="N1630" s="2">
        <f>IFERROR(__xludf.DUMMYFUNCTION("""COMPUTED_VALUE"""),2305.88)</f>
        <v>2305.88</v>
      </c>
    </row>
    <row r="1631">
      <c r="A1631" s="10">
        <f t="shared" si="8"/>
        <v>39613.66667</v>
      </c>
      <c r="B1631" s="2" t="str">
        <f t="shared" si="2"/>
        <v/>
      </c>
      <c r="C1631" s="2" t="str">
        <f t="shared" si="3"/>
        <v>SP500</v>
      </c>
      <c r="D1631" s="2" t="str">
        <f t="shared" si="4"/>
        <v/>
      </c>
      <c r="E1631" s="2">
        <f t="shared" si="5"/>
        <v>2454.5</v>
      </c>
      <c r="G1631" s="10">
        <f t="shared" si="9"/>
        <v>39613.64583</v>
      </c>
      <c r="H1631" s="6" t="str">
        <f t="shared" si="6"/>
        <v/>
      </c>
      <c r="I1631" s="2">
        <f t="shared" si="7"/>
        <v>1747.35</v>
      </c>
      <c r="M1631" s="10">
        <f>IFERROR(__xludf.DUMMYFUNCTION("""COMPUTED_VALUE"""),40345.666666666664)</f>
        <v>40345.66667</v>
      </c>
      <c r="N1631" s="2">
        <f>IFERROR(__xludf.DUMMYFUNCTION("""COMPUTED_VALUE"""),2305.93)</f>
        <v>2305.93</v>
      </c>
    </row>
    <row r="1632">
      <c r="A1632" s="10">
        <f t="shared" si="8"/>
        <v>39614.66667</v>
      </c>
      <c r="B1632" s="2" t="str">
        <f t="shared" si="2"/>
        <v/>
      </c>
      <c r="C1632" s="2" t="str">
        <f t="shared" si="3"/>
        <v>SP500</v>
      </c>
      <c r="D1632" s="2" t="str">
        <f t="shared" si="4"/>
        <v/>
      </c>
      <c r="E1632" s="2">
        <f t="shared" si="5"/>
        <v>2454.5</v>
      </c>
      <c r="G1632" s="10">
        <f t="shared" si="9"/>
        <v>39614.64583</v>
      </c>
      <c r="H1632" s="6" t="str">
        <f t="shared" si="6"/>
        <v/>
      </c>
      <c r="I1632" s="2">
        <f t="shared" si="7"/>
        <v>1747.35</v>
      </c>
      <c r="M1632" s="10">
        <f>IFERROR(__xludf.DUMMYFUNCTION("""COMPUTED_VALUE"""),40346.666666666664)</f>
        <v>40346.66667</v>
      </c>
      <c r="N1632" s="2">
        <f>IFERROR(__xludf.DUMMYFUNCTION("""COMPUTED_VALUE"""),2307.16)</f>
        <v>2307.16</v>
      </c>
    </row>
    <row r="1633">
      <c r="A1633" s="10">
        <f t="shared" si="8"/>
        <v>39615.66667</v>
      </c>
      <c r="B1633" s="2" t="str">
        <f t="shared" si="2"/>
        <v/>
      </c>
      <c r="C1633" s="2" t="str">
        <f t="shared" si="3"/>
        <v>SP500</v>
      </c>
      <c r="D1633" s="2">
        <f t="shared" si="4"/>
        <v>2474.78</v>
      </c>
      <c r="E1633" s="2">
        <f t="shared" si="5"/>
        <v>2474.78</v>
      </c>
      <c r="G1633" s="10">
        <f t="shared" si="9"/>
        <v>39615.64583</v>
      </c>
      <c r="H1633" s="6">
        <f t="shared" si="6"/>
        <v>1760.82</v>
      </c>
      <c r="I1633" s="2">
        <f t="shared" si="7"/>
        <v>1760.82</v>
      </c>
      <c r="M1633" s="10">
        <f>IFERROR(__xludf.DUMMYFUNCTION("""COMPUTED_VALUE"""),40347.666666666664)</f>
        <v>40347.66667</v>
      </c>
      <c r="N1633" s="2">
        <f>IFERROR(__xludf.DUMMYFUNCTION("""COMPUTED_VALUE"""),2309.8)</f>
        <v>2309.8</v>
      </c>
    </row>
    <row r="1634">
      <c r="A1634" s="10">
        <f t="shared" si="8"/>
        <v>39616.66667</v>
      </c>
      <c r="B1634" s="2" t="str">
        <f t="shared" si="2"/>
        <v/>
      </c>
      <c r="C1634" s="2" t="str">
        <f t="shared" si="3"/>
        <v>SP500</v>
      </c>
      <c r="D1634" s="2">
        <f t="shared" si="4"/>
        <v>2457.73</v>
      </c>
      <c r="E1634" s="2">
        <f t="shared" si="5"/>
        <v>2457.73</v>
      </c>
      <c r="G1634" s="10">
        <f t="shared" si="9"/>
        <v>39616.64583</v>
      </c>
      <c r="H1634" s="6">
        <f t="shared" si="6"/>
        <v>1750.71</v>
      </c>
      <c r="I1634" s="2">
        <f t="shared" si="7"/>
        <v>1750.71</v>
      </c>
      <c r="M1634" s="10">
        <f>IFERROR(__xludf.DUMMYFUNCTION("""COMPUTED_VALUE"""),40350.666666666664)</f>
        <v>40350.66667</v>
      </c>
      <c r="N1634" s="2">
        <f>IFERROR(__xludf.DUMMYFUNCTION("""COMPUTED_VALUE"""),2289.09)</f>
        <v>2289.09</v>
      </c>
    </row>
    <row r="1635">
      <c r="A1635" s="10">
        <f t="shared" si="8"/>
        <v>39617.66667</v>
      </c>
      <c r="B1635" s="2" t="str">
        <f t="shared" si="2"/>
        <v/>
      </c>
      <c r="C1635" s="2" t="str">
        <f t="shared" si="3"/>
        <v>SP500</v>
      </c>
      <c r="D1635" s="2">
        <f t="shared" si="4"/>
        <v>2429.71</v>
      </c>
      <c r="E1635" s="2">
        <f t="shared" si="5"/>
        <v>2429.71</v>
      </c>
      <c r="G1635" s="10">
        <f t="shared" si="9"/>
        <v>39617.64583</v>
      </c>
      <c r="H1635" s="6">
        <f t="shared" si="6"/>
        <v>1774.13</v>
      </c>
      <c r="I1635" s="2">
        <f t="shared" si="7"/>
        <v>1774.13</v>
      </c>
      <c r="M1635" s="10">
        <f>IFERROR(__xludf.DUMMYFUNCTION("""COMPUTED_VALUE"""),40351.666666666664)</f>
        <v>40351.66667</v>
      </c>
      <c r="N1635" s="2">
        <f>IFERROR(__xludf.DUMMYFUNCTION("""COMPUTED_VALUE"""),2261.8)</f>
        <v>2261.8</v>
      </c>
    </row>
    <row r="1636">
      <c r="A1636" s="10">
        <f t="shared" si="8"/>
        <v>39618.66667</v>
      </c>
      <c r="B1636" s="2" t="str">
        <f t="shared" si="2"/>
        <v/>
      </c>
      <c r="C1636" s="2" t="str">
        <f t="shared" si="3"/>
        <v>SP500</v>
      </c>
      <c r="D1636" s="2">
        <f t="shared" si="4"/>
        <v>2462.06</v>
      </c>
      <c r="E1636" s="2">
        <f t="shared" si="5"/>
        <v>2462.06</v>
      </c>
      <c r="G1636" s="10">
        <f t="shared" si="9"/>
        <v>39618.64583</v>
      </c>
      <c r="H1636" s="6">
        <f t="shared" si="6"/>
        <v>1740.72</v>
      </c>
      <c r="I1636" s="2">
        <f t="shared" si="7"/>
        <v>1740.72</v>
      </c>
      <c r="M1636" s="10">
        <f>IFERROR(__xludf.DUMMYFUNCTION("""COMPUTED_VALUE"""),40352.666666666664)</f>
        <v>40352.66667</v>
      </c>
      <c r="N1636" s="2">
        <f>IFERROR(__xludf.DUMMYFUNCTION("""COMPUTED_VALUE"""),2254.23)</f>
        <v>2254.23</v>
      </c>
    </row>
    <row r="1637">
      <c r="A1637" s="10">
        <f t="shared" si="8"/>
        <v>39619.66667</v>
      </c>
      <c r="B1637" s="2" t="str">
        <f t="shared" si="2"/>
        <v/>
      </c>
      <c r="C1637" s="2" t="str">
        <f t="shared" si="3"/>
        <v>SP500</v>
      </c>
      <c r="D1637" s="2">
        <f t="shared" si="4"/>
        <v>2406.09</v>
      </c>
      <c r="E1637" s="2">
        <f t="shared" si="5"/>
        <v>2406.09</v>
      </c>
      <c r="G1637" s="10">
        <f t="shared" si="9"/>
        <v>39619.64583</v>
      </c>
      <c r="H1637" s="6">
        <f t="shared" si="6"/>
        <v>1731</v>
      </c>
      <c r="I1637" s="2">
        <f t="shared" si="7"/>
        <v>1731</v>
      </c>
      <c r="M1637" s="10">
        <f>IFERROR(__xludf.DUMMYFUNCTION("""COMPUTED_VALUE"""),40353.666666666664)</f>
        <v>40353.66667</v>
      </c>
      <c r="N1637" s="2">
        <f>IFERROR(__xludf.DUMMYFUNCTION("""COMPUTED_VALUE"""),2217.42)</f>
        <v>2217.42</v>
      </c>
    </row>
    <row r="1638">
      <c r="A1638" s="10">
        <f t="shared" si="8"/>
        <v>39620.66667</v>
      </c>
      <c r="B1638" s="2" t="str">
        <f t="shared" si="2"/>
        <v/>
      </c>
      <c r="C1638" s="2" t="str">
        <f t="shared" si="3"/>
        <v>SP500</v>
      </c>
      <c r="D1638" s="2" t="str">
        <f t="shared" si="4"/>
        <v/>
      </c>
      <c r="E1638" s="2">
        <f t="shared" si="5"/>
        <v>2406.09</v>
      </c>
      <c r="G1638" s="10">
        <f t="shared" si="9"/>
        <v>39620.64583</v>
      </c>
      <c r="H1638" s="6" t="str">
        <f t="shared" si="6"/>
        <v/>
      </c>
      <c r="I1638" s="2">
        <f t="shared" si="7"/>
        <v>1731</v>
      </c>
      <c r="M1638" s="10">
        <f>IFERROR(__xludf.DUMMYFUNCTION("""COMPUTED_VALUE"""),40354.666666666664)</f>
        <v>40354.66667</v>
      </c>
      <c r="N1638" s="2">
        <f>IFERROR(__xludf.DUMMYFUNCTION("""COMPUTED_VALUE"""),2223.48)</f>
        <v>2223.48</v>
      </c>
    </row>
    <row r="1639">
      <c r="A1639" s="10">
        <f t="shared" si="8"/>
        <v>39621.66667</v>
      </c>
      <c r="B1639" s="2" t="str">
        <f t="shared" si="2"/>
        <v/>
      </c>
      <c r="C1639" s="2" t="str">
        <f t="shared" si="3"/>
        <v>SP500</v>
      </c>
      <c r="D1639" s="2" t="str">
        <f t="shared" si="4"/>
        <v/>
      </c>
      <c r="E1639" s="2">
        <f t="shared" si="5"/>
        <v>2406.09</v>
      </c>
      <c r="G1639" s="10">
        <f t="shared" si="9"/>
        <v>39621.64583</v>
      </c>
      <c r="H1639" s="6" t="str">
        <f t="shared" si="6"/>
        <v/>
      </c>
      <c r="I1639" s="2">
        <f t="shared" si="7"/>
        <v>1731</v>
      </c>
      <c r="M1639" s="10">
        <f>IFERROR(__xludf.DUMMYFUNCTION("""COMPUTED_VALUE"""),40357.666666666664)</f>
        <v>40357.66667</v>
      </c>
      <c r="N1639" s="2">
        <f>IFERROR(__xludf.DUMMYFUNCTION("""COMPUTED_VALUE"""),2220.65)</f>
        <v>2220.65</v>
      </c>
    </row>
    <row r="1640">
      <c r="A1640" s="10">
        <f t="shared" si="8"/>
        <v>39622.66667</v>
      </c>
      <c r="B1640" s="2" t="str">
        <f t="shared" si="2"/>
        <v/>
      </c>
      <c r="C1640" s="2" t="str">
        <f t="shared" si="3"/>
        <v>SP500</v>
      </c>
      <c r="D1640" s="2">
        <f t="shared" si="4"/>
        <v>2385.74</v>
      </c>
      <c r="E1640" s="2">
        <f t="shared" si="5"/>
        <v>2385.74</v>
      </c>
      <c r="G1640" s="10">
        <f t="shared" si="9"/>
        <v>39622.64583</v>
      </c>
      <c r="H1640" s="6">
        <f t="shared" si="6"/>
        <v>1715.59</v>
      </c>
      <c r="I1640" s="2">
        <f t="shared" si="7"/>
        <v>1715.59</v>
      </c>
      <c r="M1640" s="10">
        <f>IFERROR(__xludf.DUMMYFUNCTION("""COMPUTED_VALUE"""),40358.666666666664)</f>
        <v>40358.66667</v>
      </c>
      <c r="N1640" s="2">
        <f>IFERROR(__xludf.DUMMYFUNCTION("""COMPUTED_VALUE"""),2135.18)</f>
        <v>2135.18</v>
      </c>
    </row>
    <row r="1641">
      <c r="A1641" s="10">
        <f t="shared" si="8"/>
        <v>39623.66667</v>
      </c>
      <c r="B1641" s="2" t="str">
        <f t="shared" si="2"/>
        <v/>
      </c>
      <c r="C1641" s="2" t="str">
        <f t="shared" si="3"/>
        <v>SP500</v>
      </c>
      <c r="D1641" s="2">
        <f t="shared" si="4"/>
        <v>2368.28</v>
      </c>
      <c r="E1641" s="2">
        <f t="shared" si="5"/>
        <v>2368.28</v>
      </c>
      <c r="G1641" s="10">
        <f t="shared" si="9"/>
        <v>39623.64583</v>
      </c>
      <c r="H1641" s="6">
        <f t="shared" si="6"/>
        <v>1710.84</v>
      </c>
      <c r="I1641" s="2">
        <f t="shared" si="7"/>
        <v>1710.84</v>
      </c>
      <c r="M1641" s="10">
        <f>IFERROR(__xludf.DUMMYFUNCTION("""COMPUTED_VALUE"""),40359.666666666664)</f>
        <v>40359.66667</v>
      </c>
      <c r="N1641" s="2">
        <f>IFERROR(__xludf.DUMMYFUNCTION("""COMPUTED_VALUE"""),2109.24)</f>
        <v>2109.24</v>
      </c>
    </row>
    <row r="1642">
      <c r="A1642" s="10">
        <f t="shared" si="8"/>
        <v>39624.66667</v>
      </c>
      <c r="B1642" s="2" t="str">
        <f t="shared" si="2"/>
        <v/>
      </c>
      <c r="C1642" s="2" t="str">
        <f t="shared" si="3"/>
        <v>SP500</v>
      </c>
      <c r="D1642" s="2">
        <f t="shared" si="4"/>
        <v>2401.26</v>
      </c>
      <c r="E1642" s="2">
        <f t="shared" si="5"/>
        <v>2401.26</v>
      </c>
      <c r="G1642" s="10">
        <f t="shared" si="9"/>
        <v>39624.64583</v>
      </c>
      <c r="H1642" s="6">
        <f t="shared" si="6"/>
        <v>1717.79</v>
      </c>
      <c r="I1642" s="2">
        <f t="shared" si="7"/>
        <v>1717.79</v>
      </c>
      <c r="M1642" s="10">
        <f>IFERROR(__xludf.DUMMYFUNCTION("""COMPUTED_VALUE"""),40360.666666666664)</f>
        <v>40360.66667</v>
      </c>
      <c r="N1642" s="2">
        <f>IFERROR(__xludf.DUMMYFUNCTION("""COMPUTED_VALUE"""),2101.36)</f>
        <v>2101.36</v>
      </c>
    </row>
    <row r="1643">
      <c r="A1643" s="10">
        <f t="shared" si="8"/>
        <v>39625.66667</v>
      </c>
      <c r="B1643" s="2" t="str">
        <f t="shared" si="2"/>
        <v/>
      </c>
      <c r="C1643" s="2" t="str">
        <f t="shared" si="3"/>
        <v>SP500</v>
      </c>
      <c r="D1643" s="2">
        <f t="shared" si="4"/>
        <v>2321.37</v>
      </c>
      <c r="E1643" s="2">
        <f t="shared" si="5"/>
        <v>2321.37</v>
      </c>
      <c r="G1643" s="10">
        <f t="shared" si="9"/>
        <v>39625.64583</v>
      </c>
      <c r="H1643" s="6">
        <f t="shared" si="6"/>
        <v>1717.66</v>
      </c>
      <c r="I1643" s="2">
        <f t="shared" si="7"/>
        <v>1717.66</v>
      </c>
      <c r="M1643" s="10">
        <f>IFERROR(__xludf.DUMMYFUNCTION("""COMPUTED_VALUE"""),40361.666666666664)</f>
        <v>40361.66667</v>
      </c>
      <c r="N1643" s="2">
        <f>IFERROR(__xludf.DUMMYFUNCTION("""COMPUTED_VALUE"""),2091.79)</f>
        <v>2091.79</v>
      </c>
    </row>
    <row r="1644">
      <c r="A1644" s="10">
        <f t="shared" si="8"/>
        <v>39626.66667</v>
      </c>
      <c r="B1644" s="2" t="str">
        <f t="shared" si="2"/>
        <v/>
      </c>
      <c r="C1644" s="2" t="str">
        <f t="shared" si="3"/>
        <v>SP500</v>
      </c>
      <c r="D1644" s="2">
        <f t="shared" si="4"/>
        <v>2315.63</v>
      </c>
      <c r="E1644" s="2">
        <f t="shared" si="5"/>
        <v>2315.63</v>
      </c>
      <c r="G1644" s="10">
        <f t="shared" si="9"/>
        <v>39626.64583</v>
      </c>
      <c r="H1644" s="6">
        <f t="shared" si="6"/>
        <v>1684.45</v>
      </c>
      <c r="I1644" s="2">
        <f t="shared" si="7"/>
        <v>1684.45</v>
      </c>
      <c r="M1644" s="10">
        <f>IFERROR(__xludf.DUMMYFUNCTION("""COMPUTED_VALUE"""),40365.666666666664)</f>
        <v>40365.66667</v>
      </c>
      <c r="N1644" s="2">
        <f>IFERROR(__xludf.DUMMYFUNCTION("""COMPUTED_VALUE"""),2093.88)</f>
        <v>2093.88</v>
      </c>
    </row>
    <row r="1645">
      <c r="A1645" s="10">
        <f t="shared" si="8"/>
        <v>39627.66667</v>
      </c>
      <c r="B1645" s="2" t="str">
        <f t="shared" si="2"/>
        <v/>
      </c>
      <c r="C1645" s="2" t="str">
        <f t="shared" si="3"/>
        <v>SP500</v>
      </c>
      <c r="D1645" s="2" t="str">
        <f t="shared" si="4"/>
        <v/>
      </c>
      <c r="E1645" s="2">
        <f t="shared" si="5"/>
        <v>2315.63</v>
      </c>
      <c r="G1645" s="10">
        <f t="shared" si="9"/>
        <v>39627.64583</v>
      </c>
      <c r="H1645" s="6" t="str">
        <f t="shared" si="6"/>
        <v/>
      </c>
      <c r="I1645" s="2">
        <f t="shared" si="7"/>
        <v>1684.45</v>
      </c>
      <c r="M1645" s="10">
        <f>IFERROR(__xludf.DUMMYFUNCTION("""COMPUTED_VALUE"""),40366.666666666664)</f>
        <v>40366.66667</v>
      </c>
      <c r="N1645" s="2">
        <f>IFERROR(__xludf.DUMMYFUNCTION("""COMPUTED_VALUE"""),2159.47)</f>
        <v>2159.47</v>
      </c>
    </row>
    <row r="1646">
      <c r="A1646" s="10">
        <f t="shared" si="8"/>
        <v>39628.66667</v>
      </c>
      <c r="B1646" s="2" t="str">
        <f t="shared" si="2"/>
        <v/>
      </c>
      <c r="C1646" s="2" t="str">
        <f t="shared" si="3"/>
        <v>SP500</v>
      </c>
      <c r="D1646" s="2" t="str">
        <f t="shared" si="4"/>
        <v/>
      </c>
      <c r="E1646" s="2">
        <f t="shared" si="5"/>
        <v>2315.63</v>
      </c>
      <c r="G1646" s="10">
        <f t="shared" si="9"/>
        <v>39628.64583</v>
      </c>
      <c r="H1646" s="6" t="str">
        <f t="shared" si="6"/>
        <v/>
      </c>
      <c r="I1646" s="2">
        <f t="shared" si="7"/>
        <v>1684.45</v>
      </c>
      <c r="M1646" s="10">
        <f>IFERROR(__xludf.DUMMYFUNCTION("""COMPUTED_VALUE"""),40367.666666666664)</f>
        <v>40367.66667</v>
      </c>
      <c r="N1646" s="2">
        <f>IFERROR(__xludf.DUMMYFUNCTION("""COMPUTED_VALUE"""),2175.4)</f>
        <v>2175.4</v>
      </c>
    </row>
    <row r="1647">
      <c r="A1647" s="10">
        <f t="shared" si="8"/>
        <v>39629.66667</v>
      </c>
      <c r="B1647" s="2" t="str">
        <f t="shared" si="2"/>
        <v/>
      </c>
      <c r="C1647" s="2" t="str">
        <f t="shared" si="3"/>
        <v>SP500</v>
      </c>
      <c r="D1647" s="2">
        <f t="shared" si="4"/>
        <v>2292.98</v>
      </c>
      <c r="E1647" s="2">
        <f t="shared" si="5"/>
        <v>2292.98</v>
      </c>
      <c r="G1647" s="10">
        <f t="shared" si="9"/>
        <v>39629.64583</v>
      </c>
      <c r="H1647" s="6">
        <f t="shared" si="6"/>
        <v>1674.92</v>
      </c>
      <c r="I1647" s="2">
        <f t="shared" si="7"/>
        <v>1674.92</v>
      </c>
      <c r="M1647" s="10">
        <f>IFERROR(__xludf.DUMMYFUNCTION("""COMPUTED_VALUE"""),40368.666666666664)</f>
        <v>40368.66667</v>
      </c>
      <c r="N1647" s="2">
        <f>IFERROR(__xludf.DUMMYFUNCTION("""COMPUTED_VALUE"""),2196.45)</f>
        <v>2196.45</v>
      </c>
    </row>
    <row r="1648">
      <c r="A1648" s="10">
        <f t="shared" si="8"/>
        <v>39630.66667</v>
      </c>
      <c r="B1648" s="2" t="str">
        <f t="shared" si="2"/>
        <v/>
      </c>
      <c r="C1648" s="2" t="str">
        <f t="shared" si="3"/>
        <v>SP500</v>
      </c>
      <c r="D1648" s="2">
        <f t="shared" si="4"/>
        <v>2304.97</v>
      </c>
      <c r="E1648" s="2">
        <f t="shared" si="5"/>
        <v>2304.97</v>
      </c>
      <c r="G1648" s="10">
        <f t="shared" si="9"/>
        <v>39630.64583</v>
      </c>
      <c r="H1648" s="6">
        <f t="shared" si="6"/>
        <v>1666.46</v>
      </c>
      <c r="I1648" s="2">
        <f t="shared" si="7"/>
        <v>1666.46</v>
      </c>
      <c r="M1648" s="10">
        <f>IFERROR(__xludf.DUMMYFUNCTION("""COMPUTED_VALUE"""),40371.666666666664)</f>
        <v>40371.66667</v>
      </c>
      <c r="N1648" s="2">
        <f>IFERROR(__xludf.DUMMYFUNCTION("""COMPUTED_VALUE"""),2198.36)</f>
        <v>2198.36</v>
      </c>
    </row>
    <row r="1649">
      <c r="A1649" s="10">
        <f t="shared" si="8"/>
        <v>39631.66667</v>
      </c>
      <c r="B1649" s="2" t="str">
        <f t="shared" si="2"/>
        <v/>
      </c>
      <c r="C1649" s="2" t="str">
        <f t="shared" si="3"/>
        <v>SP500</v>
      </c>
      <c r="D1649" s="2">
        <f t="shared" si="4"/>
        <v>2251.46</v>
      </c>
      <c r="E1649" s="2">
        <f t="shared" si="5"/>
        <v>2251.46</v>
      </c>
      <c r="G1649" s="10">
        <f t="shared" si="9"/>
        <v>39631.64583</v>
      </c>
      <c r="H1649" s="6">
        <f t="shared" si="6"/>
        <v>1623.6</v>
      </c>
      <c r="I1649" s="2">
        <f t="shared" si="7"/>
        <v>1623.6</v>
      </c>
      <c r="M1649" s="10">
        <f>IFERROR(__xludf.DUMMYFUNCTION("""COMPUTED_VALUE"""),40372.666666666664)</f>
        <v>40372.66667</v>
      </c>
      <c r="N1649" s="2">
        <f>IFERROR(__xludf.DUMMYFUNCTION("""COMPUTED_VALUE"""),2242.03)</f>
        <v>2242.03</v>
      </c>
    </row>
    <row r="1650">
      <c r="A1650" s="10">
        <f t="shared" si="8"/>
        <v>39632.66667</v>
      </c>
      <c r="B1650" s="2" t="str">
        <f t="shared" si="2"/>
        <v/>
      </c>
      <c r="C1650" s="2" t="str">
        <f t="shared" si="3"/>
        <v>SP500</v>
      </c>
      <c r="D1650" s="2">
        <f t="shared" si="4"/>
        <v>2245.38</v>
      </c>
      <c r="E1650" s="2">
        <f t="shared" si="5"/>
        <v>2245.38</v>
      </c>
      <c r="G1650" s="10">
        <f t="shared" si="9"/>
        <v>39632.64583</v>
      </c>
      <c r="H1650" s="6">
        <f t="shared" si="6"/>
        <v>1606.54</v>
      </c>
      <c r="I1650" s="2">
        <f t="shared" si="7"/>
        <v>1606.54</v>
      </c>
      <c r="M1650" s="10">
        <f>IFERROR(__xludf.DUMMYFUNCTION("""COMPUTED_VALUE"""),40373.666666666664)</f>
        <v>40373.66667</v>
      </c>
      <c r="N1650" s="2">
        <f>IFERROR(__xludf.DUMMYFUNCTION("""COMPUTED_VALUE"""),2249.84)</f>
        <v>2249.84</v>
      </c>
    </row>
    <row r="1651">
      <c r="A1651" s="10">
        <f t="shared" si="8"/>
        <v>39633.66667</v>
      </c>
      <c r="B1651" s="2" t="str">
        <f t="shared" si="2"/>
        <v/>
      </c>
      <c r="C1651" s="2" t="str">
        <f t="shared" si="3"/>
        <v>SP500</v>
      </c>
      <c r="D1651" s="2" t="str">
        <f t="shared" si="4"/>
        <v/>
      </c>
      <c r="E1651" s="2">
        <f t="shared" si="5"/>
        <v>2245.38</v>
      </c>
      <c r="G1651" s="10">
        <f t="shared" si="9"/>
        <v>39633.64583</v>
      </c>
      <c r="H1651" s="6">
        <f t="shared" si="6"/>
        <v>1577.94</v>
      </c>
      <c r="I1651" s="2">
        <f t="shared" si="7"/>
        <v>1577.94</v>
      </c>
      <c r="M1651" s="10">
        <f>IFERROR(__xludf.DUMMYFUNCTION("""COMPUTED_VALUE"""),40374.666666666664)</f>
        <v>40374.66667</v>
      </c>
      <c r="N1651" s="2">
        <f>IFERROR(__xludf.DUMMYFUNCTION("""COMPUTED_VALUE"""),2249.08)</f>
        <v>2249.08</v>
      </c>
    </row>
    <row r="1652">
      <c r="A1652" s="10">
        <f t="shared" si="8"/>
        <v>39634.66667</v>
      </c>
      <c r="B1652" s="2" t="str">
        <f t="shared" si="2"/>
        <v/>
      </c>
      <c r="C1652" s="2" t="str">
        <f t="shared" si="3"/>
        <v>SP500</v>
      </c>
      <c r="D1652" s="2" t="str">
        <f t="shared" si="4"/>
        <v/>
      </c>
      <c r="E1652" s="2">
        <f t="shared" si="5"/>
        <v>2245.38</v>
      </c>
      <c r="G1652" s="10">
        <f t="shared" si="9"/>
        <v>39634.64583</v>
      </c>
      <c r="H1652" s="6" t="str">
        <f t="shared" si="6"/>
        <v/>
      </c>
      <c r="I1652" s="2">
        <f t="shared" si="7"/>
        <v>1577.94</v>
      </c>
      <c r="M1652" s="10">
        <f>IFERROR(__xludf.DUMMYFUNCTION("""COMPUTED_VALUE"""),40375.666666666664)</f>
        <v>40375.66667</v>
      </c>
      <c r="N1652" s="2">
        <f>IFERROR(__xludf.DUMMYFUNCTION("""COMPUTED_VALUE"""),2179.05)</f>
        <v>2179.05</v>
      </c>
    </row>
    <row r="1653">
      <c r="A1653" s="10">
        <f t="shared" si="8"/>
        <v>39635.66667</v>
      </c>
      <c r="B1653" s="2" t="str">
        <f t="shared" si="2"/>
        <v/>
      </c>
      <c r="C1653" s="2" t="str">
        <f t="shared" si="3"/>
        <v>SP500</v>
      </c>
      <c r="D1653" s="2" t="str">
        <f t="shared" si="4"/>
        <v/>
      </c>
      <c r="E1653" s="2">
        <f t="shared" si="5"/>
        <v>2245.38</v>
      </c>
      <c r="G1653" s="10">
        <f t="shared" si="9"/>
        <v>39635.64583</v>
      </c>
      <c r="H1653" s="6" t="str">
        <f t="shared" si="6"/>
        <v/>
      </c>
      <c r="I1653" s="2">
        <f t="shared" si="7"/>
        <v>1577.94</v>
      </c>
      <c r="M1653" s="10">
        <f>IFERROR(__xludf.DUMMYFUNCTION("""COMPUTED_VALUE"""),40378.666666666664)</f>
        <v>40378.66667</v>
      </c>
      <c r="N1653" s="2">
        <f>IFERROR(__xludf.DUMMYFUNCTION("""COMPUTED_VALUE"""),2198.23)</f>
        <v>2198.23</v>
      </c>
    </row>
    <row r="1654">
      <c r="A1654" s="10">
        <f t="shared" si="8"/>
        <v>39636.66667</v>
      </c>
      <c r="B1654" s="2" t="str">
        <f t="shared" si="2"/>
        <v/>
      </c>
      <c r="C1654" s="2" t="str">
        <f t="shared" si="3"/>
        <v>SP500</v>
      </c>
      <c r="D1654" s="2">
        <f t="shared" si="4"/>
        <v>2243.32</v>
      </c>
      <c r="E1654" s="2">
        <f t="shared" si="5"/>
        <v>2243.32</v>
      </c>
      <c r="G1654" s="10">
        <f t="shared" si="9"/>
        <v>39636.64583</v>
      </c>
      <c r="H1654" s="6">
        <f t="shared" si="6"/>
        <v>1579.72</v>
      </c>
      <c r="I1654" s="2">
        <f t="shared" si="7"/>
        <v>1579.72</v>
      </c>
      <c r="M1654" s="10">
        <f>IFERROR(__xludf.DUMMYFUNCTION("""COMPUTED_VALUE"""),40379.666666666664)</f>
        <v>40379.66667</v>
      </c>
      <c r="N1654" s="2">
        <f>IFERROR(__xludf.DUMMYFUNCTION("""COMPUTED_VALUE"""),2222.49)</f>
        <v>2222.49</v>
      </c>
    </row>
    <row r="1655">
      <c r="A1655" s="10">
        <f t="shared" si="8"/>
        <v>39637.66667</v>
      </c>
      <c r="B1655" s="2" t="str">
        <f t="shared" si="2"/>
        <v/>
      </c>
      <c r="C1655" s="2" t="str">
        <f t="shared" si="3"/>
        <v>SP500</v>
      </c>
      <c r="D1655" s="2">
        <f t="shared" si="4"/>
        <v>2294.44</v>
      </c>
      <c r="E1655" s="2">
        <f t="shared" si="5"/>
        <v>2294.44</v>
      </c>
      <c r="G1655" s="10">
        <f t="shared" si="9"/>
        <v>39637.64583</v>
      </c>
      <c r="H1655" s="6">
        <f t="shared" si="6"/>
        <v>1533.47</v>
      </c>
      <c r="I1655" s="2">
        <f t="shared" si="7"/>
        <v>1533.47</v>
      </c>
      <c r="M1655" s="10">
        <f>IFERROR(__xludf.DUMMYFUNCTION("""COMPUTED_VALUE"""),40380.666666666664)</f>
        <v>40380.66667</v>
      </c>
      <c r="N1655" s="2">
        <f>IFERROR(__xludf.DUMMYFUNCTION("""COMPUTED_VALUE"""),2187.33)</f>
        <v>2187.33</v>
      </c>
    </row>
    <row r="1656">
      <c r="A1656" s="10">
        <f t="shared" si="8"/>
        <v>39638.66667</v>
      </c>
      <c r="B1656" s="2" t="str">
        <f t="shared" si="2"/>
        <v/>
      </c>
      <c r="C1656" s="2" t="str">
        <f t="shared" si="3"/>
        <v>SP500</v>
      </c>
      <c r="D1656" s="2">
        <f t="shared" si="4"/>
        <v>2234.89</v>
      </c>
      <c r="E1656" s="2">
        <f t="shared" si="5"/>
        <v>2234.89</v>
      </c>
      <c r="G1656" s="10">
        <f t="shared" si="9"/>
        <v>39638.64583</v>
      </c>
      <c r="H1656" s="6">
        <f t="shared" si="6"/>
        <v>1519.38</v>
      </c>
      <c r="I1656" s="2">
        <f t="shared" si="7"/>
        <v>1519.38</v>
      </c>
      <c r="M1656" s="10">
        <f>IFERROR(__xludf.DUMMYFUNCTION("""COMPUTED_VALUE"""),40381.666666666664)</f>
        <v>40381.66667</v>
      </c>
      <c r="N1656" s="2">
        <f>IFERROR(__xludf.DUMMYFUNCTION("""COMPUTED_VALUE"""),2245.89)</f>
        <v>2245.89</v>
      </c>
    </row>
    <row r="1657">
      <c r="A1657" s="10">
        <f t="shared" si="8"/>
        <v>39639.66667</v>
      </c>
      <c r="B1657" s="2" t="str">
        <f t="shared" si="2"/>
        <v/>
      </c>
      <c r="C1657" s="2" t="str">
        <f t="shared" si="3"/>
        <v>SP500</v>
      </c>
      <c r="D1657" s="2">
        <f t="shared" si="4"/>
        <v>2257.85</v>
      </c>
      <c r="E1657" s="2">
        <f t="shared" si="5"/>
        <v>2257.85</v>
      </c>
      <c r="G1657" s="10">
        <f t="shared" si="9"/>
        <v>39639.64583</v>
      </c>
      <c r="H1657" s="6">
        <f t="shared" si="6"/>
        <v>1537.43</v>
      </c>
      <c r="I1657" s="2">
        <f t="shared" si="7"/>
        <v>1537.43</v>
      </c>
      <c r="M1657" s="10">
        <f>IFERROR(__xludf.DUMMYFUNCTION("""COMPUTED_VALUE"""),40382.666666666664)</f>
        <v>40382.66667</v>
      </c>
      <c r="N1657" s="2">
        <f>IFERROR(__xludf.DUMMYFUNCTION("""COMPUTED_VALUE"""),2269.47)</f>
        <v>2269.47</v>
      </c>
    </row>
    <row r="1658">
      <c r="A1658" s="10">
        <f t="shared" si="8"/>
        <v>39640.66667</v>
      </c>
      <c r="B1658" s="2" t="str">
        <f t="shared" si="2"/>
        <v/>
      </c>
      <c r="C1658" s="2" t="str">
        <f t="shared" si="3"/>
        <v>SP500</v>
      </c>
      <c r="D1658" s="2">
        <f t="shared" si="4"/>
        <v>2239.08</v>
      </c>
      <c r="E1658" s="2">
        <f t="shared" si="5"/>
        <v>2239.08</v>
      </c>
      <c r="G1658" s="10">
        <f t="shared" si="9"/>
        <v>39640.64583</v>
      </c>
      <c r="H1658" s="6">
        <f t="shared" si="6"/>
        <v>1567.51</v>
      </c>
      <c r="I1658" s="2">
        <f t="shared" si="7"/>
        <v>1567.51</v>
      </c>
      <c r="M1658" s="10">
        <f>IFERROR(__xludf.DUMMYFUNCTION("""COMPUTED_VALUE"""),40385.666666666664)</f>
        <v>40385.66667</v>
      </c>
      <c r="N1658" s="2">
        <f>IFERROR(__xludf.DUMMYFUNCTION("""COMPUTED_VALUE"""),2296.43)</f>
        <v>2296.43</v>
      </c>
    </row>
    <row r="1659">
      <c r="A1659" s="10">
        <f t="shared" si="8"/>
        <v>39641.66667</v>
      </c>
      <c r="B1659" s="2" t="str">
        <f t="shared" si="2"/>
        <v/>
      </c>
      <c r="C1659" s="2" t="str">
        <f t="shared" si="3"/>
        <v>SP500</v>
      </c>
      <c r="D1659" s="2" t="str">
        <f t="shared" si="4"/>
        <v/>
      </c>
      <c r="E1659" s="2">
        <f t="shared" si="5"/>
        <v>2239.08</v>
      </c>
      <c r="G1659" s="10">
        <f t="shared" si="9"/>
        <v>39641.64583</v>
      </c>
      <c r="H1659" s="6" t="str">
        <f t="shared" si="6"/>
        <v/>
      </c>
      <c r="I1659" s="2">
        <f t="shared" si="7"/>
        <v>1567.51</v>
      </c>
      <c r="M1659" s="10">
        <f>IFERROR(__xludf.DUMMYFUNCTION("""COMPUTED_VALUE"""),40386.666666666664)</f>
        <v>40386.66667</v>
      </c>
      <c r="N1659" s="2">
        <f>IFERROR(__xludf.DUMMYFUNCTION("""COMPUTED_VALUE"""),2288.25)</f>
        <v>2288.25</v>
      </c>
    </row>
    <row r="1660">
      <c r="A1660" s="10">
        <f t="shared" si="8"/>
        <v>39642.66667</v>
      </c>
      <c r="B1660" s="2" t="str">
        <f t="shared" si="2"/>
        <v/>
      </c>
      <c r="C1660" s="2" t="str">
        <f t="shared" si="3"/>
        <v>SP500</v>
      </c>
      <c r="D1660" s="2" t="str">
        <f t="shared" si="4"/>
        <v/>
      </c>
      <c r="E1660" s="2">
        <f t="shared" si="5"/>
        <v>2239.08</v>
      </c>
      <c r="G1660" s="10">
        <f t="shared" si="9"/>
        <v>39642.64583</v>
      </c>
      <c r="H1660" s="6" t="str">
        <f t="shared" si="6"/>
        <v/>
      </c>
      <c r="I1660" s="2">
        <f t="shared" si="7"/>
        <v>1567.51</v>
      </c>
      <c r="M1660" s="10">
        <f>IFERROR(__xludf.DUMMYFUNCTION("""COMPUTED_VALUE"""),40387.666666666664)</f>
        <v>40387.66667</v>
      </c>
      <c r="N1660" s="2">
        <f>IFERROR(__xludf.DUMMYFUNCTION("""COMPUTED_VALUE"""),2264.56)</f>
        <v>2264.56</v>
      </c>
    </row>
    <row r="1661">
      <c r="A1661" s="10">
        <f t="shared" si="8"/>
        <v>39643.66667</v>
      </c>
      <c r="B1661" s="2" t="str">
        <f t="shared" si="2"/>
        <v/>
      </c>
      <c r="C1661" s="2" t="str">
        <f t="shared" si="3"/>
        <v>SP500</v>
      </c>
      <c r="D1661" s="2">
        <f t="shared" si="4"/>
        <v>2212.87</v>
      </c>
      <c r="E1661" s="2">
        <f t="shared" si="5"/>
        <v>2212.87</v>
      </c>
      <c r="G1661" s="10">
        <f t="shared" si="9"/>
        <v>39643.64583</v>
      </c>
      <c r="H1661" s="6">
        <f t="shared" si="6"/>
        <v>1558.62</v>
      </c>
      <c r="I1661" s="2">
        <f t="shared" si="7"/>
        <v>1558.62</v>
      </c>
      <c r="M1661" s="10">
        <f>IFERROR(__xludf.DUMMYFUNCTION("""COMPUTED_VALUE"""),40388.666666666664)</f>
        <v>40388.66667</v>
      </c>
      <c r="N1661" s="2">
        <f>IFERROR(__xludf.DUMMYFUNCTION("""COMPUTED_VALUE"""),2251.69)</f>
        <v>2251.69</v>
      </c>
    </row>
    <row r="1662">
      <c r="A1662" s="10">
        <f t="shared" si="8"/>
        <v>39644.66667</v>
      </c>
      <c r="B1662" s="2" t="str">
        <f t="shared" si="2"/>
        <v/>
      </c>
      <c r="C1662" s="2" t="str">
        <f t="shared" si="3"/>
        <v>SP500</v>
      </c>
      <c r="D1662" s="2">
        <f t="shared" si="4"/>
        <v>2215.71</v>
      </c>
      <c r="E1662" s="2">
        <f t="shared" si="5"/>
        <v>2215.71</v>
      </c>
      <c r="G1662" s="10">
        <f t="shared" si="9"/>
        <v>39644.64583</v>
      </c>
      <c r="H1662" s="6">
        <f t="shared" si="6"/>
        <v>1509.33</v>
      </c>
      <c r="I1662" s="2">
        <f t="shared" si="7"/>
        <v>1509.33</v>
      </c>
      <c r="M1662" s="10">
        <f>IFERROR(__xludf.DUMMYFUNCTION("""COMPUTED_VALUE"""),40389.666666666664)</f>
        <v>40389.66667</v>
      </c>
      <c r="N1662" s="2">
        <f>IFERROR(__xludf.DUMMYFUNCTION("""COMPUTED_VALUE"""),2254.7)</f>
        <v>2254.7</v>
      </c>
    </row>
    <row r="1663">
      <c r="A1663" s="10">
        <f t="shared" si="8"/>
        <v>39645.66667</v>
      </c>
      <c r="B1663" s="2" t="str">
        <f t="shared" si="2"/>
        <v/>
      </c>
      <c r="C1663" s="2" t="str">
        <f t="shared" si="3"/>
        <v>SP500</v>
      </c>
      <c r="D1663" s="2">
        <f t="shared" si="4"/>
        <v>2284.85</v>
      </c>
      <c r="E1663" s="2">
        <f t="shared" si="5"/>
        <v>2284.85</v>
      </c>
      <c r="G1663" s="10">
        <f t="shared" si="9"/>
        <v>39645.64583</v>
      </c>
      <c r="H1663" s="6">
        <f t="shared" si="6"/>
        <v>1507.4</v>
      </c>
      <c r="I1663" s="2">
        <f t="shared" si="7"/>
        <v>1507.4</v>
      </c>
      <c r="M1663" s="10">
        <f>IFERROR(__xludf.DUMMYFUNCTION("""COMPUTED_VALUE"""),40392.666666666664)</f>
        <v>40392.66667</v>
      </c>
      <c r="N1663" s="2">
        <f>IFERROR(__xludf.DUMMYFUNCTION("""COMPUTED_VALUE"""),2295.36)</f>
        <v>2295.36</v>
      </c>
    </row>
    <row r="1664">
      <c r="A1664" s="10">
        <f t="shared" si="8"/>
        <v>39646.66667</v>
      </c>
      <c r="B1664" s="2" t="str">
        <f t="shared" si="2"/>
        <v/>
      </c>
      <c r="C1664" s="2" t="str">
        <f t="shared" si="3"/>
        <v>SP500</v>
      </c>
      <c r="D1664" s="2">
        <f t="shared" si="4"/>
        <v>2312.3</v>
      </c>
      <c r="E1664" s="2">
        <f t="shared" si="5"/>
        <v>2312.3</v>
      </c>
      <c r="G1664" s="10">
        <f t="shared" si="9"/>
        <v>39646.64583</v>
      </c>
      <c r="H1664" s="6">
        <f t="shared" si="6"/>
        <v>1525.56</v>
      </c>
      <c r="I1664" s="2">
        <f t="shared" si="7"/>
        <v>1525.56</v>
      </c>
      <c r="M1664" s="10">
        <f>IFERROR(__xludf.DUMMYFUNCTION("""COMPUTED_VALUE"""),40393.666666666664)</f>
        <v>40393.66667</v>
      </c>
      <c r="N1664" s="2">
        <f>IFERROR(__xludf.DUMMYFUNCTION("""COMPUTED_VALUE"""),2283.52)</f>
        <v>2283.52</v>
      </c>
    </row>
    <row r="1665">
      <c r="A1665" s="10">
        <f t="shared" si="8"/>
        <v>39647.66667</v>
      </c>
      <c r="B1665" s="2" t="str">
        <f t="shared" si="2"/>
        <v/>
      </c>
      <c r="C1665" s="2" t="str">
        <f t="shared" si="3"/>
        <v>SP500</v>
      </c>
      <c r="D1665" s="2">
        <f t="shared" si="4"/>
        <v>2282.78</v>
      </c>
      <c r="E1665" s="2">
        <f t="shared" si="5"/>
        <v>2282.78</v>
      </c>
      <c r="G1665" s="10">
        <f t="shared" si="9"/>
        <v>39647.64583</v>
      </c>
      <c r="H1665" s="6">
        <f t="shared" si="6"/>
        <v>1509.99</v>
      </c>
      <c r="I1665" s="2">
        <f t="shared" si="7"/>
        <v>1509.99</v>
      </c>
      <c r="M1665" s="10">
        <f>IFERROR(__xludf.DUMMYFUNCTION("""COMPUTED_VALUE"""),40394.666666666664)</f>
        <v>40394.66667</v>
      </c>
      <c r="N1665" s="2">
        <f>IFERROR(__xludf.DUMMYFUNCTION("""COMPUTED_VALUE"""),2303.57)</f>
        <v>2303.57</v>
      </c>
    </row>
    <row r="1666">
      <c r="A1666" s="10">
        <f t="shared" si="8"/>
        <v>39648.66667</v>
      </c>
      <c r="B1666" s="2" t="str">
        <f t="shared" si="2"/>
        <v/>
      </c>
      <c r="C1666" s="2" t="str">
        <f t="shared" si="3"/>
        <v>SP500</v>
      </c>
      <c r="D1666" s="2" t="str">
        <f t="shared" si="4"/>
        <v/>
      </c>
      <c r="E1666" s="2">
        <f t="shared" si="5"/>
        <v>2282.78</v>
      </c>
      <c r="G1666" s="10">
        <f t="shared" si="9"/>
        <v>39648.64583</v>
      </c>
      <c r="H1666" s="6" t="str">
        <f t="shared" si="6"/>
        <v/>
      </c>
      <c r="I1666" s="2">
        <f t="shared" si="7"/>
        <v>1509.99</v>
      </c>
      <c r="M1666" s="10">
        <f>IFERROR(__xludf.DUMMYFUNCTION("""COMPUTED_VALUE"""),40395.666666666664)</f>
        <v>40395.66667</v>
      </c>
      <c r="N1666" s="2">
        <f>IFERROR(__xludf.DUMMYFUNCTION("""COMPUTED_VALUE"""),2293.06)</f>
        <v>2293.06</v>
      </c>
    </row>
    <row r="1667">
      <c r="A1667" s="10">
        <f t="shared" si="8"/>
        <v>39649.66667</v>
      </c>
      <c r="B1667" s="2" t="str">
        <f t="shared" si="2"/>
        <v/>
      </c>
      <c r="C1667" s="2" t="str">
        <f t="shared" si="3"/>
        <v>SP500</v>
      </c>
      <c r="D1667" s="2" t="str">
        <f t="shared" si="4"/>
        <v/>
      </c>
      <c r="E1667" s="2">
        <f t="shared" si="5"/>
        <v>2282.78</v>
      </c>
      <c r="G1667" s="10">
        <f t="shared" si="9"/>
        <v>39649.64583</v>
      </c>
      <c r="H1667" s="6" t="str">
        <f t="shared" si="6"/>
        <v/>
      </c>
      <c r="I1667" s="2">
        <f t="shared" si="7"/>
        <v>1509.99</v>
      </c>
      <c r="M1667" s="10">
        <f>IFERROR(__xludf.DUMMYFUNCTION("""COMPUTED_VALUE"""),40396.666666666664)</f>
        <v>40396.66667</v>
      </c>
      <c r="N1667" s="2">
        <f>IFERROR(__xludf.DUMMYFUNCTION("""COMPUTED_VALUE"""),2288.47)</f>
        <v>2288.47</v>
      </c>
    </row>
    <row r="1668">
      <c r="A1668" s="10">
        <f t="shared" si="8"/>
        <v>39650.66667</v>
      </c>
      <c r="B1668" s="2" t="str">
        <f t="shared" si="2"/>
        <v/>
      </c>
      <c r="C1668" s="2" t="str">
        <f t="shared" si="3"/>
        <v>SP500</v>
      </c>
      <c r="D1668" s="2">
        <f t="shared" si="4"/>
        <v>2279.53</v>
      </c>
      <c r="E1668" s="2">
        <f t="shared" si="5"/>
        <v>2279.53</v>
      </c>
      <c r="G1668" s="10">
        <f t="shared" si="9"/>
        <v>39650.64583</v>
      </c>
      <c r="H1668" s="6">
        <f t="shared" si="6"/>
        <v>1562.92</v>
      </c>
      <c r="I1668" s="2">
        <f t="shared" si="7"/>
        <v>1562.92</v>
      </c>
      <c r="M1668" s="10">
        <f>IFERROR(__xludf.DUMMYFUNCTION("""COMPUTED_VALUE"""),40399.666666666664)</f>
        <v>40399.66667</v>
      </c>
      <c r="N1668" s="2">
        <f>IFERROR(__xludf.DUMMYFUNCTION("""COMPUTED_VALUE"""),2305.69)</f>
        <v>2305.69</v>
      </c>
    </row>
    <row r="1669">
      <c r="A1669" s="10">
        <f t="shared" si="8"/>
        <v>39651.66667</v>
      </c>
      <c r="B1669" s="2" t="str">
        <f t="shared" si="2"/>
        <v/>
      </c>
      <c r="C1669" s="2" t="str">
        <f t="shared" si="3"/>
        <v>SP500</v>
      </c>
      <c r="D1669" s="2">
        <f t="shared" si="4"/>
        <v>2303.96</v>
      </c>
      <c r="E1669" s="2">
        <f t="shared" si="5"/>
        <v>2303.96</v>
      </c>
      <c r="G1669" s="10">
        <f t="shared" si="9"/>
        <v>39651.64583</v>
      </c>
      <c r="H1669" s="6">
        <f t="shared" si="6"/>
        <v>1561.23</v>
      </c>
      <c r="I1669" s="2">
        <f t="shared" si="7"/>
        <v>1561.23</v>
      </c>
      <c r="M1669" s="10">
        <f>IFERROR(__xludf.DUMMYFUNCTION("""COMPUTED_VALUE"""),40400.666666666664)</f>
        <v>40400.66667</v>
      </c>
      <c r="N1669" s="2">
        <f>IFERROR(__xludf.DUMMYFUNCTION("""COMPUTED_VALUE"""),2277.17)</f>
        <v>2277.17</v>
      </c>
    </row>
    <row r="1670">
      <c r="A1670" s="10">
        <f t="shared" si="8"/>
        <v>39652.66667</v>
      </c>
      <c r="B1670" s="2" t="str">
        <f t="shared" si="2"/>
        <v/>
      </c>
      <c r="C1670" s="2" t="str">
        <f t="shared" si="3"/>
        <v>SP500</v>
      </c>
      <c r="D1670" s="2">
        <f t="shared" si="4"/>
        <v>2325.88</v>
      </c>
      <c r="E1670" s="2">
        <f t="shared" si="5"/>
        <v>2325.88</v>
      </c>
      <c r="G1670" s="10">
        <f t="shared" si="9"/>
        <v>39652.64583</v>
      </c>
      <c r="H1670" s="6">
        <f t="shared" si="6"/>
        <v>1591.76</v>
      </c>
      <c r="I1670" s="2">
        <f t="shared" si="7"/>
        <v>1591.76</v>
      </c>
      <c r="M1670" s="10">
        <f>IFERROR(__xludf.DUMMYFUNCTION("""COMPUTED_VALUE"""),40401.666666666664)</f>
        <v>40401.66667</v>
      </c>
      <c r="N1670" s="2">
        <f>IFERROR(__xludf.DUMMYFUNCTION("""COMPUTED_VALUE"""),2208.63)</f>
        <v>2208.63</v>
      </c>
    </row>
    <row r="1671">
      <c r="A1671" s="10">
        <f t="shared" si="8"/>
        <v>39653.66667</v>
      </c>
      <c r="B1671" s="2" t="str">
        <f t="shared" si="2"/>
        <v/>
      </c>
      <c r="C1671" s="2" t="str">
        <f t="shared" si="3"/>
        <v>SP500</v>
      </c>
      <c r="D1671" s="2">
        <f t="shared" si="4"/>
        <v>2280.11</v>
      </c>
      <c r="E1671" s="2">
        <f t="shared" si="5"/>
        <v>2280.11</v>
      </c>
      <c r="G1671" s="10">
        <f t="shared" si="9"/>
        <v>39653.64583</v>
      </c>
      <c r="H1671" s="6">
        <f t="shared" si="6"/>
        <v>1626.14</v>
      </c>
      <c r="I1671" s="2">
        <f t="shared" si="7"/>
        <v>1626.14</v>
      </c>
      <c r="M1671" s="10">
        <f>IFERROR(__xludf.DUMMYFUNCTION("""COMPUTED_VALUE"""),40402.666666666664)</f>
        <v>40402.66667</v>
      </c>
      <c r="N1671" s="2">
        <f>IFERROR(__xludf.DUMMYFUNCTION("""COMPUTED_VALUE"""),2190.27)</f>
        <v>2190.27</v>
      </c>
    </row>
    <row r="1672">
      <c r="A1672" s="10">
        <f t="shared" si="8"/>
        <v>39654.66667</v>
      </c>
      <c r="B1672" s="2" t="str">
        <f t="shared" si="2"/>
        <v/>
      </c>
      <c r="C1672" s="2" t="str">
        <f t="shared" si="3"/>
        <v>SP500</v>
      </c>
      <c r="D1672" s="2">
        <f t="shared" si="4"/>
        <v>2310.53</v>
      </c>
      <c r="E1672" s="2">
        <f t="shared" si="5"/>
        <v>2310.53</v>
      </c>
      <c r="G1672" s="10">
        <f t="shared" si="9"/>
        <v>39654.64583</v>
      </c>
      <c r="H1672" s="6">
        <f t="shared" si="6"/>
        <v>1597.93</v>
      </c>
      <c r="I1672" s="2">
        <f t="shared" si="7"/>
        <v>1597.93</v>
      </c>
      <c r="M1672" s="10">
        <f>IFERROR(__xludf.DUMMYFUNCTION("""COMPUTED_VALUE"""),40403.666666666664)</f>
        <v>40403.66667</v>
      </c>
      <c r="N1672" s="2">
        <f>IFERROR(__xludf.DUMMYFUNCTION("""COMPUTED_VALUE"""),2173.48)</f>
        <v>2173.48</v>
      </c>
    </row>
    <row r="1673">
      <c r="A1673" s="10">
        <f t="shared" si="8"/>
        <v>39655.66667</v>
      </c>
      <c r="B1673" s="2" t="str">
        <f t="shared" si="2"/>
        <v/>
      </c>
      <c r="C1673" s="2" t="str">
        <f t="shared" si="3"/>
        <v>SP500</v>
      </c>
      <c r="D1673" s="2" t="str">
        <f t="shared" si="4"/>
        <v/>
      </c>
      <c r="E1673" s="2">
        <f t="shared" si="5"/>
        <v>2310.53</v>
      </c>
      <c r="G1673" s="10">
        <f t="shared" si="9"/>
        <v>39655.64583</v>
      </c>
      <c r="H1673" s="6" t="str">
        <f t="shared" si="6"/>
        <v/>
      </c>
      <c r="I1673" s="2">
        <f t="shared" si="7"/>
        <v>1597.93</v>
      </c>
      <c r="M1673" s="10">
        <f>IFERROR(__xludf.DUMMYFUNCTION("""COMPUTED_VALUE"""),40406.666666666664)</f>
        <v>40406.66667</v>
      </c>
      <c r="N1673" s="2">
        <f>IFERROR(__xludf.DUMMYFUNCTION("""COMPUTED_VALUE"""),2181.87)</f>
        <v>2181.87</v>
      </c>
    </row>
    <row r="1674">
      <c r="A1674" s="10">
        <f t="shared" si="8"/>
        <v>39656.66667</v>
      </c>
      <c r="B1674" s="2" t="str">
        <f t="shared" si="2"/>
        <v/>
      </c>
      <c r="C1674" s="2" t="str">
        <f t="shared" si="3"/>
        <v>SP500</v>
      </c>
      <c r="D1674" s="2" t="str">
        <f t="shared" si="4"/>
        <v/>
      </c>
      <c r="E1674" s="2">
        <f t="shared" si="5"/>
        <v>2310.53</v>
      </c>
      <c r="G1674" s="10">
        <f t="shared" si="9"/>
        <v>39656.64583</v>
      </c>
      <c r="H1674" s="6" t="str">
        <f t="shared" si="6"/>
        <v/>
      </c>
      <c r="I1674" s="2">
        <f t="shared" si="7"/>
        <v>1597.93</v>
      </c>
      <c r="M1674" s="10">
        <f>IFERROR(__xludf.DUMMYFUNCTION("""COMPUTED_VALUE"""),40407.666666666664)</f>
        <v>40407.66667</v>
      </c>
      <c r="N1674" s="2">
        <f>IFERROR(__xludf.DUMMYFUNCTION("""COMPUTED_VALUE"""),2209.44)</f>
        <v>2209.44</v>
      </c>
    </row>
    <row r="1675">
      <c r="A1675" s="10">
        <f t="shared" si="8"/>
        <v>39657.66667</v>
      </c>
      <c r="B1675" s="2" t="str">
        <f t="shared" si="2"/>
        <v/>
      </c>
      <c r="C1675" s="2" t="str">
        <f t="shared" si="3"/>
        <v>SP500</v>
      </c>
      <c r="D1675" s="2">
        <f t="shared" si="4"/>
        <v>2264.22</v>
      </c>
      <c r="E1675" s="2">
        <f t="shared" si="5"/>
        <v>2264.22</v>
      </c>
      <c r="G1675" s="10">
        <f t="shared" si="9"/>
        <v>39657.64583</v>
      </c>
      <c r="H1675" s="6">
        <f t="shared" si="6"/>
        <v>1598.29</v>
      </c>
      <c r="I1675" s="2">
        <f t="shared" si="7"/>
        <v>1598.29</v>
      </c>
      <c r="M1675" s="10">
        <f>IFERROR(__xludf.DUMMYFUNCTION("""COMPUTED_VALUE"""),40408.666666666664)</f>
        <v>40408.66667</v>
      </c>
      <c r="N1675" s="2">
        <f>IFERROR(__xludf.DUMMYFUNCTION("""COMPUTED_VALUE"""),2215.7)</f>
        <v>2215.7</v>
      </c>
    </row>
    <row r="1676">
      <c r="A1676" s="10">
        <f t="shared" si="8"/>
        <v>39658.66667</v>
      </c>
      <c r="B1676" s="2" t="str">
        <f t="shared" si="2"/>
        <v/>
      </c>
      <c r="C1676" s="2" t="str">
        <f t="shared" si="3"/>
        <v>SP500</v>
      </c>
      <c r="D1676" s="2">
        <f t="shared" si="4"/>
        <v>2319.62</v>
      </c>
      <c r="E1676" s="2">
        <f t="shared" si="5"/>
        <v>2319.62</v>
      </c>
      <c r="G1676" s="10">
        <f t="shared" si="9"/>
        <v>39658.64583</v>
      </c>
      <c r="H1676" s="6">
        <f t="shared" si="6"/>
        <v>1567.2</v>
      </c>
      <c r="I1676" s="2">
        <f t="shared" si="7"/>
        <v>1567.2</v>
      </c>
      <c r="M1676" s="10">
        <f>IFERROR(__xludf.DUMMYFUNCTION("""COMPUTED_VALUE"""),40409.666666666664)</f>
        <v>40409.66667</v>
      </c>
      <c r="N1676" s="2">
        <f>IFERROR(__xludf.DUMMYFUNCTION("""COMPUTED_VALUE"""),2178.95)</f>
        <v>2178.95</v>
      </c>
    </row>
    <row r="1677">
      <c r="A1677" s="10">
        <f t="shared" si="8"/>
        <v>39659.66667</v>
      </c>
      <c r="B1677" s="2" t="str">
        <f t="shared" si="2"/>
        <v/>
      </c>
      <c r="C1677" s="2" t="str">
        <f t="shared" si="3"/>
        <v>SP500</v>
      </c>
      <c r="D1677" s="2">
        <f t="shared" si="4"/>
        <v>2329.72</v>
      </c>
      <c r="E1677" s="2">
        <f t="shared" si="5"/>
        <v>2329.72</v>
      </c>
      <c r="G1677" s="10">
        <f t="shared" si="9"/>
        <v>39659.64583</v>
      </c>
      <c r="H1677" s="6">
        <f t="shared" si="6"/>
        <v>1577.7</v>
      </c>
      <c r="I1677" s="2">
        <f t="shared" si="7"/>
        <v>1577.7</v>
      </c>
      <c r="M1677" s="10">
        <f>IFERROR(__xludf.DUMMYFUNCTION("""COMPUTED_VALUE"""),40410.666666666664)</f>
        <v>40410.66667</v>
      </c>
      <c r="N1677" s="2">
        <f>IFERROR(__xludf.DUMMYFUNCTION("""COMPUTED_VALUE"""),2179.76)</f>
        <v>2179.76</v>
      </c>
    </row>
    <row r="1678">
      <c r="A1678" s="10">
        <f t="shared" si="8"/>
        <v>39660.66667</v>
      </c>
      <c r="B1678" s="2" t="str">
        <f t="shared" si="2"/>
        <v/>
      </c>
      <c r="C1678" s="2" t="str">
        <f t="shared" si="3"/>
        <v>SP500</v>
      </c>
      <c r="D1678" s="2">
        <f t="shared" si="4"/>
        <v>2325.55</v>
      </c>
      <c r="E1678" s="2">
        <f t="shared" si="5"/>
        <v>2325.55</v>
      </c>
      <c r="G1678" s="10">
        <f t="shared" si="9"/>
        <v>39660.64583</v>
      </c>
      <c r="H1678" s="6">
        <f t="shared" si="6"/>
        <v>1594.67</v>
      </c>
      <c r="I1678" s="2">
        <f t="shared" si="7"/>
        <v>1594.67</v>
      </c>
      <c r="M1678" s="10">
        <f>IFERROR(__xludf.DUMMYFUNCTION("""COMPUTED_VALUE"""),40413.666666666664)</f>
        <v>40413.66667</v>
      </c>
      <c r="N1678" s="2">
        <f>IFERROR(__xludf.DUMMYFUNCTION("""COMPUTED_VALUE"""),2159.63)</f>
        <v>2159.63</v>
      </c>
    </row>
    <row r="1679">
      <c r="A1679" s="10">
        <f t="shared" si="8"/>
        <v>39661.66667</v>
      </c>
      <c r="B1679" s="2" t="str">
        <f t="shared" si="2"/>
        <v/>
      </c>
      <c r="C1679" s="2" t="str">
        <f t="shared" si="3"/>
        <v>SP500</v>
      </c>
      <c r="D1679" s="2">
        <f t="shared" si="4"/>
        <v>2310.96</v>
      </c>
      <c r="E1679" s="2">
        <f t="shared" si="5"/>
        <v>2310.96</v>
      </c>
      <c r="G1679" s="10">
        <f t="shared" si="9"/>
        <v>39661.64583</v>
      </c>
      <c r="H1679" s="6">
        <f t="shared" si="6"/>
        <v>1573.77</v>
      </c>
      <c r="I1679" s="2">
        <f t="shared" si="7"/>
        <v>1573.77</v>
      </c>
      <c r="M1679" s="10">
        <f>IFERROR(__xludf.DUMMYFUNCTION("""COMPUTED_VALUE"""),40414.666666666664)</f>
        <v>40414.66667</v>
      </c>
      <c r="N1679" s="2">
        <f>IFERROR(__xludf.DUMMYFUNCTION("""COMPUTED_VALUE"""),2123.76)</f>
        <v>2123.76</v>
      </c>
    </row>
    <row r="1680">
      <c r="A1680" s="10">
        <f t="shared" si="8"/>
        <v>39662.66667</v>
      </c>
      <c r="B1680" s="2" t="str">
        <f t="shared" si="2"/>
        <v/>
      </c>
      <c r="C1680" s="2" t="str">
        <f t="shared" si="3"/>
        <v>SP500</v>
      </c>
      <c r="D1680" s="2" t="str">
        <f t="shared" si="4"/>
        <v/>
      </c>
      <c r="E1680" s="2">
        <f t="shared" si="5"/>
        <v>2310.96</v>
      </c>
      <c r="G1680" s="10">
        <f t="shared" si="9"/>
        <v>39662.64583</v>
      </c>
      <c r="H1680" s="6" t="str">
        <f t="shared" si="6"/>
        <v/>
      </c>
      <c r="I1680" s="2">
        <f t="shared" si="7"/>
        <v>1573.77</v>
      </c>
      <c r="M1680" s="10">
        <f>IFERROR(__xludf.DUMMYFUNCTION("""COMPUTED_VALUE"""),40415.666666666664)</f>
        <v>40415.66667</v>
      </c>
      <c r="N1680" s="2">
        <f>IFERROR(__xludf.DUMMYFUNCTION("""COMPUTED_VALUE"""),2141.54)</f>
        <v>2141.54</v>
      </c>
    </row>
    <row r="1681">
      <c r="A1681" s="10">
        <f t="shared" si="8"/>
        <v>39663.66667</v>
      </c>
      <c r="B1681" s="2" t="str">
        <f t="shared" si="2"/>
        <v/>
      </c>
      <c r="C1681" s="2" t="str">
        <f t="shared" si="3"/>
        <v>SP500</v>
      </c>
      <c r="D1681" s="2" t="str">
        <f t="shared" si="4"/>
        <v/>
      </c>
      <c r="E1681" s="2">
        <f t="shared" si="5"/>
        <v>2310.96</v>
      </c>
      <c r="G1681" s="10">
        <f t="shared" si="9"/>
        <v>39663.64583</v>
      </c>
      <c r="H1681" s="6" t="str">
        <f t="shared" si="6"/>
        <v/>
      </c>
      <c r="I1681" s="2">
        <f t="shared" si="7"/>
        <v>1573.77</v>
      </c>
      <c r="M1681" s="10">
        <f>IFERROR(__xludf.DUMMYFUNCTION("""COMPUTED_VALUE"""),40416.666666666664)</f>
        <v>40416.66667</v>
      </c>
      <c r="N1681" s="2">
        <f>IFERROR(__xludf.DUMMYFUNCTION("""COMPUTED_VALUE"""),2118.69)</f>
        <v>2118.69</v>
      </c>
    </row>
    <row r="1682">
      <c r="A1682" s="10">
        <f t="shared" si="8"/>
        <v>39664.66667</v>
      </c>
      <c r="B1682" s="2" t="str">
        <f t="shared" si="2"/>
        <v/>
      </c>
      <c r="C1682" s="2" t="str">
        <f t="shared" si="3"/>
        <v>SP500</v>
      </c>
      <c r="D1682" s="2">
        <f t="shared" si="4"/>
        <v>2285.56</v>
      </c>
      <c r="E1682" s="2">
        <f t="shared" si="5"/>
        <v>2285.56</v>
      </c>
      <c r="G1682" s="10">
        <f t="shared" si="9"/>
        <v>39664.64583</v>
      </c>
      <c r="H1682" s="6">
        <f t="shared" si="6"/>
        <v>1543.05</v>
      </c>
      <c r="I1682" s="2">
        <f t="shared" si="7"/>
        <v>1543.05</v>
      </c>
      <c r="M1682" s="10">
        <f>IFERROR(__xludf.DUMMYFUNCTION("""COMPUTED_VALUE"""),40417.666666666664)</f>
        <v>40417.66667</v>
      </c>
      <c r="N1682" s="2">
        <f>IFERROR(__xludf.DUMMYFUNCTION("""COMPUTED_VALUE"""),2153.63)</f>
        <v>2153.63</v>
      </c>
    </row>
    <row r="1683">
      <c r="A1683" s="10">
        <f t="shared" si="8"/>
        <v>39665.66667</v>
      </c>
      <c r="B1683" s="2" t="str">
        <f t="shared" si="2"/>
        <v/>
      </c>
      <c r="C1683" s="2" t="str">
        <f t="shared" si="3"/>
        <v>SP500</v>
      </c>
      <c r="D1683" s="2">
        <f t="shared" si="4"/>
        <v>2349.83</v>
      </c>
      <c r="E1683" s="2">
        <f t="shared" si="5"/>
        <v>2349.83</v>
      </c>
      <c r="G1683" s="10">
        <f t="shared" si="9"/>
        <v>39665.64583</v>
      </c>
      <c r="H1683" s="6">
        <f t="shared" si="6"/>
        <v>1535.54</v>
      </c>
      <c r="I1683" s="2">
        <f t="shared" si="7"/>
        <v>1535.54</v>
      </c>
      <c r="M1683" s="10">
        <f>IFERROR(__xludf.DUMMYFUNCTION("""COMPUTED_VALUE"""),40420.666666666664)</f>
        <v>40420.66667</v>
      </c>
      <c r="N1683" s="2">
        <f>IFERROR(__xludf.DUMMYFUNCTION("""COMPUTED_VALUE"""),2119.97)</f>
        <v>2119.97</v>
      </c>
    </row>
    <row r="1684">
      <c r="A1684" s="10">
        <f t="shared" si="8"/>
        <v>39666.66667</v>
      </c>
      <c r="B1684" s="2" t="str">
        <f t="shared" si="2"/>
        <v/>
      </c>
      <c r="C1684" s="2" t="str">
        <f t="shared" si="3"/>
        <v>SP500</v>
      </c>
      <c r="D1684" s="2">
        <f t="shared" si="4"/>
        <v>2378.37</v>
      </c>
      <c r="E1684" s="2">
        <f t="shared" si="5"/>
        <v>2378.37</v>
      </c>
      <c r="G1684" s="10">
        <f t="shared" si="9"/>
        <v>39666.64583</v>
      </c>
      <c r="H1684" s="6">
        <f t="shared" si="6"/>
        <v>1578.71</v>
      </c>
      <c r="I1684" s="2">
        <f t="shared" si="7"/>
        <v>1578.71</v>
      </c>
      <c r="M1684" s="10">
        <f>IFERROR(__xludf.DUMMYFUNCTION("""COMPUTED_VALUE"""),40421.666666666664)</f>
        <v>40421.66667</v>
      </c>
      <c r="N1684" s="2">
        <f>IFERROR(__xludf.DUMMYFUNCTION("""COMPUTED_VALUE"""),2114.03)</f>
        <v>2114.03</v>
      </c>
    </row>
    <row r="1685">
      <c r="A1685" s="10">
        <f t="shared" si="8"/>
        <v>39667.66667</v>
      </c>
      <c r="B1685" s="2" t="str">
        <f t="shared" si="2"/>
        <v/>
      </c>
      <c r="C1685" s="2" t="str">
        <f t="shared" si="3"/>
        <v>SP500</v>
      </c>
      <c r="D1685" s="2">
        <f t="shared" si="4"/>
        <v>2355.73</v>
      </c>
      <c r="E1685" s="2">
        <f t="shared" si="5"/>
        <v>2355.73</v>
      </c>
      <c r="G1685" s="10">
        <f t="shared" si="9"/>
        <v>39667.64583</v>
      </c>
      <c r="H1685" s="6">
        <f t="shared" si="6"/>
        <v>1564</v>
      </c>
      <c r="I1685" s="2">
        <f t="shared" si="7"/>
        <v>1564</v>
      </c>
      <c r="M1685" s="10">
        <f>IFERROR(__xludf.DUMMYFUNCTION("""COMPUTED_VALUE"""),40422.666666666664)</f>
        <v>40422.66667</v>
      </c>
      <c r="N1685" s="2">
        <f>IFERROR(__xludf.DUMMYFUNCTION("""COMPUTED_VALUE"""),2176.84)</f>
        <v>2176.84</v>
      </c>
    </row>
    <row r="1686">
      <c r="A1686" s="10">
        <f t="shared" si="8"/>
        <v>39668.66667</v>
      </c>
      <c r="B1686" s="2" t="str">
        <f t="shared" si="2"/>
        <v/>
      </c>
      <c r="C1686" s="2" t="str">
        <f t="shared" si="3"/>
        <v>SP500</v>
      </c>
      <c r="D1686" s="2">
        <f t="shared" si="4"/>
        <v>2414.1</v>
      </c>
      <c r="E1686" s="2">
        <f t="shared" si="5"/>
        <v>2414.1</v>
      </c>
      <c r="G1686" s="10">
        <f t="shared" si="9"/>
        <v>39668.64583</v>
      </c>
      <c r="H1686" s="6">
        <f t="shared" si="6"/>
        <v>1568.72</v>
      </c>
      <c r="I1686" s="2">
        <f t="shared" si="7"/>
        <v>1568.72</v>
      </c>
      <c r="M1686" s="10">
        <f>IFERROR(__xludf.DUMMYFUNCTION("""COMPUTED_VALUE"""),40423.666666666664)</f>
        <v>40423.66667</v>
      </c>
      <c r="N1686" s="2">
        <f>IFERROR(__xludf.DUMMYFUNCTION("""COMPUTED_VALUE"""),2200.01)</f>
        <v>2200.01</v>
      </c>
    </row>
    <row r="1687">
      <c r="A1687" s="10">
        <f t="shared" si="8"/>
        <v>39669.66667</v>
      </c>
      <c r="B1687" s="2" t="str">
        <f t="shared" si="2"/>
        <v/>
      </c>
      <c r="C1687" s="2" t="str">
        <f t="shared" si="3"/>
        <v>SP500</v>
      </c>
      <c r="D1687" s="2" t="str">
        <f t="shared" si="4"/>
        <v/>
      </c>
      <c r="E1687" s="2">
        <f t="shared" si="5"/>
        <v>2414.1</v>
      </c>
      <c r="G1687" s="10">
        <f t="shared" si="9"/>
        <v>39669.64583</v>
      </c>
      <c r="H1687" s="6" t="str">
        <f t="shared" si="6"/>
        <v/>
      </c>
      <c r="I1687" s="2">
        <f t="shared" si="7"/>
        <v>1568.72</v>
      </c>
      <c r="M1687" s="10">
        <f>IFERROR(__xludf.DUMMYFUNCTION("""COMPUTED_VALUE"""),40424.666666666664)</f>
        <v>40424.66667</v>
      </c>
      <c r="N1687" s="2">
        <f>IFERROR(__xludf.DUMMYFUNCTION("""COMPUTED_VALUE"""),2233.75)</f>
        <v>2233.75</v>
      </c>
    </row>
    <row r="1688">
      <c r="A1688" s="10">
        <f t="shared" si="8"/>
        <v>39670.66667</v>
      </c>
      <c r="B1688" s="2" t="str">
        <f t="shared" si="2"/>
        <v/>
      </c>
      <c r="C1688" s="2" t="str">
        <f t="shared" si="3"/>
        <v>SP500</v>
      </c>
      <c r="D1688" s="2" t="str">
        <f t="shared" si="4"/>
        <v/>
      </c>
      <c r="E1688" s="2">
        <f t="shared" si="5"/>
        <v>2414.1</v>
      </c>
      <c r="G1688" s="10">
        <f t="shared" si="9"/>
        <v>39670.64583</v>
      </c>
      <c r="H1688" s="6" t="str">
        <f t="shared" si="6"/>
        <v/>
      </c>
      <c r="I1688" s="2">
        <f t="shared" si="7"/>
        <v>1568.72</v>
      </c>
      <c r="M1688" s="10">
        <f>IFERROR(__xludf.DUMMYFUNCTION("""COMPUTED_VALUE"""),40428.666666666664)</f>
        <v>40428.66667</v>
      </c>
      <c r="N1688" s="2">
        <f>IFERROR(__xludf.DUMMYFUNCTION("""COMPUTED_VALUE"""),2208.89)</f>
        <v>2208.89</v>
      </c>
    </row>
    <row r="1689">
      <c r="A1689" s="10">
        <f t="shared" si="8"/>
        <v>39671.66667</v>
      </c>
      <c r="B1689" s="2" t="str">
        <f t="shared" si="2"/>
        <v/>
      </c>
      <c r="C1689" s="2" t="str">
        <f t="shared" si="3"/>
        <v>SP500</v>
      </c>
      <c r="D1689" s="2">
        <f t="shared" si="4"/>
        <v>2439.95</v>
      </c>
      <c r="E1689" s="2">
        <f t="shared" si="5"/>
        <v>2439.95</v>
      </c>
      <c r="G1689" s="10">
        <f t="shared" si="9"/>
        <v>39671.64583</v>
      </c>
      <c r="H1689" s="6">
        <f t="shared" si="6"/>
        <v>1581.09</v>
      </c>
      <c r="I1689" s="2">
        <f t="shared" si="7"/>
        <v>1581.09</v>
      </c>
      <c r="M1689" s="10">
        <f>IFERROR(__xludf.DUMMYFUNCTION("""COMPUTED_VALUE"""),40429.666666666664)</f>
        <v>40429.66667</v>
      </c>
      <c r="N1689" s="2">
        <f>IFERROR(__xludf.DUMMYFUNCTION("""COMPUTED_VALUE"""),2228.87)</f>
        <v>2228.87</v>
      </c>
    </row>
    <row r="1690">
      <c r="A1690" s="10">
        <f t="shared" si="8"/>
        <v>39672.66667</v>
      </c>
      <c r="B1690" s="2" t="str">
        <f t="shared" si="2"/>
        <v/>
      </c>
      <c r="C1690" s="2" t="str">
        <f t="shared" si="3"/>
        <v>SP500</v>
      </c>
      <c r="D1690" s="2">
        <f t="shared" si="4"/>
        <v>2430.61</v>
      </c>
      <c r="E1690" s="2">
        <f t="shared" si="5"/>
        <v>2430.61</v>
      </c>
      <c r="G1690" s="10">
        <f t="shared" si="9"/>
        <v>39672.64583</v>
      </c>
      <c r="H1690" s="6">
        <f t="shared" si="6"/>
        <v>1577.12</v>
      </c>
      <c r="I1690" s="2">
        <f t="shared" si="7"/>
        <v>1577.12</v>
      </c>
      <c r="M1690" s="10">
        <f>IFERROR(__xludf.DUMMYFUNCTION("""COMPUTED_VALUE"""),40430.666666666664)</f>
        <v>40430.66667</v>
      </c>
      <c r="N1690" s="2">
        <f>IFERROR(__xludf.DUMMYFUNCTION("""COMPUTED_VALUE"""),2236.2)</f>
        <v>2236.2</v>
      </c>
    </row>
    <row r="1691">
      <c r="A1691" s="10">
        <f t="shared" si="8"/>
        <v>39673.66667</v>
      </c>
      <c r="B1691" s="2" t="str">
        <f t="shared" si="2"/>
        <v/>
      </c>
      <c r="C1691" s="2" t="str">
        <f t="shared" si="3"/>
        <v>SP500</v>
      </c>
      <c r="D1691" s="2">
        <f t="shared" si="4"/>
        <v>2428.62</v>
      </c>
      <c r="E1691" s="2">
        <f t="shared" si="5"/>
        <v>2428.62</v>
      </c>
      <c r="G1691" s="10">
        <f t="shared" si="9"/>
        <v>39673.64583</v>
      </c>
      <c r="H1691" s="6">
        <f t="shared" si="6"/>
        <v>1562.72</v>
      </c>
      <c r="I1691" s="2">
        <f t="shared" si="7"/>
        <v>1562.72</v>
      </c>
      <c r="M1691" s="10">
        <f>IFERROR(__xludf.DUMMYFUNCTION("""COMPUTED_VALUE"""),40431.666666666664)</f>
        <v>40431.66667</v>
      </c>
      <c r="N1691" s="2">
        <f>IFERROR(__xludf.DUMMYFUNCTION("""COMPUTED_VALUE"""),2242.48)</f>
        <v>2242.48</v>
      </c>
    </row>
    <row r="1692">
      <c r="A1692" s="10">
        <f t="shared" si="8"/>
        <v>39674.66667</v>
      </c>
      <c r="B1692" s="2" t="str">
        <f t="shared" si="2"/>
        <v/>
      </c>
      <c r="C1692" s="2" t="str">
        <f t="shared" si="3"/>
        <v>SP500</v>
      </c>
      <c r="D1692" s="2">
        <f t="shared" si="4"/>
        <v>2453.67</v>
      </c>
      <c r="E1692" s="2">
        <f t="shared" si="5"/>
        <v>2453.67</v>
      </c>
      <c r="G1692" s="10">
        <f t="shared" si="9"/>
        <v>39674.64583</v>
      </c>
      <c r="H1692" s="6">
        <f t="shared" si="6"/>
        <v>1572.19</v>
      </c>
      <c r="I1692" s="2">
        <f t="shared" si="7"/>
        <v>1572.19</v>
      </c>
      <c r="M1692" s="10">
        <f>IFERROR(__xludf.DUMMYFUNCTION("""COMPUTED_VALUE"""),40434.666666666664)</f>
        <v>40434.66667</v>
      </c>
      <c r="N1692" s="2">
        <f>IFERROR(__xludf.DUMMYFUNCTION("""COMPUTED_VALUE"""),2285.71)</f>
        <v>2285.71</v>
      </c>
    </row>
    <row r="1693">
      <c r="A1693" s="10">
        <f t="shared" si="8"/>
        <v>39675.66667</v>
      </c>
      <c r="B1693" s="2" t="str">
        <f t="shared" si="2"/>
        <v/>
      </c>
      <c r="C1693" s="2" t="str">
        <f t="shared" si="3"/>
        <v>SP500</v>
      </c>
      <c r="D1693" s="2">
        <f t="shared" si="4"/>
        <v>2452.52</v>
      </c>
      <c r="E1693" s="2">
        <f t="shared" si="5"/>
        <v>2452.52</v>
      </c>
      <c r="G1693" s="10">
        <f t="shared" si="9"/>
        <v>39675.64583</v>
      </c>
      <c r="H1693" s="6" t="str">
        <f t="shared" si="6"/>
        <v/>
      </c>
      <c r="I1693" s="2">
        <f t="shared" si="7"/>
        <v>1572.19</v>
      </c>
      <c r="M1693" s="10">
        <f>IFERROR(__xludf.DUMMYFUNCTION("""COMPUTED_VALUE"""),40435.666666666664)</f>
        <v>40435.66667</v>
      </c>
      <c r="N1693" s="2">
        <f>IFERROR(__xludf.DUMMYFUNCTION("""COMPUTED_VALUE"""),2289.77)</f>
        <v>2289.77</v>
      </c>
    </row>
    <row r="1694">
      <c r="A1694" s="10">
        <f t="shared" si="8"/>
        <v>39676.66667</v>
      </c>
      <c r="B1694" s="2" t="str">
        <f t="shared" si="2"/>
        <v/>
      </c>
      <c r="C1694" s="2" t="str">
        <f t="shared" si="3"/>
        <v>SP500</v>
      </c>
      <c r="D1694" s="2" t="str">
        <f t="shared" si="4"/>
        <v/>
      </c>
      <c r="E1694" s="2">
        <f t="shared" si="5"/>
        <v>2452.52</v>
      </c>
      <c r="G1694" s="10">
        <f t="shared" si="9"/>
        <v>39676.64583</v>
      </c>
      <c r="H1694" s="6" t="str">
        <f t="shared" si="6"/>
        <v/>
      </c>
      <c r="I1694" s="2">
        <f t="shared" si="7"/>
        <v>1572.19</v>
      </c>
      <c r="M1694" s="10">
        <f>IFERROR(__xludf.DUMMYFUNCTION("""COMPUTED_VALUE"""),40436.666666666664)</f>
        <v>40436.66667</v>
      </c>
      <c r="N1694" s="2">
        <f>IFERROR(__xludf.DUMMYFUNCTION("""COMPUTED_VALUE"""),2301.32)</f>
        <v>2301.32</v>
      </c>
    </row>
    <row r="1695">
      <c r="A1695" s="10">
        <f t="shared" si="8"/>
        <v>39677.66667</v>
      </c>
      <c r="B1695" s="2" t="str">
        <f t="shared" si="2"/>
        <v/>
      </c>
      <c r="C1695" s="2" t="str">
        <f t="shared" si="3"/>
        <v>SP500</v>
      </c>
      <c r="D1695" s="2" t="str">
        <f t="shared" si="4"/>
        <v/>
      </c>
      <c r="E1695" s="2">
        <f t="shared" si="5"/>
        <v>2452.52</v>
      </c>
      <c r="G1695" s="10">
        <f t="shared" si="9"/>
        <v>39677.64583</v>
      </c>
      <c r="H1695" s="6" t="str">
        <f t="shared" si="6"/>
        <v/>
      </c>
      <c r="I1695" s="2">
        <f t="shared" si="7"/>
        <v>1572.19</v>
      </c>
      <c r="M1695" s="10">
        <f>IFERROR(__xludf.DUMMYFUNCTION("""COMPUTED_VALUE"""),40437.666666666664)</f>
        <v>40437.66667</v>
      </c>
      <c r="N1695" s="2">
        <f>IFERROR(__xludf.DUMMYFUNCTION("""COMPUTED_VALUE"""),2303.25)</f>
        <v>2303.25</v>
      </c>
    </row>
    <row r="1696">
      <c r="A1696" s="10">
        <f t="shared" si="8"/>
        <v>39678.66667</v>
      </c>
      <c r="B1696" s="2" t="str">
        <f t="shared" si="2"/>
        <v/>
      </c>
      <c r="C1696" s="2" t="str">
        <f t="shared" si="3"/>
        <v>SP500</v>
      </c>
      <c r="D1696" s="2">
        <f t="shared" si="4"/>
        <v>2416.98</v>
      </c>
      <c r="E1696" s="2">
        <f t="shared" si="5"/>
        <v>2416.98</v>
      </c>
      <c r="G1696" s="10">
        <f t="shared" si="9"/>
        <v>39678.64583</v>
      </c>
      <c r="H1696" s="6">
        <f t="shared" si="6"/>
        <v>1567.71</v>
      </c>
      <c r="I1696" s="2">
        <f t="shared" si="7"/>
        <v>1567.71</v>
      </c>
      <c r="M1696" s="10">
        <f>IFERROR(__xludf.DUMMYFUNCTION("""COMPUTED_VALUE"""),40438.666666666664)</f>
        <v>40438.66667</v>
      </c>
      <c r="N1696" s="2">
        <f>IFERROR(__xludf.DUMMYFUNCTION("""COMPUTED_VALUE"""),2315.61)</f>
        <v>2315.61</v>
      </c>
    </row>
    <row r="1697">
      <c r="A1697" s="10">
        <f t="shared" si="8"/>
        <v>39679.66667</v>
      </c>
      <c r="B1697" s="2" t="str">
        <f t="shared" si="2"/>
        <v/>
      </c>
      <c r="C1697" s="2" t="str">
        <f t="shared" si="3"/>
        <v>SP500</v>
      </c>
      <c r="D1697" s="2">
        <f t="shared" si="4"/>
        <v>2384.36</v>
      </c>
      <c r="E1697" s="2">
        <f t="shared" si="5"/>
        <v>2384.36</v>
      </c>
      <c r="G1697" s="10">
        <f t="shared" si="9"/>
        <v>39679.64583</v>
      </c>
      <c r="H1697" s="6">
        <f t="shared" si="6"/>
        <v>1541.41</v>
      </c>
      <c r="I1697" s="2">
        <f t="shared" si="7"/>
        <v>1541.41</v>
      </c>
      <c r="M1697" s="10">
        <f>IFERROR(__xludf.DUMMYFUNCTION("""COMPUTED_VALUE"""),40441.666666666664)</f>
        <v>40441.66667</v>
      </c>
      <c r="N1697" s="2">
        <f>IFERROR(__xludf.DUMMYFUNCTION("""COMPUTED_VALUE"""),2355.83)</f>
        <v>2355.83</v>
      </c>
    </row>
    <row r="1698">
      <c r="A1698" s="10">
        <f t="shared" si="8"/>
        <v>39680.66667</v>
      </c>
      <c r="B1698" s="2" t="str">
        <f t="shared" si="2"/>
        <v/>
      </c>
      <c r="C1698" s="2" t="str">
        <f t="shared" si="3"/>
        <v>SP500</v>
      </c>
      <c r="D1698" s="2">
        <f t="shared" si="4"/>
        <v>2389.08</v>
      </c>
      <c r="E1698" s="2">
        <f t="shared" si="5"/>
        <v>2389.08</v>
      </c>
      <c r="G1698" s="10">
        <f t="shared" si="9"/>
        <v>39680.64583</v>
      </c>
      <c r="H1698" s="6">
        <f t="shared" si="6"/>
        <v>1540.71</v>
      </c>
      <c r="I1698" s="2">
        <f t="shared" si="7"/>
        <v>1540.71</v>
      </c>
      <c r="M1698" s="10">
        <f>IFERROR(__xludf.DUMMYFUNCTION("""COMPUTED_VALUE"""),40442.666666666664)</f>
        <v>40442.66667</v>
      </c>
      <c r="N1698" s="2">
        <f>IFERROR(__xludf.DUMMYFUNCTION("""COMPUTED_VALUE"""),2349.35)</f>
        <v>2349.35</v>
      </c>
    </row>
    <row r="1699">
      <c r="A1699" s="10">
        <f t="shared" si="8"/>
        <v>39681.66667</v>
      </c>
      <c r="B1699" s="2" t="str">
        <f t="shared" si="2"/>
        <v/>
      </c>
      <c r="C1699" s="2" t="str">
        <f t="shared" si="3"/>
        <v>SP500</v>
      </c>
      <c r="D1699" s="2">
        <f t="shared" si="4"/>
        <v>2380.38</v>
      </c>
      <c r="E1699" s="2">
        <f t="shared" si="5"/>
        <v>2380.38</v>
      </c>
      <c r="G1699" s="10">
        <f t="shared" si="9"/>
        <v>39681.64583</v>
      </c>
      <c r="H1699" s="6">
        <f t="shared" si="6"/>
        <v>1512.59</v>
      </c>
      <c r="I1699" s="2">
        <f t="shared" si="7"/>
        <v>1512.59</v>
      </c>
      <c r="M1699" s="10">
        <f>IFERROR(__xludf.DUMMYFUNCTION("""COMPUTED_VALUE"""),40443.666666666664)</f>
        <v>40443.66667</v>
      </c>
      <c r="N1699" s="2">
        <f>IFERROR(__xludf.DUMMYFUNCTION("""COMPUTED_VALUE"""),2334.55)</f>
        <v>2334.55</v>
      </c>
    </row>
    <row r="1700">
      <c r="A1700" s="10">
        <f t="shared" si="8"/>
        <v>39682.66667</v>
      </c>
      <c r="B1700" s="2" t="str">
        <f t="shared" si="2"/>
        <v/>
      </c>
      <c r="C1700" s="2" t="str">
        <f t="shared" si="3"/>
        <v>SP500</v>
      </c>
      <c r="D1700" s="2">
        <f t="shared" si="4"/>
        <v>2414.71</v>
      </c>
      <c r="E1700" s="2">
        <f t="shared" si="5"/>
        <v>2414.71</v>
      </c>
      <c r="G1700" s="10">
        <f t="shared" si="9"/>
        <v>39682.64583</v>
      </c>
      <c r="H1700" s="6">
        <f t="shared" si="6"/>
        <v>1496.91</v>
      </c>
      <c r="I1700" s="2">
        <f t="shared" si="7"/>
        <v>1496.91</v>
      </c>
      <c r="M1700" s="10">
        <f>IFERROR(__xludf.DUMMYFUNCTION("""COMPUTED_VALUE"""),40444.666666666664)</f>
        <v>40444.66667</v>
      </c>
      <c r="N1700" s="2">
        <f>IFERROR(__xludf.DUMMYFUNCTION("""COMPUTED_VALUE"""),2327.08)</f>
        <v>2327.08</v>
      </c>
    </row>
    <row r="1701">
      <c r="A1701" s="10">
        <f t="shared" si="8"/>
        <v>39683.66667</v>
      </c>
      <c r="B1701" s="2" t="str">
        <f t="shared" si="2"/>
        <v/>
      </c>
      <c r="C1701" s="2" t="str">
        <f t="shared" si="3"/>
        <v>SP500</v>
      </c>
      <c r="D1701" s="2" t="str">
        <f t="shared" si="4"/>
        <v/>
      </c>
      <c r="E1701" s="2">
        <f t="shared" si="5"/>
        <v>2414.71</v>
      </c>
      <c r="G1701" s="10">
        <f t="shared" si="9"/>
        <v>39683.64583</v>
      </c>
      <c r="H1701" s="6" t="str">
        <f t="shared" si="6"/>
        <v/>
      </c>
      <c r="I1701" s="2">
        <f t="shared" si="7"/>
        <v>1496.91</v>
      </c>
      <c r="M1701" s="10">
        <f>IFERROR(__xludf.DUMMYFUNCTION("""COMPUTED_VALUE"""),40445.666666666664)</f>
        <v>40445.66667</v>
      </c>
      <c r="N1701" s="2">
        <f>IFERROR(__xludf.DUMMYFUNCTION("""COMPUTED_VALUE"""),2381.22)</f>
        <v>2381.22</v>
      </c>
    </row>
    <row r="1702">
      <c r="A1702" s="10">
        <f t="shared" si="8"/>
        <v>39684.66667</v>
      </c>
      <c r="B1702" s="2" t="str">
        <f t="shared" si="2"/>
        <v/>
      </c>
      <c r="C1702" s="2" t="str">
        <f t="shared" si="3"/>
        <v>SP500</v>
      </c>
      <c r="D1702" s="2" t="str">
        <f t="shared" si="4"/>
        <v/>
      </c>
      <c r="E1702" s="2">
        <f t="shared" si="5"/>
        <v>2414.71</v>
      </c>
      <c r="G1702" s="10">
        <f t="shared" si="9"/>
        <v>39684.64583</v>
      </c>
      <c r="H1702" s="6" t="str">
        <f t="shared" si="6"/>
        <v/>
      </c>
      <c r="I1702" s="2">
        <f t="shared" si="7"/>
        <v>1496.91</v>
      </c>
      <c r="M1702" s="10">
        <f>IFERROR(__xludf.DUMMYFUNCTION("""COMPUTED_VALUE"""),40448.666666666664)</f>
        <v>40448.66667</v>
      </c>
      <c r="N1702" s="2">
        <f>IFERROR(__xludf.DUMMYFUNCTION("""COMPUTED_VALUE"""),2369.77)</f>
        <v>2369.77</v>
      </c>
    </row>
    <row r="1703">
      <c r="A1703" s="10">
        <f t="shared" si="8"/>
        <v>39685.66667</v>
      </c>
      <c r="B1703" s="2" t="str">
        <f t="shared" si="2"/>
        <v/>
      </c>
      <c r="C1703" s="2" t="str">
        <f t="shared" si="3"/>
        <v>SP500</v>
      </c>
      <c r="D1703" s="2">
        <f t="shared" si="4"/>
        <v>2365.59</v>
      </c>
      <c r="E1703" s="2">
        <f t="shared" si="5"/>
        <v>2365.59</v>
      </c>
      <c r="G1703" s="10">
        <f t="shared" si="9"/>
        <v>39685.64583</v>
      </c>
      <c r="H1703" s="6">
        <f t="shared" si="6"/>
        <v>1502.11</v>
      </c>
      <c r="I1703" s="2">
        <f t="shared" si="7"/>
        <v>1502.11</v>
      </c>
      <c r="M1703" s="10">
        <f>IFERROR(__xludf.DUMMYFUNCTION("""COMPUTED_VALUE"""),40449.666666666664)</f>
        <v>40449.66667</v>
      </c>
      <c r="N1703" s="2">
        <f>IFERROR(__xludf.DUMMYFUNCTION("""COMPUTED_VALUE"""),2379.59)</f>
        <v>2379.59</v>
      </c>
    </row>
    <row r="1704">
      <c r="A1704" s="10">
        <f t="shared" si="8"/>
        <v>39686.66667</v>
      </c>
      <c r="B1704" s="2" t="str">
        <f t="shared" si="2"/>
        <v/>
      </c>
      <c r="C1704" s="2" t="str">
        <f t="shared" si="3"/>
        <v>SP500</v>
      </c>
      <c r="D1704" s="2">
        <f t="shared" si="4"/>
        <v>2361.97</v>
      </c>
      <c r="E1704" s="2">
        <f t="shared" si="5"/>
        <v>2361.97</v>
      </c>
      <c r="G1704" s="10">
        <f t="shared" si="9"/>
        <v>39686.64583</v>
      </c>
      <c r="H1704" s="6">
        <f t="shared" si="6"/>
        <v>1490.25</v>
      </c>
      <c r="I1704" s="2">
        <f t="shared" si="7"/>
        <v>1490.25</v>
      </c>
      <c r="M1704" s="10">
        <f>IFERROR(__xludf.DUMMYFUNCTION("""COMPUTED_VALUE"""),40450.666666666664)</f>
        <v>40450.66667</v>
      </c>
      <c r="N1704" s="2">
        <f>IFERROR(__xludf.DUMMYFUNCTION("""COMPUTED_VALUE"""),2376.56)</f>
        <v>2376.56</v>
      </c>
    </row>
    <row r="1705">
      <c r="A1705" s="10">
        <f t="shared" si="8"/>
        <v>39687.66667</v>
      </c>
      <c r="B1705" s="2" t="str">
        <f t="shared" si="2"/>
        <v/>
      </c>
      <c r="C1705" s="2" t="str">
        <f t="shared" si="3"/>
        <v>SP500</v>
      </c>
      <c r="D1705" s="2">
        <f t="shared" si="4"/>
        <v>2382.46</v>
      </c>
      <c r="E1705" s="2">
        <f t="shared" si="5"/>
        <v>2382.46</v>
      </c>
      <c r="G1705" s="10">
        <f t="shared" si="9"/>
        <v>39687.64583</v>
      </c>
      <c r="H1705" s="6">
        <f t="shared" si="6"/>
        <v>1493.92</v>
      </c>
      <c r="I1705" s="2">
        <f t="shared" si="7"/>
        <v>1493.92</v>
      </c>
      <c r="M1705" s="10">
        <f>IFERROR(__xludf.DUMMYFUNCTION("""COMPUTED_VALUE"""),40451.666666666664)</f>
        <v>40451.66667</v>
      </c>
      <c r="N1705" s="2">
        <f>IFERROR(__xludf.DUMMYFUNCTION("""COMPUTED_VALUE"""),2368.62)</f>
        <v>2368.62</v>
      </c>
    </row>
    <row r="1706">
      <c r="A1706" s="10">
        <f t="shared" si="8"/>
        <v>39688.66667</v>
      </c>
      <c r="B1706" s="2" t="str">
        <f t="shared" si="2"/>
        <v/>
      </c>
      <c r="C1706" s="2" t="str">
        <f t="shared" si="3"/>
        <v>SP500</v>
      </c>
      <c r="D1706" s="2">
        <f t="shared" si="4"/>
        <v>2411.64</v>
      </c>
      <c r="E1706" s="2">
        <f t="shared" si="5"/>
        <v>2411.64</v>
      </c>
      <c r="G1706" s="10">
        <f t="shared" si="9"/>
        <v>39688.64583</v>
      </c>
      <c r="H1706" s="6">
        <f t="shared" si="6"/>
        <v>1474.15</v>
      </c>
      <c r="I1706" s="2">
        <f t="shared" si="7"/>
        <v>1474.15</v>
      </c>
      <c r="M1706" s="10">
        <f>IFERROR(__xludf.DUMMYFUNCTION("""COMPUTED_VALUE"""),40452.666666666664)</f>
        <v>40452.66667</v>
      </c>
      <c r="N1706" s="2">
        <f>IFERROR(__xludf.DUMMYFUNCTION("""COMPUTED_VALUE"""),2370.75)</f>
        <v>2370.75</v>
      </c>
    </row>
    <row r="1707">
      <c r="A1707" s="10">
        <f t="shared" si="8"/>
        <v>39689.66667</v>
      </c>
      <c r="B1707" s="2" t="str">
        <f t="shared" si="2"/>
        <v/>
      </c>
      <c r="C1707" s="2" t="str">
        <f t="shared" si="3"/>
        <v>SP500</v>
      </c>
      <c r="D1707" s="2">
        <f t="shared" si="4"/>
        <v>2367.52</v>
      </c>
      <c r="E1707" s="2">
        <f t="shared" si="5"/>
        <v>2367.52</v>
      </c>
      <c r="G1707" s="10">
        <f t="shared" si="9"/>
        <v>39689.64583</v>
      </c>
      <c r="H1707" s="6">
        <f t="shared" si="6"/>
        <v>1474.24</v>
      </c>
      <c r="I1707" s="2">
        <f t="shared" si="7"/>
        <v>1474.24</v>
      </c>
      <c r="M1707" s="10">
        <f>IFERROR(__xludf.DUMMYFUNCTION("""COMPUTED_VALUE"""),40455.666666666664)</f>
        <v>40455.66667</v>
      </c>
      <c r="N1707" s="2">
        <f>IFERROR(__xludf.DUMMYFUNCTION("""COMPUTED_VALUE"""),2344.52)</f>
        <v>2344.52</v>
      </c>
    </row>
    <row r="1708">
      <c r="A1708" s="10">
        <f t="shared" si="8"/>
        <v>39690.66667</v>
      </c>
      <c r="B1708" s="2" t="str">
        <f t="shared" si="2"/>
        <v/>
      </c>
      <c r="C1708" s="2" t="str">
        <f t="shared" si="3"/>
        <v>SP500</v>
      </c>
      <c r="D1708" s="2" t="str">
        <f t="shared" si="4"/>
        <v/>
      </c>
      <c r="E1708" s="2">
        <f t="shared" si="5"/>
        <v>2367.52</v>
      </c>
      <c r="G1708" s="10">
        <f t="shared" si="9"/>
        <v>39690.64583</v>
      </c>
      <c r="H1708" s="6" t="str">
        <f t="shared" si="6"/>
        <v/>
      </c>
      <c r="I1708" s="2">
        <f t="shared" si="7"/>
        <v>1474.24</v>
      </c>
      <c r="M1708" s="10">
        <f>IFERROR(__xludf.DUMMYFUNCTION("""COMPUTED_VALUE"""),40456.666666666664)</f>
        <v>40456.66667</v>
      </c>
      <c r="N1708" s="2">
        <f>IFERROR(__xludf.DUMMYFUNCTION("""COMPUTED_VALUE"""),2399.83)</f>
        <v>2399.83</v>
      </c>
    </row>
    <row r="1709">
      <c r="A1709" s="10">
        <f t="shared" si="8"/>
        <v>39691.66667</v>
      </c>
      <c r="B1709" s="2" t="str">
        <f t="shared" si="2"/>
        <v/>
      </c>
      <c r="C1709" s="2" t="str">
        <f t="shared" si="3"/>
        <v>SP500</v>
      </c>
      <c r="D1709" s="2" t="str">
        <f t="shared" si="4"/>
        <v/>
      </c>
      <c r="E1709" s="2">
        <f t="shared" si="5"/>
        <v>2367.52</v>
      </c>
      <c r="G1709" s="10">
        <f t="shared" si="9"/>
        <v>39691.64583</v>
      </c>
      <c r="H1709" s="6" t="str">
        <f t="shared" si="6"/>
        <v/>
      </c>
      <c r="I1709" s="2">
        <f t="shared" si="7"/>
        <v>1474.24</v>
      </c>
      <c r="M1709" s="10">
        <f>IFERROR(__xludf.DUMMYFUNCTION("""COMPUTED_VALUE"""),40457.666666666664)</f>
        <v>40457.66667</v>
      </c>
      <c r="N1709" s="2">
        <f>IFERROR(__xludf.DUMMYFUNCTION("""COMPUTED_VALUE"""),2373.81)</f>
        <v>2373.81</v>
      </c>
    </row>
    <row r="1710">
      <c r="A1710" s="10">
        <f t="shared" si="8"/>
        <v>39692.66667</v>
      </c>
      <c r="B1710" s="2" t="str">
        <f t="shared" si="2"/>
        <v/>
      </c>
      <c r="C1710" s="2" t="str">
        <f t="shared" si="3"/>
        <v>SP500</v>
      </c>
      <c r="D1710" s="2" t="str">
        <f t="shared" si="4"/>
        <v/>
      </c>
      <c r="E1710" s="2">
        <f t="shared" si="5"/>
        <v>2367.52</v>
      </c>
      <c r="G1710" s="10">
        <f t="shared" si="9"/>
        <v>39692.64583</v>
      </c>
      <c r="H1710" s="6">
        <f t="shared" si="6"/>
        <v>1414.43</v>
      </c>
      <c r="I1710" s="2">
        <f t="shared" si="7"/>
        <v>1414.43</v>
      </c>
      <c r="M1710" s="10">
        <f>IFERROR(__xludf.DUMMYFUNCTION("""COMPUTED_VALUE"""),40458.666666666664)</f>
        <v>40458.66667</v>
      </c>
      <c r="N1710" s="2">
        <f>IFERROR(__xludf.DUMMYFUNCTION("""COMPUTED_VALUE"""),2383.67)</f>
        <v>2383.67</v>
      </c>
    </row>
    <row r="1711">
      <c r="A1711" s="10">
        <f t="shared" si="8"/>
        <v>39693.66667</v>
      </c>
      <c r="B1711" s="2" t="str">
        <f t="shared" si="2"/>
        <v/>
      </c>
      <c r="C1711" s="2" t="str">
        <f t="shared" si="3"/>
        <v>SP500</v>
      </c>
      <c r="D1711" s="2">
        <f t="shared" si="4"/>
        <v>2349.24</v>
      </c>
      <c r="E1711" s="2">
        <f t="shared" si="5"/>
        <v>2349.24</v>
      </c>
      <c r="G1711" s="10">
        <f t="shared" si="9"/>
        <v>39693.64583</v>
      </c>
      <c r="H1711" s="6">
        <f t="shared" si="6"/>
        <v>1407.14</v>
      </c>
      <c r="I1711" s="2">
        <f t="shared" si="7"/>
        <v>1407.14</v>
      </c>
      <c r="M1711" s="10">
        <f>IFERROR(__xludf.DUMMYFUNCTION("""COMPUTED_VALUE"""),40459.666666666664)</f>
        <v>40459.66667</v>
      </c>
      <c r="N1711" s="2">
        <f>IFERROR(__xludf.DUMMYFUNCTION("""COMPUTED_VALUE"""),2401.91)</f>
        <v>2401.91</v>
      </c>
    </row>
    <row r="1712">
      <c r="A1712" s="10">
        <f t="shared" si="8"/>
        <v>39694.66667</v>
      </c>
      <c r="B1712" s="2" t="str">
        <f t="shared" si="2"/>
        <v/>
      </c>
      <c r="C1712" s="2" t="str">
        <f t="shared" si="3"/>
        <v>SP500</v>
      </c>
      <c r="D1712" s="2">
        <f t="shared" si="4"/>
        <v>2333.73</v>
      </c>
      <c r="E1712" s="2">
        <f t="shared" si="5"/>
        <v>2333.73</v>
      </c>
      <c r="G1712" s="10">
        <f t="shared" si="9"/>
        <v>39694.64583</v>
      </c>
      <c r="H1712" s="6">
        <f t="shared" si="6"/>
        <v>1426.89</v>
      </c>
      <c r="I1712" s="2">
        <f t="shared" si="7"/>
        <v>1426.89</v>
      </c>
      <c r="M1712" s="10">
        <f>IFERROR(__xludf.DUMMYFUNCTION("""COMPUTED_VALUE"""),40462.666666666664)</f>
        <v>40462.66667</v>
      </c>
      <c r="N1712" s="2">
        <f>IFERROR(__xludf.DUMMYFUNCTION("""COMPUTED_VALUE"""),2402.33)</f>
        <v>2402.33</v>
      </c>
    </row>
    <row r="1713">
      <c r="A1713" s="10">
        <f t="shared" si="8"/>
        <v>39695.66667</v>
      </c>
      <c r="B1713" s="2" t="str">
        <f t="shared" si="2"/>
        <v/>
      </c>
      <c r="C1713" s="2" t="str">
        <f t="shared" si="3"/>
        <v>SP500</v>
      </c>
      <c r="D1713" s="2">
        <f t="shared" si="4"/>
        <v>2259.04</v>
      </c>
      <c r="E1713" s="2">
        <f t="shared" si="5"/>
        <v>2259.04</v>
      </c>
      <c r="G1713" s="10">
        <f t="shared" si="9"/>
        <v>39695.64583</v>
      </c>
      <c r="H1713" s="6" t="str">
        <f t="shared" si="6"/>
        <v/>
      </c>
      <c r="I1713" s="2">
        <f t="shared" si="7"/>
        <v>1426.89</v>
      </c>
      <c r="M1713" s="10">
        <f>IFERROR(__xludf.DUMMYFUNCTION("""COMPUTED_VALUE"""),40463.666666666664)</f>
        <v>40463.66667</v>
      </c>
      <c r="N1713" s="2">
        <f>IFERROR(__xludf.DUMMYFUNCTION("""COMPUTED_VALUE"""),2417.92)</f>
        <v>2417.92</v>
      </c>
    </row>
    <row r="1714">
      <c r="A1714" s="10">
        <f t="shared" si="8"/>
        <v>39696.66667</v>
      </c>
      <c r="B1714" s="2" t="str">
        <f t="shared" si="2"/>
        <v/>
      </c>
      <c r="C1714" s="2" t="str">
        <f t="shared" si="3"/>
        <v>SP500</v>
      </c>
      <c r="D1714" s="2">
        <f t="shared" si="4"/>
        <v>2255.88</v>
      </c>
      <c r="E1714" s="2">
        <f t="shared" si="5"/>
        <v>2255.88</v>
      </c>
      <c r="G1714" s="10">
        <f t="shared" si="9"/>
        <v>39696.64583</v>
      </c>
      <c r="H1714" s="6" t="str">
        <f t="shared" si="6"/>
        <v/>
      </c>
      <c r="I1714" s="2">
        <f t="shared" si="7"/>
        <v>1426.89</v>
      </c>
      <c r="M1714" s="10">
        <f>IFERROR(__xludf.DUMMYFUNCTION("""COMPUTED_VALUE"""),40464.666666666664)</f>
        <v>40464.66667</v>
      </c>
      <c r="N1714" s="2">
        <f>IFERROR(__xludf.DUMMYFUNCTION("""COMPUTED_VALUE"""),2441.23)</f>
        <v>2441.23</v>
      </c>
    </row>
    <row r="1715">
      <c r="A1715" s="10">
        <f t="shared" si="8"/>
        <v>39697.66667</v>
      </c>
      <c r="B1715" s="2" t="str">
        <f t="shared" si="2"/>
        <v/>
      </c>
      <c r="C1715" s="2" t="str">
        <f t="shared" si="3"/>
        <v>SP500</v>
      </c>
      <c r="D1715" s="2" t="str">
        <f t="shared" si="4"/>
        <v/>
      </c>
      <c r="E1715" s="2">
        <f t="shared" si="5"/>
        <v>2255.88</v>
      </c>
      <c r="G1715" s="10">
        <f t="shared" si="9"/>
        <v>39697.64583</v>
      </c>
      <c r="H1715" s="6" t="str">
        <f t="shared" si="6"/>
        <v/>
      </c>
      <c r="I1715" s="2">
        <f t="shared" si="7"/>
        <v>1426.89</v>
      </c>
      <c r="M1715" s="10">
        <f>IFERROR(__xludf.DUMMYFUNCTION("""COMPUTED_VALUE"""),40465.666666666664)</f>
        <v>40465.66667</v>
      </c>
      <c r="N1715" s="2">
        <f>IFERROR(__xludf.DUMMYFUNCTION("""COMPUTED_VALUE"""),2435.38)</f>
        <v>2435.38</v>
      </c>
    </row>
    <row r="1716">
      <c r="A1716" s="10">
        <f t="shared" si="8"/>
        <v>39698.66667</v>
      </c>
      <c r="B1716" s="2" t="str">
        <f t="shared" si="2"/>
        <v/>
      </c>
      <c r="C1716" s="2" t="str">
        <f t="shared" si="3"/>
        <v>SP500</v>
      </c>
      <c r="D1716" s="2" t="str">
        <f t="shared" si="4"/>
        <v/>
      </c>
      <c r="E1716" s="2">
        <f t="shared" si="5"/>
        <v>2255.88</v>
      </c>
      <c r="G1716" s="10">
        <f t="shared" si="9"/>
        <v>39698.64583</v>
      </c>
      <c r="H1716" s="6" t="str">
        <f t="shared" si="6"/>
        <v/>
      </c>
      <c r="I1716" s="2">
        <f t="shared" si="7"/>
        <v>1426.89</v>
      </c>
      <c r="M1716" s="10">
        <f>IFERROR(__xludf.DUMMYFUNCTION("""COMPUTED_VALUE"""),40466.666666666664)</f>
        <v>40466.66667</v>
      </c>
      <c r="N1716" s="2">
        <f>IFERROR(__xludf.DUMMYFUNCTION("""COMPUTED_VALUE"""),2468.77)</f>
        <v>2468.77</v>
      </c>
    </row>
    <row r="1717">
      <c r="A1717" s="10">
        <f t="shared" si="8"/>
        <v>39699.66667</v>
      </c>
      <c r="B1717" s="2" t="str">
        <f t="shared" si="2"/>
        <v/>
      </c>
      <c r="C1717" s="2" t="str">
        <f t="shared" si="3"/>
        <v>SP500</v>
      </c>
      <c r="D1717" s="2">
        <f t="shared" si="4"/>
        <v>2269.76</v>
      </c>
      <c r="E1717" s="2">
        <f t="shared" si="5"/>
        <v>2269.76</v>
      </c>
      <c r="G1717" s="10">
        <f t="shared" si="9"/>
        <v>39699.64583</v>
      </c>
      <c r="H1717" s="6" t="str">
        <f t="shared" si="6"/>
        <v/>
      </c>
      <c r="I1717" s="2">
        <f t="shared" si="7"/>
        <v>1426.89</v>
      </c>
      <c r="M1717" s="10">
        <f>IFERROR(__xludf.DUMMYFUNCTION("""COMPUTED_VALUE"""),40469.666666666664)</f>
        <v>40469.66667</v>
      </c>
      <c r="N1717" s="2">
        <f>IFERROR(__xludf.DUMMYFUNCTION("""COMPUTED_VALUE"""),2480.66)</f>
        <v>2480.66</v>
      </c>
    </row>
    <row r="1718">
      <c r="A1718" s="10">
        <f t="shared" si="8"/>
        <v>39700.66667</v>
      </c>
      <c r="B1718" s="2" t="str">
        <f t="shared" si="2"/>
        <v/>
      </c>
      <c r="C1718" s="2" t="str">
        <f t="shared" si="3"/>
        <v>SP500</v>
      </c>
      <c r="D1718" s="2">
        <f t="shared" si="4"/>
        <v>2209.81</v>
      </c>
      <c r="E1718" s="2">
        <f t="shared" si="5"/>
        <v>2209.81</v>
      </c>
      <c r="G1718" s="10">
        <f t="shared" si="9"/>
        <v>39700.64583</v>
      </c>
      <c r="H1718" s="6" t="str">
        <f t="shared" si="6"/>
        <v/>
      </c>
      <c r="I1718" s="2">
        <f t="shared" si="7"/>
        <v>1426.89</v>
      </c>
      <c r="M1718" s="10">
        <f>IFERROR(__xludf.DUMMYFUNCTION("""COMPUTED_VALUE"""),40470.666666666664)</f>
        <v>40470.66667</v>
      </c>
      <c r="N1718" s="2">
        <f>IFERROR(__xludf.DUMMYFUNCTION("""COMPUTED_VALUE"""),2436.95)</f>
        <v>2436.95</v>
      </c>
    </row>
    <row r="1719">
      <c r="A1719" s="10">
        <f t="shared" si="8"/>
        <v>39701.66667</v>
      </c>
      <c r="B1719" s="2" t="str">
        <f t="shared" si="2"/>
        <v/>
      </c>
      <c r="C1719" s="2" t="str">
        <f t="shared" si="3"/>
        <v>SP500</v>
      </c>
      <c r="D1719" s="2">
        <f t="shared" si="4"/>
        <v>2228.7</v>
      </c>
      <c r="E1719" s="2">
        <f t="shared" si="5"/>
        <v>2228.7</v>
      </c>
      <c r="G1719" s="10">
        <f t="shared" si="9"/>
        <v>39701.64583</v>
      </c>
      <c r="H1719" s="6" t="str">
        <f t="shared" si="6"/>
        <v/>
      </c>
      <c r="I1719" s="2">
        <f t="shared" si="7"/>
        <v>1426.89</v>
      </c>
      <c r="M1719" s="10">
        <f>IFERROR(__xludf.DUMMYFUNCTION("""COMPUTED_VALUE"""),40471.666666666664)</f>
        <v>40471.66667</v>
      </c>
      <c r="N1719" s="2">
        <f>IFERROR(__xludf.DUMMYFUNCTION("""COMPUTED_VALUE"""),2457.39)</f>
        <v>2457.39</v>
      </c>
    </row>
    <row r="1720">
      <c r="A1720" s="10">
        <f t="shared" si="8"/>
        <v>39702.66667</v>
      </c>
      <c r="B1720" s="2" t="str">
        <f t="shared" si="2"/>
        <v/>
      </c>
      <c r="C1720" s="2" t="str">
        <f t="shared" si="3"/>
        <v>SP500</v>
      </c>
      <c r="D1720" s="2">
        <f t="shared" si="4"/>
        <v>2258.22</v>
      </c>
      <c r="E1720" s="2">
        <f t="shared" si="5"/>
        <v>2258.22</v>
      </c>
      <c r="G1720" s="10">
        <f t="shared" si="9"/>
        <v>39702.64583</v>
      </c>
      <c r="H1720" s="6" t="str">
        <f t="shared" si="6"/>
        <v/>
      </c>
      <c r="I1720" s="2">
        <f t="shared" si="7"/>
        <v>1426.89</v>
      </c>
      <c r="M1720" s="10">
        <f>IFERROR(__xludf.DUMMYFUNCTION("""COMPUTED_VALUE"""),40472.666666666664)</f>
        <v>40472.66667</v>
      </c>
      <c r="N1720" s="2">
        <f>IFERROR(__xludf.DUMMYFUNCTION("""COMPUTED_VALUE"""),2459.67)</f>
        <v>2459.67</v>
      </c>
    </row>
    <row r="1721">
      <c r="A1721" s="10">
        <f t="shared" si="8"/>
        <v>39703.66667</v>
      </c>
      <c r="B1721" s="2" t="str">
        <f t="shared" si="2"/>
        <v/>
      </c>
      <c r="C1721" s="2" t="str">
        <f t="shared" si="3"/>
        <v>SP500</v>
      </c>
      <c r="D1721" s="2">
        <f t="shared" si="4"/>
        <v>2261.27</v>
      </c>
      <c r="E1721" s="2">
        <f t="shared" si="5"/>
        <v>2261.27</v>
      </c>
      <c r="G1721" s="10">
        <f t="shared" si="9"/>
        <v>39703.64583</v>
      </c>
      <c r="H1721" s="6" t="str">
        <f t="shared" si="6"/>
        <v/>
      </c>
      <c r="I1721" s="2">
        <f t="shared" si="7"/>
        <v>1426.89</v>
      </c>
      <c r="M1721" s="10">
        <f>IFERROR(__xludf.DUMMYFUNCTION("""COMPUTED_VALUE"""),40473.666666666664)</f>
        <v>40473.66667</v>
      </c>
      <c r="N1721" s="2">
        <f>IFERROR(__xludf.DUMMYFUNCTION("""COMPUTED_VALUE"""),2479.39)</f>
        <v>2479.39</v>
      </c>
    </row>
    <row r="1722">
      <c r="A1722" s="10">
        <f t="shared" si="8"/>
        <v>39704.66667</v>
      </c>
      <c r="B1722" s="2" t="str">
        <f t="shared" si="2"/>
        <v/>
      </c>
      <c r="C1722" s="2" t="str">
        <f t="shared" si="3"/>
        <v>SP500</v>
      </c>
      <c r="D1722" s="2" t="str">
        <f t="shared" si="4"/>
        <v/>
      </c>
      <c r="E1722" s="2">
        <f t="shared" si="5"/>
        <v>2261.27</v>
      </c>
      <c r="G1722" s="10">
        <f t="shared" si="9"/>
        <v>39704.64583</v>
      </c>
      <c r="H1722" s="6" t="str">
        <f t="shared" si="6"/>
        <v/>
      </c>
      <c r="I1722" s="2">
        <f t="shared" si="7"/>
        <v>1426.89</v>
      </c>
      <c r="M1722" s="10">
        <f>IFERROR(__xludf.DUMMYFUNCTION("""COMPUTED_VALUE"""),40476.666666666664)</f>
        <v>40476.66667</v>
      </c>
      <c r="N1722" s="2">
        <f>IFERROR(__xludf.DUMMYFUNCTION("""COMPUTED_VALUE"""),2490.85)</f>
        <v>2490.85</v>
      </c>
    </row>
    <row r="1723">
      <c r="A1723" s="10">
        <f t="shared" si="8"/>
        <v>39705.66667</v>
      </c>
      <c r="B1723" s="2" t="str">
        <f t="shared" si="2"/>
        <v/>
      </c>
      <c r="C1723" s="2" t="str">
        <f t="shared" si="3"/>
        <v>SP500</v>
      </c>
      <c r="D1723" s="2" t="str">
        <f t="shared" si="4"/>
        <v/>
      </c>
      <c r="E1723" s="2">
        <f t="shared" si="5"/>
        <v>2261.27</v>
      </c>
      <c r="G1723" s="10">
        <f t="shared" si="9"/>
        <v>39705.64583</v>
      </c>
      <c r="H1723" s="6" t="str">
        <f t="shared" si="6"/>
        <v/>
      </c>
      <c r="I1723" s="2">
        <f t="shared" si="7"/>
        <v>1426.89</v>
      </c>
      <c r="M1723" s="10">
        <f>IFERROR(__xludf.DUMMYFUNCTION("""COMPUTED_VALUE"""),40477.666666666664)</f>
        <v>40477.66667</v>
      </c>
      <c r="N1723" s="2">
        <f>IFERROR(__xludf.DUMMYFUNCTION("""COMPUTED_VALUE"""),2497.29)</f>
        <v>2497.29</v>
      </c>
    </row>
    <row r="1724">
      <c r="A1724" s="10">
        <f t="shared" si="8"/>
        <v>39706.66667</v>
      </c>
      <c r="B1724" s="2" t="str">
        <f t="shared" si="2"/>
        <v/>
      </c>
      <c r="C1724" s="2" t="str">
        <f t="shared" si="3"/>
        <v>SP500</v>
      </c>
      <c r="D1724" s="2">
        <f t="shared" si="4"/>
        <v>2179.91</v>
      </c>
      <c r="E1724" s="2">
        <f t="shared" si="5"/>
        <v>2179.91</v>
      </c>
      <c r="G1724" s="10">
        <f t="shared" si="9"/>
        <v>39706.64583</v>
      </c>
      <c r="H1724" s="6" t="str">
        <f t="shared" si="6"/>
        <v/>
      </c>
      <c r="I1724" s="2">
        <f t="shared" si="7"/>
        <v>1426.89</v>
      </c>
      <c r="M1724" s="10">
        <f>IFERROR(__xludf.DUMMYFUNCTION("""COMPUTED_VALUE"""),40478.666666666664)</f>
        <v>40478.66667</v>
      </c>
      <c r="N1724" s="2">
        <f>IFERROR(__xludf.DUMMYFUNCTION("""COMPUTED_VALUE"""),2503.26)</f>
        <v>2503.26</v>
      </c>
    </row>
    <row r="1725">
      <c r="A1725" s="10">
        <f t="shared" si="8"/>
        <v>39707.66667</v>
      </c>
      <c r="B1725" s="2" t="str">
        <f t="shared" si="2"/>
        <v/>
      </c>
      <c r="C1725" s="2" t="str">
        <f t="shared" si="3"/>
        <v>SP500</v>
      </c>
      <c r="D1725" s="2">
        <f t="shared" si="4"/>
        <v>2207.9</v>
      </c>
      <c r="E1725" s="2">
        <f t="shared" si="5"/>
        <v>2207.9</v>
      </c>
      <c r="G1725" s="10">
        <f t="shared" si="9"/>
        <v>39707.64583</v>
      </c>
      <c r="H1725" s="6" t="str">
        <f t="shared" si="6"/>
        <v/>
      </c>
      <c r="I1725" s="2">
        <f t="shared" si="7"/>
        <v>1426.89</v>
      </c>
      <c r="M1725" s="10">
        <f>IFERROR(__xludf.DUMMYFUNCTION("""COMPUTED_VALUE"""),40479.666666666664)</f>
        <v>40479.66667</v>
      </c>
      <c r="N1725" s="2">
        <f>IFERROR(__xludf.DUMMYFUNCTION("""COMPUTED_VALUE"""),2507.37)</f>
        <v>2507.37</v>
      </c>
    </row>
    <row r="1726">
      <c r="A1726" s="10">
        <f t="shared" si="8"/>
        <v>39708.66667</v>
      </c>
      <c r="B1726" s="2" t="str">
        <f t="shared" si="2"/>
        <v/>
      </c>
      <c r="C1726" s="2" t="str">
        <f t="shared" si="3"/>
        <v>SP500</v>
      </c>
      <c r="D1726" s="2">
        <f t="shared" si="4"/>
        <v>2098.85</v>
      </c>
      <c r="E1726" s="2">
        <f t="shared" si="5"/>
        <v>2098.85</v>
      </c>
      <c r="G1726" s="10">
        <f t="shared" si="9"/>
        <v>39708.64583</v>
      </c>
      <c r="H1726" s="6" t="str">
        <f t="shared" si="6"/>
        <v/>
      </c>
      <c r="I1726" s="2">
        <f t="shared" si="7"/>
        <v>1426.89</v>
      </c>
      <c r="M1726" s="10">
        <f>IFERROR(__xludf.DUMMYFUNCTION("""COMPUTED_VALUE"""),40480.666666666664)</f>
        <v>40480.66667</v>
      </c>
      <c r="N1726" s="2">
        <f>IFERROR(__xludf.DUMMYFUNCTION("""COMPUTED_VALUE"""),2507.41)</f>
        <v>2507.41</v>
      </c>
    </row>
    <row r="1727">
      <c r="A1727" s="10">
        <f t="shared" si="8"/>
        <v>39709.66667</v>
      </c>
      <c r="B1727" s="2" t="str">
        <f t="shared" si="2"/>
        <v/>
      </c>
      <c r="C1727" s="2" t="str">
        <f t="shared" si="3"/>
        <v>SP500</v>
      </c>
      <c r="D1727" s="2">
        <f t="shared" si="4"/>
        <v>2199.1</v>
      </c>
      <c r="E1727" s="2">
        <f t="shared" si="5"/>
        <v>2199.1</v>
      </c>
      <c r="G1727" s="10">
        <f t="shared" si="9"/>
        <v>39709.64583</v>
      </c>
      <c r="H1727" s="6" t="str">
        <f t="shared" si="6"/>
        <v/>
      </c>
      <c r="I1727" s="2">
        <f t="shared" si="7"/>
        <v>1426.89</v>
      </c>
      <c r="M1727" s="10">
        <f>IFERROR(__xludf.DUMMYFUNCTION("""COMPUTED_VALUE"""),40483.666666666664)</f>
        <v>40483.66667</v>
      </c>
      <c r="N1727" s="2">
        <f>IFERROR(__xludf.DUMMYFUNCTION("""COMPUTED_VALUE"""),2504.84)</f>
        <v>2504.84</v>
      </c>
    </row>
    <row r="1728">
      <c r="A1728" s="10">
        <f t="shared" si="8"/>
        <v>39710.66667</v>
      </c>
      <c r="B1728" s="2" t="str">
        <f t="shared" si="2"/>
        <v/>
      </c>
      <c r="C1728" s="2" t="str">
        <f t="shared" si="3"/>
        <v>SP500</v>
      </c>
      <c r="D1728" s="2">
        <f t="shared" si="4"/>
        <v>2273.9</v>
      </c>
      <c r="E1728" s="2">
        <f t="shared" si="5"/>
        <v>2273.9</v>
      </c>
      <c r="G1728" s="10">
        <f t="shared" si="9"/>
        <v>39710.64583</v>
      </c>
      <c r="H1728" s="6" t="str">
        <f t="shared" si="6"/>
        <v/>
      </c>
      <c r="I1728" s="2">
        <f t="shared" si="7"/>
        <v>1426.89</v>
      </c>
      <c r="M1728" s="10">
        <f>IFERROR(__xludf.DUMMYFUNCTION("""COMPUTED_VALUE"""),40484.666666666664)</f>
        <v>40484.66667</v>
      </c>
      <c r="N1728" s="2">
        <f>IFERROR(__xludf.DUMMYFUNCTION("""COMPUTED_VALUE"""),2533.52)</f>
        <v>2533.52</v>
      </c>
    </row>
    <row r="1729">
      <c r="A1729" s="10">
        <f t="shared" si="8"/>
        <v>39711.66667</v>
      </c>
      <c r="B1729" s="2" t="str">
        <f t="shared" si="2"/>
        <v/>
      </c>
      <c r="C1729" s="2" t="str">
        <f t="shared" si="3"/>
        <v>SP500</v>
      </c>
      <c r="D1729" s="2" t="str">
        <f t="shared" si="4"/>
        <v/>
      </c>
      <c r="E1729" s="2">
        <f t="shared" si="5"/>
        <v>2273.9</v>
      </c>
      <c r="G1729" s="10">
        <f t="shared" si="9"/>
        <v>39711.64583</v>
      </c>
      <c r="H1729" s="6" t="str">
        <f t="shared" si="6"/>
        <v/>
      </c>
      <c r="I1729" s="2">
        <f t="shared" si="7"/>
        <v>1426.89</v>
      </c>
      <c r="M1729" s="10">
        <f>IFERROR(__xludf.DUMMYFUNCTION("""COMPUTED_VALUE"""),40485.666666666664)</f>
        <v>40485.66667</v>
      </c>
      <c r="N1729" s="2">
        <f>IFERROR(__xludf.DUMMYFUNCTION("""COMPUTED_VALUE"""),2540.27)</f>
        <v>2540.27</v>
      </c>
    </row>
    <row r="1730">
      <c r="A1730" s="10">
        <f t="shared" si="8"/>
        <v>39712.66667</v>
      </c>
      <c r="B1730" s="2" t="str">
        <f t="shared" si="2"/>
        <v/>
      </c>
      <c r="C1730" s="2" t="str">
        <f t="shared" si="3"/>
        <v>SP500</v>
      </c>
      <c r="D1730" s="2" t="str">
        <f t="shared" si="4"/>
        <v/>
      </c>
      <c r="E1730" s="2">
        <f t="shared" si="5"/>
        <v>2273.9</v>
      </c>
      <c r="G1730" s="10">
        <f t="shared" si="9"/>
        <v>39712.64583</v>
      </c>
      <c r="H1730" s="6" t="str">
        <f t="shared" si="6"/>
        <v/>
      </c>
      <c r="I1730" s="2">
        <f t="shared" si="7"/>
        <v>1426.89</v>
      </c>
      <c r="M1730" s="10">
        <f>IFERROR(__xludf.DUMMYFUNCTION("""COMPUTED_VALUE"""),40486.666666666664)</f>
        <v>40486.66667</v>
      </c>
      <c r="N1730" s="2">
        <f>IFERROR(__xludf.DUMMYFUNCTION("""COMPUTED_VALUE"""),2577.34)</f>
        <v>2577.34</v>
      </c>
    </row>
    <row r="1731">
      <c r="A1731" s="10">
        <f t="shared" si="8"/>
        <v>39713.66667</v>
      </c>
      <c r="B1731" s="2" t="str">
        <f t="shared" si="2"/>
        <v/>
      </c>
      <c r="C1731" s="2" t="str">
        <f t="shared" si="3"/>
        <v>SP500</v>
      </c>
      <c r="D1731" s="2">
        <f t="shared" si="4"/>
        <v>2178.98</v>
      </c>
      <c r="E1731" s="2">
        <f t="shared" si="5"/>
        <v>2178.98</v>
      </c>
      <c r="G1731" s="10">
        <f t="shared" si="9"/>
        <v>39713.64583</v>
      </c>
      <c r="H1731" s="6" t="str">
        <f t="shared" si="6"/>
        <v/>
      </c>
      <c r="I1731" s="2">
        <f t="shared" si="7"/>
        <v>1426.89</v>
      </c>
      <c r="M1731" s="10">
        <f>IFERROR(__xludf.DUMMYFUNCTION("""COMPUTED_VALUE"""),40487.666666666664)</f>
        <v>40487.66667</v>
      </c>
      <c r="N1731" s="2">
        <f>IFERROR(__xludf.DUMMYFUNCTION("""COMPUTED_VALUE"""),2578.98)</f>
        <v>2578.98</v>
      </c>
    </row>
    <row r="1732">
      <c r="A1732" s="10">
        <f t="shared" si="8"/>
        <v>39714.66667</v>
      </c>
      <c r="B1732" s="2" t="str">
        <f t="shared" si="2"/>
        <v/>
      </c>
      <c r="C1732" s="2" t="str">
        <f t="shared" si="3"/>
        <v>SP500</v>
      </c>
      <c r="D1732" s="2">
        <f t="shared" si="4"/>
        <v>2153.33</v>
      </c>
      <c r="E1732" s="2">
        <f t="shared" si="5"/>
        <v>2153.33</v>
      </c>
      <c r="G1732" s="10">
        <f t="shared" si="9"/>
        <v>39714.64583</v>
      </c>
      <c r="H1732" s="6" t="str">
        <f t="shared" si="6"/>
        <v/>
      </c>
      <c r="I1732" s="2">
        <f t="shared" si="7"/>
        <v>1426.89</v>
      </c>
      <c r="M1732" s="10">
        <f>IFERROR(__xludf.DUMMYFUNCTION("""COMPUTED_VALUE"""),40490.666666666664)</f>
        <v>40490.66667</v>
      </c>
      <c r="N1732" s="2">
        <f>IFERROR(__xludf.DUMMYFUNCTION("""COMPUTED_VALUE"""),2580.05)</f>
        <v>2580.05</v>
      </c>
    </row>
    <row r="1733">
      <c r="A1733" s="10">
        <f t="shared" si="8"/>
        <v>39715.66667</v>
      </c>
      <c r="B1733" s="2" t="str">
        <f t="shared" si="2"/>
        <v/>
      </c>
      <c r="C1733" s="2" t="str">
        <f t="shared" si="3"/>
        <v>SP500</v>
      </c>
      <c r="D1733" s="2">
        <f t="shared" si="4"/>
        <v>2155.68</v>
      </c>
      <c r="E1733" s="2">
        <f t="shared" si="5"/>
        <v>2155.68</v>
      </c>
      <c r="G1733" s="10">
        <f t="shared" si="9"/>
        <v>39715.64583</v>
      </c>
      <c r="H1733" s="6" t="str">
        <f t="shared" si="6"/>
        <v/>
      </c>
      <c r="I1733" s="2">
        <f t="shared" si="7"/>
        <v>1426.89</v>
      </c>
      <c r="M1733" s="10">
        <f>IFERROR(__xludf.DUMMYFUNCTION("""COMPUTED_VALUE"""),40491.666666666664)</f>
        <v>40491.66667</v>
      </c>
      <c r="N1733" s="2">
        <f>IFERROR(__xludf.DUMMYFUNCTION("""COMPUTED_VALUE"""),2562.98)</f>
        <v>2562.98</v>
      </c>
    </row>
    <row r="1734">
      <c r="A1734" s="10">
        <f t="shared" si="8"/>
        <v>39716.66667</v>
      </c>
      <c r="B1734" s="2" t="str">
        <f t="shared" si="2"/>
        <v/>
      </c>
      <c r="C1734" s="2" t="str">
        <f t="shared" si="3"/>
        <v>SP500</v>
      </c>
      <c r="D1734" s="2">
        <f t="shared" si="4"/>
        <v>2186.57</v>
      </c>
      <c r="E1734" s="2">
        <f t="shared" si="5"/>
        <v>2186.57</v>
      </c>
      <c r="G1734" s="10">
        <f t="shared" si="9"/>
        <v>39716.64583</v>
      </c>
      <c r="H1734" s="6" t="str">
        <f t="shared" si="6"/>
        <v/>
      </c>
      <c r="I1734" s="2">
        <f t="shared" si="7"/>
        <v>1426.89</v>
      </c>
      <c r="M1734" s="10">
        <f>IFERROR(__xludf.DUMMYFUNCTION("""COMPUTED_VALUE"""),40492.666666666664)</f>
        <v>40492.66667</v>
      </c>
      <c r="N1734" s="2">
        <f>IFERROR(__xludf.DUMMYFUNCTION("""COMPUTED_VALUE"""),2578.78)</f>
        <v>2578.78</v>
      </c>
    </row>
    <row r="1735">
      <c r="A1735" s="10">
        <f t="shared" si="8"/>
        <v>39717.66667</v>
      </c>
      <c r="B1735" s="2" t="str">
        <f t="shared" si="2"/>
        <v/>
      </c>
      <c r="C1735" s="2" t="str">
        <f t="shared" si="3"/>
        <v>SP500</v>
      </c>
      <c r="D1735" s="2">
        <f t="shared" si="4"/>
        <v>2183.34</v>
      </c>
      <c r="E1735" s="2">
        <f t="shared" si="5"/>
        <v>2183.34</v>
      </c>
      <c r="G1735" s="10">
        <f t="shared" si="9"/>
        <v>39717.64583</v>
      </c>
      <c r="H1735" s="6" t="str">
        <f t="shared" si="6"/>
        <v/>
      </c>
      <c r="I1735" s="2">
        <f t="shared" si="7"/>
        <v>1426.89</v>
      </c>
      <c r="M1735" s="10">
        <f>IFERROR(__xludf.DUMMYFUNCTION("""COMPUTED_VALUE"""),40493.666666666664)</f>
        <v>40493.66667</v>
      </c>
      <c r="N1735" s="2">
        <f>IFERROR(__xludf.DUMMYFUNCTION("""COMPUTED_VALUE"""),2555.52)</f>
        <v>2555.52</v>
      </c>
    </row>
    <row r="1736">
      <c r="A1736" s="10">
        <f t="shared" si="8"/>
        <v>39718.66667</v>
      </c>
      <c r="B1736" s="2" t="str">
        <f t="shared" si="2"/>
        <v/>
      </c>
      <c r="C1736" s="2" t="str">
        <f t="shared" si="3"/>
        <v>SP500</v>
      </c>
      <c r="D1736" s="2" t="str">
        <f t="shared" si="4"/>
        <v/>
      </c>
      <c r="E1736" s="2">
        <f t="shared" si="5"/>
        <v>2183.34</v>
      </c>
      <c r="G1736" s="10">
        <f t="shared" si="9"/>
        <v>39718.64583</v>
      </c>
      <c r="H1736" s="6" t="str">
        <f t="shared" si="6"/>
        <v/>
      </c>
      <c r="I1736" s="2">
        <f t="shared" si="7"/>
        <v>1426.89</v>
      </c>
      <c r="M1736" s="10">
        <f>IFERROR(__xludf.DUMMYFUNCTION("""COMPUTED_VALUE"""),40494.666666666664)</f>
        <v>40494.66667</v>
      </c>
      <c r="N1736" s="2">
        <f>IFERROR(__xludf.DUMMYFUNCTION("""COMPUTED_VALUE"""),2518.21)</f>
        <v>2518.21</v>
      </c>
    </row>
    <row r="1737">
      <c r="A1737" s="10">
        <f t="shared" si="8"/>
        <v>39719.66667</v>
      </c>
      <c r="B1737" s="2" t="str">
        <f t="shared" si="2"/>
        <v/>
      </c>
      <c r="C1737" s="2" t="str">
        <f t="shared" si="3"/>
        <v>SP500</v>
      </c>
      <c r="D1737" s="2" t="str">
        <f t="shared" si="4"/>
        <v/>
      </c>
      <c r="E1737" s="2">
        <f t="shared" si="5"/>
        <v>2183.34</v>
      </c>
      <c r="G1737" s="10">
        <f t="shared" si="9"/>
        <v>39719.64583</v>
      </c>
      <c r="H1737" s="6" t="str">
        <f t="shared" si="6"/>
        <v/>
      </c>
      <c r="I1737" s="2">
        <f t="shared" si="7"/>
        <v>1426.89</v>
      </c>
      <c r="M1737" s="10">
        <f>IFERROR(__xludf.DUMMYFUNCTION("""COMPUTED_VALUE"""),40497.666666666664)</f>
        <v>40497.66667</v>
      </c>
      <c r="N1737" s="2">
        <f>IFERROR(__xludf.DUMMYFUNCTION("""COMPUTED_VALUE"""),2513.82)</f>
        <v>2513.82</v>
      </c>
    </row>
    <row r="1738">
      <c r="A1738" s="10">
        <f t="shared" si="8"/>
        <v>39720.66667</v>
      </c>
      <c r="B1738" s="2" t="str">
        <f t="shared" si="2"/>
        <v/>
      </c>
      <c r="C1738" s="2" t="str">
        <f t="shared" si="3"/>
        <v>SP500</v>
      </c>
      <c r="D1738" s="2">
        <f t="shared" si="4"/>
        <v>1983.73</v>
      </c>
      <c r="E1738" s="2">
        <f t="shared" si="5"/>
        <v>1983.73</v>
      </c>
      <c r="G1738" s="10">
        <f t="shared" si="9"/>
        <v>39720.64583</v>
      </c>
      <c r="H1738" s="6" t="str">
        <f t="shared" si="6"/>
        <v/>
      </c>
      <c r="I1738" s="2">
        <f t="shared" si="7"/>
        <v>1426.89</v>
      </c>
      <c r="M1738" s="10">
        <f>IFERROR(__xludf.DUMMYFUNCTION("""COMPUTED_VALUE"""),40498.666666666664)</f>
        <v>40498.66667</v>
      </c>
      <c r="N1738" s="2">
        <f>IFERROR(__xludf.DUMMYFUNCTION("""COMPUTED_VALUE"""),2469.84)</f>
        <v>2469.84</v>
      </c>
    </row>
    <row r="1739">
      <c r="A1739" s="10">
        <f t="shared" si="8"/>
        <v>39721.66667</v>
      </c>
      <c r="B1739" s="2" t="str">
        <f t="shared" si="2"/>
        <v/>
      </c>
      <c r="C1739" s="2" t="str">
        <f t="shared" si="3"/>
        <v>SP500</v>
      </c>
      <c r="D1739" s="2">
        <f t="shared" si="4"/>
        <v>2082.33</v>
      </c>
      <c r="E1739" s="2">
        <f t="shared" si="5"/>
        <v>2082.33</v>
      </c>
      <c r="G1739" s="10">
        <f t="shared" si="9"/>
        <v>39721.64583</v>
      </c>
      <c r="H1739" s="6" t="str">
        <f t="shared" si="6"/>
        <v/>
      </c>
      <c r="I1739" s="2">
        <f t="shared" si="7"/>
        <v>1426.89</v>
      </c>
      <c r="M1739" s="10">
        <f>IFERROR(__xludf.DUMMYFUNCTION("""COMPUTED_VALUE"""),40499.666666666664)</f>
        <v>40499.66667</v>
      </c>
      <c r="N1739" s="2">
        <f>IFERROR(__xludf.DUMMYFUNCTION("""COMPUTED_VALUE"""),2476.01)</f>
        <v>2476.01</v>
      </c>
    </row>
    <row r="1740">
      <c r="A1740" s="10">
        <f t="shared" si="8"/>
        <v>39722.66667</v>
      </c>
      <c r="B1740" s="2" t="str">
        <f t="shared" si="2"/>
        <v/>
      </c>
      <c r="C1740" s="2" t="str">
        <f t="shared" si="3"/>
        <v>SP500</v>
      </c>
      <c r="D1740" s="2">
        <f t="shared" si="4"/>
        <v>2069.4</v>
      </c>
      <c r="E1740" s="2">
        <f t="shared" si="5"/>
        <v>2069.4</v>
      </c>
      <c r="G1740" s="10">
        <f t="shared" si="9"/>
        <v>39722.64583</v>
      </c>
      <c r="H1740" s="6" t="str">
        <f t="shared" si="6"/>
        <v/>
      </c>
      <c r="I1740" s="2">
        <f t="shared" si="7"/>
        <v>1426.89</v>
      </c>
      <c r="M1740" s="10">
        <f>IFERROR(__xludf.DUMMYFUNCTION("""COMPUTED_VALUE"""),40500.666666666664)</f>
        <v>40500.66667</v>
      </c>
      <c r="N1740" s="2">
        <f>IFERROR(__xludf.DUMMYFUNCTION("""COMPUTED_VALUE"""),2514.4)</f>
        <v>2514.4</v>
      </c>
    </row>
    <row r="1741">
      <c r="A1741" s="10">
        <f t="shared" si="8"/>
        <v>39723.66667</v>
      </c>
      <c r="B1741" s="2" t="str">
        <f t="shared" si="2"/>
        <v/>
      </c>
      <c r="C1741" s="2" t="str">
        <f t="shared" si="3"/>
        <v>SP500</v>
      </c>
      <c r="D1741" s="2">
        <f t="shared" si="4"/>
        <v>1976.72</v>
      </c>
      <c r="E1741" s="2">
        <f t="shared" si="5"/>
        <v>1976.72</v>
      </c>
      <c r="G1741" s="10">
        <f t="shared" si="9"/>
        <v>39723.64583</v>
      </c>
      <c r="H1741" s="6" t="str">
        <f t="shared" si="6"/>
        <v/>
      </c>
      <c r="I1741" s="2">
        <f t="shared" si="7"/>
        <v>1426.89</v>
      </c>
      <c r="M1741" s="10">
        <f>IFERROR(__xludf.DUMMYFUNCTION("""COMPUTED_VALUE"""),40501.666666666664)</f>
        <v>40501.66667</v>
      </c>
      <c r="N1741" s="2">
        <f>IFERROR(__xludf.DUMMYFUNCTION("""COMPUTED_VALUE"""),2518.12)</f>
        <v>2518.12</v>
      </c>
    </row>
    <row r="1742">
      <c r="A1742" s="10">
        <f t="shared" si="8"/>
        <v>39724.66667</v>
      </c>
      <c r="B1742" s="2" t="str">
        <f t="shared" si="2"/>
        <v/>
      </c>
      <c r="C1742" s="2" t="str">
        <f t="shared" si="3"/>
        <v>SP500</v>
      </c>
      <c r="D1742" s="2">
        <f t="shared" si="4"/>
        <v>1947.39</v>
      </c>
      <c r="E1742" s="2">
        <f t="shared" si="5"/>
        <v>1947.39</v>
      </c>
      <c r="G1742" s="10">
        <f t="shared" si="9"/>
        <v>39724.64583</v>
      </c>
      <c r="H1742" s="6" t="str">
        <f t="shared" si="6"/>
        <v/>
      </c>
      <c r="I1742" s="2">
        <f t="shared" si="7"/>
        <v>1426.89</v>
      </c>
      <c r="M1742" s="10">
        <f>IFERROR(__xludf.DUMMYFUNCTION("""COMPUTED_VALUE"""),40504.666666666664)</f>
        <v>40504.66667</v>
      </c>
      <c r="N1742" s="2">
        <f>IFERROR(__xludf.DUMMYFUNCTION("""COMPUTED_VALUE"""),2532.02)</f>
        <v>2532.02</v>
      </c>
    </row>
    <row r="1743">
      <c r="A1743" s="10">
        <f t="shared" si="8"/>
        <v>39725.66667</v>
      </c>
      <c r="B1743" s="2" t="str">
        <f t="shared" si="2"/>
        <v/>
      </c>
      <c r="C1743" s="2" t="str">
        <f t="shared" si="3"/>
        <v>SP500</v>
      </c>
      <c r="D1743" s="2" t="str">
        <f t="shared" si="4"/>
        <v/>
      </c>
      <c r="E1743" s="2">
        <f t="shared" si="5"/>
        <v>1947.39</v>
      </c>
      <c r="G1743" s="10">
        <f t="shared" si="9"/>
        <v>39725.64583</v>
      </c>
      <c r="H1743" s="6" t="str">
        <f t="shared" si="6"/>
        <v/>
      </c>
      <c r="I1743" s="2">
        <f t="shared" si="7"/>
        <v>1426.89</v>
      </c>
      <c r="M1743" s="10">
        <f>IFERROR(__xludf.DUMMYFUNCTION("""COMPUTED_VALUE"""),40505.666666666664)</f>
        <v>40505.66667</v>
      </c>
      <c r="N1743" s="2">
        <f>IFERROR(__xludf.DUMMYFUNCTION("""COMPUTED_VALUE"""),2494.95)</f>
        <v>2494.95</v>
      </c>
    </row>
    <row r="1744">
      <c r="A1744" s="10">
        <f t="shared" si="8"/>
        <v>39726.66667</v>
      </c>
      <c r="B1744" s="2" t="str">
        <f t="shared" si="2"/>
        <v/>
      </c>
      <c r="C1744" s="2" t="str">
        <f t="shared" si="3"/>
        <v>SP500</v>
      </c>
      <c r="D1744" s="2" t="str">
        <f t="shared" si="4"/>
        <v/>
      </c>
      <c r="E1744" s="2">
        <f t="shared" si="5"/>
        <v>1947.39</v>
      </c>
      <c r="G1744" s="10">
        <f t="shared" si="9"/>
        <v>39726.64583</v>
      </c>
      <c r="H1744" s="6" t="str">
        <f t="shared" si="6"/>
        <v/>
      </c>
      <c r="I1744" s="2">
        <f t="shared" si="7"/>
        <v>1426.89</v>
      </c>
      <c r="M1744" s="10">
        <f>IFERROR(__xludf.DUMMYFUNCTION("""COMPUTED_VALUE"""),40506.666666666664)</f>
        <v>40506.66667</v>
      </c>
      <c r="N1744" s="2">
        <f>IFERROR(__xludf.DUMMYFUNCTION("""COMPUTED_VALUE"""),2543.12)</f>
        <v>2543.12</v>
      </c>
    </row>
    <row r="1745">
      <c r="A1745" s="10">
        <f t="shared" si="8"/>
        <v>39727.66667</v>
      </c>
      <c r="B1745" s="2" t="str">
        <f t="shared" si="2"/>
        <v/>
      </c>
      <c r="C1745" s="2" t="str">
        <f t="shared" si="3"/>
        <v>SP500</v>
      </c>
      <c r="D1745" s="2">
        <f t="shared" si="4"/>
        <v>1862.96</v>
      </c>
      <c r="E1745" s="2">
        <f t="shared" si="5"/>
        <v>1862.96</v>
      </c>
      <c r="G1745" s="10">
        <f t="shared" si="9"/>
        <v>39727.64583</v>
      </c>
      <c r="H1745" s="6" t="str">
        <f t="shared" si="6"/>
        <v/>
      </c>
      <c r="I1745" s="2">
        <f t="shared" si="7"/>
        <v>1426.89</v>
      </c>
      <c r="M1745" s="10">
        <f>IFERROR(__xludf.DUMMYFUNCTION("""COMPUTED_VALUE"""),40508.666666666664)</f>
        <v>40508.66667</v>
      </c>
      <c r="N1745" s="2">
        <f>IFERROR(__xludf.DUMMYFUNCTION("""COMPUTED_VALUE"""),2534.56)</f>
        <v>2534.56</v>
      </c>
    </row>
    <row r="1746">
      <c r="A1746" s="10">
        <f t="shared" si="8"/>
        <v>39728.66667</v>
      </c>
      <c r="B1746" s="2" t="str">
        <f t="shared" si="2"/>
        <v/>
      </c>
      <c r="C1746" s="2" t="str">
        <f t="shared" si="3"/>
        <v>SP500</v>
      </c>
      <c r="D1746" s="2">
        <f t="shared" si="4"/>
        <v>1754.88</v>
      </c>
      <c r="E1746" s="2">
        <f t="shared" si="5"/>
        <v>1754.88</v>
      </c>
      <c r="G1746" s="10">
        <f t="shared" si="9"/>
        <v>39728.64583</v>
      </c>
      <c r="H1746" s="6" t="str">
        <f t="shared" si="6"/>
        <v/>
      </c>
      <c r="I1746" s="2">
        <f t="shared" si="7"/>
        <v>1426.89</v>
      </c>
      <c r="M1746" s="10">
        <f>IFERROR(__xludf.DUMMYFUNCTION("""COMPUTED_VALUE"""),40511.666666666664)</f>
        <v>40511.66667</v>
      </c>
      <c r="N1746" s="2">
        <f>IFERROR(__xludf.DUMMYFUNCTION("""COMPUTED_VALUE"""),2525.22)</f>
        <v>2525.22</v>
      </c>
    </row>
    <row r="1747">
      <c r="A1747" s="10">
        <f t="shared" si="8"/>
        <v>39729.66667</v>
      </c>
      <c r="B1747" s="2" t="str">
        <f t="shared" si="2"/>
        <v/>
      </c>
      <c r="C1747" s="2" t="str">
        <f t="shared" si="3"/>
        <v>SP500</v>
      </c>
      <c r="D1747" s="2">
        <f t="shared" si="4"/>
        <v>1740.33</v>
      </c>
      <c r="E1747" s="2">
        <f t="shared" si="5"/>
        <v>1740.33</v>
      </c>
      <c r="G1747" s="10">
        <f t="shared" si="9"/>
        <v>39729.64583</v>
      </c>
      <c r="H1747" s="6" t="str">
        <f t="shared" si="6"/>
        <v/>
      </c>
      <c r="I1747" s="2">
        <f t="shared" si="7"/>
        <v>1426.89</v>
      </c>
      <c r="M1747" s="10">
        <f>IFERROR(__xludf.DUMMYFUNCTION("""COMPUTED_VALUE"""),40512.666666666664)</f>
        <v>40512.66667</v>
      </c>
      <c r="N1747" s="2">
        <f>IFERROR(__xludf.DUMMYFUNCTION("""COMPUTED_VALUE"""),2498.23)</f>
        <v>2498.23</v>
      </c>
    </row>
    <row r="1748">
      <c r="A1748" s="10">
        <f t="shared" si="8"/>
        <v>39730.66667</v>
      </c>
      <c r="B1748" s="2" t="str">
        <f t="shared" si="2"/>
        <v/>
      </c>
      <c r="C1748" s="2" t="str">
        <f t="shared" si="3"/>
        <v>SP500</v>
      </c>
      <c r="D1748" s="2">
        <f t="shared" si="4"/>
        <v>1645.12</v>
      </c>
      <c r="E1748" s="2">
        <f t="shared" si="5"/>
        <v>1645.12</v>
      </c>
      <c r="G1748" s="10">
        <f t="shared" si="9"/>
        <v>39730.64583</v>
      </c>
      <c r="H1748" s="6" t="str">
        <f t="shared" si="6"/>
        <v/>
      </c>
      <c r="I1748" s="2">
        <f t="shared" si="7"/>
        <v>1426.89</v>
      </c>
      <c r="M1748" s="10">
        <f>IFERROR(__xludf.DUMMYFUNCTION("""COMPUTED_VALUE"""),40513.666666666664)</f>
        <v>40513.66667</v>
      </c>
      <c r="N1748" s="2">
        <f>IFERROR(__xludf.DUMMYFUNCTION("""COMPUTED_VALUE"""),2549.43)</f>
        <v>2549.43</v>
      </c>
    </row>
    <row r="1749">
      <c r="A1749" s="10">
        <f t="shared" si="8"/>
        <v>39731.66667</v>
      </c>
      <c r="B1749" s="2" t="str">
        <f t="shared" si="2"/>
        <v/>
      </c>
      <c r="C1749" s="2" t="str">
        <f t="shared" si="3"/>
        <v>SP500</v>
      </c>
      <c r="D1749" s="2">
        <f t="shared" si="4"/>
        <v>1649.51</v>
      </c>
      <c r="E1749" s="2">
        <f t="shared" si="5"/>
        <v>1649.51</v>
      </c>
      <c r="G1749" s="10">
        <f t="shared" si="9"/>
        <v>39731.64583</v>
      </c>
      <c r="H1749" s="6" t="str">
        <f t="shared" si="6"/>
        <v/>
      </c>
      <c r="I1749" s="2">
        <f t="shared" si="7"/>
        <v>1426.89</v>
      </c>
      <c r="M1749" s="10">
        <f>IFERROR(__xludf.DUMMYFUNCTION("""COMPUTED_VALUE"""),40514.666666666664)</f>
        <v>40514.66667</v>
      </c>
      <c r="N1749" s="2">
        <f>IFERROR(__xludf.DUMMYFUNCTION("""COMPUTED_VALUE"""),2579.35)</f>
        <v>2579.35</v>
      </c>
    </row>
    <row r="1750">
      <c r="A1750" s="10">
        <f t="shared" si="8"/>
        <v>39732.66667</v>
      </c>
      <c r="B1750" s="2" t="str">
        <f t="shared" si="2"/>
        <v/>
      </c>
      <c r="C1750" s="2" t="str">
        <f t="shared" si="3"/>
        <v>SP500</v>
      </c>
      <c r="D1750" s="2" t="str">
        <f t="shared" si="4"/>
        <v/>
      </c>
      <c r="E1750" s="2">
        <f t="shared" si="5"/>
        <v>1649.51</v>
      </c>
      <c r="G1750" s="10">
        <f t="shared" si="9"/>
        <v>39732.64583</v>
      </c>
      <c r="H1750" s="6" t="str">
        <f t="shared" si="6"/>
        <v/>
      </c>
      <c r="I1750" s="2">
        <f t="shared" si="7"/>
        <v>1426.89</v>
      </c>
      <c r="M1750" s="10">
        <f>IFERROR(__xludf.DUMMYFUNCTION("""COMPUTED_VALUE"""),40515.666666666664)</f>
        <v>40515.66667</v>
      </c>
      <c r="N1750" s="2">
        <f>IFERROR(__xludf.DUMMYFUNCTION("""COMPUTED_VALUE"""),2591.46)</f>
        <v>2591.46</v>
      </c>
    </row>
    <row r="1751">
      <c r="A1751" s="10">
        <f t="shared" si="8"/>
        <v>39733.66667</v>
      </c>
      <c r="B1751" s="2" t="str">
        <f t="shared" si="2"/>
        <v/>
      </c>
      <c r="C1751" s="2" t="str">
        <f t="shared" si="3"/>
        <v>SP500</v>
      </c>
      <c r="D1751" s="2" t="str">
        <f t="shared" si="4"/>
        <v/>
      </c>
      <c r="E1751" s="2">
        <f t="shared" si="5"/>
        <v>1649.51</v>
      </c>
      <c r="G1751" s="10">
        <f t="shared" si="9"/>
        <v>39733.64583</v>
      </c>
      <c r="H1751" s="6" t="str">
        <f t="shared" si="6"/>
        <v/>
      </c>
      <c r="I1751" s="2">
        <f t="shared" si="7"/>
        <v>1426.89</v>
      </c>
      <c r="M1751" s="10">
        <f>IFERROR(__xludf.DUMMYFUNCTION("""COMPUTED_VALUE"""),40518.666666666664)</f>
        <v>40518.66667</v>
      </c>
      <c r="N1751" s="2">
        <f>IFERROR(__xludf.DUMMYFUNCTION("""COMPUTED_VALUE"""),2594.92)</f>
        <v>2594.92</v>
      </c>
    </row>
    <row r="1752">
      <c r="A1752" s="10">
        <f t="shared" si="8"/>
        <v>39734.66667</v>
      </c>
      <c r="B1752" s="2" t="str">
        <f t="shared" si="2"/>
        <v/>
      </c>
      <c r="C1752" s="2" t="str">
        <f t="shared" si="3"/>
        <v>SP500</v>
      </c>
      <c r="D1752" s="2">
        <f t="shared" si="4"/>
        <v>1844.25</v>
      </c>
      <c r="E1752" s="2">
        <f t="shared" si="5"/>
        <v>1844.25</v>
      </c>
      <c r="G1752" s="10">
        <f t="shared" si="9"/>
        <v>39734.64583</v>
      </c>
      <c r="H1752" s="6" t="str">
        <f t="shared" si="6"/>
        <v/>
      </c>
      <c r="I1752" s="2">
        <f t="shared" si="7"/>
        <v>1426.89</v>
      </c>
      <c r="M1752" s="10">
        <f>IFERROR(__xludf.DUMMYFUNCTION("""COMPUTED_VALUE"""),40519.666666666664)</f>
        <v>40519.66667</v>
      </c>
      <c r="N1752" s="2">
        <f>IFERROR(__xludf.DUMMYFUNCTION("""COMPUTED_VALUE"""),2598.49)</f>
        <v>2598.49</v>
      </c>
    </row>
    <row r="1753">
      <c r="A1753" s="10">
        <f t="shared" si="8"/>
        <v>39735.66667</v>
      </c>
      <c r="B1753" s="2" t="str">
        <f t="shared" si="2"/>
        <v/>
      </c>
      <c r="C1753" s="2" t="str">
        <f t="shared" si="3"/>
        <v>SP500</v>
      </c>
      <c r="D1753" s="2">
        <f t="shared" si="4"/>
        <v>1779.01</v>
      </c>
      <c r="E1753" s="2">
        <f t="shared" si="5"/>
        <v>1779.01</v>
      </c>
      <c r="G1753" s="10">
        <f t="shared" si="9"/>
        <v>39735.64583</v>
      </c>
      <c r="H1753" s="6" t="str">
        <f t="shared" si="6"/>
        <v/>
      </c>
      <c r="I1753" s="2">
        <f t="shared" si="7"/>
        <v>1426.89</v>
      </c>
      <c r="M1753" s="10">
        <f>IFERROR(__xludf.DUMMYFUNCTION("""COMPUTED_VALUE"""),40520.666666666664)</f>
        <v>40520.66667</v>
      </c>
      <c r="N1753" s="2">
        <f>IFERROR(__xludf.DUMMYFUNCTION("""COMPUTED_VALUE"""),2609.16)</f>
        <v>2609.16</v>
      </c>
    </row>
    <row r="1754">
      <c r="A1754" s="10">
        <f t="shared" si="8"/>
        <v>39736.66667</v>
      </c>
      <c r="B1754" s="2" t="str">
        <f t="shared" si="2"/>
        <v/>
      </c>
      <c r="C1754" s="2" t="str">
        <f t="shared" si="3"/>
        <v>SP500</v>
      </c>
      <c r="D1754" s="2">
        <f t="shared" si="4"/>
        <v>1628.33</v>
      </c>
      <c r="E1754" s="2">
        <f t="shared" si="5"/>
        <v>1628.33</v>
      </c>
      <c r="G1754" s="10">
        <f t="shared" si="9"/>
        <v>39736.64583</v>
      </c>
      <c r="H1754" s="6" t="str">
        <f t="shared" si="6"/>
        <v/>
      </c>
      <c r="I1754" s="2">
        <f t="shared" si="7"/>
        <v>1426.89</v>
      </c>
      <c r="M1754" s="10">
        <f>IFERROR(__xludf.DUMMYFUNCTION("""COMPUTED_VALUE"""),40521.666666666664)</f>
        <v>40521.66667</v>
      </c>
      <c r="N1754" s="2">
        <f>IFERROR(__xludf.DUMMYFUNCTION("""COMPUTED_VALUE"""),2616.67)</f>
        <v>2616.67</v>
      </c>
    </row>
    <row r="1755">
      <c r="A1755" s="10">
        <f t="shared" si="8"/>
        <v>39737.66667</v>
      </c>
      <c r="B1755" s="2" t="str">
        <f t="shared" si="2"/>
        <v/>
      </c>
      <c r="C1755" s="2" t="str">
        <f t="shared" si="3"/>
        <v>SP500</v>
      </c>
      <c r="D1755" s="2">
        <f t="shared" si="4"/>
        <v>1717.71</v>
      </c>
      <c r="E1755" s="2">
        <f t="shared" si="5"/>
        <v>1717.71</v>
      </c>
      <c r="G1755" s="10">
        <f t="shared" si="9"/>
        <v>39737.64583</v>
      </c>
      <c r="H1755" s="6" t="str">
        <f t="shared" si="6"/>
        <v/>
      </c>
      <c r="I1755" s="2">
        <f t="shared" si="7"/>
        <v>1426.89</v>
      </c>
      <c r="M1755" s="10">
        <f>IFERROR(__xludf.DUMMYFUNCTION("""COMPUTED_VALUE"""),40522.666666666664)</f>
        <v>40522.66667</v>
      </c>
      <c r="N1755" s="2">
        <f>IFERROR(__xludf.DUMMYFUNCTION("""COMPUTED_VALUE"""),2637.54)</f>
        <v>2637.54</v>
      </c>
    </row>
    <row r="1756">
      <c r="A1756" s="10">
        <f t="shared" si="8"/>
        <v>39738.66667</v>
      </c>
      <c r="B1756" s="2" t="str">
        <f t="shared" si="2"/>
        <v/>
      </c>
      <c r="C1756" s="2" t="str">
        <f t="shared" si="3"/>
        <v>SP500</v>
      </c>
      <c r="D1756" s="2">
        <f t="shared" si="4"/>
        <v>1711.29</v>
      </c>
      <c r="E1756" s="2">
        <f t="shared" si="5"/>
        <v>1711.29</v>
      </c>
      <c r="G1756" s="10">
        <f t="shared" si="9"/>
        <v>39738.64583</v>
      </c>
      <c r="H1756" s="6" t="str">
        <f t="shared" si="6"/>
        <v/>
      </c>
      <c r="I1756" s="2">
        <f t="shared" si="7"/>
        <v>1426.89</v>
      </c>
      <c r="M1756" s="10">
        <f>IFERROR(__xludf.DUMMYFUNCTION("""COMPUTED_VALUE"""),40525.666666666664)</f>
        <v>40525.66667</v>
      </c>
      <c r="N1756" s="2">
        <f>IFERROR(__xludf.DUMMYFUNCTION("""COMPUTED_VALUE"""),2624.91)</f>
        <v>2624.91</v>
      </c>
    </row>
    <row r="1757">
      <c r="A1757" s="10">
        <f t="shared" si="8"/>
        <v>39739.66667</v>
      </c>
      <c r="B1757" s="2" t="str">
        <f t="shared" si="2"/>
        <v/>
      </c>
      <c r="C1757" s="2" t="str">
        <f t="shared" si="3"/>
        <v>SP500</v>
      </c>
      <c r="D1757" s="2" t="str">
        <f t="shared" si="4"/>
        <v/>
      </c>
      <c r="E1757" s="2">
        <f t="shared" si="5"/>
        <v>1711.29</v>
      </c>
      <c r="G1757" s="10">
        <f t="shared" si="9"/>
        <v>39739.64583</v>
      </c>
      <c r="H1757" s="6" t="str">
        <f t="shared" si="6"/>
        <v/>
      </c>
      <c r="I1757" s="2">
        <f t="shared" si="7"/>
        <v>1426.89</v>
      </c>
      <c r="M1757" s="10">
        <f>IFERROR(__xludf.DUMMYFUNCTION("""COMPUTED_VALUE"""),40526.666666666664)</f>
        <v>40526.66667</v>
      </c>
      <c r="N1757" s="2">
        <f>IFERROR(__xludf.DUMMYFUNCTION("""COMPUTED_VALUE"""),2627.72)</f>
        <v>2627.72</v>
      </c>
    </row>
    <row r="1758">
      <c r="A1758" s="10">
        <f t="shared" si="8"/>
        <v>39740.66667</v>
      </c>
      <c r="B1758" s="2" t="str">
        <f t="shared" si="2"/>
        <v/>
      </c>
      <c r="C1758" s="2" t="str">
        <f t="shared" si="3"/>
        <v>SP500</v>
      </c>
      <c r="D1758" s="2" t="str">
        <f t="shared" si="4"/>
        <v/>
      </c>
      <c r="E1758" s="2">
        <f t="shared" si="5"/>
        <v>1711.29</v>
      </c>
      <c r="G1758" s="10">
        <f t="shared" si="9"/>
        <v>39740.64583</v>
      </c>
      <c r="H1758" s="6" t="str">
        <f t="shared" si="6"/>
        <v/>
      </c>
      <c r="I1758" s="2">
        <f t="shared" si="7"/>
        <v>1426.89</v>
      </c>
      <c r="M1758" s="10">
        <f>IFERROR(__xludf.DUMMYFUNCTION("""COMPUTED_VALUE"""),40527.666666666664)</f>
        <v>40527.66667</v>
      </c>
      <c r="N1758" s="2">
        <f>IFERROR(__xludf.DUMMYFUNCTION("""COMPUTED_VALUE"""),2617.22)</f>
        <v>2617.22</v>
      </c>
    </row>
    <row r="1759">
      <c r="A1759" s="10">
        <f t="shared" si="8"/>
        <v>39741.66667</v>
      </c>
      <c r="B1759" s="2" t="str">
        <f t="shared" si="2"/>
        <v/>
      </c>
      <c r="C1759" s="2" t="str">
        <f t="shared" si="3"/>
        <v>SP500</v>
      </c>
      <c r="D1759" s="2">
        <f t="shared" si="4"/>
        <v>1770.03</v>
      </c>
      <c r="E1759" s="2">
        <f t="shared" si="5"/>
        <v>1770.03</v>
      </c>
      <c r="G1759" s="10">
        <f t="shared" si="9"/>
        <v>39741.64583</v>
      </c>
      <c r="H1759" s="6" t="str">
        <f t="shared" si="6"/>
        <v/>
      </c>
      <c r="I1759" s="2">
        <f t="shared" si="7"/>
        <v>1426.89</v>
      </c>
      <c r="M1759" s="10">
        <f>IFERROR(__xludf.DUMMYFUNCTION("""COMPUTED_VALUE"""),40528.666666666664)</f>
        <v>40528.66667</v>
      </c>
      <c r="N1759" s="2">
        <f>IFERROR(__xludf.DUMMYFUNCTION("""COMPUTED_VALUE"""),2637.31)</f>
        <v>2637.31</v>
      </c>
    </row>
    <row r="1760">
      <c r="A1760" s="10">
        <f t="shared" si="8"/>
        <v>39742.66667</v>
      </c>
      <c r="B1760" s="2" t="str">
        <f t="shared" si="2"/>
        <v/>
      </c>
      <c r="C1760" s="2" t="str">
        <f t="shared" si="3"/>
        <v>SP500</v>
      </c>
      <c r="D1760" s="2">
        <f t="shared" si="4"/>
        <v>1696.68</v>
      </c>
      <c r="E1760" s="2">
        <f t="shared" si="5"/>
        <v>1696.68</v>
      </c>
      <c r="G1760" s="10">
        <f t="shared" si="9"/>
        <v>39742.64583</v>
      </c>
      <c r="H1760" s="6" t="str">
        <f t="shared" si="6"/>
        <v/>
      </c>
      <c r="I1760" s="2">
        <f t="shared" si="7"/>
        <v>1426.89</v>
      </c>
      <c r="M1760" s="10">
        <f>IFERROR(__xludf.DUMMYFUNCTION("""COMPUTED_VALUE"""),40529.666666666664)</f>
        <v>40529.66667</v>
      </c>
      <c r="N1760" s="2">
        <f>IFERROR(__xludf.DUMMYFUNCTION("""COMPUTED_VALUE"""),2642.97)</f>
        <v>2642.97</v>
      </c>
    </row>
    <row r="1761">
      <c r="A1761" s="10">
        <f t="shared" si="8"/>
        <v>39743.66667</v>
      </c>
      <c r="B1761" s="2" t="str">
        <f t="shared" si="2"/>
        <v/>
      </c>
      <c r="C1761" s="2" t="str">
        <f t="shared" si="3"/>
        <v>SP500</v>
      </c>
      <c r="D1761" s="2">
        <f t="shared" si="4"/>
        <v>1615.75</v>
      </c>
      <c r="E1761" s="2">
        <f t="shared" si="5"/>
        <v>1615.75</v>
      </c>
      <c r="G1761" s="10">
        <f t="shared" si="9"/>
        <v>39743.64583</v>
      </c>
      <c r="H1761" s="6" t="str">
        <f t="shared" si="6"/>
        <v/>
      </c>
      <c r="I1761" s="2">
        <f t="shared" si="7"/>
        <v>1426.89</v>
      </c>
      <c r="M1761" s="10">
        <f>IFERROR(__xludf.DUMMYFUNCTION("""COMPUTED_VALUE"""),40532.666666666664)</f>
        <v>40532.66667</v>
      </c>
      <c r="N1761" s="2">
        <f>IFERROR(__xludf.DUMMYFUNCTION("""COMPUTED_VALUE"""),2649.56)</f>
        <v>2649.56</v>
      </c>
    </row>
    <row r="1762">
      <c r="A1762" s="10">
        <f t="shared" si="8"/>
        <v>39744.66667</v>
      </c>
      <c r="B1762" s="2" t="str">
        <f t="shared" si="2"/>
        <v/>
      </c>
      <c r="C1762" s="2" t="str">
        <f t="shared" si="3"/>
        <v>SP500</v>
      </c>
      <c r="D1762" s="2">
        <f t="shared" si="4"/>
        <v>1603.91</v>
      </c>
      <c r="E1762" s="2">
        <f t="shared" si="5"/>
        <v>1603.91</v>
      </c>
      <c r="G1762" s="10">
        <f t="shared" si="9"/>
        <v>39744.64583</v>
      </c>
      <c r="H1762" s="6" t="str">
        <f t="shared" si="6"/>
        <v/>
      </c>
      <c r="I1762" s="2">
        <f t="shared" si="7"/>
        <v>1426.89</v>
      </c>
      <c r="M1762" s="10">
        <f>IFERROR(__xludf.DUMMYFUNCTION("""COMPUTED_VALUE"""),40533.666666666664)</f>
        <v>40533.66667</v>
      </c>
      <c r="N1762" s="2">
        <f>IFERROR(__xludf.DUMMYFUNCTION("""COMPUTED_VALUE"""),2667.61)</f>
        <v>2667.61</v>
      </c>
    </row>
    <row r="1763">
      <c r="A1763" s="10">
        <f t="shared" si="8"/>
        <v>39745.66667</v>
      </c>
      <c r="B1763" s="2" t="str">
        <f t="shared" si="2"/>
        <v/>
      </c>
      <c r="C1763" s="2" t="str">
        <f t="shared" si="3"/>
        <v>SP500</v>
      </c>
      <c r="D1763" s="2">
        <f t="shared" si="4"/>
        <v>1552.03</v>
      </c>
      <c r="E1763" s="2">
        <f t="shared" si="5"/>
        <v>1552.03</v>
      </c>
      <c r="G1763" s="10">
        <f t="shared" si="9"/>
        <v>39745.64583</v>
      </c>
      <c r="H1763" s="6" t="str">
        <f t="shared" si="6"/>
        <v/>
      </c>
      <c r="I1763" s="2">
        <f t="shared" si="7"/>
        <v>1426.89</v>
      </c>
      <c r="M1763" s="10">
        <f>IFERROR(__xludf.DUMMYFUNCTION("""COMPUTED_VALUE"""),40534.666666666664)</f>
        <v>40534.66667</v>
      </c>
      <c r="N1763" s="2">
        <f>IFERROR(__xludf.DUMMYFUNCTION("""COMPUTED_VALUE"""),2671.48)</f>
        <v>2671.48</v>
      </c>
    </row>
    <row r="1764">
      <c r="A1764" s="10">
        <f t="shared" si="8"/>
        <v>39746.66667</v>
      </c>
      <c r="B1764" s="2" t="str">
        <f t="shared" si="2"/>
        <v/>
      </c>
      <c r="C1764" s="2" t="str">
        <f t="shared" si="3"/>
        <v>SP500</v>
      </c>
      <c r="D1764" s="2" t="str">
        <f t="shared" si="4"/>
        <v/>
      </c>
      <c r="E1764" s="2">
        <f t="shared" si="5"/>
        <v>1552.03</v>
      </c>
      <c r="G1764" s="10">
        <f t="shared" si="9"/>
        <v>39746.64583</v>
      </c>
      <c r="H1764" s="6" t="str">
        <f t="shared" si="6"/>
        <v/>
      </c>
      <c r="I1764" s="2">
        <f t="shared" si="7"/>
        <v>1426.89</v>
      </c>
      <c r="M1764" s="10">
        <f>IFERROR(__xludf.DUMMYFUNCTION("""COMPUTED_VALUE"""),40535.666666666664)</f>
        <v>40535.66667</v>
      </c>
      <c r="N1764" s="2">
        <f>IFERROR(__xludf.DUMMYFUNCTION("""COMPUTED_VALUE"""),2665.6)</f>
        <v>2665.6</v>
      </c>
    </row>
    <row r="1765">
      <c r="A1765" s="10">
        <f t="shared" si="8"/>
        <v>39747.66667</v>
      </c>
      <c r="B1765" s="2" t="str">
        <f t="shared" si="2"/>
        <v/>
      </c>
      <c r="C1765" s="2" t="str">
        <f t="shared" si="3"/>
        <v>SP500</v>
      </c>
      <c r="D1765" s="2" t="str">
        <f t="shared" si="4"/>
        <v/>
      </c>
      <c r="E1765" s="2">
        <f t="shared" si="5"/>
        <v>1552.03</v>
      </c>
      <c r="G1765" s="10">
        <f t="shared" si="9"/>
        <v>39747.64583</v>
      </c>
      <c r="H1765" s="6" t="str">
        <f t="shared" si="6"/>
        <v/>
      </c>
      <c r="I1765" s="2">
        <f t="shared" si="7"/>
        <v>1426.89</v>
      </c>
      <c r="M1765" s="10">
        <f>IFERROR(__xludf.DUMMYFUNCTION("""COMPUTED_VALUE"""),40539.666666666664)</f>
        <v>40539.66667</v>
      </c>
      <c r="N1765" s="2">
        <f>IFERROR(__xludf.DUMMYFUNCTION("""COMPUTED_VALUE"""),2667.27)</f>
        <v>2667.27</v>
      </c>
    </row>
    <row r="1766">
      <c r="A1766" s="10">
        <f t="shared" si="8"/>
        <v>39748.66667</v>
      </c>
      <c r="B1766" s="2" t="str">
        <f t="shared" si="2"/>
        <v/>
      </c>
      <c r="C1766" s="2" t="str">
        <f t="shared" si="3"/>
        <v>SP500</v>
      </c>
      <c r="D1766" s="2">
        <f t="shared" si="4"/>
        <v>1505.9</v>
      </c>
      <c r="E1766" s="2">
        <f t="shared" si="5"/>
        <v>1505.9</v>
      </c>
      <c r="G1766" s="10">
        <f t="shared" si="9"/>
        <v>39748.64583</v>
      </c>
      <c r="H1766" s="6" t="str">
        <f t="shared" si="6"/>
        <v/>
      </c>
      <c r="I1766" s="2">
        <f t="shared" si="7"/>
        <v>1426.89</v>
      </c>
      <c r="M1766" s="10">
        <f>IFERROR(__xludf.DUMMYFUNCTION("""COMPUTED_VALUE"""),40540.666666666664)</f>
        <v>40540.66667</v>
      </c>
      <c r="N1766" s="2">
        <f>IFERROR(__xludf.DUMMYFUNCTION("""COMPUTED_VALUE"""),2662.88)</f>
        <v>2662.88</v>
      </c>
    </row>
    <row r="1767">
      <c r="A1767" s="10">
        <f t="shared" si="8"/>
        <v>39749.66667</v>
      </c>
      <c r="B1767" s="2" t="str">
        <f t="shared" si="2"/>
        <v/>
      </c>
      <c r="C1767" s="2" t="str">
        <f t="shared" si="3"/>
        <v>SP500</v>
      </c>
      <c r="D1767" s="2">
        <f t="shared" si="4"/>
        <v>1649.47</v>
      </c>
      <c r="E1767" s="2">
        <f t="shared" si="5"/>
        <v>1649.47</v>
      </c>
      <c r="G1767" s="10">
        <f t="shared" si="9"/>
        <v>39749.64583</v>
      </c>
      <c r="H1767" s="6" t="str">
        <f t="shared" si="6"/>
        <v/>
      </c>
      <c r="I1767" s="2">
        <f t="shared" si="7"/>
        <v>1426.89</v>
      </c>
      <c r="M1767" s="10">
        <f>IFERROR(__xludf.DUMMYFUNCTION("""COMPUTED_VALUE"""),40541.666666666664)</f>
        <v>40541.66667</v>
      </c>
      <c r="N1767" s="2">
        <f>IFERROR(__xludf.DUMMYFUNCTION("""COMPUTED_VALUE"""),2666.93)</f>
        <v>2666.93</v>
      </c>
    </row>
    <row r="1768">
      <c r="A1768" s="10">
        <f t="shared" si="8"/>
        <v>39750.66667</v>
      </c>
      <c r="B1768" s="2" t="str">
        <f t="shared" si="2"/>
        <v/>
      </c>
      <c r="C1768" s="2" t="str">
        <f t="shared" si="3"/>
        <v>SP500</v>
      </c>
      <c r="D1768" s="2">
        <f t="shared" si="4"/>
        <v>1657.21</v>
      </c>
      <c r="E1768" s="2">
        <f t="shared" si="5"/>
        <v>1657.21</v>
      </c>
      <c r="G1768" s="10">
        <f t="shared" si="9"/>
        <v>39750.64583</v>
      </c>
      <c r="H1768" s="6" t="str">
        <f t="shared" si="6"/>
        <v/>
      </c>
      <c r="I1768" s="2">
        <f t="shared" si="7"/>
        <v>1426.89</v>
      </c>
      <c r="M1768" s="10">
        <f>IFERROR(__xludf.DUMMYFUNCTION("""COMPUTED_VALUE"""),40542.666666666664)</f>
        <v>40542.66667</v>
      </c>
      <c r="N1768" s="2">
        <f>IFERROR(__xludf.DUMMYFUNCTION("""COMPUTED_VALUE"""),2662.98)</f>
        <v>2662.98</v>
      </c>
    </row>
    <row r="1769">
      <c r="A1769" s="10">
        <f t="shared" si="8"/>
        <v>39751.66667</v>
      </c>
      <c r="B1769" s="2" t="str">
        <f t="shared" si="2"/>
        <v/>
      </c>
      <c r="C1769" s="2" t="str">
        <f t="shared" si="3"/>
        <v>SP500</v>
      </c>
      <c r="D1769" s="2">
        <f t="shared" si="4"/>
        <v>1698.52</v>
      </c>
      <c r="E1769" s="2">
        <f t="shared" si="5"/>
        <v>1698.52</v>
      </c>
      <c r="G1769" s="10">
        <f t="shared" si="9"/>
        <v>39751.64583</v>
      </c>
      <c r="H1769" s="6" t="str">
        <f t="shared" si="6"/>
        <v/>
      </c>
      <c r="I1769" s="2">
        <f t="shared" si="7"/>
        <v>1426.89</v>
      </c>
      <c r="M1769" s="10">
        <f>IFERROR(__xludf.DUMMYFUNCTION("""COMPUTED_VALUE"""),40543.666666666664)</f>
        <v>40543.66667</v>
      </c>
      <c r="N1769" s="2">
        <f>IFERROR(__xludf.DUMMYFUNCTION("""COMPUTED_VALUE"""),2652.87)</f>
        <v>2652.87</v>
      </c>
    </row>
    <row r="1770">
      <c r="A1770" s="10">
        <f t="shared" si="8"/>
        <v>39752.66667</v>
      </c>
      <c r="B1770" s="2" t="str">
        <f t="shared" si="2"/>
        <v/>
      </c>
      <c r="C1770" s="2" t="str">
        <f t="shared" si="3"/>
        <v>SP500</v>
      </c>
      <c r="D1770" s="2">
        <f t="shared" si="4"/>
        <v>1720.95</v>
      </c>
      <c r="E1770" s="2">
        <f t="shared" si="5"/>
        <v>1720.95</v>
      </c>
      <c r="G1770" s="10">
        <f t="shared" si="9"/>
        <v>39752.64583</v>
      </c>
      <c r="H1770" s="6" t="str">
        <f t="shared" si="6"/>
        <v/>
      </c>
      <c r="I1770" s="2">
        <f t="shared" si="7"/>
        <v>1426.89</v>
      </c>
      <c r="M1770" s="10">
        <f>IFERROR(__xludf.DUMMYFUNCTION("""COMPUTED_VALUE"""),40546.666666666664)</f>
        <v>40546.66667</v>
      </c>
      <c r="N1770" s="2">
        <f>IFERROR(__xludf.DUMMYFUNCTION("""COMPUTED_VALUE"""),2691.52)</f>
        <v>2691.52</v>
      </c>
    </row>
    <row r="1771">
      <c r="A1771" s="10">
        <f t="shared" si="8"/>
        <v>39753.66667</v>
      </c>
      <c r="B1771" s="2" t="str">
        <f t="shared" si="2"/>
        <v/>
      </c>
      <c r="C1771" s="2" t="str">
        <f t="shared" si="3"/>
        <v>SP500</v>
      </c>
      <c r="D1771" s="2" t="str">
        <f t="shared" si="4"/>
        <v/>
      </c>
      <c r="E1771" s="2">
        <f t="shared" si="5"/>
        <v>1720.95</v>
      </c>
      <c r="G1771" s="10">
        <f t="shared" si="9"/>
        <v>39753.64583</v>
      </c>
      <c r="H1771" s="6" t="str">
        <f t="shared" si="6"/>
        <v/>
      </c>
      <c r="I1771" s="2">
        <f t="shared" si="7"/>
        <v>1426.89</v>
      </c>
      <c r="M1771" s="10">
        <f>IFERROR(__xludf.DUMMYFUNCTION("""COMPUTED_VALUE"""),40547.666666666664)</f>
        <v>40547.66667</v>
      </c>
      <c r="N1771" s="2">
        <f>IFERROR(__xludf.DUMMYFUNCTION("""COMPUTED_VALUE"""),2681.25)</f>
        <v>2681.25</v>
      </c>
    </row>
    <row r="1772">
      <c r="A1772" s="10">
        <f t="shared" si="8"/>
        <v>39754.66667</v>
      </c>
      <c r="B1772" s="2" t="str">
        <f t="shared" si="2"/>
        <v/>
      </c>
      <c r="C1772" s="2" t="str">
        <f t="shared" si="3"/>
        <v>SP500</v>
      </c>
      <c r="D1772" s="2" t="str">
        <f t="shared" si="4"/>
        <v/>
      </c>
      <c r="E1772" s="2">
        <f t="shared" si="5"/>
        <v>1720.95</v>
      </c>
      <c r="G1772" s="10">
        <f t="shared" si="9"/>
        <v>39754.64583</v>
      </c>
      <c r="H1772" s="6" t="str">
        <f t="shared" si="6"/>
        <v/>
      </c>
      <c r="I1772" s="2">
        <f t="shared" si="7"/>
        <v>1426.89</v>
      </c>
      <c r="M1772" s="10">
        <f>IFERROR(__xludf.DUMMYFUNCTION("""COMPUTED_VALUE"""),40548.666666666664)</f>
        <v>40548.66667</v>
      </c>
      <c r="N1772" s="2">
        <f>IFERROR(__xludf.DUMMYFUNCTION("""COMPUTED_VALUE"""),2702.2)</f>
        <v>2702.2</v>
      </c>
    </row>
    <row r="1773">
      <c r="A1773" s="10">
        <f t="shared" si="8"/>
        <v>39755.66667</v>
      </c>
      <c r="B1773" s="2" t="str">
        <f t="shared" si="2"/>
        <v/>
      </c>
      <c r="C1773" s="2" t="str">
        <f t="shared" si="3"/>
        <v>SP500</v>
      </c>
      <c r="D1773" s="2">
        <f t="shared" si="4"/>
        <v>1726.33</v>
      </c>
      <c r="E1773" s="2">
        <f t="shared" si="5"/>
        <v>1726.33</v>
      </c>
      <c r="G1773" s="10">
        <f t="shared" si="9"/>
        <v>39755.64583</v>
      </c>
      <c r="H1773" s="6" t="str">
        <f t="shared" si="6"/>
        <v/>
      </c>
      <c r="I1773" s="2">
        <f t="shared" si="7"/>
        <v>1426.89</v>
      </c>
      <c r="M1773" s="10">
        <f>IFERROR(__xludf.DUMMYFUNCTION("""COMPUTED_VALUE"""),40549.666666666664)</f>
        <v>40549.66667</v>
      </c>
      <c r="N1773" s="2">
        <f>IFERROR(__xludf.DUMMYFUNCTION("""COMPUTED_VALUE"""),2709.89)</f>
        <v>2709.89</v>
      </c>
    </row>
    <row r="1774">
      <c r="A1774" s="10">
        <f t="shared" si="8"/>
        <v>39756.66667</v>
      </c>
      <c r="B1774" s="2" t="str">
        <f t="shared" si="2"/>
        <v/>
      </c>
      <c r="C1774" s="2" t="str">
        <f t="shared" si="3"/>
        <v>SP500</v>
      </c>
      <c r="D1774" s="2">
        <f t="shared" si="4"/>
        <v>1780.12</v>
      </c>
      <c r="E1774" s="2">
        <f t="shared" si="5"/>
        <v>1780.12</v>
      </c>
      <c r="G1774" s="10">
        <f t="shared" si="9"/>
        <v>39756.64583</v>
      </c>
      <c r="H1774" s="6" t="str">
        <f t="shared" si="6"/>
        <v/>
      </c>
      <c r="I1774" s="2">
        <f t="shared" si="7"/>
        <v>1426.89</v>
      </c>
      <c r="M1774" s="10">
        <f>IFERROR(__xludf.DUMMYFUNCTION("""COMPUTED_VALUE"""),40550.666666666664)</f>
        <v>40550.66667</v>
      </c>
      <c r="N1774" s="2">
        <f>IFERROR(__xludf.DUMMYFUNCTION("""COMPUTED_VALUE"""),2703.17)</f>
        <v>2703.17</v>
      </c>
    </row>
    <row r="1775">
      <c r="A1775" s="10">
        <f t="shared" si="8"/>
        <v>39757.66667</v>
      </c>
      <c r="B1775" s="2" t="str">
        <f t="shared" si="2"/>
        <v/>
      </c>
      <c r="C1775" s="2" t="str">
        <f t="shared" si="3"/>
        <v>SP500</v>
      </c>
      <c r="D1775" s="2">
        <f t="shared" si="4"/>
        <v>1681.64</v>
      </c>
      <c r="E1775" s="2">
        <f t="shared" si="5"/>
        <v>1681.64</v>
      </c>
      <c r="G1775" s="10">
        <f t="shared" si="9"/>
        <v>39757.64583</v>
      </c>
      <c r="H1775" s="6" t="str">
        <f t="shared" si="6"/>
        <v/>
      </c>
      <c r="I1775" s="2">
        <f t="shared" si="7"/>
        <v>1426.89</v>
      </c>
      <c r="M1775" s="10">
        <f>IFERROR(__xludf.DUMMYFUNCTION("""COMPUTED_VALUE"""),40553.666666666664)</f>
        <v>40553.66667</v>
      </c>
      <c r="N1775" s="2">
        <f>IFERROR(__xludf.DUMMYFUNCTION("""COMPUTED_VALUE"""),2707.8)</f>
        <v>2707.8</v>
      </c>
    </row>
    <row r="1776">
      <c r="A1776" s="10">
        <f t="shared" si="8"/>
        <v>39758.66667</v>
      </c>
      <c r="B1776" s="2" t="str">
        <f t="shared" si="2"/>
        <v/>
      </c>
      <c r="C1776" s="2" t="str">
        <f t="shared" si="3"/>
        <v>SP500</v>
      </c>
      <c r="D1776" s="2">
        <f t="shared" si="4"/>
        <v>1608.7</v>
      </c>
      <c r="E1776" s="2">
        <f t="shared" si="5"/>
        <v>1608.7</v>
      </c>
      <c r="G1776" s="10">
        <f t="shared" si="9"/>
        <v>39758.64583</v>
      </c>
      <c r="H1776" s="6" t="str">
        <f t="shared" si="6"/>
        <v/>
      </c>
      <c r="I1776" s="2">
        <f t="shared" si="7"/>
        <v>1426.89</v>
      </c>
      <c r="M1776" s="10">
        <f>IFERROR(__xludf.DUMMYFUNCTION("""COMPUTED_VALUE"""),40554.666666666664)</f>
        <v>40554.66667</v>
      </c>
      <c r="N1776" s="2">
        <f>IFERROR(__xludf.DUMMYFUNCTION("""COMPUTED_VALUE"""),2716.83)</f>
        <v>2716.83</v>
      </c>
    </row>
    <row r="1777">
      <c r="A1777" s="10">
        <f t="shared" si="8"/>
        <v>39759.66667</v>
      </c>
      <c r="B1777" s="2" t="str">
        <f t="shared" si="2"/>
        <v/>
      </c>
      <c r="C1777" s="2" t="str">
        <f t="shared" si="3"/>
        <v>SP500</v>
      </c>
      <c r="D1777" s="2">
        <f t="shared" si="4"/>
        <v>1647.4</v>
      </c>
      <c r="E1777" s="2">
        <f t="shared" si="5"/>
        <v>1647.4</v>
      </c>
      <c r="G1777" s="10">
        <f t="shared" si="9"/>
        <v>39759.64583</v>
      </c>
      <c r="H1777" s="6" t="str">
        <f t="shared" si="6"/>
        <v/>
      </c>
      <c r="I1777" s="2">
        <f t="shared" si="7"/>
        <v>1426.89</v>
      </c>
      <c r="M1777" s="10">
        <f>IFERROR(__xludf.DUMMYFUNCTION("""COMPUTED_VALUE"""),40555.666666666664)</f>
        <v>40555.66667</v>
      </c>
      <c r="N1777" s="2">
        <f>IFERROR(__xludf.DUMMYFUNCTION("""COMPUTED_VALUE"""),2737.33)</f>
        <v>2737.33</v>
      </c>
    </row>
    <row r="1778">
      <c r="A1778" s="10">
        <f t="shared" si="8"/>
        <v>39760.66667</v>
      </c>
      <c r="B1778" s="2" t="str">
        <f t="shared" si="2"/>
        <v/>
      </c>
      <c r="C1778" s="2" t="str">
        <f t="shared" si="3"/>
        <v>SP500</v>
      </c>
      <c r="D1778" s="2" t="str">
        <f t="shared" si="4"/>
        <v/>
      </c>
      <c r="E1778" s="2">
        <f t="shared" si="5"/>
        <v>1647.4</v>
      </c>
      <c r="G1778" s="10">
        <f t="shared" si="9"/>
        <v>39760.64583</v>
      </c>
      <c r="H1778" s="6" t="str">
        <f t="shared" si="6"/>
        <v/>
      </c>
      <c r="I1778" s="2">
        <f t="shared" si="7"/>
        <v>1426.89</v>
      </c>
      <c r="M1778" s="10">
        <f>IFERROR(__xludf.DUMMYFUNCTION("""COMPUTED_VALUE"""),40556.666666666664)</f>
        <v>40556.66667</v>
      </c>
      <c r="N1778" s="2">
        <f>IFERROR(__xludf.DUMMYFUNCTION("""COMPUTED_VALUE"""),2735.29)</f>
        <v>2735.29</v>
      </c>
    </row>
    <row r="1779">
      <c r="A1779" s="10">
        <f t="shared" si="8"/>
        <v>39761.66667</v>
      </c>
      <c r="B1779" s="2" t="str">
        <f t="shared" si="2"/>
        <v/>
      </c>
      <c r="C1779" s="2" t="str">
        <f t="shared" si="3"/>
        <v>SP500</v>
      </c>
      <c r="D1779" s="2" t="str">
        <f t="shared" si="4"/>
        <v/>
      </c>
      <c r="E1779" s="2">
        <f t="shared" si="5"/>
        <v>1647.4</v>
      </c>
      <c r="G1779" s="10">
        <f t="shared" si="9"/>
        <v>39761.64583</v>
      </c>
      <c r="H1779" s="6" t="str">
        <f t="shared" si="6"/>
        <v/>
      </c>
      <c r="I1779" s="2">
        <f t="shared" si="7"/>
        <v>1426.89</v>
      </c>
      <c r="M1779" s="10">
        <f>IFERROR(__xludf.DUMMYFUNCTION("""COMPUTED_VALUE"""),40557.666666666664)</f>
        <v>40557.66667</v>
      </c>
      <c r="N1779" s="2">
        <f>IFERROR(__xludf.DUMMYFUNCTION("""COMPUTED_VALUE"""),2755.3)</f>
        <v>2755.3</v>
      </c>
    </row>
    <row r="1780">
      <c r="A1780" s="10">
        <f t="shared" si="8"/>
        <v>39762.66667</v>
      </c>
      <c r="B1780" s="2" t="str">
        <f t="shared" si="2"/>
        <v/>
      </c>
      <c r="C1780" s="2" t="str">
        <f t="shared" si="3"/>
        <v>SP500</v>
      </c>
      <c r="D1780" s="2">
        <f t="shared" si="4"/>
        <v>1616.74</v>
      </c>
      <c r="E1780" s="2">
        <f t="shared" si="5"/>
        <v>1616.74</v>
      </c>
      <c r="G1780" s="10">
        <f t="shared" si="9"/>
        <v>39762.64583</v>
      </c>
      <c r="H1780" s="6" t="str">
        <f t="shared" si="6"/>
        <v/>
      </c>
      <c r="I1780" s="2">
        <f t="shared" si="7"/>
        <v>1426.89</v>
      </c>
      <c r="M1780" s="10">
        <f>IFERROR(__xludf.DUMMYFUNCTION("""COMPUTED_VALUE"""),40561.666666666664)</f>
        <v>40561.66667</v>
      </c>
      <c r="N1780" s="2">
        <f>IFERROR(__xludf.DUMMYFUNCTION("""COMPUTED_VALUE"""),2765.85)</f>
        <v>2765.85</v>
      </c>
    </row>
    <row r="1781">
      <c r="A1781" s="10">
        <f t="shared" si="8"/>
        <v>39763.66667</v>
      </c>
      <c r="B1781" s="2" t="str">
        <f t="shared" si="2"/>
        <v/>
      </c>
      <c r="C1781" s="2" t="str">
        <f t="shared" si="3"/>
        <v>SP500</v>
      </c>
      <c r="D1781" s="2">
        <f t="shared" si="4"/>
        <v>1580.9</v>
      </c>
      <c r="E1781" s="2">
        <f t="shared" si="5"/>
        <v>1580.9</v>
      </c>
      <c r="G1781" s="10">
        <f t="shared" si="9"/>
        <v>39763.64583</v>
      </c>
      <c r="H1781" s="6" t="str">
        <f t="shared" si="6"/>
        <v/>
      </c>
      <c r="I1781" s="2">
        <f t="shared" si="7"/>
        <v>1426.89</v>
      </c>
      <c r="M1781" s="10">
        <f>IFERROR(__xludf.DUMMYFUNCTION("""COMPUTED_VALUE"""),40562.666666666664)</f>
        <v>40562.66667</v>
      </c>
      <c r="N1781" s="2">
        <f>IFERROR(__xludf.DUMMYFUNCTION("""COMPUTED_VALUE"""),2725.36)</f>
        <v>2725.36</v>
      </c>
    </row>
    <row r="1782">
      <c r="A1782" s="10">
        <f t="shared" si="8"/>
        <v>39764.66667</v>
      </c>
      <c r="B1782" s="2" t="str">
        <f t="shared" si="2"/>
        <v/>
      </c>
      <c r="C1782" s="2" t="str">
        <f t="shared" si="3"/>
        <v>SP500</v>
      </c>
      <c r="D1782" s="2">
        <f t="shared" si="4"/>
        <v>1499.21</v>
      </c>
      <c r="E1782" s="2">
        <f t="shared" si="5"/>
        <v>1499.21</v>
      </c>
      <c r="G1782" s="10">
        <f t="shared" si="9"/>
        <v>39764.64583</v>
      </c>
      <c r="H1782" s="6" t="str">
        <f t="shared" si="6"/>
        <v/>
      </c>
      <c r="I1782" s="2">
        <f t="shared" si="7"/>
        <v>1426.89</v>
      </c>
      <c r="M1782" s="10">
        <f>IFERROR(__xludf.DUMMYFUNCTION("""COMPUTED_VALUE"""),40563.666666666664)</f>
        <v>40563.66667</v>
      </c>
      <c r="N1782" s="2">
        <f>IFERROR(__xludf.DUMMYFUNCTION("""COMPUTED_VALUE"""),2704.29)</f>
        <v>2704.29</v>
      </c>
    </row>
    <row r="1783">
      <c r="A1783" s="10">
        <f t="shared" si="8"/>
        <v>39765.66667</v>
      </c>
      <c r="B1783" s="2" t="str">
        <f t="shared" si="2"/>
        <v/>
      </c>
      <c r="C1783" s="2" t="str">
        <f t="shared" si="3"/>
        <v>SP500</v>
      </c>
      <c r="D1783" s="2">
        <f t="shared" si="4"/>
        <v>1596.7</v>
      </c>
      <c r="E1783" s="2">
        <f t="shared" si="5"/>
        <v>1596.7</v>
      </c>
      <c r="G1783" s="10">
        <f t="shared" si="9"/>
        <v>39765.64583</v>
      </c>
      <c r="H1783" s="6" t="str">
        <f t="shared" si="6"/>
        <v/>
      </c>
      <c r="I1783" s="2">
        <f t="shared" si="7"/>
        <v>1426.89</v>
      </c>
      <c r="M1783" s="10">
        <f>IFERROR(__xludf.DUMMYFUNCTION("""COMPUTED_VALUE"""),40564.666666666664)</f>
        <v>40564.66667</v>
      </c>
      <c r="N1783" s="2">
        <f>IFERROR(__xludf.DUMMYFUNCTION("""COMPUTED_VALUE"""),2689.54)</f>
        <v>2689.54</v>
      </c>
    </row>
    <row r="1784">
      <c r="A1784" s="10">
        <f t="shared" si="8"/>
        <v>39766.66667</v>
      </c>
      <c r="B1784" s="2" t="str">
        <f t="shared" si="2"/>
        <v/>
      </c>
      <c r="C1784" s="2" t="str">
        <f t="shared" si="3"/>
        <v>SP500</v>
      </c>
      <c r="D1784" s="2">
        <f t="shared" si="4"/>
        <v>1516.85</v>
      </c>
      <c r="E1784" s="2">
        <f t="shared" si="5"/>
        <v>1516.85</v>
      </c>
      <c r="G1784" s="10">
        <f t="shared" si="9"/>
        <v>39766.64583</v>
      </c>
      <c r="H1784" s="6" t="str">
        <f t="shared" si="6"/>
        <v/>
      </c>
      <c r="I1784" s="2">
        <f t="shared" si="7"/>
        <v>1426.89</v>
      </c>
      <c r="M1784" s="10">
        <f>IFERROR(__xludf.DUMMYFUNCTION("""COMPUTED_VALUE"""),40567.666666666664)</f>
        <v>40567.66667</v>
      </c>
      <c r="N1784" s="2">
        <f>IFERROR(__xludf.DUMMYFUNCTION("""COMPUTED_VALUE"""),2717.55)</f>
        <v>2717.55</v>
      </c>
    </row>
    <row r="1785">
      <c r="A1785" s="10">
        <f t="shared" si="8"/>
        <v>39767.66667</v>
      </c>
      <c r="B1785" s="2" t="str">
        <f t="shared" si="2"/>
        <v/>
      </c>
      <c r="C1785" s="2" t="str">
        <f t="shared" si="3"/>
        <v>SP500</v>
      </c>
      <c r="D1785" s="2" t="str">
        <f t="shared" si="4"/>
        <v/>
      </c>
      <c r="E1785" s="2">
        <f t="shared" si="5"/>
        <v>1516.85</v>
      </c>
      <c r="G1785" s="10">
        <f t="shared" si="9"/>
        <v>39767.64583</v>
      </c>
      <c r="H1785" s="6" t="str">
        <f t="shared" si="6"/>
        <v/>
      </c>
      <c r="I1785" s="2">
        <f t="shared" si="7"/>
        <v>1426.89</v>
      </c>
      <c r="M1785" s="10">
        <f>IFERROR(__xludf.DUMMYFUNCTION("""COMPUTED_VALUE"""),40568.666666666664)</f>
        <v>40568.66667</v>
      </c>
      <c r="N1785" s="2">
        <f>IFERROR(__xludf.DUMMYFUNCTION("""COMPUTED_VALUE"""),2719.25)</f>
        <v>2719.25</v>
      </c>
    </row>
    <row r="1786">
      <c r="A1786" s="10">
        <f t="shared" si="8"/>
        <v>39768.66667</v>
      </c>
      <c r="B1786" s="2" t="str">
        <f t="shared" si="2"/>
        <v/>
      </c>
      <c r="C1786" s="2" t="str">
        <f t="shared" si="3"/>
        <v>SP500</v>
      </c>
      <c r="D1786" s="2" t="str">
        <f t="shared" si="4"/>
        <v/>
      </c>
      <c r="E1786" s="2">
        <f t="shared" si="5"/>
        <v>1516.85</v>
      </c>
      <c r="G1786" s="10">
        <f t="shared" si="9"/>
        <v>39768.64583</v>
      </c>
      <c r="H1786" s="6" t="str">
        <f t="shared" si="6"/>
        <v/>
      </c>
      <c r="I1786" s="2">
        <f t="shared" si="7"/>
        <v>1426.89</v>
      </c>
      <c r="M1786" s="10">
        <f>IFERROR(__xludf.DUMMYFUNCTION("""COMPUTED_VALUE"""),40569.666666666664)</f>
        <v>40569.66667</v>
      </c>
      <c r="N1786" s="2">
        <f>IFERROR(__xludf.DUMMYFUNCTION("""COMPUTED_VALUE"""),2739.5)</f>
        <v>2739.5</v>
      </c>
    </row>
    <row r="1787">
      <c r="A1787" s="10">
        <f t="shared" si="8"/>
        <v>39769.66667</v>
      </c>
      <c r="B1787" s="2" t="str">
        <f t="shared" si="2"/>
        <v/>
      </c>
      <c r="C1787" s="2" t="str">
        <f t="shared" si="3"/>
        <v>SP500</v>
      </c>
      <c r="D1787" s="2">
        <f t="shared" si="4"/>
        <v>1482.05</v>
      </c>
      <c r="E1787" s="2">
        <f t="shared" si="5"/>
        <v>1482.05</v>
      </c>
      <c r="G1787" s="10">
        <f t="shared" si="9"/>
        <v>39769.64583</v>
      </c>
      <c r="H1787" s="6" t="str">
        <f t="shared" si="6"/>
        <v/>
      </c>
      <c r="I1787" s="2">
        <f t="shared" si="7"/>
        <v>1426.89</v>
      </c>
      <c r="M1787" s="10">
        <f>IFERROR(__xludf.DUMMYFUNCTION("""COMPUTED_VALUE"""),40570.666666666664)</f>
        <v>40570.66667</v>
      </c>
      <c r="N1787" s="2">
        <f>IFERROR(__xludf.DUMMYFUNCTION("""COMPUTED_VALUE"""),2755.28)</f>
        <v>2755.28</v>
      </c>
    </row>
    <row r="1788">
      <c r="A1788" s="10">
        <f t="shared" si="8"/>
        <v>39770.66667</v>
      </c>
      <c r="B1788" s="2" t="str">
        <f t="shared" si="2"/>
        <v/>
      </c>
      <c r="C1788" s="2" t="str">
        <f t="shared" si="3"/>
        <v>SP500</v>
      </c>
      <c r="D1788" s="2">
        <f t="shared" si="4"/>
        <v>1483.27</v>
      </c>
      <c r="E1788" s="2">
        <f t="shared" si="5"/>
        <v>1483.27</v>
      </c>
      <c r="G1788" s="10">
        <f t="shared" si="9"/>
        <v>39770.64583</v>
      </c>
      <c r="H1788" s="6" t="str">
        <f t="shared" si="6"/>
        <v/>
      </c>
      <c r="I1788" s="2">
        <f t="shared" si="7"/>
        <v>1426.89</v>
      </c>
      <c r="M1788" s="10">
        <f>IFERROR(__xludf.DUMMYFUNCTION("""COMPUTED_VALUE"""),40571.666666666664)</f>
        <v>40571.66667</v>
      </c>
      <c r="N1788" s="2">
        <f>IFERROR(__xludf.DUMMYFUNCTION("""COMPUTED_VALUE"""),2686.89)</f>
        <v>2686.89</v>
      </c>
    </row>
    <row r="1789">
      <c r="A1789" s="10">
        <f t="shared" si="8"/>
        <v>39771.66667</v>
      </c>
      <c r="B1789" s="2" t="str">
        <f t="shared" si="2"/>
        <v/>
      </c>
      <c r="C1789" s="2" t="str">
        <f t="shared" si="3"/>
        <v>SP500</v>
      </c>
      <c r="D1789" s="2">
        <f t="shared" si="4"/>
        <v>1386.42</v>
      </c>
      <c r="E1789" s="2">
        <f t="shared" si="5"/>
        <v>1386.42</v>
      </c>
      <c r="G1789" s="10">
        <f t="shared" si="9"/>
        <v>39771.64583</v>
      </c>
      <c r="H1789" s="6" t="str">
        <f t="shared" si="6"/>
        <v/>
      </c>
      <c r="I1789" s="2">
        <f t="shared" si="7"/>
        <v>1426.89</v>
      </c>
      <c r="M1789" s="10">
        <f>IFERROR(__xludf.DUMMYFUNCTION("""COMPUTED_VALUE"""),40574.666666666664)</f>
        <v>40574.66667</v>
      </c>
      <c r="N1789" s="2">
        <f>IFERROR(__xludf.DUMMYFUNCTION("""COMPUTED_VALUE"""),2700.08)</f>
        <v>2700.08</v>
      </c>
    </row>
    <row r="1790">
      <c r="A1790" s="10">
        <f t="shared" si="8"/>
        <v>39772.66667</v>
      </c>
      <c r="B1790" s="2" t="str">
        <f t="shared" si="2"/>
        <v/>
      </c>
      <c r="C1790" s="2" t="str">
        <f t="shared" si="3"/>
        <v>SP500</v>
      </c>
      <c r="D1790" s="2">
        <f t="shared" si="4"/>
        <v>1316.12</v>
      </c>
      <c r="E1790" s="2">
        <f t="shared" si="5"/>
        <v>1316.12</v>
      </c>
      <c r="G1790" s="10">
        <f t="shared" si="9"/>
        <v>39772.64583</v>
      </c>
      <c r="H1790" s="6" t="str">
        <f t="shared" si="6"/>
        <v/>
      </c>
      <c r="I1790" s="2">
        <f t="shared" si="7"/>
        <v>1426.89</v>
      </c>
      <c r="M1790" s="10">
        <f>IFERROR(__xludf.DUMMYFUNCTION("""COMPUTED_VALUE"""),40575.666666666664)</f>
        <v>40575.66667</v>
      </c>
      <c r="N1790" s="2">
        <f>IFERROR(__xludf.DUMMYFUNCTION("""COMPUTED_VALUE"""),2751.19)</f>
        <v>2751.19</v>
      </c>
    </row>
    <row r="1791">
      <c r="A1791" s="10">
        <f t="shared" si="8"/>
        <v>39773.66667</v>
      </c>
      <c r="B1791" s="2" t="str">
        <f t="shared" si="2"/>
        <v/>
      </c>
      <c r="C1791" s="2" t="str">
        <f t="shared" si="3"/>
        <v>SP500</v>
      </c>
      <c r="D1791" s="2">
        <f t="shared" si="4"/>
        <v>1384.35</v>
      </c>
      <c r="E1791" s="2">
        <f t="shared" si="5"/>
        <v>1384.35</v>
      </c>
      <c r="G1791" s="10">
        <f t="shared" si="9"/>
        <v>39773.64583</v>
      </c>
      <c r="H1791" s="6" t="str">
        <f t="shared" si="6"/>
        <v/>
      </c>
      <c r="I1791" s="2">
        <f t="shared" si="7"/>
        <v>1426.89</v>
      </c>
      <c r="M1791" s="10">
        <f>IFERROR(__xludf.DUMMYFUNCTION("""COMPUTED_VALUE"""),40576.666666666664)</f>
        <v>40576.66667</v>
      </c>
      <c r="N1791" s="2">
        <f>IFERROR(__xludf.DUMMYFUNCTION("""COMPUTED_VALUE"""),2749.56)</f>
        <v>2749.56</v>
      </c>
    </row>
    <row r="1792">
      <c r="A1792" s="10">
        <f t="shared" si="8"/>
        <v>39774.66667</v>
      </c>
      <c r="B1792" s="2" t="str">
        <f t="shared" si="2"/>
        <v/>
      </c>
      <c r="C1792" s="2" t="str">
        <f t="shared" si="3"/>
        <v>SP500</v>
      </c>
      <c r="D1792" s="2" t="str">
        <f t="shared" si="4"/>
        <v/>
      </c>
      <c r="E1792" s="2">
        <f t="shared" si="5"/>
        <v>1384.35</v>
      </c>
      <c r="G1792" s="10">
        <f t="shared" si="9"/>
        <v>39774.64583</v>
      </c>
      <c r="H1792" s="6" t="str">
        <f t="shared" si="6"/>
        <v/>
      </c>
      <c r="I1792" s="2">
        <f t="shared" si="7"/>
        <v>1426.89</v>
      </c>
      <c r="M1792" s="10">
        <f>IFERROR(__xludf.DUMMYFUNCTION("""COMPUTED_VALUE"""),40577.666666666664)</f>
        <v>40577.66667</v>
      </c>
      <c r="N1792" s="2">
        <f>IFERROR(__xludf.DUMMYFUNCTION("""COMPUTED_VALUE"""),2753.88)</f>
        <v>2753.88</v>
      </c>
    </row>
    <row r="1793">
      <c r="A1793" s="10">
        <f t="shared" si="8"/>
        <v>39775.66667</v>
      </c>
      <c r="B1793" s="2" t="str">
        <f t="shared" si="2"/>
        <v/>
      </c>
      <c r="C1793" s="2" t="str">
        <f t="shared" si="3"/>
        <v>SP500</v>
      </c>
      <c r="D1793" s="2" t="str">
        <f t="shared" si="4"/>
        <v/>
      </c>
      <c r="E1793" s="2">
        <f t="shared" si="5"/>
        <v>1384.35</v>
      </c>
      <c r="G1793" s="10">
        <f t="shared" si="9"/>
        <v>39775.64583</v>
      </c>
      <c r="H1793" s="6" t="str">
        <f t="shared" si="6"/>
        <v/>
      </c>
      <c r="I1793" s="2">
        <f t="shared" si="7"/>
        <v>1426.89</v>
      </c>
      <c r="M1793" s="10">
        <f>IFERROR(__xludf.DUMMYFUNCTION("""COMPUTED_VALUE"""),40578.666666666664)</f>
        <v>40578.66667</v>
      </c>
      <c r="N1793" s="2">
        <f>IFERROR(__xludf.DUMMYFUNCTION("""COMPUTED_VALUE"""),2769.3)</f>
        <v>2769.3</v>
      </c>
    </row>
    <row r="1794">
      <c r="A1794" s="10">
        <f t="shared" si="8"/>
        <v>39776.66667</v>
      </c>
      <c r="B1794" s="2" t="str">
        <f t="shared" si="2"/>
        <v/>
      </c>
      <c r="C1794" s="2" t="str">
        <f t="shared" si="3"/>
        <v>SP500</v>
      </c>
      <c r="D1794" s="2">
        <f t="shared" si="4"/>
        <v>1472.02</v>
      </c>
      <c r="E1794" s="2">
        <f t="shared" si="5"/>
        <v>1472.02</v>
      </c>
      <c r="G1794" s="10">
        <f t="shared" si="9"/>
        <v>39776.64583</v>
      </c>
      <c r="H1794" s="6" t="str">
        <f t="shared" si="6"/>
        <v/>
      </c>
      <c r="I1794" s="2">
        <f t="shared" si="7"/>
        <v>1426.89</v>
      </c>
      <c r="M1794" s="10">
        <f>IFERROR(__xludf.DUMMYFUNCTION("""COMPUTED_VALUE"""),40581.666666666664)</f>
        <v>40581.66667</v>
      </c>
      <c r="N1794" s="2">
        <f>IFERROR(__xludf.DUMMYFUNCTION("""COMPUTED_VALUE"""),2783.99)</f>
        <v>2783.99</v>
      </c>
    </row>
    <row r="1795">
      <c r="A1795" s="10">
        <f t="shared" si="8"/>
        <v>39777.66667</v>
      </c>
      <c r="B1795" s="2" t="str">
        <f t="shared" si="2"/>
        <v/>
      </c>
      <c r="C1795" s="2" t="str">
        <f t="shared" si="3"/>
        <v>SP500</v>
      </c>
      <c r="D1795" s="2">
        <f t="shared" si="4"/>
        <v>1464.73</v>
      </c>
      <c r="E1795" s="2">
        <f t="shared" si="5"/>
        <v>1464.73</v>
      </c>
      <c r="G1795" s="10">
        <f t="shared" si="9"/>
        <v>39777.64583</v>
      </c>
      <c r="H1795" s="6" t="str">
        <f t="shared" si="6"/>
        <v/>
      </c>
      <c r="I1795" s="2">
        <f t="shared" si="7"/>
        <v>1426.89</v>
      </c>
      <c r="M1795" s="10">
        <f>IFERROR(__xludf.DUMMYFUNCTION("""COMPUTED_VALUE"""),40582.666666666664)</f>
        <v>40582.66667</v>
      </c>
      <c r="N1795" s="2">
        <f>IFERROR(__xludf.DUMMYFUNCTION("""COMPUTED_VALUE"""),2797.05)</f>
        <v>2797.05</v>
      </c>
    </row>
    <row r="1796">
      <c r="A1796" s="10">
        <f t="shared" si="8"/>
        <v>39778.66667</v>
      </c>
      <c r="B1796" s="2" t="str">
        <f t="shared" si="2"/>
        <v/>
      </c>
      <c r="C1796" s="2" t="str">
        <f t="shared" si="3"/>
        <v>SP500</v>
      </c>
      <c r="D1796" s="2">
        <f t="shared" si="4"/>
        <v>1532.1</v>
      </c>
      <c r="E1796" s="2">
        <f t="shared" si="5"/>
        <v>1532.1</v>
      </c>
      <c r="G1796" s="10">
        <f t="shared" si="9"/>
        <v>39778.64583</v>
      </c>
      <c r="H1796" s="6" t="str">
        <f t="shared" si="6"/>
        <v/>
      </c>
      <c r="I1796" s="2">
        <f t="shared" si="7"/>
        <v>1426.89</v>
      </c>
      <c r="M1796" s="10">
        <f>IFERROR(__xludf.DUMMYFUNCTION("""COMPUTED_VALUE"""),40583.666666666664)</f>
        <v>40583.66667</v>
      </c>
      <c r="N1796" s="2">
        <f>IFERROR(__xludf.DUMMYFUNCTION("""COMPUTED_VALUE"""),2789.07)</f>
        <v>2789.07</v>
      </c>
    </row>
    <row r="1797">
      <c r="A1797" s="10">
        <f t="shared" si="8"/>
        <v>39779.66667</v>
      </c>
      <c r="B1797" s="2" t="str">
        <f t="shared" si="2"/>
        <v/>
      </c>
      <c r="C1797" s="2" t="str">
        <f t="shared" si="3"/>
        <v>SP500</v>
      </c>
      <c r="D1797" s="2" t="str">
        <f t="shared" si="4"/>
        <v/>
      </c>
      <c r="E1797" s="2">
        <f t="shared" si="5"/>
        <v>1532.1</v>
      </c>
      <c r="G1797" s="10">
        <f t="shared" si="9"/>
        <v>39779.64583</v>
      </c>
      <c r="H1797" s="6" t="str">
        <f t="shared" si="6"/>
        <v/>
      </c>
      <c r="I1797" s="2">
        <f t="shared" si="7"/>
        <v>1426.89</v>
      </c>
      <c r="M1797" s="10">
        <f>IFERROR(__xludf.DUMMYFUNCTION("""COMPUTED_VALUE"""),40584.666666666664)</f>
        <v>40584.66667</v>
      </c>
      <c r="N1797" s="2">
        <f>IFERROR(__xludf.DUMMYFUNCTION("""COMPUTED_VALUE"""),2790.45)</f>
        <v>2790.45</v>
      </c>
    </row>
    <row r="1798">
      <c r="A1798" s="10">
        <f t="shared" si="8"/>
        <v>39780.66667</v>
      </c>
      <c r="B1798" s="2" t="str">
        <f t="shared" si="2"/>
        <v/>
      </c>
      <c r="C1798" s="2" t="str">
        <f t="shared" si="3"/>
        <v>SP500</v>
      </c>
      <c r="D1798" s="2">
        <f t="shared" si="4"/>
        <v>1535.57</v>
      </c>
      <c r="E1798" s="2">
        <f t="shared" si="5"/>
        <v>1535.57</v>
      </c>
      <c r="G1798" s="10">
        <f t="shared" si="9"/>
        <v>39780.64583</v>
      </c>
      <c r="H1798" s="6" t="str">
        <f t="shared" si="6"/>
        <v/>
      </c>
      <c r="I1798" s="2">
        <f t="shared" si="7"/>
        <v>1426.89</v>
      </c>
      <c r="M1798" s="10">
        <f>IFERROR(__xludf.DUMMYFUNCTION("""COMPUTED_VALUE"""),40585.666666666664)</f>
        <v>40585.66667</v>
      </c>
      <c r="N1798" s="2">
        <f>IFERROR(__xludf.DUMMYFUNCTION("""COMPUTED_VALUE"""),2809.44)</f>
        <v>2809.44</v>
      </c>
    </row>
    <row r="1799">
      <c r="A1799" s="10">
        <f t="shared" si="8"/>
        <v>39781.66667</v>
      </c>
      <c r="B1799" s="2" t="str">
        <f t="shared" si="2"/>
        <v/>
      </c>
      <c r="C1799" s="2" t="str">
        <f t="shared" si="3"/>
        <v>SP500</v>
      </c>
      <c r="D1799" s="2" t="str">
        <f t="shared" si="4"/>
        <v/>
      </c>
      <c r="E1799" s="2">
        <f t="shared" si="5"/>
        <v>1535.57</v>
      </c>
      <c r="G1799" s="10">
        <f t="shared" si="9"/>
        <v>39781.64583</v>
      </c>
      <c r="H1799" s="6" t="str">
        <f t="shared" si="6"/>
        <v/>
      </c>
      <c r="I1799" s="2">
        <f t="shared" si="7"/>
        <v>1426.89</v>
      </c>
      <c r="M1799" s="10">
        <f>IFERROR(__xludf.DUMMYFUNCTION("""COMPUTED_VALUE"""),40588.666666666664)</f>
        <v>40588.66667</v>
      </c>
      <c r="N1799" s="2">
        <f>IFERROR(__xludf.DUMMYFUNCTION("""COMPUTED_VALUE"""),2817.18)</f>
        <v>2817.18</v>
      </c>
    </row>
    <row r="1800">
      <c r="A1800" s="10">
        <f t="shared" si="8"/>
        <v>39782.66667</v>
      </c>
      <c r="B1800" s="2" t="str">
        <f t="shared" si="2"/>
        <v/>
      </c>
      <c r="C1800" s="2" t="str">
        <f t="shared" si="3"/>
        <v>SP500</v>
      </c>
      <c r="D1800" s="2" t="str">
        <f t="shared" si="4"/>
        <v/>
      </c>
      <c r="E1800" s="2">
        <f t="shared" si="5"/>
        <v>1535.57</v>
      </c>
      <c r="G1800" s="10">
        <f t="shared" si="9"/>
        <v>39782.64583</v>
      </c>
      <c r="H1800" s="6" t="str">
        <f t="shared" si="6"/>
        <v/>
      </c>
      <c r="I1800" s="2">
        <f t="shared" si="7"/>
        <v>1426.89</v>
      </c>
      <c r="M1800" s="10">
        <f>IFERROR(__xludf.DUMMYFUNCTION("""COMPUTED_VALUE"""),40589.666666666664)</f>
        <v>40589.66667</v>
      </c>
      <c r="N1800" s="2">
        <f>IFERROR(__xludf.DUMMYFUNCTION("""COMPUTED_VALUE"""),2804.35)</f>
        <v>2804.35</v>
      </c>
    </row>
    <row r="1801">
      <c r="A1801" s="10">
        <f t="shared" si="8"/>
        <v>39783.66667</v>
      </c>
      <c r="B1801" s="2" t="str">
        <f t="shared" si="2"/>
        <v/>
      </c>
      <c r="C1801" s="2" t="str">
        <f t="shared" si="3"/>
        <v>SP500</v>
      </c>
      <c r="D1801" s="2">
        <f t="shared" si="4"/>
        <v>1398.07</v>
      </c>
      <c r="E1801" s="2">
        <f t="shared" si="5"/>
        <v>1398.07</v>
      </c>
      <c r="G1801" s="10">
        <f t="shared" si="9"/>
        <v>39783.64583</v>
      </c>
      <c r="H1801" s="6" t="str">
        <f t="shared" si="6"/>
        <v/>
      </c>
      <c r="I1801" s="2">
        <f t="shared" si="7"/>
        <v>1426.89</v>
      </c>
      <c r="M1801" s="10">
        <f>IFERROR(__xludf.DUMMYFUNCTION("""COMPUTED_VALUE"""),40590.666666666664)</f>
        <v>40590.66667</v>
      </c>
      <c r="N1801" s="2">
        <f>IFERROR(__xludf.DUMMYFUNCTION("""COMPUTED_VALUE"""),2825.56)</f>
        <v>2825.56</v>
      </c>
    </row>
    <row r="1802">
      <c r="A1802" s="10">
        <f t="shared" si="8"/>
        <v>39784.66667</v>
      </c>
      <c r="B1802" s="2" t="str">
        <f t="shared" si="2"/>
        <v/>
      </c>
      <c r="C1802" s="2" t="str">
        <f t="shared" si="3"/>
        <v>SP500</v>
      </c>
      <c r="D1802" s="2">
        <f t="shared" si="4"/>
        <v>1449.8</v>
      </c>
      <c r="E1802" s="2">
        <f t="shared" si="5"/>
        <v>1449.8</v>
      </c>
      <c r="G1802" s="10">
        <f t="shared" si="9"/>
        <v>39784.64583</v>
      </c>
      <c r="H1802" s="6" t="str">
        <f t="shared" si="6"/>
        <v/>
      </c>
      <c r="I1802" s="2">
        <f t="shared" si="7"/>
        <v>1426.89</v>
      </c>
      <c r="M1802" s="10">
        <f>IFERROR(__xludf.DUMMYFUNCTION("""COMPUTED_VALUE"""),40591.666666666664)</f>
        <v>40591.66667</v>
      </c>
      <c r="N1802" s="2">
        <f>IFERROR(__xludf.DUMMYFUNCTION("""COMPUTED_VALUE"""),2831.58)</f>
        <v>2831.58</v>
      </c>
    </row>
    <row r="1803">
      <c r="A1803" s="10">
        <f t="shared" si="8"/>
        <v>39785.66667</v>
      </c>
      <c r="B1803" s="2" t="str">
        <f t="shared" si="2"/>
        <v/>
      </c>
      <c r="C1803" s="2" t="str">
        <f t="shared" si="3"/>
        <v>SP500</v>
      </c>
      <c r="D1803" s="2">
        <f t="shared" si="4"/>
        <v>1492.38</v>
      </c>
      <c r="E1803" s="2">
        <f t="shared" si="5"/>
        <v>1492.38</v>
      </c>
      <c r="G1803" s="10">
        <f t="shared" si="9"/>
        <v>39785.64583</v>
      </c>
      <c r="H1803" s="6" t="str">
        <f t="shared" si="6"/>
        <v/>
      </c>
      <c r="I1803" s="2">
        <f t="shared" si="7"/>
        <v>1426.89</v>
      </c>
      <c r="M1803" s="10">
        <f>IFERROR(__xludf.DUMMYFUNCTION("""COMPUTED_VALUE"""),40592.666666666664)</f>
        <v>40592.66667</v>
      </c>
      <c r="N1803" s="2">
        <f>IFERROR(__xludf.DUMMYFUNCTION("""COMPUTED_VALUE"""),2833.95)</f>
        <v>2833.95</v>
      </c>
    </row>
    <row r="1804">
      <c r="A1804" s="10">
        <f t="shared" si="8"/>
        <v>39786.66667</v>
      </c>
      <c r="B1804" s="2" t="str">
        <f t="shared" si="2"/>
        <v/>
      </c>
      <c r="C1804" s="2" t="str">
        <f t="shared" si="3"/>
        <v>SP500</v>
      </c>
      <c r="D1804" s="2">
        <f t="shared" si="4"/>
        <v>1445.56</v>
      </c>
      <c r="E1804" s="2">
        <f t="shared" si="5"/>
        <v>1445.56</v>
      </c>
      <c r="G1804" s="10">
        <f t="shared" si="9"/>
        <v>39786.64583</v>
      </c>
      <c r="H1804" s="6" t="str">
        <f t="shared" si="6"/>
        <v/>
      </c>
      <c r="I1804" s="2">
        <f t="shared" si="7"/>
        <v>1426.89</v>
      </c>
      <c r="M1804" s="10">
        <f>IFERROR(__xludf.DUMMYFUNCTION("""COMPUTED_VALUE"""),40596.666666666664)</f>
        <v>40596.66667</v>
      </c>
      <c r="N1804" s="2">
        <f>IFERROR(__xludf.DUMMYFUNCTION("""COMPUTED_VALUE"""),2756.42)</f>
        <v>2756.42</v>
      </c>
    </row>
    <row r="1805">
      <c r="A1805" s="10">
        <f t="shared" si="8"/>
        <v>39787.66667</v>
      </c>
      <c r="B1805" s="2" t="str">
        <f t="shared" si="2"/>
        <v/>
      </c>
      <c r="C1805" s="2" t="str">
        <f t="shared" si="3"/>
        <v>SP500</v>
      </c>
      <c r="D1805" s="2">
        <f t="shared" si="4"/>
        <v>1509.31</v>
      </c>
      <c r="E1805" s="2">
        <f t="shared" si="5"/>
        <v>1509.31</v>
      </c>
      <c r="G1805" s="10">
        <f t="shared" si="9"/>
        <v>39787.64583</v>
      </c>
      <c r="H1805" s="6" t="str">
        <f t="shared" si="6"/>
        <v/>
      </c>
      <c r="I1805" s="2">
        <f t="shared" si="7"/>
        <v>1426.89</v>
      </c>
      <c r="M1805" s="10">
        <f>IFERROR(__xludf.DUMMYFUNCTION("""COMPUTED_VALUE"""),40597.666666666664)</f>
        <v>40597.66667</v>
      </c>
      <c r="N1805" s="2">
        <f>IFERROR(__xludf.DUMMYFUNCTION("""COMPUTED_VALUE"""),2722.99)</f>
        <v>2722.99</v>
      </c>
    </row>
    <row r="1806">
      <c r="A1806" s="10">
        <f t="shared" si="8"/>
        <v>39788.66667</v>
      </c>
      <c r="B1806" s="2" t="str">
        <f t="shared" si="2"/>
        <v/>
      </c>
      <c r="C1806" s="2" t="str">
        <f t="shared" si="3"/>
        <v>SP500</v>
      </c>
      <c r="D1806" s="2" t="str">
        <f t="shared" si="4"/>
        <v/>
      </c>
      <c r="E1806" s="2">
        <f t="shared" si="5"/>
        <v>1509.31</v>
      </c>
      <c r="G1806" s="10">
        <f t="shared" si="9"/>
        <v>39788.64583</v>
      </c>
      <c r="H1806" s="6" t="str">
        <f t="shared" si="6"/>
        <v/>
      </c>
      <c r="I1806" s="2">
        <f t="shared" si="7"/>
        <v>1426.89</v>
      </c>
      <c r="M1806" s="10">
        <f>IFERROR(__xludf.DUMMYFUNCTION("""COMPUTED_VALUE"""),40598.666666666664)</f>
        <v>40598.66667</v>
      </c>
      <c r="N1806" s="2">
        <f>IFERROR(__xludf.DUMMYFUNCTION("""COMPUTED_VALUE"""),2737.9)</f>
        <v>2737.9</v>
      </c>
    </row>
    <row r="1807">
      <c r="A1807" s="10">
        <f t="shared" si="8"/>
        <v>39789.66667</v>
      </c>
      <c r="B1807" s="2" t="str">
        <f t="shared" si="2"/>
        <v/>
      </c>
      <c r="C1807" s="2" t="str">
        <f t="shared" si="3"/>
        <v>SP500</v>
      </c>
      <c r="D1807" s="2" t="str">
        <f t="shared" si="4"/>
        <v/>
      </c>
      <c r="E1807" s="2">
        <f t="shared" si="5"/>
        <v>1509.31</v>
      </c>
      <c r="G1807" s="10">
        <f t="shared" si="9"/>
        <v>39789.64583</v>
      </c>
      <c r="H1807" s="6" t="str">
        <f t="shared" si="6"/>
        <v/>
      </c>
      <c r="I1807" s="2">
        <f t="shared" si="7"/>
        <v>1426.89</v>
      </c>
      <c r="M1807" s="10">
        <f>IFERROR(__xludf.DUMMYFUNCTION("""COMPUTED_VALUE"""),40599.666666666664)</f>
        <v>40599.66667</v>
      </c>
      <c r="N1807" s="2">
        <f>IFERROR(__xludf.DUMMYFUNCTION("""COMPUTED_VALUE"""),2781.05)</f>
        <v>2781.05</v>
      </c>
    </row>
    <row r="1808">
      <c r="A1808" s="10">
        <f t="shared" si="8"/>
        <v>39790.66667</v>
      </c>
      <c r="B1808" s="2" t="str">
        <f t="shared" si="2"/>
        <v/>
      </c>
      <c r="C1808" s="2" t="str">
        <f t="shared" si="3"/>
        <v>SP500</v>
      </c>
      <c r="D1808" s="2">
        <f t="shared" si="4"/>
        <v>1571.74</v>
      </c>
      <c r="E1808" s="2">
        <f t="shared" si="5"/>
        <v>1571.74</v>
      </c>
      <c r="G1808" s="10">
        <f t="shared" si="9"/>
        <v>39790.64583</v>
      </c>
      <c r="H1808" s="6" t="str">
        <f t="shared" si="6"/>
        <v/>
      </c>
      <c r="I1808" s="2">
        <f t="shared" si="7"/>
        <v>1426.89</v>
      </c>
      <c r="M1808" s="10">
        <f>IFERROR(__xludf.DUMMYFUNCTION("""COMPUTED_VALUE"""),40602.666666666664)</f>
        <v>40602.66667</v>
      </c>
      <c r="N1808" s="2">
        <f>IFERROR(__xludf.DUMMYFUNCTION("""COMPUTED_VALUE"""),2782.27)</f>
        <v>2782.27</v>
      </c>
    </row>
    <row r="1809">
      <c r="A1809" s="10">
        <f t="shared" si="8"/>
        <v>39791.66667</v>
      </c>
      <c r="B1809" s="2" t="str">
        <f t="shared" si="2"/>
        <v/>
      </c>
      <c r="C1809" s="2" t="str">
        <f t="shared" si="3"/>
        <v>SP500</v>
      </c>
      <c r="D1809" s="2">
        <f t="shared" si="4"/>
        <v>1547.34</v>
      </c>
      <c r="E1809" s="2">
        <f t="shared" si="5"/>
        <v>1547.34</v>
      </c>
      <c r="G1809" s="10">
        <f t="shared" si="9"/>
        <v>39791.64583</v>
      </c>
      <c r="H1809" s="6" t="str">
        <f t="shared" si="6"/>
        <v/>
      </c>
      <c r="I1809" s="2">
        <f t="shared" si="7"/>
        <v>1426.89</v>
      </c>
      <c r="M1809" s="10">
        <f>IFERROR(__xludf.DUMMYFUNCTION("""COMPUTED_VALUE"""),40603.666666666664)</f>
        <v>40603.66667</v>
      </c>
      <c r="N1809" s="2">
        <f>IFERROR(__xludf.DUMMYFUNCTION("""COMPUTED_VALUE"""),2737.41)</f>
        <v>2737.41</v>
      </c>
    </row>
    <row r="1810">
      <c r="A1810" s="10">
        <f t="shared" si="8"/>
        <v>39792.66667</v>
      </c>
      <c r="B1810" s="2" t="str">
        <f t="shared" si="2"/>
        <v/>
      </c>
      <c r="C1810" s="2" t="str">
        <f t="shared" si="3"/>
        <v>SP500</v>
      </c>
      <c r="D1810" s="2">
        <f t="shared" si="4"/>
        <v>1565.48</v>
      </c>
      <c r="E1810" s="2">
        <f t="shared" si="5"/>
        <v>1565.48</v>
      </c>
      <c r="G1810" s="10">
        <f t="shared" si="9"/>
        <v>39792.64583</v>
      </c>
      <c r="H1810" s="6" t="str">
        <f t="shared" si="6"/>
        <v/>
      </c>
      <c r="I1810" s="2">
        <f t="shared" si="7"/>
        <v>1426.89</v>
      </c>
      <c r="M1810" s="10">
        <f>IFERROR(__xludf.DUMMYFUNCTION("""COMPUTED_VALUE"""),40604.666666666664)</f>
        <v>40604.66667</v>
      </c>
      <c r="N1810" s="2">
        <f>IFERROR(__xludf.DUMMYFUNCTION("""COMPUTED_VALUE"""),2748.07)</f>
        <v>2748.07</v>
      </c>
    </row>
    <row r="1811">
      <c r="A1811" s="10">
        <f t="shared" si="8"/>
        <v>39793.66667</v>
      </c>
      <c r="B1811" s="2" t="str">
        <f t="shared" si="2"/>
        <v/>
      </c>
      <c r="C1811" s="2" t="str">
        <f t="shared" si="3"/>
        <v>SP500</v>
      </c>
      <c r="D1811" s="2">
        <f t="shared" si="4"/>
        <v>1507.88</v>
      </c>
      <c r="E1811" s="2">
        <f t="shared" si="5"/>
        <v>1507.88</v>
      </c>
      <c r="G1811" s="10">
        <f t="shared" si="9"/>
        <v>39793.64583</v>
      </c>
      <c r="H1811" s="6" t="str">
        <f t="shared" si="6"/>
        <v/>
      </c>
      <c r="I1811" s="2">
        <f t="shared" si="7"/>
        <v>1426.89</v>
      </c>
      <c r="M1811" s="10">
        <f>IFERROR(__xludf.DUMMYFUNCTION("""COMPUTED_VALUE"""),40605.666666666664)</f>
        <v>40605.66667</v>
      </c>
      <c r="N1811" s="2">
        <f>IFERROR(__xludf.DUMMYFUNCTION("""COMPUTED_VALUE"""),2798.74)</f>
        <v>2798.74</v>
      </c>
    </row>
    <row r="1812">
      <c r="A1812" s="10">
        <f t="shared" si="8"/>
        <v>39794.66667</v>
      </c>
      <c r="B1812" s="2" t="str">
        <f t="shared" si="2"/>
        <v/>
      </c>
      <c r="C1812" s="2" t="str">
        <f t="shared" si="3"/>
        <v>SP500</v>
      </c>
      <c r="D1812" s="2">
        <f t="shared" si="4"/>
        <v>1540.72</v>
      </c>
      <c r="E1812" s="2">
        <f t="shared" si="5"/>
        <v>1540.72</v>
      </c>
      <c r="G1812" s="10">
        <f t="shared" si="9"/>
        <v>39794.64583</v>
      </c>
      <c r="H1812" s="6" t="str">
        <f t="shared" si="6"/>
        <v/>
      </c>
      <c r="I1812" s="2">
        <f t="shared" si="7"/>
        <v>1426.89</v>
      </c>
      <c r="M1812" s="10">
        <f>IFERROR(__xludf.DUMMYFUNCTION("""COMPUTED_VALUE"""),40606.666666666664)</f>
        <v>40606.66667</v>
      </c>
      <c r="N1812" s="2">
        <f>IFERROR(__xludf.DUMMYFUNCTION("""COMPUTED_VALUE"""),2784.67)</f>
        <v>2784.67</v>
      </c>
    </row>
    <row r="1813">
      <c r="A1813" s="10">
        <f t="shared" si="8"/>
        <v>39795.66667</v>
      </c>
      <c r="B1813" s="2" t="str">
        <f t="shared" si="2"/>
        <v/>
      </c>
      <c r="C1813" s="2" t="str">
        <f t="shared" si="3"/>
        <v>SP500</v>
      </c>
      <c r="D1813" s="2" t="str">
        <f t="shared" si="4"/>
        <v/>
      </c>
      <c r="E1813" s="2">
        <f t="shared" si="5"/>
        <v>1540.72</v>
      </c>
      <c r="G1813" s="10">
        <f t="shared" si="9"/>
        <v>39795.64583</v>
      </c>
      <c r="H1813" s="6" t="str">
        <f t="shared" si="6"/>
        <v/>
      </c>
      <c r="I1813" s="2">
        <f t="shared" si="7"/>
        <v>1426.89</v>
      </c>
      <c r="M1813" s="10">
        <f>IFERROR(__xludf.DUMMYFUNCTION("""COMPUTED_VALUE"""),40609.666666666664)</f>
        <v>40609.66667</v>
      </c>
      <c r="N1813" s="2">
        <f>IFERROR(__xludf.DUMMYFUNCTION("""COMPUTED_VALUE"""),2745.63)</f>
        <v>2745.63</v>
      </c>
    </row>
    <row r="1814">
      <c r="A1814" s="10">
        <f t="shared" si="8"/>
        <v>39796.66667</v>
      </c>
      <c r="B1814" s="2" t="str">
        <f t="shared" si="2"/>
        <v/>
      </c>
      <c r="C1814" s="2" t="str">
        <f t="shared" si="3"/>
        <v>SP500</v>
      </c>
      <c r="D1814" s="2" t="str">
        <f t="shared" si="4"/>
        <v/>
      </c>
      <c r="E1814" s="2">
        <f t="shared" si="5"/>
        <v>1540.72</v>
      </c>
      <c r="G1814" s="10">
        <f t="shared" si="9"/>
        <v>39796.64583</v>
      </c>
      <c r="H1814" s="6" t="str">
        <f t="shared" si="6"/>
        <v/>
      </c>
      <c r="I1814" s="2">
        <f t="shared" si="7"/>
        <v>1426.89</v>
      </c>
      <c r="M1814" s="10">
        <f>IFERROR(__xludf.DUMMYFUNCTION("""COMPUTED_VALUE"""),40610.666666666664)</f>
        <v>40610.66667</v>
      </c>
      <c r="N1814" s="2">
        <f>IFERROR(__xludf.DUMMYFUNCTION("""COMPUTED_VALUE"""),2765.77)</f>
        <v>2765.77</v>
      </c>
    </row>
    <row r="1815">
      <c r="A1815" s="10">
        <f t="shared" si="8"/>
        <v>39797.66667</v>
      </c>
      <c r="B1815" s="2" t="str">
        <f t="shared" si="2"/>
        <v/>
      </c>
      <c r="C1815" s="2" t="str">
        <f t="shared" si="3"/>
        <v>SP500</v>
      </c>
      <c r="D1815" s="2">
        <f t="shared" si="4"/>
        <v>1508.34</v>
      </c>
      <c r="E1815" s="2">
        <f t="shared" si="5"/>
        <v>1508.34</v>
      </c>
      <c r="G1815" s="10">
        <f t="shared" si="9"/>
        <v>39797.64583</v>
      </c>
      <c r="H1815" s="6" t="str">
        <f t="shared" si="6"/>
        <v/>
      </c>
      <c r="I1815" s="2">
        <f t="shared" si="7"/>
        <v>1426.89</v>
      </c>
      <c r="M1815" s="10">
        <f>IFERROR(__xludf.DUMMYFUNCTION("""COMPUTED_VALUE"""),40611.666666666664)</f>
        <v>40611.66667</v>
      </c>
      <c r="N1815" s="2">
        <f>IFERROR(__xludf.DUMMYFUNCTION("""COMPUTED_VALUE"""),2751.72)</f>
        <v>2751.72</v>
      </c>
    </row>
    <row r="1816">
      <c r="A1816" s="10">
        <f t="shared" si="8"/>
        <v>39798.66667</v>
      </c>
      <c r="B1816" s="2" t="str">
        <f t="shared" si="2"/>
        <v/>
      </c>
      <c r="C1816" s="2" t="str">
        <f t="shared" si="3"/>
        <v>SP500</v>
      </c>
      <c r="D1816" s="2">
        <f t="shared" si="4"/>
        <v>1589.89</v>
      </c>
      <c r="E1816" s="2">
        <f t="shared" si="5"/>
        <v>1589.89</v>
      </c>
      <c r="G1816" s="10">
        <f t="shared" si="9"/>
        <v>39798.64583</v>
      </c>
      <c r="H1816" s="6" t="str">
        <f t="shared" si="6"/>
        <v/>
      </c>
      <c r="I1816" s="2">
        <f t="shared" si="7"/>
        <v>1426.89</v>
      </c>
      <c r="M1816" s="10">
        <f>IFERROR(__xludf.DUMMYFUNCTION("""COMPUTED_VALUE"""),40612.666666666664)</f>
        <v>40612.66667</v>
      </c>
      <c r="N1816" s="2">
        <f>IFERROR(__xludf.DUMMYFUNCTION("""COMPUTED_VALUE"""),2701.02)</f>
        <v>2701.02</v>
      </c>
    </row>
    <row r="1817">
      <c r="A1817" s="10">
        <f t="shared" si="8"/>
        <v>39799.66667</v>
      </c>
      <c r="B1817" s="2" t="str">
        <f t="shared" si="2"/>
        <v/>
      </c>
      <c r="C1817" s="2" t="str">
        <f t="shared" si="3"/>
        <v>SP500</v>
      </c>
      <c r="D1817" s="2">
        <f t="shared" si="4"/>
        <v>1579.31</v>
      </c>
      <c r="E1817" s="2">
        <f t="shared" si="5"/>
        <v>1579.31</v>
      </c>
      <c r="G1817" s="10">
        <f t="shared" si="9"/>
        <v>39799.64583</v>
      </c>
      <c r="H1817" s="6" t="str">
        <f t="shared" si="6"/>
        <v/>
      </c>
      <c r="I1817" s="2">
        <f t="shared" si="7"/>
        <v>1426.89</v>
      </c>
      <c r="M1817" s="10">
        <f>IFERROR(__xludf.DUMMYFUNCTION("""COMPUTED_VALUE"""),40613.666666666664)</f>
        <v>40613.66667</v>
      </c>
      <c r="N1817" s="2">
        <f>IFERROR(__xludf.DUMMYFUNCTION("""COMPUTED_VALUE"""),2715.61)</f>
        <v>2715.61</v>
      </c>
    </row>
    <row r="1818">
      <c r="A1818" s="10">
        <f t="shared" si="8"/>
        <v>39800.66667</v>
      </c>
      <c r="B1818" s="2" t="str">
        <f t="shared" si="2"/>
        <v/>
      </c>
      <c r="C1818" s="2" t="str">
        <f t="shared" si="3"/>
        <v>SP500</v>
      </c>
      <c r="D1818" s="2">
        <f t="shared" si="4"/>
        <v>1552.37</v>
      </c>
      <c r="E1818" s="2">
        <f t="shared" si="5"/>
        <v>1552.37</v>
      </c>
      <c r="G1818" s="10">
        <f t="shared" si="9"/>
        <v>39800.64583</v>
      </c>
      <c r="H1818" s="6" t="str">
        <f t="shared" si="6"/>
        <v/>
      </c>
      <c r="I1818" s="2">
        <f t="shared" si="7"/>
        <v>1426.89</v>
      </c>
      <c r="M1818" s="10">
        <f>IFERROR(__xludf.DUMMYFUNCTION("""COMPUTED_VALUE"""),40616.666666666664)</f>
        <v>40616.66667</v>
      </c>
      <c r="N1818" s="2">
        <f>IFERROR(__xludf.DUMMYFUNCTION("""COMPUTED_VALUE"""),2700.97)</f>
        <v>2700.97</v>
      </c>
    </row>
    <row r="1819">
      <c r="A1819" s="10">
        <f t="shared" si="8"/>
        <v>39801.66667</v>
      </c>
      <c r="B1819" s="2" t="str">
        <f t="shared" si="2"/>
        <v/>
      </c>
      <c r="C1819" s="2" t="str">
        <f t="shared" si="3"/>
        <v>SP500</v>
      </c>
      <c r="D1819" s="2">
        <f t="shared" si="4"/>
        <v>1564.32</v>
      </c>
      <c r="E1819" s="2">
        <f t="shared" si="5"/>
        <v>1564.32</v>
      </c>
      <c r="G1819" s="10">
        <f t="shared" si="9"/>
        <v>39801.64583</v>
      </c>
      <c r="H1819" s="6" t="str">
        <f t="shared" si="6"/>
        <v/>
      </c>
      <c r="I1819" s="2">
        <f t="shared" si="7"/>
        <v>1426.89</v>
      </c>
      <c r="M1819" s="10">
        <f>IFERROR(__xludf.DUMMYFUNCTION("""COMPUTED_VALUE"""),40617.666666666664)</f>
        <v>40617.66667</v>
      </c>
      <c r="N1819" s="2">
        <f>IFERROR(__xludf.DUMMYFUNCTION("""COMPUTED_VALUE"""),2667.33)</f>
        <v>2667.33</v>
      </c>
    </row>
    <row r="1820">
      <c r="A1820" s="10">
        <f t="shared" si="8"/>
        <v>39802.66667</v>
      </c>
      <c r="B1820" s="2" t="str">
        <f t="shared" si="2"/>
        <v/>
      </c>
      <c r="C1820" s="2" t="str">
        <f t="shared" si="3"/>
        <v>SP500</v>
      </c>
      <c r="D1820" s="2" t="str">
        <f t="shared" si="4"/>
        <v/>
      </c>
      <c r="E1820" s="2">
        <f t="shared" si="5"/>
        <v>1564.32</v>
      </c>
      <c r="G1820" s="10">
        <f t="shared" si="9"/>
        <v>39802.64583</v>
      </c>
      <c r="H1820" s="6" t="str">
        <f t="shared" si="6"/>
        <v/>
      </c>
      <c r="I1820" s="2">
        <f t="shared" si="7"/>
        <v>1426.89</v>
      </c>
      <c r="M1820" s="10">
        <f>IFERROR(__xludf.DUMMYFUNCTION("""COMPUTED_VALUE"""),40618.666666666664)</f>
        <v>40618.66667</v>
      </c>
      <c r="N1820" s="2">
        <f>IFERROR(__xludf.DUMMYFUNCTION("""COMPUTED_VALUE"""),2616.82)</f>
        <v>2616.82</v>
      </c>
    </row>
    <row r="1821">
      <c r="A1821" s="10">
        <f t="shared" si="8"/>
        <v>39803.66667</v>
      </c>
      <c r="B1821" s="2" t="str">
        <f t="shared" si="2"/>
        <v/>
      </c>
      <c r="C1821" s="2" t="str">
        <f t="shared" si="3"/>
        <v>SP500</v>
      </c>
      <c r="D1821" s="2" t="str">
        <f t="shared" si="4"/>
        <v/>
      </c>
      <c r="E1821" s="2">
        <f t="shared" si="5"/>
        <v>1564.32</v>
      </c>
      <c r="G1821" s="10">
        <f t="shared" si="9"/>
        <v>39803.64583</v>
      </c>
      <c r="H1821" s="6" t="str">
        <f t="shared" si="6"/>
        <v/>
      </c>
      <c r="I1821" s="2">
        <f t="shared" si="7"/>
        <v>1426.89</v>
      </c>
      <c r="M1821" s="10">
        <f>IFERROR(__xludf.DUMMYFUNCTION("""COMPUTED_VALUE"""),40619.666666666664)</f>
        <v>40619.66667</v>
      </c>
      <c r="N1821" s="2">
        <f>IFERROR(__xludf.DUMMYFUNCTION("""COMPUTED_VALUE"""),2636.05)</f>
        <v>2636.05</v>
      </c>
    </row>
    <row r="1822">
      <c r="A1822" s="10">
        <f t="shared" si="8"/>
        <v>39804.66667</v>
      </c>
      <c r="B1822" s="2" t="str">
        <f t="shared" si="2"/>
        <v/>
      </c>
      <c r="C1822" s="2" t="str">
        <f t="shared" si="3"/>
        <v>SP500</v>
      </c>
      <c r="D1822" s="2">
        <f t="shared" si="4"/>
        <v>1532.35</v>
      </c>
      <c r="E1822" s="2">
        <f t="shared" si="5"/>
        <v>1532.35</v>
      </c>
      <c r="G1822" s="10">
        <f t="shared" si="9"/>
        <v>39804.64583</v>
      </c>
      <c r="H1822" s="6" t="str">
        <f t="shared" si="6"/>
        <v/>
      </c>
      <c r="I1822" s="2">
        <f t="shared" si="7"/>
        <v>1426.89</v>
      </c>
      <c r="M1822" s="10">
        <f>IFERROR(__xludf.DUMMYFUNCTION("""COMPUTED_VALUE"""),40620.666666666664)</f>
        <v>40620.66667</v>
      </c>
      <c r="N1822" s="2">
        <f>IFERROR(__xludf.DUMMYFUNCTION("""COMPUTED_VALUE"""),2643.67)</f>
        <v>2643.67</v>
      </c>
    </row>
    <row r="1823">
      <c r="A1823" s="10">
        <f t="shared" si="8"/>
        <v>39805.66667</v>
      </c>
      <c r="B1823" s="2" t="str">
        <f t="shared" si="2"/>
        <v/>
      </c>
      <c r="C1823" s="2" t="str">
        <f t="shared" si="3"/>
        <v>SP500</v>
      </c>
      <c r="D1823" s="2">
        <f t="shared" si="4"/>
        <v>1521.54</v>
      </c>
      <c r="E1823" s="2">
        <f t="shared" si="5"/>
        <v>1521.54</v>
      </c>
      <c r="G1823" s="10">
        <f t="shared" si="9"/>
        <v>39805.64583</v>
      </c>
      <c r="H1823" s="6" t="str">
        <f t="shared" si="6"/>
        <v/>
      </c>
      <c r="I1823" s="2">
        <f t="shared" si="7"/>
        <v>1426.89</v>
      </c>
      <c r="M1823" s="10">
        <f>IFERROR(__xludf.DUMMYFUNCTION("""COMPUTED_VALUE"""),40623.666666666664)</f>
        <v>40623.66667</v>
      </c>
      <c r="N1823" s="2">
        <f>IFERROR(__xludf.DUMMYFUNCTION("""COMPUTED_VALUE"""),2692.09)</f>
        <v>2692.09</v>
      </c>
    </row>
    <row r="1824">
      <c r="A1824" s="10">
        <f t="shared" si="8"/>
        <v>39806.66667</v>
      </c>
      <c r="B1824" s="2" t="str">
        <f t="shared" si="2"/>
        <v/>
      </c>
      <c r="C1824" s="2" t="str">
        <f t="shared" si="3"/>
        <v>SP500</v>
      </c>
      <c r="D1824" s="2">
        <f t="shared" si="4"/>
        <v>1524.9</v>
      </c>
      <c r="E1824" s="2">
        <f t="shared" si="5"/>
        <v>1524.9</v>
      </c>
      <c r="G1824" s="10">
        <f t="shared" si="9"/>
        <v>39806.64583</v>
      </c>
      <c r="H1824" s="6" t="str">
        <f t="shared" si="6"/>
        <v/>
      </c>
      <c r="I1824" s="2">
        <f t="shared" si="7"/>
        <v>1426.89</v>
      </c>
      <c r="M1824" s="10">
        <f>IFERROR(__xludf.DUMMYFUNCTION("""COMPUTED_VALUE"""),40624.666666666664)</f>
        <v>40624.66667</v>
      </c>
      <c r="N1824" s="2">
        <f>IFERROR(__xludf.DUMMYFUNCTION("""COMPUTED_VALUE"""),2683.87)</f>
        <v>2683.87</v>
      </c>
    </row>
    <row r="1825">
      <c r="A1825" s="10">
        <f t="shared" si="8"/>
        <v>39807.66667</v>
      </c>
      <c r="B1825" s="2" t="str">
        <f t="shared" si="2"/>
        <v/>
      </c>
      <c r="C1825" s="2" t="str">
        <f t="shared" si="3"/>
        <v>SP500</v>
      </c>
      <c r="D1825" s="2" t="str">
        <f t="shared" si="4"/>
        <v/>
      </c>
      <c r="E1825" s="2">
        <f t="shared" si="5"/>
        <v>1524.9</v>
      </c>
      <c r="G1825" s="10">
        <f t="shared" si="9"/>
        <v>39807.64583</v>
      </c>
      <c r="H1825" s="6" t="str">
        <f t="shared" si="6"/>
        <v/>
      </c>
      <c r="I1825" s="2">
        <f t="shared" si="7"/>
        <v>1426.89</v>
      </c>
      <c r="M1825" s="10">
        <f>IFERROR(__xludf.DUMMYFUNCTION("""COMPUTED_VALUE"""),40625.666666666664)</f>
        <v>40625.66667</v>
      </c>
      <c r="N1825" s="2">
        <f>IFERROR(__xludf.DUMMYFUNCTION("""COMPUTED_VALUE"""),2698.3)</f>
        <v>2698.3</v>
      </c>
    </row>
    <row r="1826">
      <c r="A1826" s="10">
        <f t="shared" si="8"/>
        <v>39808.66667</v>
      </c>
      <c r="B1826" s="2" t="str">
        <f t="shared" si="2"/>
        <v/>
      </c>
      <c r="C1826" s="2" t="str">
        <f t="shared" si="3"/>
        <v>SP500</v>
      </c>
      <c r="D1826" s="2">
        <f t="shared" si="4"/>
        <v>1530.24</v>
      </c>
      <c r="E1826" s="2">
        <f t="shared" si="5"/>
        <v>1530.24</v>
      </c>
      <c r="G1826" s="10">
        <f t="shared" si="9"/>
        <v>39808.64583</v>
      </c>
      <c r="H1826" s="6" t="str">
        <f t="shared" si="6"/>
        <v/>
      </c>
      <c r="I1826" s="2">
        <f t="shared" si="7"/>
        <v>1426.89</v>
      </c>
      <c r="M1826" s="10">
        <f>IFERROR(__xludf.DUMMYFUNCTION("""COMPUTED_VALUE"""),40626.666666666664)</f>
        <v>40626.66667</v>
      </c>
      <c r="N1826" s="2">
        <f>IFERROR(__xludf.DUMMYFUNCTION("""COMPUTED_VALUE"""),2736.42)</f>
        <v>2736.42</v>
      </c>
    </row>
    <row r="1827">
      <c r="A1827" s="10">
        <f t="shared" si="8"/>
        <v>39809.66667</v>
      </c>
      <c r="B1827" s="2" t="str">
        <f t="shared" si="2"/>
        <v/>
      </c>
      <c r="C1827" s="2" t="str">
        <f t="shared" si="3"/>
        <v>SP500</v>
      </c>
      <c r="D1827" s="2" t="str">
        <f t="shared" si="4"/>
        <v/>
      </c>
      <c r="E1827" s="2">
        <f t="shared" si="5"/>
        <v>1530.24</v>
      </c>
      <c r="G1827" s="10">
        <f t="shared" si="9"/>
        <v>39809.64583</v>
      </c>
      <c r="H1827" s="6" t="str">
        <f t="shared" si="6"/>
        <v/>
      </c>
      <c r="I1827" s="2">
        <f t="shared" si="7"/>
        <v>1426.89</v>
      </c>
      <c r="M1827" s="10">
        <f>IFERROR(__xludf.DUMMYFUNCTION("""COMPUTED_VALUE"""),40627.666666666664)</f>
        <v>40627.66667</v>
      </c>
      <c r="N1827" s="2">
        <f>IFERROR(__xludf.DUMMYFUNCTION("""COMPUTED_VALUE"""),2743.06)</f>
        <v>2743.06</v>
      </c>
    </row>
    <row r="1828">
      <c r="A1828" s="10">
        <f t="shared" si="8"/>
        <v>39810.66667</v>
      </c>
      <c r="B1828" s="2" t="str">
        <f t="shared" si="2"/>
        <v/>
      </c>
      <c r="C1828" s="2" t="str">
        <f t="shared" si="3"/>
        <v>SP500</v>
      </c>
      <c r="D1828" s="2" t="str">
        <f t="shared" si="4"/>
        <v/>
      </c>
      <c r="E1828" s="2">
        <f t="shared" si="5"/>
        <v>1530.24</v>
      </c>
      <c r="G1828" s="10">
        <f t="shared" si="9"/>
        <v>39810.64583</v>
      </c>
      <c r="H1828" s="6" t="str">
        <f t="shared" si="6"/>
        <v/>
      </c>
      <c r="I1828" s="2">
        <f t="shared" si="7"/>
        <v>1426.89</v>
      </c>
      <c r="M1828" s="10">
        <f>IFERROR(__xludf.DUMMYFUNCTION("""COMPUTED_VALUE"""),40630.666666666664)</f>
        <v>40630.66667</v>
      </c>
      <c r="N1828" s="2">
        <f>IFERROR(__xludf.DUMMYFUNCTION("""COMPUTED_VALUE"""),2730.68)</f>
        <v>2730.68</v>
      </c>
    </row>
    <row r="1829">
      <c r="A1829" s="10">
        <f t="shared" si="8"/>
        <v>39811.66667</v>
      </c>
      <c r="B1829" s="2" t="str">
        <f t="shared" si="2"/>
        <v/>
      </c>
      <c r="C1829" s="2" t="str">
        <f t="shared" si="3"/>
        <v>SP500</v>
      </c>
      <c r="D1829" s="2">
        <f t="shared" si="4"/>
        <v>1510.32</v>
      </c>
      <c r="E1829" s="2">
        <f t="shared" si="5"/>
        <v>1510.32</v>
      </c>
      <c r="G1829" s="10">
        <f t="shared" si="9"/>
        <v>39811.64583</v>
      </c>
      <c r="H1829" s="6" t="str">
        <f t="shared" si="6"/>
        <v/>
      </c>
      <c r="I1829" s="2">
        <f t="shared" si="7"/>
        <v>1426.89</v>
      </c>
      <c r="M1829" s="10">
        <f>IFERROR(__xludf.DUMMYFUNCTION("""COMPUTED_VALUE"""),40631.666666666664)</f>
        <v>40631.66667</v>
      </c>
      <c r="N1829" s="2">
        <f>IFERROR(__xludf.DUMMYFUNCTION("""COMPUTED_VALUE"""),2756.89)</f>
        <v>2756.89</v>
      </c>
    </row>
    <row r="1830">
      <c r="A1830" s="10">
        <f t="shared" si="8"/>
        <v>39812.66667</v>
      </c>
      <c r="B1830" s="2" t="str">
        <f t="shared" si="2"/>
        <v/>
      </c>
      <c r="C1830" s="2" t="str">
        <f t="shared" si="3"/>
        <v>SP500</v>
      </c>
      <c r="D1830" s="2">
        <f t="shared" si="4"/>
        <v>1550.7</v>
      </c>
      <c r="E1830" s="2">
        <f t="shared" si="5"/>
        <v>1550.7</v>
      </c>
      <c r="G1830" s="10">
        <f t="shared" si="9"/>
        <v>39812.64583</v>
      </c>
      <c r="H1830" s="6" t="str">
        <f t="shared" si="6"/>
        <v/>
      </c>
      <c r="I1830" s="2">
        <f t="shared" si="7"/>
        <v>1426.89</v>
      </c>
      <c r="M1830" s="10">
        <f>IFERROR(__xludf.DUMMYFUNCTION("""COMPUTED_VALUE"""),40632.666666666664)</f>
        <v>40632.66667</v>
      </c>
      <c r="N1830" s="2">
        <f>IFERROR(__xludf.DUMMYFUNCTION("""COMPUTED_VALUE"""),2776.79)</f>
        <v>2776.79</v>
      </c>
    </row>
    <row r="1831">
      <c r="A1831" s="10">
        <f t="shared" si="8"/>
        <v>39813.66667</v>
      </c>
      <c r="B1831" s="2" t="str">
        <f t="shared" si="2"/>
        <v/>
      </c>
      <c r="C1831" s="2" t="str">
        <f t="shared" si="3"/>
        <v>SP500</v>
      </c>
      <c r="D1831" s="2">
        <f t="shared" si="4"/>
        <v>1577.03</v>
      </c>
      <c r="E1831" s="2">
        <f t="shared" si="5"/>
        <v>1577.03</v>
      </c>
      <c r="G1831" s="10">
        <f t="shared" si="9"/>
        <v>39813.64583</v>
      </c>
      <c r="H1831" s="6" t="str">
        <f t="shared" si="6"/>
        <v/>
      </c>
      <c r="I1831" s="2">
        <f t="shared" si="7"/>
        <v>1426.89</v>
      </c>
      <c r="M1831" s="10">
        <f>IFERROR(__xludf.DUMMYFUNCTION("""COMPUTED_VALUE"""),40633.666666666664)</f>
        <v>40633.66667</v>
      </c>
      <c r="N1831" s="2">
        <f>IFERROR(__xludf.DUMMYFUNCTION("""COMPUTED_VALUE"""),2781.07)</f>
        <v>2781.07</v>
      </c>
    </row>
    <row r="1832">
      <c r="A1832" s="10">
        <f t="shared" si="8"/>
        <v>39814.66667</v>
      </c>
      <c r="B1832" s="2" t="str">
        <f t="shared" si="2"/>
        <v/>
      </c>
      <c r="C1832" s="2" t="str">
        <f t="shared" si="3"/>
        <v>SP500</v>
      </c>
      <c r="D1832" s="2" t="str">
        <f t="shared" si="4"/>
        <v/>
      </c>
      <c r="E1832" s="2">
        <f t="shared" si="5"/>
        <v>1577.03</v>
      </c>
      <c r="G1832" s="10">
        <f t="shared" si="9"/>
        <v>39814.64583</v>
      </c>
      <c r="H1832" s="6" t="str">
        <f t="shared" si="6"/>
        <v/>
      </c>
      <c r="I1832" s="2">
        <f t="shared" si="7"/>
        <v>1426.89</v>
      </c>
      <c r="M1832" s="10">
        <f>IFERROR(__xludf.DUMMYFUNCTION("""COMPUTED_VALUE"""),40634.666666666664)</f>
        <v>40634.66667</v>
      </c>
      <c r="N1832" s="2">
        <f>IFERROR(__xludf.DUMMYFUNCTION("""COMPUTED_VALUE"""),2789.6)</f>
        <v>2789.6</v>
      </c>
    </row>
    <row r="1833">
      <c r="A1833" s="10">
        <f t="shared" si="8"/>
        <v>39815.66667</v>
      </c>
      <c r="B1833" s="2" t="str">
        <f t="shared" si="2"/>
        <v/>
      </c>
      <c r="C1833" s="2" t="str">
        <f t="shared" si="3"/>
        <v>SP500</v>
      </c>
      <c r="D1833" s="2">
        <f t="shared" si="4"/>
        <v>1632.21</v>
      </c>
      <c r="E1833" s="2">
        <f t="shared" si="5"/>
        <v>1632.21</v>
      </c>
      <c r="G1833" s="10">
        <f t="shared" si="9"/>
        <v>39815.64583</v>
      </c>
      <c r="H1833" s="6" t="str">
        <f t="shared" si="6"/>
        <v/>
      </c>
      <c r="I1833" s="2">
        <f t="shared" si="7"/>
        <v>1426.89</v>
      </c>
      <c r="M1833" s="10">
        <f>IFERROR(__xludf.DUMMYFUNCTION("""COMPUTED_VALUE"""),40637.666666666664)</f>
        <v>40637.66667</v>
      </c>
      <c r="N1833" s="2">
        <f>IFERROR(__xludf.DUMMYFUNCTION("""COMPUTED_VALUE"""),2789.19)</f>
        <v>2789.19</v>
      </c>
    </row>
    <row r="1834">
      <c r="A1834" s="10">
        <f t="shared" si="8"/>
        <v>39816.66667</v>
      </c>
      <c r="B1834" s="2" t="str">
        <f t="shared" si="2"/>
        <v/>
      </c>
      <c r="C1834" s="2" t="str">
        <f t="shared" si="3"/>
        <v>SP500</v>
      </c>
      <c r="D1834" s="2" t="str">
        <f t="shared" si="4"/>
        <v/>
      </c>
      <c r="E1834" s="2">
        <f t="shared" si="5"/>
        <v>1632.21</v>
      </c>
      <c r="G1834" s="10">
        <f t="shared" si="9"/>
        <v>39816.64583</v>
      </c>
      <c r="H1834" s="6" t="str">
        <f t="shared" si="6"/>
        <v/>
      </c>
      <c r="I1834" s="2">
        <f t="shared" si="7"/>
        <v>1426.89</v>
      </c>
      <c r="M1834" s="10">
        <f>IFERROR(__xludf.DUMMYFUNCTION("""COMPUTED_VALUE"""),40638.666666666664)</f>
        <v>40638.66667</v>
      </c>
      <c r="N1834" s="2">
        <f>IFERROR(__xludf.DUMMYFUNCTION("""COMPUTED_VALUE"""),2791.19)</f>
        <v>2791.19</v>
      </c>
    </row>
    <row r="1835">
      <c r="A1835" s="10">
        <f t="shared" si="8"/>
        <v>39817.66667</v>
      </c>
      <c r="B1835" s="2" t="str">
        <f t="shared" si="2"/>
        <v/>
      </c>
      <c r="C1835" s="2" t="str">
        <f t="shared" si="3"/>
        <v>SP500</v>
      </c>
      <c r="D1835" s="2" t="str">
        <f t="shared" si="4"/>
        <v/>
      </c>
      <c r="E1835" s="2">
        <f t="shared" si="5"/>
        <v>1632.21</v>
      </c>
      <c r="G1835" s="10">
        <f t="shared" si="9"/>
        <v>39817.64583</v>
      </c>
      <c r="H1835" s="6" t="str">
        <f t="shared" si="6"/>
        <v/>
      </c>
      <c r="I1835" s="2">
        <f t="shared" si="7"/>
        <v>1426.89</v>
      </c>
      <c r="M1835" s="10">
        <f>IFERROR(__xludf.DUMMYFUNCTION("""COMPUTED_VALUE"""),40639.666666666664)</f>
        <v>40639.66667</v>
      </c>
      <c r="N1835" s="2">
        <f>IFERROR(__xludf.DUMMYFUNCTION("""COMPUTED_VALUE"""),2799.82)</f>
        <v>2799.82</v>
      </c>
    </row>
    <row r="1836">
      <c r="A1836" s="10">
        <f t="shared" si="8"/>
        <v>39818.66667</v>
      </c>
      <c r="B1836" s="2" t="str">
        <f t="shared" si="2"/>
        <v/>
      </c>
      <c r="C1836" s="2" t="str">
        <f t="shared" si="3"/>
        <v>SP500</v>
      </c>
      <c r="D1836" s="2">
        <f t="shared" si="4"/>
        <v>1628.03</v>
      </c>
      <c r="E1836" s="2">
        <f t="shared" si="5"/>
        <v>1628.03</v>
      </c>
      <c r="G1836" s="10">
        <f t="shared" si="9"/>
        <v>39818.64583</v>
      </c>
      <c r="H1836" s="6" t="str">
        <f t="shared" si="6"/>
        <v/>
      </c>
      <c r="I1836" s="2">
        <f t="shared" si="7"/>
        <v>1426.89</v>
      </c>
      <c r="M1836" s="10">
        <f>IFERROR(__xludf.DUMMYFUNCTION("""COMPUTED_VALUE"""),40640.666666666664)</f>
        <v>40640.66667</v>
      </c>
      <c r="N1836" s="2">
        <f>IFERROR(__xludf.DUMMYFUNCTION("""COMPUTED_VALUE"""),2796.14)</f>
        <v>2796.14</v>
      </c>
    </row>
    <row r="1837">
      <c r="A1837" s="10">
        <f t="shared" si="8"/>
        <v>39819.66667</v>
      </c>
      <c r="B1837" s="2" t="str">
        <f t="shared" si="2"/>
        <v/>
      </c>
      <c r="C1837" s="2" t="str">
        <f t="shared" si="3"/>
        <v>SP500</v>
      </c>
      <c r="D1837" s="2">
        <f t="shared" si="4"/>
        <v>1652.38</v>
      </c>
      <c r="E1837" s="2">
        <f t="shared" si="5"/>
        <v>1652.38</v>
      </c>
      <c r="G1837" s="10">
        <f t="shared" si="9"/>
        <v>39819.64583</v>
      </c>
      <c r="H1837" s="6" t="str">
        <f t="shared" si="6"/>
        <v/>
      </c>
      <c r="I1837" s="2">
        <f t="shared" si="7"/>
        <v>1426.89</v>
      </c>
      <c r="M1837" s="10">
        <f>IFERROR(__xludf.DUMMYFUNCTION("""COMPUTED_VALUE"""),40641.666666666664)</f>
        <v>40641.66667</v>
      </c>
      <c r="N1837" s="2">
        <f>IFERROR(__xludf.DUMMYFUNCTION("""COMPUTED_VALUE"""),2780.41)</f>
        <v>2780.41</v>
      </c>
    </row>
    <row r="1838">
      <c r="A1838" s="10">
        <f t="shared" si="8"/>
        <v>39820.66667</v>
      </c>
      <c r="B1838" s="2" t="str">
        <f t="shared" si="2"/>
        <v/>
      </c>
      <c r="C1838" s="2" t="str">
        <f t="shared" si="3"/>
        <v>SP500</v>
      </c>
      <c r="D1838" s="2">
        <f t="shared" si="4"/>
        <v>1599.06</v>
      </c>
      <c r="E1838" s="2">
        <f t="shared" si="5"/>
        <v>1599.06</v>
      </c>
      <c r="G1838" s="10">
        <f t="shared" si="9"/>
        <v>39820.64583</v>
      </c>
      <c r="H1838" s="6" t="str">
        <f t="shared" si="6"/>
        <v/>
      </c>
      <c r="I1838" s="2">
        <f t="shared" si="7"/>
        <v>1426.89</v>
      </c>
      <c r="M1838" s="10">
        <f>IFERROR(__xludf.DUMMYFUNCTION("""COMPUTED_VALUE"""),40644.666666666664)</f>
        <v>40644.66667</v>
      </c>
      <c r="N1838" s="2">
        <f>IFERROR(__xludf.DUMMYFUNCTION("""COMPUTED_VALUE"""),2771.51)</f>
        <v>2771.51</v>
      </c>
    </row>
    <row r="1839">
      <c r="A1839" s="10">
        <f t="shared" si="8"/>
        <v>39821.66667</v>
      </c>
      <c r="B1839" s="2" t="str">
        <f t="shared" si="2"/>
        <v/>
      </c>
      <c r="C1839" s="2" t="str">
        <f t="shared" si="3"/>
        <v>SP500</v>
      </c>
      <c r="D1839" s="2">
        <f t="shared" si="4"/>
        <v>1617.01</v>
      </c>
      <c r="E1839" s="2">
        <f t="shared" si="5"/>
        <v>1617.01</v>
      </c>
      <c r="G1839" s="10">
        <f t="shared" si="9"/>
        <v>39821.64583</v>
      </c>
      <c r="H1839" s="6" t="str">
        <f t="shared" si="6"/>
        <v/>
      </c>
      <c r="I1839" s="2">
        <f t="shared" si="7"/>
        <v>1426.89</v>
      </c>
      <c r="M1839" s="10">
        <f>IFERROR(__xludf.DUMMYFUNCTION("""COMPUTED_VALUE"""),40645.666666666664)</f>
        <v>40645.66667</v>
      </c>
      <c r="N1839" s="2">
        <f>IFERROR(__xludf.DUMMYFUNCTION("""COMPUTED_VALUE"""),2744.79)</f>
        <v>2744.79</v>
      </c>
    </row>
    <row r="1840">
      <c r="A1840" s="10">
        <f t="shared" si="8"/>
        <v>39822.66667</v>
      </c>
      <c r="B1840" s="2" t="str">
        <f t="shared" si="2"/>
        <v/>
      </c>
      <c r="C1840" s="2" t="str">
        <f t="shared" si="3"/>
        <v>SP500</v>
      </c>
      <c r="D1840" s="2">
        <f t="shared" si="4"/>
        <v>1571.59</v>
      </c>
      <c r="E1840" s="2">
        <f t="shared" si="5"/>
        <v>1571.59</v>
      </c>
      <c r="G1840" s="10">
        <f t="shared" si="9"/>
        <v>39822.64583</v>
      </c>
      <c r="H1840" s="6" t="str">
        <f t="shared" si="6"/>
        <v/>
      </c>
      <c r="I1840" s="2">
        <f t="shared" si="7"/>
        <v>1426.89</v>
      </c>
      <c r="M1840" s="10">
        <f>IFERROR(__xludf.DUMMYFUNCTION("""COMPUTED_VALUE"""),40646.666666666664)</f>
        <v>40646.66667</v>
      </c>
      <c r="N1840" s="2">
        <f>IFERROR(__xludf.DUMMYFUNCTION("""COMPUTED_VALUE"""),2761.52)</f>
        <v>2761.52</v>
      </c>
    </row>
    <row r="1841">
      <c r="A1841" s="10">
        <f t="shared" si="8"/>
        <v>39823.66667</v>
      </c>
      <c r="B1841" s="2" t="str">
        <f t="shared" si="2"/>
        <v/>
      </c>
      <c r="C1841" s="2" t="str">
        <f t="shared" si="3"/>
        <v>SP500</v>
      </c>
      <c r="D1841" s="2" t="str">
        <f t="shared" si="4"/>
        <v/>
      </c>
      <c r="E1841" s="2">
        <f t="shared" si="5"/>
        <v>1571.59</v>
      </c>
      <c r="G1841" s="10">
        <f t="shared" si="9"/>
        <v>39823.64583</v>
      </c>
      <c r="H1841" s="6" t="str">
        <f t="shared" si="6"/>
        <v/>
      </c>
      <c r="I1841" s="2">
        <f t="shared" si="7"/>
        <v>1426.89</v>
      </c>
      <c r="M1841" s="10">
        <f>IFERROR(__xludf.DUMMYFUNCTION("""COMPUTED_VALUE"""),40647.666666666664)</f>
        <v>40647.66667</v>
      </c>
      <c r="N1841" s="2">
        <f>IFERROR(__xludf.DUMMYFUNCTION("""COMPUTED_VALUE"""),2760.22)</f>
        <v>2760.22</v>
      </c>
    </row>
    <row r="1842">
      <c r="A1842" s="10">
        <f t="shared" si="8"/>
        <v>39824.66667</v>
      </c>
      <c r="B1842" s="2" t="str">
        <f t="shared" si="2"/>
        <v/>
      </c>
      <c r="C1842" s="2" t="str">
        <f t="shared" si="3"/>
        <v>SP500</v>
      </c>
      <c r="D1842" s="2" t="str">
        <f t="shared" si="4"/>
        <v/>
      </c>
      <c r="E1842" s="2">
        <f t="shared" si="5"/>
        <v>1571.59</v>
      </c>
      <c r="G1842" s="10">
        <f t="shared" si="9"/>
        <v>39824.64583</v>
      </c>
      <c r="H1842" s="6" t="str">
        <f t="shared" si="6"/>
        <v/>
      </c>
      <c r="I1842" s="2">
        <f t="shared" si="7"/>
        <v>1426.89</v>
      </c>
      <c r="M1842" s="10">
        <f>IFERROR(__xludf.DUMMYFUNCTION("""COMPUTED_VALUE"""),40648.666666666664)</f>
        <v>40648.66667</v>
      </c>
      <c r="N1842" s="2">
        <f>IFERROR(__xludf.DUMMYFUNCTION("""COMPUTED_VALUE"""),2764.65)</f>
        <v>2764.65</v>
      </c>
    </row>
    <row r="1843">
      <c r="A1843" s="10">
        <f t="shared" si="8"/>
        <v>39825.66667</v>
      </c>
      <c r="B1843" s="2" t="str">
        <f t="shared" si="2"/>
        <v/>
      </c>
      <c r="C1843" s="2" t="str">
        <f t="shared" si="3"/>
        <v>SP500</v>
      </c>
      <c r="D1843" s="2">
        <f t="shared" si="4"/>
        <v>1538.79</v>
      </c>
      <c r="E1843" s="2">
        <f t="shared" si="5"/>
        <v>1538.79</v>
      </c>
      <c r="G1843" s="10">
        <f t="shared" si="9"/>
        <v>39825.64583</v>
      </c>
      <c r="H1843" s="6" t="str">
        <f t="shared" si="6"/>
        <v/>
      </c>
      <c r="I1843" s="2">
        <f t="shared" si="7"/>
        <v>1426.89</v>
      </c>
      <c r="M1843" s="10">
        <f>IFERROR(__xludf.DUMMYFUNCTION("""COMPUTED_VALUE"""),40651.666666666664)</f>
        <v>40651.66667</v>
      </c>
      <c r="N1843" s="2">
        <f>IFERROR(__xludf.DUMMYFUNCTION("""COMPUTED_VALUE"""),2735.38)</f>
        <v>2735.38</v>
      </c>
    </row>
    <row r="1844">
      <c r="A1844" s="10">
        <f t="shared" si="8"/>
        <v>39826.66667</v>
      </c>
      <c r="B1844" s="2" t="str">
        <f t="shared" si="2"/>
        <v/>
      </c>
      <c r="C1844" s="2" t="str">
        <f t="shared" si="3"/>
        <v>SP500</v>
      </c>
      <c r="D1844" s="2">
        <f t="shared" si="4"/>
        <v>1546.46</v>
      </c>
      <c r="E1844" s="2">
        <f t="shared" si="5"/>
        <v>1546.46</v>
      </c>
      <c r="G1844" s="10">
        <f t="shared" si="9"/>
        <v>39826.64583</v>
      </c>
      <c r="H1844" s="6" t="str">
        <f t="shared" si="6"/>
        <v/>
      </c>
      <c r="I1844" s="2">
        <f t="shared" si="7"/>
        <v>1426.89</v>
      </c>
      <c r="M1844" s="10">
        <f>IFERROR(__xludf.DUMMYFUNCTION("""COMPUTED_VALUE"""),40652.666666666664)</f>
        <v>40652.66667</v>
      </c>
      <c r="N1844" s="2">
        <f>IFERROR(__xludf.DUMMYFUNCTION("""COMPUTED_VALUE"""),2744.97)</f>
        <v>2744.97</v>
      </c>
    </row>
    <row r="1845">
      <c r="A1845" s="10">
        <f t="shared" si="8"/>
        <v>39827.66667</v>
      </c>
      <c r="B1845" s="2" t="str">
        <f t="shared" si="2"/>
        <v/>
      </c>
      <c r="C1845" s="2" t="str">
        <f t="shared" si="3"/>
        <v>SP500</v>
      </c>
      <c r="D1845" s="2">
        <f t="shared" si="4"/>
        <v>1489.64</v>
      </c>
      <c r="E1845" s="2">
        <f t="shared" si="5"/>
        <v>1489.64</v>
      </c>
      <c r="G1845" s="10">
        <f t="shared" si="9"/>
        <v>39827.64583</v>
      </c>
      <c r="H1845" s="6" t="str">
        <f t="shared" si="6"/>
        <v/>
      </c>
      <c r="I1845" s="2">
        <f t="shared" si="7"/>
        <v>1426.89</v>
      </c>
      <c r="M1845" s="10">
        <f>IFERROR(__xludf.DUMMYFUNCTION("""COMPUTED_VALUE"""),40653.666666666664)</f>
        <v>40653.66667</v>
      </c>
      <c r="N1845" s="2">
        <f>IFERROR(__xludf.DUMMYFUNCTION("""COMPUTED_VALUE"""),2802.51)</f>
        <v>2802.51</v>
      </c>
    </row>
    <row r="1846">
      <c r="A1846" s="10">
        <f t="shared" si="8"/>
        <v>39828.66667</v>
      </c>
      <c r="B1846" s="2" t="str">
        <f t="shared" si="2"/>
        <v/>
      </c>
      <c r="C1846" s="2" t="str">
        <f t="shared" si="3"/>
        <v>SP500</v>
      </c>
      <c r="D1846" s="2">
        <f t="shared" si="4"/>
        <v>1511.84</v>
      </c>
      <c r="E1846" s="2">
        <f t="shared" si="5"/>
        <v>1511.84</v>
      </c>
      <c r="G1846" s="10">
        <f t="shared" si="9"/>
        <v>39828.64583</v>
      </c>
      <c r="H1846" s="6" t="str">
        <f t="shared" si="6"/>
        <v/>
      </c>
      <c r="I1846" s="2">
        <f t="shared" si="7"/>
        <v>1426.89</v>
      </c>
      <c r="M1846" s="10">
        <f>IFERROR(__xludf.DUMMYFUNCTION("""COMPUTED_VALUE"""),40654.666666666664)</f>
        <v>40654.66667</v>
      </c>
      <c r="N1846" s="2">
        <f>IFERROR(__xludf.DUMMYFUNCTION("""COMPUTED_VALUE"""),2820.16)</f>
        <v>2820.16</v>
      </c>
    </row>
    <row r="1847">
      <c r="A1847" s="10">
        <f t="shared" si="8"/>
        <v>39829.66667</v>
      </c>
      <c r="B1847" s="2" t="str">
        <f t="shared" si="2"/>
        <v/>
      </c>
      <c r="C1847" s="2" t="str">
        <f t="shared" si="3"/>
        <v>SP500</v>
      </c>
      <c r="D1847" s="2">
        <f t="shared" si="4"/>
        <v>1529.33</v>
      </c>
      <c r="E1847" s="2">
        <f t="shared" si="5"/>
        <v>1529.33</v>
      </c>
      <c r="G1847" s="10">
        <f t="shared" si="9"/>
        <v>39829.64583</v>
      </c>
      <c r="H1847" s="6" t="str">
        <f t="shared" si="6"/>
        <v/>
      </c>
      <c r="I1847" s="2">
        <f t="shared" si="7"/>
        <v>1426.89</v>
      </c>
      <c r="M1847" s="10">
        <f>IFERROR(__xludf.DUMMYFUNCTION("""COMPUTED_VALUE"""),40658.666666666664)</f>
        <v>40658.66667</v>
      </c>
      <c r="N1847" s="2">
        <f>IFERROR(__xludf.DUMMYFUNCTION("""COMPUTED_VALUE"""),2825.88)</f>
        <v>2825.88</v>
      </c>
    </row>
    <row r="1848">
      <c r="A1848" s="10">
        <f t="shared" si="8"/>
        <v>39830.66667</v>
      </c>
      <c r="B1848" s="2" t="str">
        <f t="shared" si="2"/>
        <v/>
      </c>
      <c r="C1848" s="2" t="str">
        <f t="shared" si="3"/>
        <v>SP500</v>
      </c>
      <c r="D1848" s="2" t="str">
        <f t="shared" si="4"/>
        <v/>
      </c>
      <c r="E1848" s="2">
        <f t="shared" si="5"/>
        <v>1529.33</v>
      </c>
      <c r="G1848" s="10">
        <f t="shared" si="9"/>
        <v>39830.64583</v>
      </c>
      <c r="H1848" s="6" t="str">
        <f t="shared" si="6"/>
        <v/>
      </c>
      <c r="I1848" s="2">
        <f t="shared" si="7"/>
        <v>1426.89</v>
      </c>
      <c r="M1848" s="10">
        <f>IFERROR(__xludf.DUMMYFUNCTION("""COMPUTED_VALUE"""),40659.666666666664)</f>
        <v>40659.66667</v>
      </c>
      <c r="N1848" s="2">
        <f>IFERROR(__xludf.DUMMYFUNCTION("""COMPUTED_VALUE"""),2847.54)</f>
        <v>2847.54</v>
      </c>
    </row>
    <row r="1849">
      <c r="A1849" s="10">
        <f t="shared" si="8"/>
        <v>39831.66667</v>
      </c>
      <c r="B1849" s="2" t="str">
        <f t="shared" si="2"/>
        <v/>
      </c>
      <c r="C1849" s="2" t="str">
        <f t="shared" si="3"/>
        <v>SP500</v>
      </c>
      <c r="D1849" s="2" t="str">
        <f t="shared" si="4"/>
        <v/>
      </c>
      <c r="E1849" s="2">
        <f t="shared" si="5"/>
        <v>1529.33</v>
      </c>
      <c r="G1849" s="10">
        <f t="shared" si="9"/>
        <v>39831.64583</v>
      </c>
      <c r="H1849" s="6" t="str">
        <f t="shared" si="6"/>
        <v/>
      </c>
      <c r="I1849" s="2">
        <f t="shared" si="7"/>
        <v>1426.89</v>
      </c>
      <c r="M1849" s="10">
        <f>IFERROR(__xludf.DUMMYFUNCTION("""COMPUTED_VALUE"""),40660.666666666664)</f>
        <v>40660.66667</v>
      </c>
      <c r="N1849" s="2">
        <f>IFERROR(__xludf.DUMMYFUNCTION("""COMPUTED_VALUE"""),2869.88)</f>
        <v>2869.88</v>
      </c>
    </row>
    <row r="1850">
      <c r="A1850" s="10">
        <f t="shared" si="8"/>
        <v>39832.66667</v>
      </c>
      <c r="B1850" s="2" t="str">
        <f t="shared" si="2"/>
        <v/>
      </c>
      <c r="C1850" s="2" t="str">
        <f t="shared" si="3"/>
        <v>SP500</v>
      </c>
      <c r="D1850" s="2" t="str">
        <f t="shared" si="4"/>
        <v/>
      </c>
      <c r="E1850" s="2">
        <f t="shared" si="5"/>
        <v>1529.33</v>
      </c>
      <c r="G1850" s="10">
        <f t="shared" si="9"/>
        <v>39832.64583</v>
      </c>
      <c r="H1850" s="6" t="str">
        <f t="shared" si="6"/>
        <v/>
      </c>
      <c r="I1850" s="2">
        <f t="shared" si="7"/>
        <v>1426.89</v>
      </c>
      <c r="M1850" s="10">
        <f>IFERROR(__xludf.DUMMYFUNCTION("""COMPUTED_VALUE"""),40661.666666666664)</f>
        <v>40661.66667</v>
      </c>
      <c r="N1850" s="2">
        <f>IFERROR(__xludf.DUMMYFUNCTION("""COMPUTED_VALUE"""),2872.53)</f>
        <v>2872.53</v>
      </c>
    </row>
    <row r="1851">
      <c r="A1851" s="10">
        <f t="shared" si="8"/>
        <v>39833.66667</v>
      </c>
      <c r="B1851" s="2" t="str">
        <f t="shared" si="2"/>
        <v/>
      </c>
      <c r="C1851" s="2" t="str">
        <f t="shared" si="3"/>
        <v>SP500</v>
      </c>
      <c r="D1851" s="2">
        <f t="shared" si="4"/>
        <v>1440.86</v>
      </c>
      <c r="E1851" s="2">
        <f t="shared" si="5"/>
        <v>1440.86</v>
      </c>
      <c r="G1851" s="10">
        <f t="shared" si="9"/>
        <v>39833.64583</v>
      </c>
      <c r="H1851" s="6" t="str">
        <f t="shared" si="6"/>
        <v/>
      </c>
      <c r="I1851" s="2">
        <f t="shared" si="7"/>
        <v>1426.89</v>
      </c>
      <c r="M1851" s="10">
        <f>IFERROR(__xludf.DUMMYFUNCTION("""COMPUTED_VALUE"""),40662.666666666664)</f>
        <v>40662.66667</v>
      </c>
      <c r="N1851" s="2">
        <f>IFERROR(__xludf.DUMMYFUNCTION("""COMPUTED_VALUE"""),2873.54)</f>
        <v>2873.54</v>
      </c>
    </row>
    <row r="1852">
      <c r="A1852" s="10">
        <f t="shared" si="8"/>
        <v>39834.66667</v>
      </c>
      <c r="B1852" s="2" t="str">
        <f t="shared" si="2"/>
        <v/>
      </c>
      <c r="C1852" s="2" t="str">
        <f t="shared" si="3"/>
        <v>SP500</v>
      </c>
      <c r="D1852" s="2">
        <f t="shared" si="4"/>
        <v>1507.07</v>
      </c>
      <c r="E1852" s="2">
        <f t="shared" si="5"/>
        <v>1507.07</v>
      </c>
      <c r="G1852" s="10">
        <f t="shared" si="9"/>
        <v>39834.64583</v>
      </c>
      <c r="H1852" s="6" t="str">
        <f t="shared" si="6"/>
        <v/>
      </c>
      <c r="I1852" s="2">
        <f t="shared" si="7"/>
        <v>1426.89</v>
      </c>
      <c r="M1852" s="10">
        <f>IFERROR(__xludf.DUMMYFUNCTION("""COMPUTED_VALUE"""),40665.666666666664)</f>
        <v>40665.66667</v>
      </c>
      <c r="N1852" s="2">
        <f>IFERROR(__xludf.DUMMYFUNCTION("""COMPUTED_VALUE"""),2864.08)</f>
        <v>2864.08</v>
      </c>
    </row>
    <row r="1853">
      <c r="A1853" s="10">
        <f t="shared" si="8"/>
        <v>39835.66667</v>
      </c>
      <c r="B1853" s="2" t="str">
        <f t="shared" si="2"/>
        <v/>
      </c>
      <c r="C1853" s="2" t="str">
        <f t="shared" si="3"/>
        <v>SP500</v>
      </c>
      <c r="D1853" s="2">
        <f t="shared" si="4"/>
        <v>1465.49</v>
      </c>
      <c r="E1853" s="2">
        <f t="shared" si="5"/>
        <v>1465.49</v>
      </c>
      <c r="G1853" s="10">
        <f t="shared" si="9"/>
        <v>39835.64583</v>
      </c>
      <c r="H1853" s="6" t="str">
        <f t="shared" si="6"/>
        <v/>
      </c>
      <c r="I1853" s="2">
        <f t="shared" si="7"/>
        <v>1426.89</v>
      </c>
      <c r="M1853" s="10">
        <f>IFERROR(__xludf.DUMMYFUNCTION("""COMPUTED_VALUE"""),40666.666666666664)</f>
        <v>40666.66667</v>
      </c>
      <c r="N1853" s="2">
        <f>IFERROR(__xludf.DUMMYFUNCTION("""COMPUTED_VALUE"""),2841.62)</f>
        <v>2841.62</v>
      </c>
    </row>
    <row r="1854">
      <c r="A1854" s="10">
        <f t="shared" si="8"/>
        <v>39836.66667</v>
      </c>
      <c r="B1854" s="2" t="str">
        <f t="shared" si="2"/>
        <v/>
      </c>
      <c r="C1854" s="2" t="str">
        <f t="shared" si="3"/>
        <v>SP500</v>
      </c>
      <c r="D1854" s="2">
        <f t="shared" si="4"/>
        <v>1477.29</v>
      </c>
      <c r="E1854" s="2">
        <f t="shared" si="5"/>
        <v>1477.29</v>
      </c>
      <c r="G1854" s="10">
        <f t="shared" si="9"/>
        <v>39836.64583</v>
      </c>
      <c r="H1854" s="6" t="str">
        <f t="shared" si="6"/>
        <v/>
      </c>
      <c r="I1854" s="2">
        <f t="shared" si="7"/>
        <v>1426.89</v>
      </c>
      <c r="M1854" s="10">
        <f>IFERROR(__xludf.DUMMYFUNCTION("""COMPUTED_VALUE"""),40667.666666666664)</f>
        <v>40667.66667</v>
      </c>
      <c r="N1854" s="2">
        <f>IFERROR(__xludf.DUMMYFUNCTION("""COMPUTED_VALUE"""),2828.23)</f>
        <v>2828.23</v>
      </c>
    </row>
    <row r="1855">
      <c r="A1855" s="10">
        <f t="shared" si="8"/>
        <v>39837.66667</v>
      </c>
      <c r="B1855" s="2" t="str">
        <f t="shared" si="2"/>
        <v/>
      </c>
      <c r="C1855" s="2" t="str">
        <f t="shared" si="3"/>
        <v>SP500</v>
      </c>
      <c r="D1855" s="2" t="str">
        <f t="shared" si="4"/>
        <v/>
      </c>
      <c r="E1855" s="2">
        <f t="shared" si="5"/>
        <v>1477.29</v>
      </c>
      <c r="G1855" s="10">
        <f t="shared" si="9"/>
        <v>39837.64583</v>
      </c>
      <c r="H1855" s="6" t="str">
        <f t="shared" si="6"/>
        <v/>
      </c>
      <c r="I1855" s="2">
        <f t="shared" si="7"/>
        <v>1426.89</v>
      </c>
      <c r="M1855" s="10">
        <f>IFERROR(__xludf.DUMMYFUNCTION("""COMPUTED_VALUE"""),40668.666666666664)</f>
        <v>40668.66667</v>
      </c>
      <c r="N1855" s="2">
        <f>IFERROR(__xludf.DUMMYFUNCTION("""COMPUTED_VALUE"""),2814.72)</f>
        <v>2814.72</v>
      </c>
    </row>
    <row r="1856">
      <c r="A1856" s="10">
        <f t="shared" si="8"/>
        <v>39838.66667</v>
      </c>
      <c r="B1856" s="2" t="str">
        <f t="shared" si="2"/>
        <v/>
      </c>
      <c r="C1856" s="2" t="str">
        <f t="shared" si="3"/>
        <v>SP500</v>
      </c>
      <c r="D1856" s="2" t="str">
        <f t="shared" si="4"/>
        <v/>
      </c>
      <c r="E1856" s="2">
        <f t="shared" si="5"/>
        <v>1477.29</v>
      </c>
      <c r="G1856" s="10">
        <f t="shared" si="9"/>
        <v>39838.64583</v>
      </c>
      <c r="H1856" s="6" t="str">
        <f t="shared" si="6"/>
        <v/>
      </c>
      <c r="I1856" s="2">
        <f t="shared" si="7"/>
        <v>1426.89</v>
      </c>
      <c r="M1856" s="10">
        <f>IFERROR(__xludf.DUMMYFUNCTION("""COMPUTED_VALUE"""),40669.666666666664)</f>
        <v>40669.66667</v>
      </c>
      <c r="N1856" s="2">
        <f>IFERROR(__xludf.DUMMYFUNCTION("""COMPUTED_VALUE"""),2827.56)</f>
        <v>2827.56</v>
      </c>
    </row>
    <row r="1857">
      <c r="A1857" s="10">
        <f t="shared" si="8"/>
        <v>39839.66667</v>
      </c>
      <c r="B1857" s="2" t="str">
        <f t="shared" si="2"/>
        <v/>
      </c>
      <c r="C1857" s="2" t="str">
        <f t="shared" si="3"/>
        <v>SP500</v>
      </c>
      <c r="D1857" s="2">
        <f t="shared" si="4"/>
        <v>1489.46</v>
      </c>
      <c r="E1857" s="2">
        <f t="shared" si="5"/>
        <v>1489.46</v>
      </c>
      <c r="G1857" s="10">
        <f t="shared" si="9"/>
        <v>39839.64583</v>
      </c>
      <c r="H1857" s="6" t="str">
        <f t="shared" si="6"/>
        <v/>
      </c>
      <c r="I1857" s="2">
        <f t="shared" si="7"/>
        <v>1426.89</v>
      </c>
      <c r="M1857" s="10">
        <f>IFERROR(__xludf.DUMMYFUNCTION("""COMPUTED_VALUE"""),40672.666666666664)</f>
        <v>40672.66667</v>
      </c>
      <c r="N1857" s="2">
        <f>IFERROR(__xludf.DUMMYFUNCTION("""COMPUTED_VALUE"""),2843.25)</f>
        <v>2843.25</v>
      </c>
    </row>
    <row r="1858">
      <c r="A1858" s="10">
        <f t="shared" si="8"/>
        <v>39840.66667</v>
      </c>
      <c r="B1858" s="2" t="str">
        <f t="shared" si="2"/>
        <v/>
      </c>
      <c r="C1858" s="2" t="str">
        <f t="shared" si="3"/>
        <v>SP500</v>
      </c>
      <c r="D1858" s="2">
        <f t="shared" si="4"/>
        <v>1504.9</v>
      </c>
      <c r="E1858" s="2">
        <f t="shared" si="5"/>
        <v>1504.9</v>
      </c>
      <c r="G1858" s="10">
        <f t="shared" si="9"/>
        <v>39840.64583</v>
      </c>
      <c r="H1858" s="6" t="str">
        <f t="shared" si="6"/>
        <v/>
      </c>
      <c r="I1858" s="2">
        <f t="shared" si="7"/>
        <v>1426.89</v>
      </c>
      <c r="M1858" s="10">
        <f>IFERROR(__xludf.DUMMYFUNCTION("""COMPUTED_VALUE"""),40673.666666666664)</f>
        <v>40673.66667</v>
      </c>
      <c r="N1858" s="2">
        <f>IFERROR(__xludf.DUMMYFUNCTION("""COMPUTED_VALUE"""),2871.89)</f>
        <v>2871.89</v>
      </c>
    </row>
    <row r="1859">
      <c r="A1859" s="10">
        <f t="shared" si="8"/>
        <v>39841.66667</v>
      </c>
      <c r="B1859" s="2" t="str">
        <f t="shared" si="2"/>
        <v/>
      </c>
      <c r="C1859" s="2" t="str">
        <f t="shared" si="3"/>
        <v>SP500</v>
      </c>
      <c r="D1859" s="2">
        <f t="shared" si="4"/>
        <v>1558.34</v>
      </c>
      <c r="E1859" s="2">
        <f t="shared" si="5"/>
        <v>1558.34</v>
      </c>
      <c r="G1859" s="10">
        <f t="shared" si="9"/>
        <v>39841.64583</v>
      </c>
      <c r="H1859" s="6" t="str">
        <f t="shared" si="6"/>
        <v/>
      </c>
      <c r="I1859" s="2">
        <f t="shared" si="7"/>
        <v>1426.89</v>
      </c>
      <c r="M1859" s="10">
        <f>IFERROR(__xludf.DUMMYFUNCTION("""COMPUTED_VALUE"""),40674.666666666664)</f>
        <v>40674.66667</v>
      </c>
      <c r="N1859" s="2">
        <f>IFERROR(__xludf.DUMMYFUNCTION("""COMPUTED_VALUE"""),2845.06)</f>
        <v>2845.06</v>
      </c>
    </row>
    <row r="1860">
      <c r="A1860" s="10">
        <f t="shared" si="8"/>
        <v>39842.66667</v>
      </c>
      <c r="B1860" s="2" t="str">
        <f t="shared" si="2"/>
        <v/>
      </c>
      <c r="C1860" s="2" t="str">
        <f t="shared" si="3"/>
        <v>SP500</v>
      </c>
      <c r="D1860" s="2">
        <f t="shared" si="4"/>
        <v>1507.84</v>
      </c>
      <c r="E1860" s="2">
        <f t="shared" si="5"/>
        <v>1507.84</v>
      </c>
      <c r="G1860" s="10">
        <f t="shared" si="9"/>
        <v>39842.64583</v>
      </c>
      <c r="H1860" s="6" t="str">
        <f t="shared" si="6"/>
        <v/>
      </c>
      <c r="I1860" s="2">
        <f t="shared" si="7"/>
        <v>1426.89</v>
      </c>
      <c r="M1860" s="10">
        <f>IFERROR(__xludf.DUMMYFUNCTION("""COMPUTED_VALUE"""),40675.666666666664)</f>
        <v>40675.66667</v>
      </c>
      <c r="N1860" s="2">
        <f>IFERROR(__xludf.DUMMYFUNCTION("""COMPUTED_VALUE"""),2863.04)</f>
        <v>2863.04</v>
      </c>
    </row>
    <row r="1861">
      <c r="A1861" s="10">
        <f t="shared" si="8"/>
        <v>39843.66667</v>
      </c>
      <c r="B1861" s="2" t="str">
        <f t="shared" si="2"/>
        <v/>
      </c>
      <c r="C1861" s="2" t="str">
        <f t="shared" si="3"/>
        <v>SP500</v>
      </c>
      <c r="D1861" s="2">
        <f t="shared" si="4"/>
        <v>1476.42</v>
      </c>
      <c r="E1861" s="2">
        <f t="shared" si="5"/>
        <v>1476.42</v>
      </c>
      <c r="G1861" s="10">
        <f t="shared" si="9"/>
        <v>39843.64583</v>
      </c>
      <c r="H1861" s="6" t="str">
        <f t="shared" si="6"/>
        <v/>
      </c>
      <c r="I1861" s="2">
        <f t="shared" si="7"/>
        <v>1426.89</v>
      </c>
      <c r="M1861" s="10">
        <f>IFERROR(__xludf.DUMMYFUNCTION("""COMPUTED_VALUE"""),40676.666666666664)</f>
        <v>40676.66667</v>
      </c>
      <c r="N1861" s="2">
        <f>IFERROR(__xludf.DUMMYFUNCTION("""COMPUTED_VALUE"""),2828.47)</f>
        <v>2828.47</v>
      </c>
    </row>
    <row r="1862">
      <c r="A1862" s="10">
        <f t="shared" si="8"/>
        <v>39844.66667</v>
      </c>
      <c r="B1862" s="2" t="str">
        <f t="shared" si="2"/>
        <v/>
      </c>
      <c r="C1862" s="2" t="str">
        <f t="shared" si="3"/>
        <v>SP500</v>
      </c>
      <c r="D1862" s="2" t="str">
        <f t="shared" si="4"/>
        <v/>
      </c>
      <c r="E1862" s="2">
        <f t="shared" si="5"/>
        <v>1476.42</v>
      </c>
      <c r="G1862" s="10">
        <f t="shared" si="9"/>
        <v>39844.64583</v>
      </c>
      <c r="H1862" s="6" t="str">
        <f t="shared" si="6"/>
        <v/>
      </c>
      <c r="I1862" s="2">
        <f t="shared" si="7"/>
        <v>1426.89</v>
      </c>
      <c r="M1862" s="10">
        <f>IFERROR(__xludf.DUMMYFUNCTION("""COMPUTED_VALUE"""),40679.666666666664)</f>
        <v>40679.66667</v>
      </c>
      <c r="N1862" s="2">
        <f>IFERROR(__xludf.DUMMYFUNCTION("""COMPUTED_VALUE"""),2782.31)</f>
        <v>2782.31</v>
      </c>
    </row>
    <row r="1863">
      <c r="A1863" s="10">
        <f t="shared" si="8"/>
        <v>39845.66667</v>
      </c>
      <c r="B1863" s="2" t="str">
        <f t="shared" si="2"/>
        <v/>
      </c>
      <c r="C1863" s="2" t="str">
        <f t="shared" si="3"/>
        <v>SP500</v>
      </c>
      <c r="D1863" s="2" t="str">
        <f t="shared" si="4"/>
        <v/>
      </c>
      <c r="E1863" s="2">
        <f t="shared" si="5"/>
        <v>1476.42</v>
      </c>
      <c r="G1863" s="10">
        <f t="shared" si="9"/>
        <v>39845.64583</v>
      </c>
      <c r="H1863" s="6" t="str">
        <f t="shared" si="6"/>
        <v/>
      </c>
      <c r="I1863" s="2">
        <f t="shared" si="7"/>
        <v>1426.89</v>
      </c>
      <c r="M1863" s="10">
        <f>IFERROR(__xludf.DUMMYFUNCTION("""COMPUTED_VALUE"""),40680.666666666664)</f>
        <v>40680.66667</v>
      </c>
      <c r="N1863" s="2">
        <f>IFERROR(__xludf.DUMMYFUNCTION("""COMPUTED_VALUE"""),2783.21)</f>
        <v>2783.21</v>
      </c>
    </row>
    <row r="1864">
      <c r="A1864" s="10">
        <f t="shared" si="8"/>
        <v>39846.66667</v>
      </c>
      <c r="B1864" s="2" t="str">
        <f t="shared" si="2"/>
        <v/>
      </c>
      <c r="C1864" s="2" t="str">
        <f t="shared" si="3"/>
        <v>SP500</v>
      </c>
      <c r="D1864" s="2">
        <f t="shared" si="4"/>
        <v>1494.43</v>
      </c>
      <c r="E1864" s="2">
        <f t="shared" si="5"/>
        <v>1494.43</v>
      </c>
      <c r="G1864" s="10">
        <f t="shared" si="9"/>
        <v>39846.64583</v>
      </c>
      <c r="H1864" s="6" t="str">
        <f t="shared" si="6"/>
        <v/>
      </c>
      <c r="I1864" s="2">
        <f t="shared" si="7"/>
        <v>1426.89</v>
      </c>
      <c r="M1864" s="10">
        <f>IFERROR(__xludf.DUMMYFUNCTION("""COMPUTED_VALUE"""),40681.666666666664)</f>
        <v>40681.66667</v>
      </c>
      <c r="N1864" s="2">
        <f>IFERROR(__xludf.DUMMYFUNCTION("""COMPUTED_VALUE"""),2815.0)</f>
        <v>2815</v>
      </c>
    </row>
    <row r="1865">
      <c r="A1865" s="10">
        <f t="shared" si="8"/>
        <v>39847.66667</v>
      </c>
      <c r="B1865" s="2" t="str">
        <f t="shared" si="2"/>
        <v/>
      </c>
      <c r="C1865" s="2" t="str">
        <f t="shared" si="3"/>
        <v>SP500</v>
      </c>
      <c r="D1865" s="2">
        <f t="shared" si="4"/>
        <v>1516.3</v>
      </c>
      <c r="E1865" s="2">
        <f t="shared" si="5"/>
        <v>1516.3</v>
      </c>
      <c r="G1865" s="10">
        <f t="shared" si="9"/>
        <v>39847.64583</v>
      </c>
      <c r="H1865" s="6" t="str">
        <f t="shared" si="6"/>
        <v/>
      </c>
      <c r="I1865" s="2">
        <f t="shared" si="7"/>
        <v>1426.89</v>
      </c>
      <c r="M1865" s="10">
        <f>IFERROR(__xludf.DUMMYFUNCTION("""COMPUTED_VALUE"""),40682.666666666664)</f>
        <v>40682.66667</v>
      </c>
      <c r="N1865" s="2">
        <f>IFERROR(__xludf.DUMMYFUNCTION("""COMPUTED_VALUE"""),2823.31)</f>
        <v>2823.31</v>
      </c>
    </row>
    <row r="1866">
      <c r="A1866" s="10">
        <f t="shared" si="8"/>
        <v>39848.66667</v>
      </c>
      <c r="B1866" s="2" t="str">
        <f t="shared" si="2"/>
        <v/>
      </c>
      <c r="C1866" s="2" t="str">
        <f t="shared" si="3"/>
        <v>SP500</v>
      </c>
      <c r="D1866" s="2">
        <f t="shared" si="4"/>
        <v>1515.05</v>
      </c>
      <c r="E1866" s="2">
        <f t="shared" si="5"/>
        <v>1515.05</v>
      </c>
      <c r="G1866" s="10">
        <f t="shared" si="9"/>
        <v>39848.64583</v>
      </c>
      <c r="H1866" s="6" t="str">
        <f t="shared" si="6"/>
        <v/>
      </c>
      <c r="I1866" s="2">
        <f t="shared" si="7"/>
        <v>1426.89</v>
      </c>
      <c r="M1866" s="10">
        <f>IFERROR(__xludf.DUMMYFUNCTION("""COMPUTED_VALUE"""),40683.666666666664)</f>
        <v>40683.66667</v>
      </c>
      <c r="N1866" s="2">
        <f>IFERROR(__xludf.DUMMYFUNCTION("""COMPUTED_VALUE"""),2803.32)</f>
        <v>2803.32</v>
      </c>
    </row>
    <row r="1867">
      <c r="A1867" s="10">
        <f t="shared" si="8"/>
        <v>39849.66667</v>
      </c>
      <c r="B1867" s="2" t="str">
        <f t="shared" si="2"/>
        <v/>
      </c>
      <c r="C1867" s="2" t="str">
        <f t="shared" si="3"/>
        <v>SP500</v>
      </c>
      <c r="D1867" s="2">
        <f t="shared" si="4"/>
        <v>1546.24</v>
      </c>
      <c r="E1867" s="2">
        <f t="shared" si="5"/>
        <v>1546.24</v>
      </c>
      <c r="G1867" s="10">
        <f t="shared" si="9"/>
        <v>39849.64583</v>
      </c>
      <c r="H1867" s="6" t="str">
        <f t="shared" si="6"/>
        <v/>
      </c>
      <c r="I1867" s="2">
        <f t="shared" si="7"/>
        <v>1426.89</v>
      </c>
      <c r="M1867" s="10">
        <f>IFERROR(__xludf.DUMMYFUNCTION("""COMPUTED_VALUE"""),40686.666666666664)</f>
        <v>40686.66667</v>
      </c>
      <c r="N1867" s="2">
        <f>IFERROR(__xludf.DUMMYFUNCTION("""COMPUTED_VALUE"""),2758.9)</f>
        <v>2758.9</v>
      </c>
    </row>
    <row r="1868">
      <c r="A1868" s="10">
        <f t="shared" si="8"/>
        <v>39850.66667</v>
      </c>
      <c r="B1868" s="2" t="str">
        <f t="shared" si="2"/>
        <v/>
      </c>
      <c r="C1868" s="2" t="str">
        <f t="shared" si="3"/>
        <v>SP500</v>
      </c>
      <c r="D1868" s="2">
        <f t="shared" si="4"/>
        <v>1591.71</v>
      </c>
      <c r="E1868" s="2">
        <f t="shared" si="5"/>
        <v>1591.71</v>
      </c>
      <c r="G1868" s="10">
        <f t="shared" si="9"/>
        <v>39850.64583</v>
      </c>
      <c r="H1868" s="6" t="str">
        <f t="shared" si="6"/>
        <v/>
      </c>
      <c r="I1868" s="2">
        <f t="shared" si="7"/>
        <v>1426.89</v>
      </c>
      <c r="M1868" s="10">
        <f>IFERROR(__xludf.DUMMYFUNCTION("""COMPUTED_VALUE"""),40687.666666666664)</f>
        <v>40687.66667</v>
      </c>
      <c r="N1868" s="2">
        <f>IFERROR(__xludf.DUMMYFUNCTION("""COMPUTED_VALUE"""),2746.16)</f>
        <v>2746.16</v>
      </c>
    </row>
    <row r="1869">
      <c r="A1869" s="10">
        <f t="shared" si="8"/>
        <v>39851.66667</v>
      </c>
      <c r="B1869" s="2" t="str">
        <f t="shared" si="2"/>
        <v/>
      </c>
      <c r="C1869" s="2" t="str">
        <f t="shared" si="3"/>
        <v>SP500</v>
      </c>
      <c r="D1869" s="2" t="str">
        <f t="shared" si="4"/>
        <v/>
      </c>
      <c r="E1869" s="2">
        <f t="shared" si="5"/>
        <v>1591.71</v>
      </c>
      <c r="G1869" s="10">
        <f t="shared" si="9"/>
        <v>39851.64583</v>
      </c>
      <c r="H1869" s="6" t="str">
        <f t="shared" si="6"/>
        <v/>
      </c>
      <c r="I1869" s="2">
        <f t="shared" si="7"/>
        <v>1426.89</v>
      </c>
      <c r="M1869" s="10">
        <f>IFERROR(__xludf.DUMMYFUNCTION("""COMPUTED_VALUE"""),40688.666666666664)</f>
        <v>40688.66667</v>
      </c>
      <c r="N1869" s="2">
        <f>IFERROR(__xludf.DUMMYFUNCTION("""COMPUTED_VALUE"""),2761.38)</f>
        <v>2761.38</v>
      </c>
    </row>
    <row r="1870">
      <c r="A1870" s="10">
        <f t="shared" si="8"/>
        <v>39852.66667</v>
      </c>
      <c r="B1870" s="2" t="str">
        <f t="shared" si="2"/>
        <v/>
      </c>
      <c r="C1870" s="2" t="str">
        <f t="shared" si="3"/>
        <v>SP500</v>
      </c>
      <c r="D1870" s="2" t="str">
        <f t="shared" si="4"/>
        <v/>
      </c>
      <c r="E1870" s="2">
        <f t="shared" si="5"/>
        <v>1591.71</v>
      </c>
      <c r="G1870" s="10">
        <f t="shared" si="9"/>
        <v>39852.64583</v>
      </c>
      <c r="H1870" s="6" t="str">
        <f t="shared" si="6"/>
        <v/>
      </c>
      <c r="I1870" s="2">
        <f t="shared" si="7"/>
        <v>1426.89</v>
      </c>
      <c r="M1870" s="10">
        <f>IFERROR(__xludf.DUMMYFUNCTION("""COMPUTED_VALUE"""),40689.666666666664)</f>
        <v>40689.66667</v>
      </c>
      <c r="N1870" s="2">
        <f>IFERROR(__xludf.DUMMYFUNCTION("""COMPUTED_VALUE"""),2782.92)</f>
        <v>2782.92</v>
      </c>
    </row>
    <row r="1871">
      <c r="A1871" s="10">
        <f t="shared" si="8"/>
        <v>39853.66667</v>
      </c>
      <c r="B1871" s="2" t="str">
        <f t="shared" si="2"/>
        <v/>
      </c>
      <c r="C1871" s="2" t="str">
        <f t="shared" si="3"/>
        <v>SP500</v>
      </c>
      <c r="D1871" s="2">
        <f t="shared" si="4"/>
        <v>1591.56</v>
      </c>
      <c r="E1871" s="2">
        <f t="shared" si="5"/>
        <v>1591.56</v>
      </c>
      <c r="G1871" s="10">
        <f t="shared" si="9"/>
        <v>39853.64583</v>
      </c>
      <c r="H1871" s="6" t="str">
        <f t="shared" si="6"/>
        <v/>
      </c>
      <c r="I1871" s="2">
        <f t="shared" si="7"/>
        <v>1426.89</v>
      </c>
      <c r="M1871" s="10">
        <f>IFERROR(__xludf.DUMMYFUNCTION("""COMPUTED_VALUE"""),40690.666666666664)</f>
        <v>40690.66667</v>
      </c>
      <c r="N1871" s="2">
        <f>IFERROR(__xludf.DUMMYFUNCTION("""COMPUTED_VALUE"""),2796.86)</f>
        <v>2796.86</v>
      </c>
    </row>
    <row r="1872">
      <c r="A1872" s="10">
        <f t="shared" si="8"/>
        <v>39854.66667</v>
      </c>
      <c r="B1872" s="2" t="str">
        <f t="shared" si="2"/>
        <v/>
      </c>
      <c r="C1872" s="2" t="str">
        <f t="shared" si="3"/>
        <v>SP500</v>
      </c>
      <c r="D1872" s="2">
        <f t="shared" si="4"/>
        <v>1524.73</v>
      </c>
      <c r="E1872" s="2">
        <f t="shared" si="5"/>
        <v>1524.73</v>
      </c>
      <c r="G1872" s="10">
        <f t="shared" si="9"/>
        <v>39854.64583</v>
      </c>
      <c r="H1872" s="6" t="str">
        <f t="shared" si="6"/>
        <v/>
      </c>
      <c r="I1872" s="2">
        <f t="shared" si="7"/>
        <v>1426.89</v>
      </c>
      <c r="M1872" s="10">
        <f>IFERROR(__xludf.DUMMYFUNCTION("""COMPUTED_VALUE"""),40694.666666666664)</f>
        <v>40694.66667</v>
      </c>
      <c r="N1872" s="2">
        <f>IFERROR(__xludf.DUMMYFUNCTION("""COMPUTED_VALUE"""),2835.3)</f>
        <v>2835.3</v>
      </c>
    </row>
    <row r="1873">
      <c r="A1873" s="10">
        <f t="shared" si="8"/>
        <v>39855.66667</v>
      </c>
      <c r="B1873" s="2" t="str">
        <f t="shared" si="2"/>
        <v/>
      </c>
      <c r="C1873" s="2" t="str">
        <f t="shared" si="3"/>
        <v>SP500</v>
      </c>
      <c r="D1873" s="2">
        <f t="shared" si="4"/>
        <v>1530.5</v>
      </c>
      <c r="E1873" s="2">
        <f t="shared" si="5"/>
        <v>1530.5</v>
      </c>
      <c r="G1873" s="10">
        <f t="shared" si="9"/>
        <v>39855.64583</v>
      </c>
      <c r="H1873" s="6" t="str">
        <f t="shared" si="6"/>
        <v/>
      </c>
      <c r="I1873" s="2">
        <f t="shared" si="7"/>
        <v>1426.89</v>
      </c>
      <c r="M1873" s="10">
        <f>IFERROR(__xludf.DUMMYFUNCTION("""COMPUTED_VALUE"""),40695.666666666664)</f>
        <v>40695.66667</v>
      </c>
      <c r="N1873" s="2">
        <f>IFERROR(__xludf.DUMMYFUNCTION("""COMPUTED_VALUE"""),2769.19)</f>
        <v>2769.19</v>
      </c>
    </row>
    <row r="1874">
      <c r="A1874" s="10">
        <f t="shared" si="8"/>
        <v>39856.66667</v>
      </c>
      <c r="B1874" s="2" t="str">
        <f t="shared" si="2"/>
        <v/>
      </c>
      <c r="C1874" s="2" t="str">
        <f t="shared" si="3"/>
        <v>SP500</v>
      </c>
      <c r="D1874" s="2">
        <f t="shared" si="4"/>
        <v>1541.71</v>
      </c>
      <c r="E1874" s="2">
        <f t="shared" si="5"/>
        <v>1541.71</v>
      </c>
      <c r="G1874" s="10">
        <f t="shared" si="9"/>
        <v>39856.64583</v>
      </c>
      <c r="H1874" s="6" t="str">
        <f t="shared" si="6"/>
        <v/>
      </c>
      <c r="I1874" s="2">
        <f t="shared" si="7"/>
        <v>1426.89</v>
      </c>
      <c r="M1874" s="10">
        <f>IFERROR(__xludf.DUMMYFUNCTION("""COMPUTED_VALUE"""),40696.666666666664)</f>
        <v>40696.66667</v>
      </c>
      <c r="N1874" s="2">
        <f>IFERROR(__xludf.DUMMYFUNCTION("""COMPUTED_VALUE"""),2773.31)</f>
        <v>2773.31</v>
      </c>
    </row>
    <row r="1875">
      <c r="A1875" s="10">
        <f t="shared" si="8"/>
        <v>39857.66667</v>
      </c>
      <c r="B1875" s="2" t="str">
        <f t="shared" si="2"/>
        <v/>
      </c>
      <c r="C1875" s="2" t="str">
        <f t="shared" si="3"/>
        <v>SP500</v>
      </c>
      <c r="D1875" s="2">
        <f t="shared" si="4"/>
        <v>1534.36</v>
      </c>
      <c r="E1875" s="2">
        <f t="shared" si="5"/>
        <v>1534.36</v>
      </c>
      <c r="G1875" s="10">
        <f t="shared" si="9"/>
        <v>39857.64583</v>
      </c>
      <c r="H1875" s="6" t="str">
        <f t="shared" si="6"/>
        <v/>
      </c>
      <c r="I1875" s="2">
        <f t="shared" si="7"/>
        <v>1426.89</v>
      </c>
      <c r="M1875" s="10">
        <f>IFERROR(__xludf.DUMMYFUNCTION("""COMPUTED_VALUE"""),40697.666666666664)</f>
        <v>40697.66667</v>
      </c>
      <c r="N1875" s="2">
        <f>IFERROR(__xludf.DUMMYFUNCTION("""COMPUTED_VALUE"""),2732.78)</f>
        <v>2732.78</v>
      </c>
    </row>
    <row r="1876">
      <c r="A1876" s="10">
        <f t="shared" si="8"/>
        <v>39858.66667</v>
      </c>
      <c r="B1876" s="2" t="str">
        <f t="shared" si="2"/>
        <v/>
      </c>
      <c r="C1876" s="2" t="str">
        <f t="shared" si="3"/>
        <v>SP500</v>
      </c>
      <c r="D1876" s="2" t="str">
        <f t="shared" si="4"/>
        <v/>
      </c>
      <c r="E1876" s="2">
        <f t="shared" si="5"/>
        <v>1534.36</v>
      </c>
      <c r="G1876" s="10">
        <f t="shared" si="9"/>
        <v>39858.64583</v>
      </c>
      <c r="H1876" s="6" t="str">
        <f t="shared" si="6"/>
        <v/>
      </c>
      <c r="I1876" s="2">
        <f t="shared" si="7"/>
        <v>1426.89</v>
      </c>
      <c r="M1876" s="10">
        <f>IFERROR(__xludf.DUMMYFUNCTION("""COMPUTED_VALUE"""),40700.666666666664)</f>
        <v>40700.66667</v>
      </c>
      <c r="N1876" s="2">
        <f>IFERROR(__xludf.DUMMYFUNCTION("""COMPUTED_VALUE"""),2702.56)</f>
        <v>2702.56</v>
      </c>
    </row>
    <row r="1877">
      <c r="A1877" s="10">
        <f t="shared" si="8"/>
        <v>39859.66667</v>
      </c>
      <c r="B1877" s="2" t="str">
        <f t="shared" si="2"/>
        <v/>
      </c>
      <c r="C1877" s="2" t="str">
        <f t="shared" si="3"/>
        <v>SP500</v>
      </c>
      <c r="D1877" s="2" t="str">
        <f t="shared" si="4"/>
        <v/>
      </c>
      <c r="E1877" s="2">
        <f t="shared" si="5"/>
        <v>1534.36</v>
      </c>
      <c r="G1877" s="10">
        <f t="shared" si="9"/>
        <v>39859.64583</v>
      </c>
      <c r="H1877" s="6" t="str">
        <f t="shared" si="6"/>
        <v/>
      </c>
      <c r="I1877" s="2">
        <f t="shared" si="7"/>
        <v>1426.89</v>
      </c>
      <c r="M1877" s="10">
        <f>IFERROR(__xludf.DUMMYFUNCTION("""COMPUTED_VALUE"""),40701.666666666664)</f>
        <v>40701.66667</v>
      </c>
      <c r="N1877" s="2">
        <f>IFERROR(__xludf.DUMMYFUNCTION("""COMPUTED_VALUE"""),2701.56)</f>
        <v>2701.56</v>
      </c>
    </row>
    <row r="1878">
      <c r="A1878" s="10">
        <f t="shared" si="8"/>
        <v>39860.66667</v>
      </c>
      <c r="B1878" s="2" t="str">
        <f t="shared" si="2"/>
        <v/>
      </c>
      <c r="C1878" s="2" t="str">
        <f t="shared" si="3"/>
        <v>SP500</v>
      </c>
      <c r="D1878" s="2" t="str">
        <f t="shared" si="4"/>
        <v/>
      </c>
      <c r="E1878" s="2">
        <f t="shared" si="5"/>
        <v>1534.36</v>
      </c>
      <c r="G1878" s="10">
        <f t="shared" si="9"/>
        <v>39860.64583</v>
      </c>
      <c r="H1878" s="6" t="str">
        <f t="shared" si="6"/>
        <v/>
      </c>
      <c r="I1878" s="2">
        <f t="shared" si="7"/>
        <v>1426.89</v>
      </c>
      <c r="M1878" s="10">
        <f>IFERROR(__xludf.DUMMYFUNCTION("""COMPUTED_VALUE"""),40702.666666666664)</f>
        <v>40702.66667</v>
      </c>
      <c r="N1878" s="2">
        <f>IFERROR(__xludf.DUMMYFUNCTION("""COMPUTED_VALUE"""),2675.38)</f>
        <v>2675.38</v>
      </c>
    </row>
    <row r="1879">
      <c r="A1879" s="10">
        <f t="shared" si="8"/>
        <v>39861.66667</v>
      </c>
      <c r="B1879" s="2" t="str">
        <f t="shared" si="2"/>
        <v/>
      </c>
      <c r="C1879" s="2" t="str">
        <f t="shared" si="3"/>
        <v>SP500</v>
      </c>
      <c r="D1879" s="2">
        <f t="shared" si="4"/>
        <v>1470.66</v>
      </c>
      <c r="E1879" s="2">
        <f t="shared" si="5"/>
        <v>1470.66</v>
      </c>
      <c r="G1879" s="10">
        <f t="shared" si="9"/>
        <v>39861.64583</v>
      </c>
      <c r="H1879" s="6" t="str">
        <f t="shared" si="6"/>
        <v/>
      </c>
      <c r="I1879" s="2">
        <f t="shared" si="7"/>
        <v>1426.89</v>
      </c>
      <c r="M1879" s="10">
        <f>IFERROR(__xludf.DUMMYFUNCTION("""COMPUTED_VALUE"""),40703.666666666664)</f>
        <v>40703.66667</v>
      </c>
      <c r="N1879" s="2">
        <f>IFERROR(__xludf.DUMMYFUNCTION("""COMPUTED_VALUE"""),2684.87)</f>
        <v>2684.87</v>
      </c>
    </row>
    <row r="1880">
      <c r="A1880" s="10">
        <f t="shared" si="8"/>
        <v>39862.66667</v>
      </c>
      <c r="B1880" s="2" t="str">
        <f t="shared" si="2"/>
        <v/>
      </c>
      <c r="C1880" s="2" t="str">
        <f t="shared" si="3"/>
        <v>SP500</v>
      </c>
      <c r="D1880" s="2">
        <f t="shared" si="4"/>
        <v>1467.97</v>
      </c>
      <c r="E1880" s="2">
        <f t="shared" si="5"/>
        <v>1467.97</v>
      </c>
      <c r="G1880" s="10">
        <f t="shared" si="9"/>
        <v>39862.64583</v>
      </c>
      <c r="H1880" s="6" t="str">
        <f t="shared" si="6"/>
        <v/>
      </c>
      <c r="I1880" s="2">
        <f t="shared" si="7"/>
        <v>1426.89</v>
      </c>
      <c r="M1880" s="10">
        <f>IFERROR(__xludf.DUMMYFUNCTION("""COMPUTED_VALUE"""),40704.666666666664)</f>
        <v>40704.66667</v>
      </c>
      <c r="N1880" s="2">
        <f>IFERROR(__xludf.DUMMYFUNCTION("""COMPUTED_VALUE"""),2643.73)</f>
        <v>2643.73</v>
      </c>
    </row>
    <row r="1881">
      <c r="A1881" s="10">
        <f t="shared" si="8"/>
        <v>39863.66667</v>
      </c>
      <c r="B1881" s="2" t="str">
        <f t="shared" si="2"/>
        <v/>
      </c>
      <c r="C1881" s="2" t="str">
        <f t="shared" si="3"/>
        <v>SP500</v>
      </c>
      <c r="D1881" s="2">
        <f t="shared" si="4"/>
        <v>1442.82</v>
      </c>
      <c r="E1881" s="2">
        <f t="shared" si="5"/>
        <v>1442.82</v>
      </c>
      <c r="G1881" s="10">
        <f t="shared" si="9"/>
        <v>39863.64583</v>
      </c>
      <c r="H1881" s="6" t="str">
        <f t="shared" si="6"/>
        <v/>
      </c>
      <c r="I1881" s="2">
        <f t="shared" si="7"/>
        <v>1426.89</v>
      </c>
      <c r="M1881" s="10">
        <f>IFERROR(__xludf.DUMMYFUNCTION("""COMPUTED_VALUE"""),40707.666666666664)</f>
        <v>40707.66667</v>
      </c>
      <c r="N1881" s="2">
        <f>IFERROR(__xludf.DUMMYFUNCTION("""COMPUTED_VALUE"""),2639.69)</f>
        <v>2639.69</v>
      </c>
    </row>
    <row r="1882">
      <c r="A1882" s="10">
        <f t="shared" si="8"/>
        <v>39864.66667</v>
      </c>
      <c r="B1882" s="2" t="str">
        <f t="shared" si="2"/>
        <v/>
      </c>
      <c r="C1882" s="2" t="str">
        <f t="shared" si="3"/>
        <v>SP500</v>
      </c>
      <c r="D1882" s="2">
        <f t="shared" si="4"/>
        <v>1441.23</v>
      </c>
      <c r="E1882" s="2">
        <f t="shared" si="5"/>
        <v>1441.23</v>
      </c>
      <c r="G1882" s="10">
        <f t="shared" si="9"/>
        <v>39864.64583</v>
      </c>
      <c r="H1882" s="6" t="str">
        <f t="shared" si="6"/>
        <v/>
      </c>
      <c r="I1882" s="2">
        <f t="shared" si="7"/>
        <v>1426.89</v>
      </c>
      <c r="M1882" s="10">
        <f>IFERROR(__xludf.DUMMYFUNCTION("""COMPUTED_VALUE"""),40708.666666666664)</f>
        <v>40708.66667</v>
      </c>
      <c r="N1882" s="2">
        <f>IFERROR(__xludf.DUMMYFUNCTION("""COMPUTED_VALUE"""),2678.72)</f>
        <v>2678.72</v>
      </c>
    </row>
    <row r="1883">
      <c r="A1883" s="10">
        <f t="shared" si="8"/>
        <v>39865.66667</v>
      </c>
      <c r="B1883" s="2" t="str">
        <f t="shared" si="2"/>
        <v/>
      </c>
      <c r="C1883" s="2" t="str">
        <f t="shared" si="3"/>
        <v>SP500</v>
      </c>
      <c r="D1883" s="2" t="str">
        <f t="shared" si="4"/>
        <v/>
      </c>
      <c r="E1883" s="2">
        <f t="shared" si="5"/>
        <v>1441.23</v>
      </c>
      <c r="G1883" s="10">
        <f t="shared" si="9"/>
        <v>39865.64583</v>
      </c>
      <c r="H1883" s="6" t="str">
        <f t="shared" si="6"/>
        <v/>
      </c>
      <c r="I1883" s="2">
        <f t="shared" si="7"/>
        <v>1426.89</v>
      </c>
      <c r="M1883" s="10">
        <f>IFERROR(__xludf.DUMMYFUNCTION("""COMPUTED_VALUE"""),40709.666666666664)</f>
        <v>40709.66667</v>
      </c>
      <c r="N1883" s="2">
        <f>IFERROR(__xludf.DUMMYFUNCTION("""COMPUTED_VALUE"""),2631.46)</f>
        <v>2631.46</v>
      </c>
    </row>
    <row r="1884">
      <c r="A1884" s="10">
        <f t="shared" si="8"/>
        <v>39866.66667</v>
      </c>
      <c r="B1884" s="2" t="str">
        <f t="shared" si="2"/>
        <v/>
      </c>
      <c r="C1884" s="2" t="str">
        <f t="shared" si="3"/>
        <v>SP500</v>
      </c>
      <c r="D1884" s="2" t="str">
        <f t="shared" si="4"/>
        <v/>
      </c>
      <c r="E1884" s="2">
        <f t="shared" si="5"/>
        <v>1441.23</v>
      </c>
      <c r="G1884" s="10">
        <f t="shared" si="9"/>
        <v>39866.64583</v>
      </c>
      <c r="H1884" s="6" t="str">
        <f t="shared" si="6"/>
        <v/>
      </c>
      <c r="I1884" s="2">
        <f t="shared" si="7"/>
        <v>1426.89</v>
      </c>
      <c r="M1884" s="10">
        <f>IFERROR(__xludf.DUMMYFUNCTION("""COMPUTED_VALUE"""),40710.666666666664)</f>
        <v>40710.66667</v>
      </c>
      <c r="N1884" s="2">
        <f>IFERROR(__xludf.DUMMYFUNCTION("""COMPUTED_VALUE"""),2623.7)</f>
        <v>2623.7</v>
      </c>
    </row>
    <row r="1885">
      <c r="A1885" s="10">
        <f t="shared" si="8"/>
        <v>39867.66667</v>
      </c>
      <c r="B1885" s="2" t="str">
        <f t="shared" si="2"/>
        <v/>
      </c>
      <c r="C1885" s="2" t="str">
        <f t="shared" si="3"/>
        <v>SP500</v>
      </c>
      <c r="D1885" s="2">
        <f t="shared" si="4"/>
        <v>1387.72</v>
      </c>
      <c r="E1885" s="2">
        <f t="shared" si="5"/>
        <v>1387.72</v>
      </c>
      <c r="G1885" s="10">
        <f t="shared" si="9"/>
        <v>39867.64583</v>
      </c>
      <c r="H1885" s="6" t="str">
        <f t="shared" si="6"/>
        <v/>
      </c>
      <c r="I1885" s="2">
        <f t="shared" si="7"/>
        <v>1426.89</v>
      </c>
      <c r="M1885" s="10">
        <f>IFERROR(__xludf.DUMMYFUNCTION("""COMPUTED_VALUE"""),40711.666666666664)</f>
        <v>40711.66667</v>
      </c>
      <c r="N1885" s="2">
        <f>IFERROR(__xludf.DUMMYFUNCTION("""COMPUTED_VALUE"""),2616.48)</f>
        <v>2616.48</v>
      </c>
    </row>
    <row r="1886">
      <c r="A1886" s="10">
        <f t="shared" si="8"/>
        <v>39868.66667</v>
      </c>
      <c r="B1886" s="2" t="str">
        <f t="shared" si="2"/>
        <v/>
      </c>
      <c r="C1886" s="2" t="str">
        <f t="shared" si="3"/>
        <v>SP500</v>
      </c>
      <c r="D1886" s="2">
        <f t="shared" si="4"/>
        <v>1441.83</v>
      </c>
      <c r="E1886" s="2">
        <f t="shared" si="5"/>
        <v>1441.83</v>
      </c>
      <c r="G1886" s="10">
        <f t="shared" si="9"/>
        <v>39868.64583</v>
      </c>
      <c r="H1886" s="6" t="str">
        <f t="shared" si="6"/>
        <v/>
      </c>
      <c r="I1886" s="2">
        <f t="shared" si="7"/>
        <v>1426.89</v>
      </c>
      <c r="M1886" s="10">
        <f>IFERROR(__xludf.DUMMYFUNCTION("""COMPUTED_VALUE"""),40714.666666666664)</f>
        <v>40714.66667</v>
      </c>
      <c r="N1886" s="2">
        <f>IFERROR(__xludf.DUMMYFUNCTION("""COMPUTED_VALUE"""),2629.66)</f>
        <v>2629.66</v>
      </c>
    </row>
    <row r="1887">
      <c r="A1887" s="10">
        <f t="shared" si="8"/>
        <v>39869.66667</v>
      </c>
      <c r="B1887" s="2" t="str">
        <f t="shared" si="2"/>
        <v/>
      </c>
      <c r="C1887" s="2" t="str">
        <f t="shared" si="3"/>
        <v>SP500</v>
      </c>
      <c r="D1887" s="2">
        <f t="shared" si="4"/>
        <v>1425.43</v>
      </c>
      <c r="E1887" s="2">
        <f t="shared" si="5"/>
        <v>1425.43</v>
      </c>
      <c r="G1887" s="10">
        <f t="shared" si="9"/>
        <v>39869.64583</v>
      </c>
      <c r="H1887" s="6" t="str">
        <f t="shared" si="6"/>
        <v/>
      </c>
      <c r="I1887" s="2">
        <f t="shared" si="7"/>
        <v>1426.89</v>
      </c>
      <c r="M1887" s="10">
        <f>IFERROR(__xludf.DUMMYFUNCTION("""COMPUTED_VALUE"""),40715.666666666664)</f>
        <v>40715.66667</v>
      </c>
      <c r="N1887" s="2">
        <f>IFERROR(__xludf.DUMMYFUNCTION("""COMPUTED_VALUE"""),2687.26)</f>
        <v>2687.26</v>
      </c>
    </row>
    <row r="1888">
      <c r="A1888" s="10">
        <f t="shared" si="8"/>
        <v>39870.66667</v>
      </c>
      <c r="B1888" s="2" t="str">
        <f t="shared" si="2"/>
        <v/>
      </c>
      <c r="C1888" s="2" t="str">
        <f t="shared" si="3"/>
        <v>SP500</v>
      </c>
      <c r="D1888" s="2">
        <f t="shared" si="4"/>
        <v>1391.47</v>
      </c>
      <c r="E1888" s="2">
        <f t="shared" si="5"/>
        <v>1391.47</v>
      </c>
      <c r="G1888" s="10">
        <f t="shared" si="9"/>
        <v>39870.64583</v>
      </c>
      <c r="H1888" s="6" t="str">
        <f t="shared" si="6"/>
        <v/>
      </c>
      <c r="I1888" s="2">
        <f t="shared" si="7"/>
        <v>1426.89</v>
      </c>
      <c r="M1888" s="10">
        <f>IFERROR(__xludf.DUMMYFUNCTION("""COMPUTED_VALUE"""),40716.666666666664)</f>
        <v>40716.66667</v>
      </c>
      <c r="N1888" s="2">
        <f>IFERROR(__xludf.DUMMYFUNCTION("""COMPUTED_VALUE"""),2669.19)</f>
        <v>2669.19</v>
      </c>
    </row>
    <row r="1889">
      <c r="A1889" s="10">
        <f t="shared" si="8"/>
        <v>39871.66667</v>
      </c>
      <c r="B1889" s="2" t="str">
        <f t="shared" si="2"/>
        <v/>
      </c>
      <c r="C1889" s="2" t="str">
        <f t="shared" si="3"/>
        <v>SP500</v>
      </c>
      <c r="D1889" s="2">
        <f t="shared" si="4"/>
        <v>1377.84</v>
      </c>
      <c r="E1889" s="2">
        <f t="shared" si="5"/>
        <v>1377.84</v>
      </c>
      <c r="G1889" s="10">
        <f t="shared" si="9"/>
        <v>39871.64583</v>
      </c>
      <c r="H1889" s="6" t="str">
        <f t="shared" si="6"/>
        <v/>
      </c>
      <c r="I1889" s="2">
        <f t="shared" si="7"/>
        <v>1426.89</v>
      </c>
      <c r="M1889" s="10">
        <f>IFERROR(__xludf.DUMMYFUNCTION("""COMPUTED_VALUE"""),40717.666666666664)</f>
        <v>40717.66667</v>
      </c>
      <c r="N1889" s="2">
        <f>IFERROR(__xludf.DUMMYFUNCTION("""COMPUTED_VALUE"""),2686.75)</f>
        <v>2686.75</v>
      </c>
    </row>
    <row r="1890">
      <c r="A1890" s="10">
        <f t="shared" si="8"/>
        <v>39872.66667</v>
      </c>
      <c r="B1890" s="2" t="str">
        <f t="shared" si="2"/>
        <v/>
      </c>
      <c r="C1890" s="2" t="str">
        <f t="shared" si="3"/>
        <v>SP500</v>
      </c>
      <c r="D1890" s="2" t="str">
        <f t="shared" si="4"/>
        <v/>
      </c>
      <c r="E1890" s="2">
        <f t="shared" si="5"/>
        <v>1377.84</v>
      </c>
      <c r="G1890" s="10">
        <f t="shared" si="9"/>
        <v>39872.64583</v>
      </c>
      <c r="H1890" s="6" t="str">
        <f t="shared" si="6"/>
        <v/>
      </c>
      <c r="I1890" s="2">
        <f t="shared" si="7"/>
        <v>1426.89</v>
      </c>
      <c r="M1890" s="10">
        <f>IFERROR(__xludf.DUMMYFUNCTION("""COMPUTED_VALUE"""),40718.666666666664)</f>
        <v>40718.66667</v>
      </c>
      <c r="N1890" s="2">
        <f>IFERROR(__xludf.DUMMYFUNCTION("""COMPUTED_VALUE"""),2652.89)</f>
        <v>2652.89</v>
      </c>
    </row>
    <row r="1891">
      <c r="A1891" s="10">
        <f t="shared" si="8"/>
        <v>39873.66667</v>
      </c>
      <c r="B1891" s="2" t="str">
        <f t="shared" si="2"/>
        <v/>
      </c>
      <c r="C1891" s="2" t="str">
        <f t="shared" si="3"/>
        <v>SP500</v>
      </c>
      <c r="D1891" s="2" t="str">
        <f t="shared" si="4"/>
        <v/>
      </c>
      <c r="E1891" s="2">
        <f t="shared" si="5"/>
        <v>1377.84</v>
      </c>
      <c r="G1891" s="10">
        <f t="shared" si="9"/>
        <v>39873.64583</v>
      </c>
      <c r="H1891" s="6" t="str">
        <f t="shared" si="6"/>
        <v/>
      </c>
      <c r="I1891" s="2">
        <f t="shared" si="7"/>
        <v>1426.89</v>
      </c>
      <c r="M1891" s="10">
        <f>IFERROR(__xludf.DUMMYFUNCTION("""COMPUTED_VALUE"""),40721.666666666664)</f>
        <v>40721.66667</v>
      </c>
      <c r="N1891" s="2">
        <f>IFERROR(__xludf.DUMMYFUNCTION("""COMPUTED_VALUE"""),2688.28)</f>
        <v>2688.28</v>
      </c>
    </row>
    <row r="1892">
      <c r="A1892" s="10">
        <f t="shared" si="8"/>
        <v>39874.66667</v>
      </c>
      <c r="B1892" s="2" t="str">
        <f t="shared" si="2"/>
        <v/>
      </c>
      <c r="C1892" s="2" t="str">
        <f t="shared" si="3"/>
        <v>SP500</v>
      </c>
      <c r="D1892" s="2">
        <f t="shared" si="4"/>
        <v>1322.85</v>
      </c>
      <c r="E1892" s="2">
        <f t="shared" si="5"/>
        <v>1322.85</v>
      </c>
      <c r="G1892" s="10">
        <f t="shared" si="9"/>
        <v>39874.64583</v>
      </c>
      <c r="H1892" s="6" t="str">
        <f t="shared" si="6"/>
        <v/>
      </c>
      <c r="I1892" s="2">
        <f t="shared" si="7"/>
        <v>1426.89</v>
      </c>
      <c r="M1892" s="10">
        <f>IFERROR(__xludf.DUMMYFUNCTION("""COMPUTED_VALUE"""),40722.666666666664)</f>
        <v>40722.66667</v>
      </c>
      <c r="N1892" s="2">
        <f>IFERROR(__xludf.DUMMYFUNCTION("""COMPUTED_VALUE"""),2729.31)</f>
        <v>2729.31</v>
      </c>
    </row>
    <row r="1893">
      <c r="A1893" s="10">
        <f t="shared" si="8"/>
        <v>39875.66667</v>
      </c>
      <c r="B1893" s="2" t="str">
        <f t="shared" si="2"/>
        <v/>
      </c>
      <c r="C1893" s="2" t="str">
        <f t="shared" si="3"/>
        <v>SP500</v>
      </c>
      <c r="D1893" s="2">
        <f t="shared" si="4"/>
        <v>1321.01</v>
      </c>
      <c r="E1893" s="2">
        <f t="shared" si="5"/>
        <v>1321.01</v>
      </c>
      <c r="G1893" s="10">
        <f t="shared" si="9"/>
        <v>39875.64583</v>
      </c>
      <c r="H1893" s="6" t="str">
        <f t="shared" si="6"/>
        <v/>
      </c>
      <c r="I1893" s="2">
        <f t="shared" si="7"/>
        <v>1426.89</v>
      </c>
      <c r="M1893" s="10">
        <f>IFERROR(__xludf.DUMMYFUNCTION("""COMPUTED_VALUE"""),40723.666666666664)</f>
        <v>40723.66667</v>
      </c>
      <c r="N1893" s="2">
        <f>IFERROR(__xludf.DUMMYFUNCTION("""COMPUTED_VALUE"""),2740.49)</f>
        <v>2740.49</v>
      </c>
    </row>
    <row r="1894">
      <c r="A1894" s="10">
        <f t="shared" si="8"/>
        <v>39876.66667</v>
      </c>
      <c r="B1894" s="2" t="str">
        <f t="shared" si="2"/>
        <v/>
      </c>
      <c r="C1894" s="2" t="str">
        <f t="shared" si="3"/>
        <v>SP500</v>
      </c>
      <c r="D1894" s="2">
        <f t="shared" si="4"/>
        <v>1353.74</v>
      </c>
      <c r="E1894" s="2">
        <f t="shared" si="5"/>
        <v>1353.74</v>
      </c>
      <c r="G1894" s="10">
        <f t="shared" si="9"/>
        <v>39876.64583</v>
      </c>
      <c r="H1894" s="6" t="str">
        <f t="shared" si="6"/>
        <v/>
      </c>
      <c r="I1894" s="2">
        <f t="shared" si="7"/>
        <v>1426.89</v>
      </c>
      <c r="M1894" s="10">
        <f>IFERROR(__xludf.DUMMYFUNCTION("""COMPUTED_VALUE"""),40724.666666666664)</f>
        <v>40724.66667</v>
      </c>
      <c r="N1894" s="2">
        <f>IFERROR(__xludf.DUMMYFUNCTION("""COMPUTED_VALUE"""),2773.52)</f>
        <v>2773.52</v>
      </c>
    </row>
    <row r="1895">
      <c r="A1895" s="10">
        <f t="shared" si="8"/>
        <v>39877.66667</v>
      </c>
      <c r="B1895" s="2" t="str">
        <f t="shared" si="2"/>
        <v/>
      </c>
      <c r="C1895" s="2" t="str">
        <f t="shared" si="3"/>
        <v>SP500</v>
      </c>
      <c r="D1895" s="2">
        <f t="shared" si="4"/>
        <v>1299.59</v>
      </c>
      <c r="E1895" s="2">
        <f t="shared" si="5"/>
        <v>1299.59</v>
      </c>
      <c r="G1895" s="10">
        <f t="shared" si="9"/>
        <v>39877.64583</v>
      </c>
      <c r="H1895" s="6" t="str">
        <f t="shared" si="6"/>
        <v/>
      </c>
      <c r="I1895" s="2">
        <f t="shared" si="7"/>
        <v>1426.89</v>
      </c>
      <c r="M1895" s="10">
        <f>IFERROR(__xludf.DUMMYFUNCTION("""COMPUTED_VALUE"""),40725.666666666664)</f>
        <v>40725.66667</v>
      </c>
      <c r="N1895" s="2">
        <f>IFERROR(__xludf.DUMMYFUNCTION("""COMPUTED_VALUE"""),2816.03)</f>
        <v>2816.03</v>
      </c>
    </row>
    <row r="1896">
      <c r="A1896" s="10">
        <f t="shared" si="8"/>
        <v>39878.66667</v>
      </c>
      <c r="B1896" s="2" t="str">
        <f t="shared" si="2"/>
        <v/>
      </c>
      <c r="C1896" s="2" t="str">
        <f t="shared" si="3"/>
        <v>SP500</v>
      </c>
      <c r="D1896" s="2">
        <f t="shared" si="4"/>
        <v>1293.85</v>
      </c>
      <c r="E1896" s="2">
        <f t="shared" si="5"/>
        <v>1293.85</v>
      </c>
      <c r="G1896" s="10">
        <f t="shared" si="9"/>
        <v>39878.64583</v>
      </c>
      <c r="H1896" s="6" t="str">
        <f t="shared" si="6"/>
        <v/>
      </c>
      <c r="I1896" s="2">
        <f t="shared" si="7"/>
        <v>1426.89</v>
      </c>
      <c r="M1896" s="10">
        <f>IFERROR(__xludf.DUMMYFUNCTION("""COMPUTED_VALUE"""),40729.666666666664)</f>
        <v>40729.66667</v>
      </c>
      <c r="N1896" s="2">
        <f>IFERROR(__xludf.DUMMYFUNCTION("""COMPUTED_VALUE"""),2825.77)</f>
        <v>2825.77</v>
      </c>
    </row>
    <row r="1897">
      <c r="A1897" s="10">
        <f t="shared" si="8"/>
        <v>39879.66667</v>
      </c>
      <c r="B1897" s="2" t="str">
        <f t="shared" si="2"/>
        <v/>
      </c>
      <c r="C1897" s="2" t="str">
        <f t="shared" si="3"/>
        <v>SP500</v>
      </c>
      <c r="D1897" s="2" t="str">
        <f t="shared" si="4"/>
        <v/>
      </c>
      <c r="E1897" s="2">
        <f t="shared" si="5"/>
        <v>1293.85</v>
      </c>
      <c r="G1897" s="10">
        <f t="shared" si="9"/>
        <v>39879.64583</v>
      </c>
      <c r="H1897" s="6" t="str">
        <f t="shared" si="6"/>
        <v/>
      </c>
      <c r="I1897" s="2">
        <f t="shared" si="7"/>
        <v>1426.89</v>
      </c>
      <c r="M1897" s="10">
        <f>IFERROR(__xludf.DUMMYFUNCTION("""COMPUTED_VALUE"""),40730.666666666664)</f>
        <v>40730.66667</v>
      </c>
      <c r="N1897" s="2">
        <f>IFERROR(__xludf.DUMMYFUNCTION("""COMPUTED_VALUE"""),2834.02)</f>
        <v>2834.02</v>
      </c>
    </row>
    <row r="1898">
      <c r="A1898" s="10">
        <f t="shared" si="8"/>
        <v>39880.66667</v>
      </c>
      <c r="B1898" s="2" t="str">
        <f t="shared" si="2"/>
        <v/>
      </c>
      <c r="C1898" s="2" t="str">
        <f t="shared" si="3"/>
        <v>SP500</v>
      </c>
      <c r="D1898" s="2" t="str">
        <f t="shared" si="4"/>
        <v/>
      </c>
      <c r="E1898" s="2">
        <f t="shared" si="5"/>
        <v>1293.85</v>
      </c>
      <c r="G1898" s="10">
        <f t="shared" si="9"/>
        <v>39880.64583</v>
      </c>
      <c r="H1898" s="6" t="str">
        <f t="shared" si="6"/>
        <v/>
      </c>
      <c r="I1898" s="2">
        <f t="shared" si="7"/>
        <v>1426.89</v>
      </c>
      <c r="M1898" s="10">
        <f>IFERROR(__xludf.DUMMYFUNCTION("""COMPUTED_VALUE"""),40731.666666666664)</f>
        <v>40731.66667</v>
      </c>
      <c r="N1898" s="2">
        <f>IFERROR(__xludf.DUMMYFUNCTION("""COMPUTED_VALUE"""),2872.66)</f>
        <v>2872.66</v>
      </c>
    </row>
    <row r="1899">
      <c r="A1899" s="10">
        <f t="shared" si="8"/>
        <v>39881.66667</v>
      </c>
      <c r="B1899" s="2" t="str">
        <f t="shared" si="2"/>
        <v/>
      </c>
      <c r="C1899" s="2" t="str">
        <f t="shared" si="3"/>
        <v>SP500</v>
      </c>
      <c r="D1899" s="2">
        <f t="shared" si="4"/>
        <v>1268.64</v>
      </c>
      <c r="E1899" s="2">
        <f t="shared" si="5"/>
        <v>1268.64</v>
      </c>
      <c r="G1899" s="10">
        <f t="shared" si="9"/>
        <v>39881.64583</v>
      </c>
      <c r="H1899" s="6" t="str">
        <f t="shared" si="6"/>
        <v/>
      </c>
      <c r="I1899" s="2">
        <f t="shared" si="7"/>
        <v>1426.89</v>
      </c>
      <c r="M1899" s="10">
        <f>IFERROR(__xludf.DUMMYFUNCTION("""COMPUTED_VALUE"""),40732.666666666664)</f>
        <v>40732.66667</v>
      </c>
      <c r="N1899" s="2">
        <f>IFERROR(__xludf.DUMMYFUNCTION("""COMPUTED_VALUE"""),2859.81)</f>
        <v>2859.81</v>
      </c>
    </row>
    <row r="1900">
      <c r="A1900" s="10">
        <f t="shared" si="8"/>
        <v>39882.66667</v>
      </c>
      <c r="B1900" s="2" t="str">
        <f t="shared" si="2"/>
        <v/>
      </c>
      <c r="C1900" s="2" t="str">
        <f t="shared" si="3"/>
        <v>SP500</v>
      </c>
      <c r="D1900" s="2">
        <f t="shared" si="4"/>
        <v>1358.28</v>
      </c>
      <c r="E1900" s="2">
        <f t="shared" si="5"/>
        <v>1358.28</v>
      </c>
      <c r="G1900" s="10">
        <f t="shared" si="9"/>
        <v>39882.64583</v>
      </c>
      <c r="H1900" s="6" t="str">
        <f t="shared" si="6"/>
        <v/>
      </c>
      <c r="I1900" s="2">
        <f t="shared" si="7"/>
        <v>1426.89</v>
      </c>
      <c r="M1900" s="10">
        <f>IFERROR(__xludf.DUMMYFUNCTION("""COMPUTED_VALUE"""),40735.666666666664)</f>
        <v>40735.66667</v>
      </c>
      <c r="N1900" s="2">
        <f>IFERROR(__xludf.DUMMYFUNCTION("""COMPUTED_VALUE"""),2802.62)</f>
        <v>2802.62</v>
      </c>
    </row>
    <row r="1901">
      <c r="A1901" s="10">
        <f t="shared" si="8"/>
        <v>39883.66667</v>
      </c>
      <c r="B1901" s="2" t="str">
        <f t="shared" si="2"/>
        <v/>
      </c>
      <c r="C1901" s="2" t="str">
        <f t="shared" si="3"/>
        <v>SP500</v>
      </c>
      <c r="D1901" s="2">
        <f t="shared" si="4"/>
        <v>1371.64</v>
      </c>
      <c r="E1901" s="2">
        <f t="shared" si="5"/>
        <v>1371.64</v>
      </c>
      <c r="G1901" s="10">
        <f t="shared" si="9"/>
        <v>39883.64583</v>
      </c>
      <c r="H1901" s="6" t="str">
        <f t="shared" si="6"/>
        <v/>
      </c>
      <c r="I1901" s="2">
        <f t="shared" si="7"/>
        <v>1426.89</v>
      </c>
      <c r="M1901" s="10">
        <f>IFERROR(__xludf.DUMMYFUNCTION("""COMPUTED_VALUE"""),40736.666666666664)</f>
        <v>40736.66667</v>
      </c>
      <c r="N1901" s="2">
        <f>IFERROR(__xludf.DUMMYFUNCTION("""COMPUTED_VALUE"""),2781.91)</f>
        <v>2781.91</v>
      </c>
    </row>
    <row r="1902">
      <c r="A1902" s="10">
        <f t="shared" si="8"/>
        <v>39884.66667</v>
      </c>
      <c r="B1902" s="2" t="str">
        <f t="shared" si="2"/>
        <v/>
      </c>
      <c r="C1902" s="2" t="str">
        <f t="shared" si="3"/>
        <v>SP500</v>
      </c>
      <c r="D1902" s="2">
        <f t="shared" si="4"/>
        <v>1426.1</v>
      </c>
      <c r="E1902" s="2">
        <f t="shared" si="5"/>
        <v>1426.1</v>
      </c>
      <c r="G1902" s="10">
        <f t="shared" si="9"/>
        <v>39884.64583</v>
      </c>
      <c r="H1902" s="6" t="str">
        <f t="shared" si="6"/>
        <v/>
      </c>
      <c r="I1902" s="2">
        <f t="shared" si="7"/>
        <v>1426.89</v>
      </c>
      <c r="M1902" s="10">
        <f>IFERROR(__xludf.DUMMYFUNCTION("""COMPUTED_VALUE"""),40737.666666666664)</f>
        <v>40737.66667</v>
      </c>
      <c r="N1902" s="2">
        <f>IFERROR(__xludf.DUMMYFUNCTION("""COMPUTED_VALUE"""),2796.92)</f>
        <v>2796.92</v>
      </c>
    </row>
    <row r="1903">
      <c r="A1903" s="10">
        <f t="shared" si="8"/>
        <v>39885.66667</v>
      </c>
      <c r="B1903" s="2" t="str">
        <f t="shared" si="2"/>
        <v/>
      </c>
      <c r="C1903" s="2" t="str">
        <f t="shared" si="3"/>
        <v>SP500</v>
      </c>
      <c r="D1903" s="2">
        <f t="shared" si="4"/>
        <v>1431.5</v>
      </c>
      <c r="E1903" s="2">
        <f t="shared" si="5"/>
        <v>1431.5</v>
      </c>
      <c r="G1903" s="10">
        <f t="shared" si="9"/>
        <v>39885.64583</v>
      </c>
      <c r="H1903" s="6" t="str">
        <f t="shared" si="6"/>
        <v/>
      </c>
      <c r="I1903" s="2">
        <f t="shared" si="7"/>
        <v>1426.89</v>
      </c>
      <c r="M1903" s="10">
        <f>IFERROR(__xludf.DUMMYFUNCTION("""COMPUTED_VALUE"""),40738.666666666664)</f>
        <v>40738.66667</v>
      </c>
      <c r="N1903" s="2">
        <f>IFERROR(__xludf.DUMMYFUNCTION("""COMPUTED_VALUE"""),2762.67)</f>
        <v>2762.67</v>
      </c>
    </row>
    <row r="1904">
      <c r="A1904" s="10">
        <f t="shared" si="8"/>
        <v>39886.66667</v>
      </c>
      <c r="B1904" s="2" t="str">
        <f t="shared" si="2"/>
        <v/>
      </c>
      <c r="C1904" s="2" t="str">
        <f t="shared" si="3"/>
        <v>SP500</v>
      </c>
      <c r="D1904" s="2" t="str">
        <f t="shared" si="4"/>
        <v/>
      </c>
      <c r="E1904" s="2">
        <f t="shared" si="5"/>
        <v>1431.5</v>
      </c>
      <c r="G1904" s="10">
        <f t="shared" si="9"/>
        <v>39886.64583</v>
      </c>
      <c r="H1904" s="6" t="str">
        <f t="shared" si="6"/>
        <v/>
      </c>
      <c r="I1904" s="2">
        <f t="shared" si="7"/>
        <v>1426.89</v>
      </c>
      <c r="M1904" s="10">
        <f>IFERROR(__xludf.DUMMYFUNCTION("""COMPUTED_VALUE"""),40739.666666666664)</f>
        <v>40739.66667</v>
      </c>
      <c r="N1904" s="2">
        <f>IFERROR(__xludf.DUMMYFUNCTION("""COMPUTED_VALUE"""),2789.8)</f>
        <v>2789.8</v>
      </c>
    </row>
    <row r="1905">
      <c r="A1905" s="10">
        <f t="shared" si="8"/>
        <v>39887.66667</v>
      </c>
      <c r="B1905" s="2" t="str">
        <f t="shared" si="2"/>
        <v/>
      </c>
      <c r="C1905" s="2" t="str">
        <f t="shared" si="3"/>
        <v>SP500</v>
      </c>
      <c r="D1905" s="2" t="str">
        <f t="shared" si="4"/>
        <v/>
      </c>
      <c r="E1905" s="2">
        <f t="shared" si="5"/>
        <v>1431.5</v>
      </c>
      <c r="G1905" s="10">
        <f t="shared" si="9"/>
        <v>39887.64583</v>
      </c>
      <c r="H1905" s="6" t="str">
        <f t="shared" si="6"/>
        <v/>
      </c>
      <c r="I1905" s="2">
        <f t="shared" si="7"/>
        <v>1426.89</v>
      </c>
      <c r="M1905" s="10">
        <f>IFERROR(__xludf.DUMMYFUNCTION("""COMPUTED_VALUE"""),40742.666666666664)</f>
        <v>40742.66667</v>
      </c>
      <c r="N1905" s="2">
        <f>IFERROR(__xludf.DUMMYFUNCTION("""COMPUTED_VALUE"""),2765.11)</f>
        <v>2765.11</v>
      </c>
    </row>
    <row r="1906">
      <c r="A1906" s="10">
        <f t="shared" si="8"/>
        <v>39888.66667</v>
      </c>
      <c r="B1906" s="2" t="str">
        <f t="shared" si="2"/>
        <v/>
      </c>
      <c r="C1906" s="2" t="str">
        <f t="shared" si="3"/>
        <v>SP500</v>
      </c>
      <c r="D1906" s="2">
        <f t="shared" si="4"/>
        <v>1404.02</v>
      </c>
      <c r="E1906" s="2">
        <f t="shared" si="5"/>
        <v>1404.02</v>
      </c>
      <c r="G1906" s="10">
        <f t="shared" si="9"/>
        <v>39888.64583</v>
      </c>
      <c r="H1906" s="6" t="str">
        <f t="shared" si="6"/>
        <v/>
      </c>
      <c r="I1906" s="2">
        <f t="shared" si="7"/>
        <v>1426.89</v>
      </c>
      <c r="M1906" s="10">
        <f>IFERROR(__xludf.DUMMYFUNCTION("""COMPUTED_VALUE"""),40743.666666666664)</f>
        <v>40743.66667</v>
      </c>
      <c r="N1906" s="2">
        <f>IFERROR(__xludf.DUMMYFUNCTION("""COMPUTED_VALUE"""),2826.52)</f>
        <v>2826.52</v>
      </c>
    </row>
    <row r="1907">
      <c r="A1907" s="10">
        <f t="shared" si="8"/>
        <v>39889.66667</v>
      </c>
      <c r="B1907" s="2" t="str">
        <f t="shared" si="2"/>
        <v/>
      </c>
      <c r="C1907" s="2" t="str">
        <f t="shared" si="3"/>
        <v>SP500</v>
      </c>
      <c r="D1907" s="2">
        <f t="shared" si="4"/>
        <v>1462.11</v>
      </c>
      <c r="E1907" s="2">
        <f t="shared" si="5"/>
        <v>1462.11</v>
      </c>
      <c r="G1907" s="10">
        <f t="shared" si="9"/>
        <v>39889.64583</v>
      </c>
      <c r="H1907" s="6" t="str">
        <f t="shared" si="6"/>
        <v/>
      </c>
      <c r="I1907" s="2">
        <f t="shared" si="7"/>
        <v>1426.89</v>
      </c>
      <c r="M1907" s="10">
        <f>IFERROR(__xludf.DUMMYFUNCTION("""COMPUTED_VALUE"""),40744.666666666664)</f>
        <v>40744.66667</v>
      </c>
      <c r="N1907" s="2">
        <f>IFERROR(__xludf.DUMMYFUNCTION("""COMPUTED_VALUE"""),2814.23)</f>
        <v>2814.23</v>
      </c>
    </row>
    <row r="1908">
      <c r="A1908" s="10">
        <f t="shared" si="8"/>
        <v>39890.66667</v>
      </c>
      <c r="B1908" s="2" t="str">
        <f t="shared" si="2"/>
        <v/>
      </c>
      <c r="C1908" s="2" t="str">
        <f t="shared" si="3"/>
        <v>SP500</v>
      </c>
      <c r="D1908" s="2">
        <f t="shared" si="4"/>
        <v>1491.22</v>
      </c>
      <c r="E1908" s="2">
        <f t="shared" si="5"/>
        <v>1491.22</v>
      </c>
      <c r="G1908" s="10">
        <f t="shared" si="9"/>
        <v>39890.64583</v>
      </c>
      <c r="H1908" s="6" t="str">
        <f t="shared" si="6"/>
        <v/>
      </c>
      <c r="I1908" s="2">
        <f t="shared" si="7"/>
        <v>1426.89</v>
      </c>
      <c r="M1908" s="10">
        <f>IFERROR(__xludf.DUMMYFUNCTION("""COMPUTED_VALUE"""),40745.666666666664)</f>
        <v>40745.66667</v>
      </c>
      <c r="N1908" s="2">
        <f>IFERROR(__xludf.DUMMYFUNCTION("""COMPUTED_VALUE"""),2834.43)</f>
        <v>2834.43</v>
      </c>
    </row>
    <row r="1909">
      <c r="A1909" s="10">
        <f t="shared" si="8"/>
        <v>39891.66667</v>
      </c>
      <c r="B1909" s="2" t="str">
        <f t="shared" si="2"/>
        <v/>
      </c>
      <c r="C1909" s="2" t="str">
        <f t="shared" si="3"/>
        <v>SP500</v>
      </c>
      <c r="D1909" s="2">
        <f t="shared" si="4"/>
        <v>1483.48</v>
      </c>
      <c r="E1909" s="2">
        <f t="shared" si="5"/>
        <v>1483.48</v>
      </c>
      <c r="G1909" s="10">
        <f t="shared" si="9"/>
        <v>39891.64583</v>
      </c>
      <c r="H1909" s="6" t="str">
        <f t="shared" si="6"/>
        <v/>
      </c>
      <c r="I1909" s="2">
        <f t="shared" si="7"/>
        <v>1426.89</v>
      </c>
      <c r="M1909" s="10">
        <f>IFERROR(__xludf.DUMMYFUNCTION("""COMPUTED_VALUE"""),40746.666666666664)</f>
        <v>40746.66667</v>
      </c>
      <c r="N1909" s="2">
        <f>IFERROR(__xludf.DUMMYFUNCTION("""COMPUTED_VALUE"""),2858.83)</f>
        <v>2858.83</v>
      </c>
    </row>
    <row r="1910">
      <c r="A1910" s="10">
        <f t="shared" si="8"/>
        <v>39892.66667</v>
      </c>
      <c r="B1910" s="2" t="str">
        <f t="shared" si="2"/>
        <v/>
      </c>
      <c r="C1910" s="2" t="str">
        <f t="shared" si="3"/>
        <v>SP500</v>
      </c>
      <c r="D1910" s="2">
        <f t="shared" si="4"/>
        <v>1457.27</v>
      </c>
      <c r="E1910" s="2">
        <f t="shared" si="5"/>
        <v>1457.27</v>
      </c>
      <c r="G1910" s="10">
        <f t="shared" si="9"/>
        <v>39892.64583</v>
      </c>
      <c r="H1910" s="6" t="str">
        <f t="shared" si="6"/>
        <v/>
      </c>
      <c r="I1910" s="2">
        <f t="shared" si="7"/>
        <v>1426.89</v>
      </c>
      <c r="M1910" s="10">
        <f>IFERROR(__xludf.DUMMYFUNCTION("""COMPUTED_VALUE"""),40749.666666666664)</f>
        <v>40749.66667</v>
      </c>
      <c r="N1910" s="2">
        <f>IFERROR(__xludf.DUMMYFUNCTION("""COMPUTED_VALUE"""),2842.8)</f>
        <v>2842.8</v>
      </c>
    </row>
    <row r="1911">
      <c r="A1911" s="10">
        <f t="shared" si="8"/>
        <v>39893.66667</v>
      </c>
      <c r="B1911" s="2" t="str">
        <f t="shared" si="2"/>
        <v/>
      </c>
      <c r="C1911" s="2" t="str">
        <f t="shared" si="3"/>
        <v>SP500</v>
      </c>
      <c r="D1911" s="2" t="str">
        <f t="shared" si="4"/>
        <v/>
      </c>
      <c r="E1911" s="2">
        <f t="shared" si="5"/>
        <v>1457.27</v>
      </c>
      <c r="G1911" s="10">
        <f t="shared" si="9"/>
        <v>39893.64583</v>
      </c>
      <c r="H1911" s="6" t="str">
        <f t="shared" si="6"/>
        <v/>
      </c>
      <c r="I1911" s="2">
        <f t="shared" si="7"/>
        <v>1426.89</v>
      </c>
      <c r="M1911" s="10">
        <f>IFERROR(__xludf.DUMMYFUNCTION("""COMPUTED_VALUE"""),40750.666666666664)</f>
        <v>40750.66667</v>
      </c>
      <c r="N1911" s="2">
        <f>IFERROR(__xludf.DUMMYFUNCTION("""COMPUTED_VALUE"""),2839.96)</f>
        <v>2839.96</v>
      </c>
    </row>
    <row r="1912">
      <c r="A1912" s="10">
        <f t="shared" si="8"/>
        <v>39894.66667</v>
      </c>
      <c r="B1912" s="2" t="str">
        <f t="shared" si="2"/>
        <v/>
      </c>
      <c r="C1912" s="2" t="str">
        <f t="shared" si="3"/>
        <v>SP500</v>
      </c>
      <c r="D1912" s="2" t="str">
        <f t="shared" si="4"/>
        <v/>
      </c>
      <c r="E1912" s="2">
        <f t="shared" si="5"/>
        <v>1457.27</v>
      </c>
      <c r="G1912" s="10">
        <f t="shared" si="9"/>
        <v>39894.64583</v>
      </c>
      <c r="H1912" s="6" t="str">
        <f t="shared" si="6"/>
        <v/>
      </c>
      <c r="I1912" s="2">
        <f t="shared" si="7"/>
        <v>1426.89</v>
      </c>
      <c r="M1912" s="10">
        <f>IFERROR(__xludf.DUMMYFUNCTION("""COMPUTED_VALUE"""),40751.666666666664)</f>
        <v>40751.66667</v>
      </c>
      <c r="N1912" s="2">
        <f>IFERROR(__xludf.DUMMYFUNCTION("""COMPUTED_VALUE"""),2764.79)</f>
        <v>2764.79</v>
      </c>
    </row>
    <row r="1913">
      <c r="A1913" s="10">
        <f t="shared" si="8"/>
        <v>39895.66667</v>
      </c>
      <c r="B1913" s="2" t="str">
        <f t="shared" si="2"/>
        <v/>
      </c>
      <c r="C1913" s="2" t="str">
        <f t="shared" si="3"/>
        <v>SP500</v>
      </c>
      <c r="D1913" s="2">
        <f t="shared" si="4"/>
        <v>1555.77</v>
      </c>
      <c r="E1913" s="2">
        <f t="shared" si="5"/>
        <v>1555.77</v>
      </c>
      <c r="G1913" s="10">
        <f t="shared" si="9"/>
        <v>39895.64583</v>
      </c>
      <c r="H1913" s="6" t="str">
        <f t="shared" si="6"/>
        <v/>
      </c>
      <c r="I1913" s="2">
        <f t="shared" si="7"/>
        <v>1426.89</v>
      </c>
      <c r="M1913" s="10">
        <f>IFERROR(__xludf.DUMMYFUNCTION("""COMPUTED_VALUE"""),40752.666666666664)</f>
        <v>40752.66667</v>
      </c>
      <c r="N1913" s="2">
        <f>IFERROR(__xludf.DUMMYFUNCTION("""COMPUTED_VALUE"""),2766.25)</f>
        <v>2766.25</v>
      </c>
    </row>
    <row r="1914">
      <c r="A1914" s="10">
        <f t="shared" si="8"/>
        <v>39896.66667</v>
      </c>
      <c r="B1914" s="2" t="str">
        <f t="shared" si="2"/>
        <v/>
      </c>
      <c r="C1914" s="2" t="str">
        <f t="shared" si="3"/>
        <v>SP500</v>
      </c>
      <c r="D1914" s="2">
        <f t="shared" si="4"/>
        <v>1516.52</v>
      </c>
      <c r="E1914" s="2">
        <f t="shared" si="5"/>
        <v>1516.52</v>
      </c>
      <c r="G1914" s="10">
        <f t="shared" si="9"/>
        <v>39896.64583</v>
      </c>
      <c r="H1914" s="6" t="str">
        <f t="shared" si="6"/>
        <v/>
      </c>
      <c r="I1914" s="2">
        <f t="shared" si="7"/>
        <v>1426.89</v>
      </c>
      <c r="M1914" s="10">
        <f>IFERROR(__xludf.DUMMYFUNCTION("""COMPUTED_VALUE"""),40753.666666666664)</f>
        <v>40753.66667</v>
      </c>
      <c r="N1914" s="2">
        <f>IFERROR(__xludf.DUMMYFUNCTION("""COMPUTED_VALUE"""),2756.38)</f>
        <v>2756.38</v>
      </c>
    </row>
    <row r="1915">
      <c r="A1915" s="10">
        <f t="shared" si="8"/>
        <v>39897.66667</v>
      </c>
      <c r="B1915" s="2" t="str">
        <f t="shared" si="2"/>
        <v/>
      </c>
      <c r="C1915" s="2" t="str">
        <f t="shared" si="3"/>
        <v>SP500</v>
      </c>
      <c r="D1915" s="2">
        <f t="shared" si="4"/>
        <v>1528.95</v>
      </c>
      <c r="E1915" s="2">
        <f t="shared" si="5"/>
        <v>1528.95</v>
      </c>
      <c r="G1915" s="10">
        <f t="shared" si="9"/>
        <v>39897.64583</v>
      </c>
      <c r="H1915" s="6" t="str">
        <f t="shared" si="6"/>
        <v/>
      </c>
      <c r="I1915" s="2">
        <f t="shared" si="7"/>
        <v>1426.89</v>
      </c>
      <c r="M1915" s="10">
        <f>IFERROR(__xludf.DUMMYFUNCTION("""COMPUTED_VALUE"""),40756.666666666664)</f>
        <v>40756.66667</v>
      </c>
      <c r="N1915" s="2">
        <f>IFERROR(__xludf.DUMMYFUNCTION("""COMPUTED_VALUE"""),2744.61)</f>
        <v>2744.61</v>
      </c>
    </row>
    <row r="1916">
      <c r="A1916" s="10">
        <f t="shared" si="8"/>
        <v>39898.66667</v>
      </c>
      <c r="B1916" s="2" t="str">
        <f t="shared" si="2"/>
        <v/>
      </c>
      <c r="C1916" s="2" t="str">
        <f t="shared" si="3"/>
        <v>SP500</v>
      </c>
      <c r="D1916" s="2">
        <f t="shared" si="4"/>
        <v>1587</v>
      </c>
      <c r="E1916" s="2">
        <f t="shared" si="5"/>
        <v>1587</v>
      </c>
      <c r="G1916" s="10">
        <f t="shared" si="9"/>
        <v>39898.64583</v>
      </c>
      <c r="H1916" s="6" t="str">
        <f t="shared" si="6"/>
        <v/>
      </c>
      <c r="I1916" s="2">
        <f t="shared" si="7"/>
        <v>1426.89</v>
      </c>
      <c r="M1916" s="10">
        <f>IFERROR(__xludf.DUMMYFUNCTION("""COMPUTED_VALUE"""),40757.666666666664)</f>
        <v>40757.66667</v>
      </c>
      <c r="N1916" s="2">
        <f>IFERROR(__xludf.DUMMYFUNCTION("""COMPUTED_VALUE"""),2669.24)</f>
        <v>2669.24</v>
      </c>
    </row>
    <row r="1917">
      <c r="A1917" s="10">
        <f t="shared" si="8"/>
        <v>39899.66667</v>
      </c>
      <c r="B1917" s="2" t="str">
        <f t="shared" si="2"/>
        <v/>
      </c>
      <c r="C1917" s="2" t="str">
        <f t="shared" si="3"/>
        <v>SP500</v>
      </c>
      <c r="D1917" s="2">
        <f t="shared" si="4"/>
        <v>1545.2</v>
      </c>
      <c r="E1917" s="2">
        <f t="shared" si="5"/>
        <v>1545.2</v>
      </c>
      <c r="G1917" s="10">
        <f t="shared" si="9"/>
        <v>39899.64583</v>
      </c>
      <c r="H1917" s="6" t="str">
        <f t="shared" si="6"/>
        <v/>
      </c>
      <c r="I1917" s="2">
        <f t="shared" si="7"/>
        <v>1426.89</v>
      </c>
      <c r="M1917" s="10">
        <f>IFERROR(__xludf.DUMMYFUNCTION("""COMPUTED_VALUE"""),40758.666666666664)</f>
        <v>40758.66667</v>
      </c>
      <c r="N1917" s="2">
        <f>IFERROR(__xludf.DUMMYFUNCTION("""COMPUTED_VALUE"""),2693.07)</f>
        <v>2693.07</v>
      </c>
    </row>
    <row r="1918">
      <c r="A1918" s="10">
        <f t="shared" si="8"/>
        <v>39900.66667</v>
      </c>
      <c r="B1918" s="2" t="str">
        <f t="shared" si="2"/>
        <v/>
      </c>
      <c r="C1918" s="2" t="str">
        <f t="shared" si="3"/>
        <v>SP500</v>
      </c>
      <c r="D1918" s="2" t="str">
        <f t="shared" si="4"/>
        <v/>
      </c>
      <c r="E1918" s="2">
        <f t="shared" si="5"/>
        <v>1545.2</v>
      </c>
      <c r="G1918" s="10">
        <f t="shared" si="9"/>
        <v>39900.64583</v>
      </c>
      <c r="H1918" s="6" t="str">
        <f t="shared" si="6"/>
        <v/>
      </c>
      <c r="I1918" s="2">
        <f t="shared" si="7"/>
        <v>1426.89</v>
      </c>
      <c r="M1918" s="10">
        <f>IFERROR(__xludf.DUMMYFUNCTION("""COMPUTED_VALUE"""),40759.666666666664)</f>
        <v>40759.66667</v>
      </c>
      <c r="N1918" s="2">
        <f>IFERROR(__xludf.DUMMYFUNCTION("""COMPUTED_VALUE"""),2556.39)</f>
        <v>2556.39</v>
      </c>
    </row>
    <row r="1919">
      <c r="A1919" s="10">
        <f t="shared" si="8"/>
        <v>39901.66667</v>
      </c>
      <c r="B1919" s="2" t="str">
        <f t="shared" si="2"/>
        <v/>
      </c>
      <c r="C1919" s="2" t="str">
        <f t="shared" si="3"/>
        <v>SP500</v>
      </c>
      <c r="D1919" s="2" t="str">
        <f t="shared" si="4"/>
        <v/>
      </c>
      <c r="E1919" s="2">
        <f t="shared" si="5"/>
        <v>1545.2</v>
      </c>
      <c r="G1919" s="10">
        <f t="shared" si="9"/>
        <v>39901.64583</v>
      </c>
      <c r="H1919" s="6" t="str">
        <f t="shared" si="6"/>
        <v/>
      </c>
      <c r="I1919" s="2">
        <f t="shared" si="7"/>
        <v>1426.89</v>
      </c>
      <c r="M1919" s="10">
        <f>IFERROR(__xludf.DUMMYFUNCTION("""COMPUTED_VALUE"""),40760.666666666664)</f>
        <v>40760.66667</v>
      </c>
      <c r="N1919" s="2">
        <f>IFERROR(__xludf.DUMMYFUNCTION("""COMPUTED_VALUE"""),2532.41)</f>
        <v>2532.41</v>
      </c>
    </row>
    <row r="1920">
      <c r="A1920" s="10">
        <f t="shared" si="8"/>
        <v>39902.66667</v>
      </c>
      <c r="B1920" s="2" t="str">
        <f t="shared" si="2"/>
        <v/>
      </c>
      <c r="C1920" s="2" t="str">
        <f t="shared" si="3"/>
        <v>SP500</v>
      </c>
      <c r="D1920" s="2">
        <f t="shared" si="4"/>
        <v>1501.8</v>
      </c>
      <c r="E1920" s="2">
        <f t="shared" si="5"/>
        <v>1501.8</v>
      </c>
      <c r="G1920" s="10">
        <f t="shared" si="9"/>
        <v>39902.64583</v>
      </c>
      <c r="H1920" s="6" t="str">
        <f t="shared" si="6"/>
        <v/>
      </c>
      <c r="I1920" s="2">
        <f t="shared" si="7"/>
        <v>1426.89</v>
      </c>
      <c r="M1920" s="10">
        <f>IFERROR(__xludf.DUMMYFUNCTION("""COMPUTED_VALUE"""),40763.666666666664)</f>
        <v>40763.66667</v>
      </c>
      <c r="N1920" s="2">
        <f>IFERROR(__xludf.DUMMYFUNCTION("""COMPUTED_VALUE"""),2357.69)</f>
        <v>2357.69</v>
      </c>
    </row>
    <row r="1921">
      <c r="A1921" s="10">
        <f t="shared" si="8"/>
        <v>39903.66667</v>
      </c>
      <c r="B1921" s="2" t="str">
        <f t="shared" si="2"/>
        <v/>
      </c>
      <c r="C1921" s="2" t="str">
        <f t="shared" si="3"/>
        <v>SP500</v>
      </c>
      <c r="D1921" s="2">
        <f t="shared" si="4"/>
        <v>1528.59</v>
      </c>
      <c r="E1921" s="2">
        <f t="shared" si="5"/>
        <v>1528.59</v>
      </c>
      <c r="G1921" s="10">
        <f t="shared" si="9"/>
        <v>39903.64583</v>
      </c>
      <c r="H1921" s="6" t="str">
        <f t="shared" si="6"/>
        <v/>
      </c>
      <c r="I1921" s="2">
        <f t="shared" si="7"/>
        <v>1426.89</v>
      </c>
      <c r="M1921" s="10">
        <f>IFERROR(__xludf.DUMMYFUNCTION("""COMPUTED_VALUE"""),40764.666666666664)</f>
        <v>40764.66667</v>
      </c>
      <c r="N1921" s="2">
        <f>IFERROR(__xludf.DUMMYFUNCTION("""COMPUTED_VALUE"""),2482.52)</f>
        <v>2482.52</v>
      </c>
    </row>
    <row r="1922">
      <c r="A1922" s="10">
        <f t="shared" si="8"/>
        <v>39904.66667</v>
      </c>
      <c r="B1922" s="2" t="str">
        <f t="shared" si="2"/>
        <v/>
      </c>
      <c r="C1922" s="2" t="str">
        <f t="shared" si="3"/>
        <v>SP500</v>
      </c>
      <c r="D1922" s="2">
        <f t="shared" si="4"/>
        <v>1551.6</v>
      </c>
      <c r="E1922" s="2">
        <f t="shared" si="5"/>
        <v>1551.6</v>
      </c>
      <c r="G1922" s="10">
        <f t="shared" si="9"/>
        <v>39904.64583</v>
      </c>
      <c r="H1922" s="6" t="str">
        <f t="shared" si="6"/>
        <v/>
      </c>
      <c r="I1922" s="2">
        <f t="shared" si="7"/>
        <v>1426.89</v>
      </c>
      <c r="M1922" s="10">
        <f>IFERROR(__xludf.DUMMYFUNCTION("""COMPUTED_VALUE"""),40765.666666666664)</f>
        <v>40765.66667</v>
      </c>
      <c r="N1922" s="2">
        <f>IFERROR(__xludf.DUMMYFUNCTION("""COMPUTED_VALUE"""),2381.05)</f>
        <v>2381.05</v>
      </c>
    </row>
    <row r="1923">
      <c r="A1923" s="10">
        <f t="shared" si="8"/>
        <v>39905.66667</v>
      </c>
      <c r="B1923" s="2" t="str">
        <f t="shared" si="2"/>
        <v/>
      </c>
      <c r="C1923" s="2" t="str">
        <f t="shared" si="3"/>
        <v>SP500</v>
      </c>
      <c r="D1923" s="2">
        <f t="shared" si="4"/>
        <v>1602.63</v>
      </c>
      <c r="E1923" s="2">
        <f t="shared" si="5"/>
        <v>1602.63</v>
      </c>
      <c r="G1923" s="10">
        <f t="shared" si="9"/>
        <v>39905.64583</v>
      </c>
      <c r="H1923" s="6" t="str">
        <f t="shared" si="6"/>
        <v/>
      </c>
      <c r="I1923" s="2">
        <f t="shared" si="7"/>
        <v>1426.89</v>
      </c>
      <c r="M1923" s="10">
        <f>IFERROR(__xludf.DUMMYFUNCTION("""COMPUTED_VALUE"""),40766.666666666664)</f>
        <v>40766.66667</v>
      </c>
      <c r="N1923" s="2">
        <f>IFERROR(__xludf.DUMMYFUNCTION("""COMPUTED_VALUE"""),2492.68)</f>
        <v>2492.68</v>
      </c>
    </row>
    <row r="1924">
      <c r="A1924" s="10">
        <f t="shared" si="8"/>
        <v>39906.66667</v>
      </c>
      <c r="B1924" s="2" t="str">
        <f t="shared" si="2"/>
        <v/>
      </c>
      <c r="C1924" s="2" t="str">
        <f t="shared" si="3"/>
        <v>SP500</v>
      </c>
      <c r="D1924" s="2">
        <f t="shared" si="4"/>
        <v>1621.87</v>
      </c>
      <c r="E1924" s="2">
        <f t="shared" si="5"/>
        <v>1621.87</v>
      </c>
      <c r="G1924" s="10">
        <f t="shared" si="9"/>
        <v>39906.64583</v>
      </c>
      <c r="H1924" s="6" t="str">
        <f t="shared" si="6"/>
        <v/>
      </c>
      <c r="I1924" s="2">
        <f t="shared" si="7"/>
        <v>1426.89</v>
      </c>
      <c r="M1924" s="10">
        <f>IFERROR(__xludf.DUMMYFUNCTION("""COMPUTED_VALUE"""),40767.666666666664)</f>
        <v>40767.66667</v>
      </c>
      <c r="N1924" s="2">
        <f>IFERROR(__xludf.DUMMYFUNCTION("""COMPUTED_VALUE"""),2507.98)</f>
        <v>2507.98</v>
      </c>
    </row>
    <row r="1925">
      <c r="A1925" s="10">
        <f t="shared" si="8"/>
        <v>39907.66667</v>
      </c>
      <c r="B1925" s="2" t="str">
        <f t="shared" si="2"/>
        <v/>
      </c>
      <c r="C1925" s="2" t="str">
        <f t="shared" si="3"/>
        <v>SP500</v>
      </c>
      <c r="D1925" s="2" t="str">
        <f t="shared" si="4"/>
        <v/>
      </c>
      <c r="E1925" s="2">
        <f t="shared" si="5"/>
        <v>1621.87</v>
      </c>
      <c r="G1925" s="10">
        <f t="shared" si="9"/>
        <v>39907.64583</v>
      </c>
      <c r="H1925" s="6" t="str">
        <f t="shared" si="6"/>
        <v/>
      </c>
      <c r="I1925" s="2">
        <f t="shared" si="7"/>
        <v>1426.89</v>
      </c>
      <c r="M1925" s="10">
        <f>IFERROR(__xludf.DUMMYFUNCTION("""COMPUTED_VALUE"""),40770.666666666664)</f>
        <v>40770.66667</v>
      </c>
      <c r="N1925" s="2">
        <f>IFERROR(__xludf.DUMMYFUNCTION("""COMPUTED_VALUE"""),2555.2)</f>
        <v>2555.2</v>
      </c>
    </row>
    <row r="1926">
      <c r="A1926" s="10">
        <f t="shared" si="8"/>
        <v>39908.66667</v>
      </c>
      <c r="B1926" s="2" t="str">
        <f t="shared" si="2"/>
        <v/>
      </c>
      <c r="C1926" s="2" t="str">
        <f t="shared" si="3"/>
        <v>SP500</v>
      </c>
      <c r="D1926" s="2" t="str">
        <f t="shared" si="4"/>
        <v/>
      </c>
      <c r="E1926" s="2">
        <f t="shared" si="5"/>
        <v>1621.87</v>
      </c>
      <c r="G1926" s="10">
        <f t="shared" si="9"/>
        <v>39908.64583</v>
      </c>
      <c r="H1926" s="6" t="str">
        <f t="shared" si="6"/>
        <v/>
      </c>
      <c r="I1926" s="2">
        <f t="shared" si="7"/>
        <v>1426.89</v>
      </c>
      <c r="M1926" s="10">
        <f>IFERROR(__xludf.DUMMYFUNCTION("""COMPUTED_VALUE"""),40771.666666666664)</f>
        <v>40771.66667</v>
      </c>
      <c r="N1926" s="2">
        <f>IFERROR(__xludf.DUMMYFUNCTION("""COMPUTED_VALUE"""),2523.45)</f>
        <v>2523.45</v>
      </c>
    </row>
    <row r="1927">
      <c r="A1927" s="10">
        <f t="shared" si="8"/>
        <v>39909.66667</v>
      </c>
      <c r="B1927" s="2" t="str">
        <f t="shared" si="2"/>
        <v/>
      </c>
      <c r="C1927" s="2" t="str">
        <f t="shared" si="3"/>
        <v>SP500</v>
      </c>
      <c r="D1927" s="2">
        <f t="shared" si="4"/>
        <v>1606.71</v>
      </c>
      <c r="E1927" s="2">
        <f t="shared" si="5"/>
        <v>1606.71</v>
      </c>
      <c r="G1927" s="10">
        <f t="shared" si="9"/>
        <v>39909.64583</v>
      </c>
      <c r="H1927" s="6" t="str">
        <f t="shared" si="6"/>
        <v/>
      </c>
      <c r="I1927" s="2">
        <f t="shared" si="7"/>
        <v>1426.89</v>
      </c>
      <c r="M1927" s="10">
        <f>IFERROR(__xludf.DUMMYFUNCTION("""COMPUTED_VALUE"""),40772.666666666664)</f>
        <v>40772.66667</v>
      </c>
      <c r="N1927" s="2">
        <f>IFERROR(__xludf.DUMMYFUNCTION("""COMPUTED_VALUE"""),2511.48)</f>
        <v>2511.48</v>
      </c>
    </row>
    <row r="1928">
      <c r="A1928" s="10">
        <f t="shared" si="8"/>
        <v>39910.66667</v>
      </c>
      <c r="B1928" s="2" t="str">
        <f t="shared" si="2"/>
        <v/>
      </c>
      <c r="C1928" s="2" t="str">
        <f t="shared" si="3"/>
        <v>SP500</v>
      </c>
      <c r="D1928" s="2">
        <f t="shared" si="4"/>
        <v>1561.61</v>
      </c>
      <c r="E1928" s="2">
        <f t="shared" si="5"/>
        <v>1561.61</v>
      </c>
      <c r="G1928" s="10">
        <f t="shared" si="9"/>
        <v>39910.64583</v>
      </c>
      <c r="H1928" s="6" t="str">
        <f t="shared" si="6"/>
        <v/>
      </c>
      <c r="I1928" s="2">
        <f t="shared" si="7"/>
        <v>1426.89</v>
      </c>
      <c r="M1928" s="10">
        <f>IFERROR(__xludf.DUMMYFUNCTION("""COMPUTED_VALUE"""),40773.666666666664)</f>
        <v>40773.66667</v>
      </c>
      <c r="N1928" s="2">
        <f>IFERROR(__xludf.DUMMYFUNCTION("""COMPUTED_VALUE"""),2380.43)</f>
        <v>2380.43</v>
      </c>
    </row>
    <row r="1929">
      <c r="A1929" s="10">
        <f t="shared" si="8"/>
        <v>39911.66667</v>
      </c>
      <c r="B1929" s="2" t="str">
        <f t="shared" si="2"/>
        <v/>
      </c>
      <c r="C1929" s="2" t="str">
        <f t="shared" si="3"/>
        <v>SP500</v>
      </c>
      <c r="D1929" s="2">
        <f t="shared" si="4"/>
        <v>1590.66</v>
      </c>
      <c r="E1929" s="2">
        <f t="shared" si="5"/>
        <v>1590.66</v>
      </c>
      <c r="G1929" s="10">
        <f t="shared" si="9"/>
        <v>39911.64583</v>
      </c>
      <c r="H1929" s="6" t="str">
        <f t="shared" si="6"/>
        <v/>
      </c>
      <c r="I1929" s="2">
        <f t="shared" si="7"/>
        <v>1426.89</v>
      </c>
      <c r="M1929" s="10">
        <f>IFERROR(__xludf.DUMMYFUNCTION("""COMPUTED_VALUE"""),40774.666666666664)</f>
        <v>40774.66667</v>
      </c>
      <c r="N1929" s="2">
        <f>IFERROR(__xludf.DUMMYFUNCTION("""COMPUTED_VALUE"""),2341.84)</f>
        <v>2341.84</v>
      </c>
    </row>
    <row r="1930">
      <c r="A1930" s="10">
        <f t="shared" si="8"/>
        <v>39912.66667</v>
      </c>
      <c r="B1930" s="2" t="str">
        <f t="shared" si="2"/>
        <v/>
      </c>
      <c r="C1930" s="2" t="str">
        <f t="shared" si="3"/>
        <v>SP500</v>
      </c>
      <c r="D1930" s="2">
        <f t="shared" si="4"/>
        <v>1652.54</v>
      </c>
      <c r="E1930" s="2">
        <f t="shared" si="5"/>
        <v>1652.54</v>
      </c>
      <c r="G1930" s="10">
        <f t="shared" si="9"/>
        <v>39912.64583</v>
      </c>
      <c r="H1930" s="6" t="str">
        <f t="shared" si="6"/>
        <v/>
      </c>
      <c r="I1930" s="2">
        <f t="shared" si="7"/>
        <v>1426.89</v>
      </c>
      <c r="M1930" s="10">
        <f>IFERROR(__xludf.DUMMYFUNCTION("""COMPUTED_VALUE"""),40777.666666666664)</f>
        <v>40777.66667</v>
      </c>
      <c r="N1930" s="2">
        <f>IFERROR(__xludf.DUMMYFUNCTION("""COMPUTED_VALUE"""),2345.38)</f>
        <v>2345.38</v>
      </c>
    </row>
    <row r="1931">
      <c r="A1931" s="10">
        <f t="shared" si="8"/>
        <v>39913.66667</v>
      </c>
      <c r="B1931" s="2" t="str">
        <f t="shared" si="2"/>
        <v/>
      </c>
      <c r="C1931" s="2" t="str">
        <f t="shared" si="3"/>
        <v>SP500</v>
      </c>
      <c r="D1931" s="2" t="str">
        <f t="shared" si="4"/>
        <v/>
      </c>
      <c r="E1931" s="2">
        <f t="shared" si="5"/>
        <v>1652.54</v>
      </c>
      <c r="G1931" s="10">
        <f t="shared" si="9"/>
        <v>39913.64583</v>
      </c>
      <c r="H1931" s="6" t="str">
        <f t="shared" si="6"/>
        <v/>
      </c>
      <c r="I1931" s="2">
        <f t="shared" si="7"/>
        <v>1426.89</v>
      </c>
      <c r="M1931" s="10">
        <f>IFERROR(__xludf.DUMMYFUNCTION("""COMPUTED_VALUE"""),40778.666666666664)</f>
        <v>40778.66667</v>
      </c>
      <c r="N1931" s="2">
        <f>IFERROR(__xludf.DUMMYFUNCTION("""COMPUTED_VALUE"""),2446.06)</f>
        <v>2446.06</v>
      </c>
    </row>
    <row r="1932">
      <c r="A1932" s="10">
        <f t="shared" si="8"/>
        <v>39914.66667</v>
      </c>
      <c r="B1932" s="2" t="str">
        <f t="shared" si="2"/>
        <v/>
      </c>
      <c r="C1932" s="2" t="str">
        <f t="shared" si="3"/>
        <v>SP500</v>
      </c>
      <c r="D1932" s="2" t="str">
        <f t="shared" si="4"/>
        <v/>
      </c>
      <c r="E1932" s="2">
        <f t="shared" si="5"/>
        <v>1652.54</v>
      </c>
      <c r="G1932" s="10">
        <f t="shared" si="9"/>
        <v>39914.64583</v>
      </c>
      <c r="H1932" s="6" t="str">
        <f t="shared" si="6"/>
        <v/>
      </c>
      <c r="I1932" s="2">
        <f t="shared" si="7"/>
        <v>1426.89</v>
      </c>
      <c r="M1932" s="10">
        <f>IFERROR(__xludf.DUMMYFUNCTION("""COMPUTED_VALUE"""),40779.666666666664)</f>
        <v>40779.66667</v>
      </c>
      <c r="N1932" s="2">
        <f>IFERROR(__xludf.DUMMYFUNCTION("""COMPUTED_VALUE"""),2467.69)</f>
        <v>2467.69</v>
      </c>
    </row>
    <row r="1933">
      <c r="A1933" s="10">
        <f t="shared" si="8"/>
        <v>39915.66667</v>
      </c>
      <c r="B1933" s="2" t="str">
        <f t="shared" si="2"/>
        <v/>
      </c>
      <c r="C1933" s="2" t="str">
        <f t="shared" si="3"/>
        <v>SP500</v>
      </c>
      <c r="D1933" s="2" t="str">
        <f t="shared" si="4"/>
        <v/>
      </c>
      <c r="E1933" s="2">
        <f t="shared" si="5"/>
        <v>1652.54</v>
      </c>
      <c r="G1933" s="10">
        <f t="shared" si="9"/>
        <v>39915.64583</v>
      </c>
      <c r="H1933" s="6" t="str">
        <f t="shared" si="6"/>
        <v/>
      </c>
      <c r="I1933" s="2">
        <f t="shared" si="7"/>
        <v>1426.89</v>
      </c>
      <c r="M1933" s="10">
        <f>IFERROR(__xludf.DUMMYFUNCTION("""COMPUTED_VALUE"""),40780.666666666664)</f>
        <v>40780.66667</v>
      </c>
      <c r="N1933" s="2">
        <f>IFERROR(__xludf.DUMMYFUNCTION("""COMPUTED_VALUE"""),2419.63)</f>
        <v>2419.63</v>
      </c>
    </row>
    <row r="1934">
      <c r="A1934" s="10">
        <f t="shared" si="8"/>
        <v>39916.66667</v>
      </c>
      <c r="B1934" s="2" t="str">
        <f t="shared" si="2"/>
        <v/>
      </c>
      <c r="C1934" s="2" t="str">
        <f t="shared" si="3"/>
        <v>SP500</v>
      </c>
      <c r="D1934" s="2">
        <f t="shared" si="4"/>
        <v>1653.31</v>
      </c>
      <c r="E1934" s="2">
        <f t="shared" si="5"/>
        <v>1653.31</v>
      </c>
      <c r="G1934" s="10">
        <f t="shared" si="9"/>
        <v>39916.64583</v>
      </c>
      <c r="H1934" s="6" t="str">
        <f t="shared" si="6"/>
        <v/>
      </c>
      <c r="I1934" s="2">
        <f t="shared" si="7"/>
        <v>1426.89</v>
      </c>
      <c r="M1934" s="10">
        <f>IFERROR(__xludf.DUMMYFUNCTION("""COMPUTED_VALUE"""),40781.666666666664)</f>
        <v>40781.66667</v>
      </c>
      <c r="N1934" s="2">
        <f>IFERROR(__xludf.DUMMYFUNCTION("""COMPUTED_VALUE"""),2479.85)</f>
        <v>2479.85</v>
      </c>
    </row>
    <row r="1935">
      <c r="A1935" s="10">
        <f t="shared" si="8"/>
        <v>39917.66667</v>
      </c>
      <c r="B1935" s="2" t="str">
        <f t="shared" si="2"/>
        <v/>
      </c>
      <c r="C1935" s="2" t="str">
        <f t="shared" si="3"/>
        <v>SP500</v>
      </c>
      <c r="D1935" s="2">
        <f t="shared" si="4"/>
        <v>1625.72</v>
      </c>
      <c r="E1935" s="2">
        <f t="shared" si="5"/>
        <v>1625.72</v>
      </c>
      <c r="G1935" s="10">
        <f t="shared" si="9"/>
        <v>39917.64583</v>
      </c>
      <c r="H1935" s="6" t="str">
        <f t="shared" si="6"/>
        <v/>
      </c>
      <c r="I1935" s="2">
        <f t="shared" si="7"/>
        <v>1426.89</v>
      </c>
      <c r="M1935" s="10">
        <f>IFERROR(__xludf.DUMMYFUNCTION("""COMPUTED_VALUE"""),40784.666666666664)</f>
        <v>40784.66667</v>
      </c>
      <c r="N1935" s="2">
        <f>IFERROR(__xludf.DUMMYFUNCTION("""COMPUTED_VALUE"""),2562.11)</f>
        <v>2562.11</v>
      </c>
    </row>
    <row r="1936">
      <c r="A1936" s="10">
        <f t="shared" si="8"/>
        <v>39918.66667</v>
      </c>
      <c r="B1936" s="2" t="str">
        <f t="shared" si="2"/>
        <v/>
      </c>
      <c r="C1936" s="2" t="str">
        <f t="shared" si="3"/>
        <v>SP500</v>
      </c>
      <c r="D1936" s="2">
        <f t="shared" si="4"/>
        <v>1626.8</v>
      </c>
      <c r="E1936" s="2">
        <f t="shared" si="5"/>
        <v>1626.8</v>
      </c>
      <c r="G1936" s="10">
        <f t="shared" si="9"/>
        <v>39918.64583</v>
      </c>
      <c r="H1936" s="6" t="str">
        <f t="shared" si="6"/>
        <v/>
      </c>
      <c r="I1936" s="2">
        <f t="shared" si="7"/>
        <v>1426.89</v>
      </c>
      <c r="M1936" s="10">
        <f>IFERROR(__xludf.DUMMYFUNCTION("""COMPUTED_VALUE"""),40785.666666666664)</f>
        <v>40785.66667</v>
      </c>
      <c r="N1936" s="2">
        <f>IFERROR(__xludf.DUMMYFUNCTION("""COMPUTED_VALUE"""),2576.11)</f>
        <v>2576.11</v>
      </c>
    </row>
    <row r="1937">
      <c r="A1937" s="10">
        <f t="shared" si="8"/>
        <v>39919.66667</v>
      </c>
      <c r="B1937" s="2" t="str">
        <f t="shared" si="2"/>
        <v/>
      </c>
      <c r="C1937" s="2" t="str">
        <f t="shared" si="3"/>
        <v>SP500</v>
      </c>
      <c r="D1937" s="2">
        <f t="shared" si="4"/>
        <v>1670.44</v>
      </c>
      <c r="E1937" s="2">
        <f t="shared" si="5"/>
        <v>1670.44</v>
      </c>
      <c r="G1937" s="10">
        <f t="shared" si="9"/>
        <v>39919.64583</v>
      </c>
      <c r="H1937" s="6" t="str">
        <f t="shared" si="6"/>
        <v/>
      </c>
      <c r="I1937" s="2">
        <f t="shared" si="7"/>
        <v>1426.89</v>
      </c>
      <c r="M1937" s="10">
        <f>IFERROR(__xludf.DUMMYFUNCTION("""COMPUTED_VALUE"""),40786.666666666664)</f>
        <v>40786.66667</v>
      </c>
      <c r="N1937" s="2">
        <f>IFERROR(__xludf.DUMMYFUNCTION("""COMPUTED_VALUE"""),2579.46)</f>
        <v>2579.46</v>
      </c>
    </row>
    <row r="1938">
      <c r="A1938" s="10">
        <f t="shared" si="8"/>
        <v>39920.66667</v>
      </c>
      <c r="B1938" s="2" t="str">
        <f t="shared" si="2"/>
        <v/>
      </c>
      <c r="C1938" s="2" t="str">
        <f t="shared" si="3"/>
        <v>SP500</v>
      </c>
      <c r="D1938" s="2">
        <f t="shared" si="4"/>
        <v>1673.07</v>
      </c>
      <c r="E1938" s="2">
        <f t="shared" si="5"/>
        <v>1673.07</v>
      </c>
      <c r="G1938" s="10">
        <f t="shared" si="9"/>
        <v>39920.64583</v>
      </c>
      <c r="H1938" s="6" t="str">
        <f t="shared" si="6"/>
        <v/>
      </c>
      <c r="I1938" s="2">
        <f t="shared" si="7"/>
        <v>1426.89</v>
      </c>
      <c r="M1938" s="10">
        <f>IFERROR(__xludf.DUMMYFUNCTION("""COMPUTED_VALUE"""),40787.666666666664)</f>
        <v>40787.66667</v>
      </c>
      <c r="N1938" s="2">
        <f>IFERROR(__xludf.DUMMYFUNCTION("""COMPUTED_VALUE"""),2546.04)</f>
        <v>2546.04</v>
      </c>
    </row>
    <row r="1939">
      <c r="A1939" s="10">
        <f t="shared" si="8"/>
        <v>39921.66667</v>
      </c>
      <c r="B1939" s="2" t="str">
        <f t="shared" si="2"/>
        <v/>
      </c>
      <c r="C1939" s="2" t="str">
        <f t="shared" si="3"/>
        <v>SP500</v>
      </c>
      <c r="D1939" s="2" t="str">
        <f t="shared" si="4"/>
        <v/>
      </c>
      <c r="E1939" s="2">
        <f t="shared" si="5"/>
        <v>1673.07</v>
      </c>
      <c r="G1939" s="10">
        <f t="shared" si="9"/>
        <v>39921.64583</v>
      </c>
      <c r="H1939" s="6" t="str">
        <f t="shared" si="6"/>
        <v/>
      </c>
      <c r="I1939" s="2">
        <f t="shared" si="7"/>
        <v>1426.89</v>
      </c>
      <c r="M1939" s="10">
        <f>IFERROR(__xludf.DUMMYFUNCTION("""COMPUTED_VALUE"""),40788.666666666664)</f>
        <v>40788.66667</v>
      </c>
      <c r="N1939" s="2">
        <f>IFERROR(__xludf.DUMMYFUNCTION("""COMPUTED_VALUE"""),2480.33)</f>
        <v>2480.33</v>
      </c>
    </row>
    <row r="1940">
      <c r="A1940" s="10">
        <f t="shared" si="8"/>
        <v>39922.66667</v>
      </c>
      <c r="B1940" s="2" t="str">
        <f t="shared" si="2"/>
        <v/>
      </c>
      <c r="C1940" s="2" t="str">
        <f t="shared" si="3"/>
        <v>SP500</v>
      </c>
      <c r="D1940" s="2" t="str">
        <f t="shared" si="4"/>
        <v/>
      </c>
      <c r="E1940" s="2">
        <f t="shared" si="5"/>
        <v>1673.07</v>
      </c>
      <c r="G1940" s="10">
        <f t="shared" si="9"/>
        <v>39922.64583</v>
      </c>
      <c r="H1940" s="6" t="str">
        <f t="shared" si="6"/>
        <v/>
      </c>
      <c r="I1940" s="2">
        <f t="shared" si="7"/>
        <v>1426.89</v>
      </c>
      <c r="M1940" s="10">
        <f>IFERROR(__xludf.DUMMYFUNCTION("""COMPUTED_VALUE"""),40792.666666666664)</f>
        <v>40792.66667</v>
      </c>
      <c r="N1940" s="2">
        <f>IFERROR(__xludf.DUMMYFUNCTION("""COMPUTED_VALUE"""),2473.83)</f>
        <v>2473.83</v>
      </c>
    </row>
    <row r="1941">
      <c r="A1941" s="10">
        <f t="shared" si="8"/>
        <v>39923.66667</v>
      </c>
      <c r="B1941" s="2" t="str">
        <f t="shared" si="2"/>
        <v/>
      </c>
      <c r="C1941" s="2" t="str">
        <f t="shared" si="3"/>
        <v>SP500</v>
      </c>
      <c r="D1941" s="2">
        <f t="shared" si="4"/>
        <v>1608.21</v>
      </c>
      <c r="E1941" s="2">
        <f t="shared" si="5"/>
        <v>1608.21</v>
      </c>
      <c r="G1941" s="10">
        <f t="shared" si="9"/>
        <v>39923.64583</v>
      </c>
      <c r="H1941" s="6" t="str">
        <f t="shared" si="6"/>
        <v/>
      </c>
      <c r="I1941" s="2">
        <f t="shared" si="7"/>
        <v>1426.89</v>
      </c>
      <c r="M1941" s="10">
        <f>IFERROR(__xludf.DUMMYFUNCTION("""COMPUTED_VALUE"""),40793.666666666664)</f>
        <v>40793.66667</v>
      </c>
      <c r="N1941" s="2">
        <f>IFERROR(__xludf.DUMMYFUNCTION("""COMPUTED_VALUE"""),2548.94)</f>
        <v>2548.94</v>
      </c>
    </row>
    <row r="1942">
      <c r="A1942" s="10">
        <f t="shared" si="8"/>
        <v>39924.66667</v>
      </c>
      <c r="B1942" s="2" t="str">
        <f t="shared" si="2"/>
        <v/>
      </c>
      <c r="C1942" s="2" t="str">
        <f t="shared" si="3"/>
        <v>SP500</v>
      </c>
      <c r="D1942" s="2">
        <f t="shared" si="4"/>
        <v>1643.85</v>
      </c>
      <c r="E1942" s="2">
        <f t="shared" si="5"/>
        <v>1643.85</v>
      </c>
      <c r="G1942" s="10">
        <f t="shared" si="9"/>
        <v>39924.64583</v>
      </c>
      <c r="H1942" s="6" t="str">
        <f t="shared" si="6"/>
        <v/>
      </c>
      <c r="I1942" s="2">
        <f t="shared" si="7"/>
        <v>1426.89</v>
      </c>
      <c r="M1942" s="10">
        <f>IFERROR(__xludf.DUMMYFUNCTION("""COMPUTED_VALUE"""),40794.666666666664)</f>
        <v>40794.66667</v>
      </c>
      <c r="N1942" s="2">
        <f>IFERROR(__xludf.DUMMYFUNCTION("""COMPUTED_VALUE"""),2529.14)</f>
        <v>2529.14</v>
      </c>
    </row>
    <row r="1943">
      <c r="A1943" s="10">
        <f t="shared" si="8"/>
        <v>39925.66667</v>
      </c>
      <c r="B1943" s="2" t="str">
        <f t="shared" si="2"/>
        <v/>
      </c>
      <c r="C1943" s="2" t="str">
        <f t="shared" si="3"/>
        <v>SP500</v>
      </c>
      <c r="D1943" s="2">
        <f t="shared" si="4"/>
        <v>1646.12</v>
      </c>
      <c r="E1943" s="2">
        <f t="shared" si="5"/>
        <v>1646.12</v>
      </c>
      <c r="G1943" s="10">
        <f t="shared" si="9"/>
        <v>39925.64583</v>
      </c>
      <c r="H1943" s="6" t="str">
        <f t="shared" si="6"/>
        <v/>
      </c>
      <c r="I1943" s="2">
        <f t="shared" si="7"/>
        <v>1426.89</v>
      </c>
      <c r="M1943" s="10">
        <f>IFERROR(__xludf.DUMMYFUNCTION("""COMPUTED_VALUE"""),40795.666666666664)</f>
        <v>40795.66667</v>
      </c>
      <c r="N1943" s="2">
        <f>IFERROR(__xludf.DUMMYFUNCTION("""COMPUTED_VALUE"""),2467.99)</f>
        <v>2467.99</v>
      </c>
    </row>
    <row r="1944">
      <c r="A1944" s="10">
        <f t="shared" si="8"/>
        <v>39926.66667</v>
      </c>
      <c r="B1944" s="2" t="str">
        <f t="shared" si="2"/>
        <v/>
      </c>
      <c r="C1944" s="2" t="str">
        <f t="shared" si="3"/>
        <v>SP500</v>
      </c>
      <c r="D1944" s="2">
        <f t="shared" si="4"/>
        <v>1652.21</v>
      </c>
      <c r="E1944" s="2">
        <f t="shared" si="5"/>
        <v>1652.21</v>
      </c>
      <c r="G1944" s="10">
        <f t="shared" si="9"/>
        <v>39926.64583</v>
      </c>
      <c r="H1944" s="6" t="str">
        <f t="shared" si="6"/>
        <v/>
      </c>
      <c r="I1944" s="2">
        <f t="shared" si="7"/>
        <v>1426.89</v>
      </c>
      <c r="M1944" s="10">
        <f>IFERROR(__xludf.DUMMYFUNCTION("""COMPUTED_VALUE"""),40798.666666666664)</f>
        <v>40798.66667</v>
      </c>
      <c r="N1944" s="2">
        <f>IFERROR(__xludf.DUMMYFUNCTION("""COMPUTED_VALUE"""),2495.09)</f>
        <v>2495.09</v>
      </c>
    </row>
    <row r="1945">
      <c r="A1945" s="10">
        <f t="shared" si="8"/>
        <v>39927.66667</v>
      </c>
      <c r="B1945" s="2" t="str">
        <f t="shared" si="2"/>
        <v/>
      </c>
      <c r="C1945" s="2" t="str">
        <f t="shared" si="3"/>
        <v>SP500</v>
      </c>
      <c r="D1945" s="2">
        <f t="shared" si="4"/>
        <v>1694.29</v>
      </c>
      <c r="E1945" s="2">
        <f t="shared" si="5"/>
        <v>1694.29</v>
      </c>
      <c r="G1945" s="10">
        <f t="shared" si="9"/>
        <v>39927.64583</v>
      </c>
      <c r="H1945" s="6" t="str">
        <f t="shared" si="6"/>
        <v/>
      </c>
      <c r="I1945" s="2">
        <f t="shared" si="7"/>
        <v>1426.89</v>
      </c>
      <c r="M1945" s="10">
        <f>IFERROR(__xludf.DUMMYFUNCTION("""COMPUTED_VALUE"""),40799.666666666664)</f>
        <v>40799.66667</v>
      </c>
      <c r="N1945" s="2">
        <f>IFERROR(__xludf.DUMMYFUNCTION("""COMPUTED_VALUE"""),2532.15)</f>
        <v>2532.15</v>
      </c>
    </row>
    <row r="1946">
      <c r="A1946" s="10">
        <f t="shared" si="8"/>
        <v>39928.66667</v>
      </c>
      <c r="B1946" s="2" t="str">
        <f t="shared" si="2"/>
        <v/>
      </c>
      <c r="C1946" s="2" t="str">
        <f t="shared" si="3"/>
        <v>SP500</v>
      </c>
      <c r="D1946" s="2" t="str">
        <f t="shared" si="4"/>
        <v/>
      </c>
      <c r="E1946" s="2">
        <f t="shared" si="5"/>
        <v>1694.29</v>
      </c>
      <c r="G1946" s="10">
        <f t="shared" si="9"/>
        <v>39928.64583</v>
      </c>
      <c r="H1946" s="6" t="str">
        <f t="shared" si="6"/>
        <v/>
      </c>
      <c r="I1946" s="2">
        <f t="shared" si="7"/>
        <v>1426.89</v>
      </c>
      <c r="M1946" s="10">
        <f>IFERROR(__xludf.DUMMYFUNCTION("""COMPUTED_VALUE"""),40800.666666666664)</f>
        <v>40800.66667</v>
      </c>
      <c r="N1946" s="2">
        <f>IFERROR(__xludf.DUMMYFUNCTION("""COMPUTED_VALUE"""),2572.55)</f>
        <v>2572.55</v>
      </c>
    </row>
    <row r="1947">
      <c r="A1947" s="10">
        <f t="shared" si="8"/>
        <v>39929.66667</v>
      </c>
      <c r="B1947" s="2" t="str">
        <f t="shared" si="2"/>
        <v/>
      </c>
      <c r="C1947" s="2" t="str">
        <f t="shared" si="3"/>
        <v>SP500</v>
      </c>
      <c r="D1947" s="2" t="str">
        <f t="shared" si="4"/>
        <v/>
      </c>
      <c r="E1947" s="2">
        <f t="shared" si="5"/>
        <v>1694.29</v>
      </c>
      <c r="G1947" s="10">
        <f t="shared" si="9"/>
        <v>39929.64583</v>
      </c>
      <c r="H1947" s="6" t="str">
        <f t="shared" si="6"/>
        <v/>
      </c>
      <c r="I1947" s="2">
        <f t="shared" si="7"/>
        <v>1426.89</v>
      </c>
      <c r="M1947" s="10">
        <f>IFERROR(__xludf.DUMMYFUNCTION("""COMPUTED_VALUE"""),40801.666666666664)</f>
        <v>40801.66667</v>
      </c>
      <c r="N1947" s="2">
        <f>IFERROR(__xludf.DUMMYFUNCTION("""COMPUTED_VALUE"""),2607.07)</f>
        <v>2607.07</v>
      </c>
    </row>
    <row r="1948">
      <c r="A1948" s="10">
        <f t="shared" si="8"/>
        <v>39930.66667</v>
      </c>
      <c r="B1948" s="2" t="str">
        <f t="shared" si="2"/>
        <v/>
      </c>
      <c r="C1948" s="2" t="str">
        <f t="shared" si="3"/>
        <v>SP500</v>
      </c>
      <c r="D1948" s="2">
        <f t="shared" si="4"/>
        <v>1679.41</v>
      </c>
      <c r="E1948" s="2">
        <f t="shared" si="5"/>
        <v>1679.41</v>
      </c>
      <c r="G1948" s="10">
        <f t="shared" si="9"/>
        <v>39930.64583</v>
      </c>
      <c r="H1948" s="6" t="str">
        <f t="shared" si="6"/>
        <v/>
      </c>
      <c r="I1948" s="2">
        <f t="shared" si="7"/>
        <v>1426.89</v>
      </c>
      <c r="M1948" s="10">
        <f>IFERROR(__xludf.DUMMYFUNCTION("""COMPUTED_VALUE"""),40802.666666666664)</f>
        <v>40802.66667</v>
      </c>
      <c r="N1948" s="2">
        <f>IFERROR(__xludf.DUMMYFUNCTION("""COMPUTED_VALUE"""),2622.31)</f>
        <v>2622.31</v>
      </c>
    </row>
    <row r="1949">
      <c r="A1949" s="10">
        <f t="shared" si="8"/>
        <v>39931.66667</v>
      </c>
      <c r="B1949" s="2" t="str">
        <f t="shared" si="2"/>
        <v/>
      </c>
      <c r="C1949" s="2" t="str">
        <f t="shared" si="3"/>
        <v>SP500</v>
      </c>
      <c r="D1949" s="2">
        <f t="shared" si="4"/>
        <v>1673.81</v>
      </c>
      <c r="E1949" s="2">
        <f t="shared" si="5"/>
        <v>1673.81</v>
      </c>
      <c r="G1949" s="10">
        <f t="shared" si="9"/>
        <v>39931.64583</v>
      </c>
      <c r="H1949" s="6" t="str">
        <f t="shared" si="6"/>
        <v/>
      </c>
      <c r="I1949" s="2">
        <f t="shared" si="7"/>
        <v>1426.89</v>
      </c>
      <c r="M1949" s="10">
        <f>IFERROR(__xludf.DUMMYFUNCTION("""COMPUTED_VALUE"""),40805.666666666664)</f>
        <v>40805.66667</v>
      </c>
      <c r="N1949" s="2">
        <f>IFERROR(__xludf.DUMMYFUNCTION("""COMPUTED_VALUE"""),2612.83)</f>
        <v>2612.83</v>
      </c>
    </row>
    <row r="1950">
      <c r="A1950" s="10">
        <f t="shared" si="8"/>
        <v>39932.66667</v>
      </c>
      <c r="B1950" s="2" t="str">
        <f t="shared" si="2"/>
        <v/>
      </c>
      <c r="C1950" s="2" t="str">
        <f t="shared" si="3"/>
        <v>SP500</v>
      </c>
      <c r="D1950" s="2">
        <f t="shared" si="4"/>
        <v>1711.94</v>
      </c>
      <c r="E1950" s="2">
        <f t="shared" si="5"/>
        <v>1711.94</v>
      </c>
      <c r="G1950" s="10">
        <f t="shared" si="9"/>
        <v>39932.64583</v>
      </c>
      <c r="H1950" s="6" t="str">
        <f t="shared" si="6"/>
        <v/>
      </c>
      <c r="I1950" s="2">
        <f t="shared" si="7"/>
        <v>1426.89</v>
      </c>
      <c r="M1950" s="10">
        <f>IFERROR(__xludf.DUMMYFUNCTION("""COMPUTED_VALUE"""),40806.666666666664)</f>
        <v>40806.66667</v>
      </c>
      <c r="N1950" s="2">
        <f>IFERROR(__xludf.DUMMYFUNCTION("""COMPUTED_VALUE"""),2590.24)</f>
        <v>2590.24</v>
      </c>
    </row>
    <row r="1951">
      <c r="A1951" s="10">
        <f t="shared" si="8"/>
        <v>39933.66667</v>
      </c>
      <c r="B1951" s="2" t="str">
        <f t="shared" si="2"/>
        <v/>
      </c>
      <c r="C1951" s="2" t="str">
        <f t="shared" si="3"/>
        <v>SP500</v>
      </c>
      <c r="D1951" s="2">
        <f t="shared" si="4"/>
        <v>1717.3</v>
      </c>
      <c r="E1951" s="2">
        <f t="shared" si="5"/>
        <v>1717.3</v>
      </c>
      <c r="G1951" s="10">
        <f t="shared" si="9"/>
        <v>39933.64583</v>
      </c>
      <c r="H1951" s="6" t="str">
        <f t="shared" si="6"/>
        <v/>
      </c>
      <c r="I1951" s="2">
        <f t="shared" si="7"/>
        <v>1426.89</v>
      </c>
      <c r="M1951" s="10">
        <f>IFERROR(__xludf.DUMMYFUNCTION("""COMPUTED_VALUE"""),40807.666666666664)</f>
        <v>40807.66667</v>
      </c>
      <c r="N1951" s="2">
        <f>IFERROR(__xludf.DUMMYFUNCTION("""COMPUTED_VALUE"""),2538.19)</f>
        <v>2538.19</v>
      </c>
    </row>
    <row r="1952">
      <c r="A1952" s="10">
        <f t="shared" si="8"/>
        <v>39934.66667</v>
      </c>
      <c r="B1952" s="2" t="str">
        <f t="shared" si="2"/>
        <v/>
      </c>
      <c r="C1952" s="2" t="str">
        <f t="shared" si="3"/>
        <v>SP500</v>
      </c>
      <c r="D1952" s="2">
        <f t="shared" si="4"/>
        <v>1719.2</v>
      </c>
      <c r="E1952" s="2">
        <f t="shared" si="5"/>
        <v>1719.2</v>
      </c>
      <c r="G1952" s="10">
        <f t="shared" si="9"/>
        <v>39934.64583</v>
      </c>
      <c r="H1952" s="6" t="str">
        <f t="shared" si="6"/>
        <v/>
      </c>
      <c r="I1952" s="2">
        <f t="shared" si="7"/>
        <v>1426.89</v>
      </c>
      <c r="M1952" s="10">
        <f>IFERROR(__xludf.DUMMYFUNCTION("""COMPUTED_VALUE"""),40808.666666666664)</f>
        <v>40808.66667</v>
      </c>
      <c r="N1952" s="2">
        <f>IFERROR(__xludf.DUMMYFUNCTION("""COMPUTED_VALUE"""),2455.67)</f>
        <v>2455.67</v>
      </c>
    </row>
    <row r="1953">
      <c r="A1953" s="10">
        <f t="shared" si="8"/>
        <v>39935.66667</v>
      </c>
      <c r="B1953" s="2" t="str">
        <f t="shared" si="2"/>
        <v/>
      </c>
      <c r="C1953" s="2" t="str">
        <f t="shared" si="3"/>
        <v>SP500</v>
      </c>
      <c r="D1953" s="2" t="str">
        <f t="shared" si="4"/>
        <v/>
      </c>
      <c r="E1953" s="2">
        <f t="shared" si="5"/>
        <v>1719.2</v>
      </c>
      <c r="G1953" s="10">
        <f t="shared" si="9"/>
        <v>39935.64583</v>
      </c>
      <c r="H1953" s="6" t="str">
        <f t="shared" si="6"/>
        <v/>
      </c>
      <c r="I1953" s="2">
        <f t="shared" si="7"/>
        <v>1426.89</v>
      </c>
      <c r="M1953" s="10">
        <f>IFERROR(__xludf.DUMMYFUNCTION("""COMPUTED_VALUE"""),40809.666666666664)</f>
        <v>40809.66667</v>
      </c>
      <c r="N1953" s="2">
        <f>IFERROR(__xludf.DUMMYFUNCTION("""COMPUTED_VALUE"""),2483.23)</f>
        <v>2483.23</v>
      </c>
    </row>
    <row r="1954">
      <c r="A1954" s="10">
        <f t="shared" si="8"/>
        <v>39936.66667</v>
      </c>
      <c r="B1954" s="2" t="str">
        <f t="shared" si="2"/>
        <v/>
      </c>
      <c r="C1954" s="2" t="str">
        <f t="shared" si="3"/>
        <v>SP500</v>
      </c>
      <c r="D1954" s="2" t="str">
        <f t="shared" si="4"/>
        <v/>
      </c>
      <c r="E1954" s="2">
        <f t="shared" si="5"/>
        <v>1719.2</v>
      </c>
      <c r="G1954" s="10">
        <f t="shared" si="9"/>
        <v>39936.64583</v>
      </c>
      <c r="H1954" s="6" t="str">
        <f t="shared" si="6"/>
        <v/>
      </c>
      <c r="I1954" s="2">
        <f t="shared" si="7"/>
        <v>1426.89</v>
      </c>
      <c r="M1954" s="10">
        <f>IFERROR(__xludf.DUMMYFUNCTION("""COMPUTED_VALUE"""),40812.666666666664)</f>
        <v>40812.66667</v>
      </c>
      <c r="N1954" s="2">
        <f>IFERROR(__xludf.DUMMYFUNCTION("""COMPUTED_VALUE"""),2516.69)</f>
        <v>2516.69</v>
      </c>
    </row>
    <row r="1955">
      <c r="A1955" s="10">
        <f t="shared" si="8"/>
        <v>39937.66667</v>
      </c>
      <c r="B1955" s="2" t="str">
        <f t="shared" si="2"/>
        <v/>
      </c>
      <c r="C1955" s="2" t="str">
        <f t="shared" si="3"/>
        <v>SP500</v>
      </c>
      <c r="D1955" s="2">
        <f t="shared" si="4"/>
        <v>1763.56</v>
      </c>
      <c r="E1955" s="2">
        <f t="shared" si="5"/>
        <v>1763.56</v>
      </c>
      <c r="G1955" s="10">
        <f t="shared" si="9"/>
        <v>39937.64583</v>
      </c>
      <c r="H1955" s="6" t="str">
        <f t="shared" si="6"/>
        <v/>
      </c>
      <c r="I1955" s="2">
        <f t="shared" si="7"/>
        <v>1426.89</v>
      </c>
      <c r="M1955" s="10">
        <f>IFERROR(__xludf.DUMMYFUNCTION("""COMPUTED_VALUE"""),40813.666666666664)</f>
        <v>40813.66667</v>
      </c>
      <c r="N1955" s="2">
        <f>IFERROR(__xludf.DUMMYFUNCTION("""COMPUTED_VALUE"""),2546.83)</f>
        <v>2546.83</v>
      </c>
    </row>
    <row r="1956">
      <c r="A1956" s="10">
        <f t="shared" si="8"/>
        <v>39938.66667</v>
      </c>
      <c r="B1956" s="2" t="str">
        <f t="shared" si="2"/>
        <v/>
      </c>
      <c r="C1956" s="2" t="str">
        <f t="shared" si="3"/>
        <v>SP500</v>
      </c>
      <c r="D1956" s="2">
        <f t="shared" si="4"/>
        <v>1754.12</v>
      </c>
      <c r="E1956" s="2">
        <f t="shared" si="5"/>
        <v>1754.12</v>
      </c>
      <c r="G1956" s="10">
        <f t="shared" si="9"/>
        <v>39938.64583</v>
      </c>
      <c r="H1956" s="6" t="str">
        <f t="shared" si="6"/>
        <v/>
      </c>
      <c r="I1956" s="2">
        <f t="shared" si="7"/>
        <v>1426.89</v>
      </c>
      <c r="M1956" s="10">
        <f>IFERROR(__xludf.DUMMYFUNCTION("""COMPUTED_VALUE"""),40814.666666666664)</f>
        <v>40814.66667</v>
      </c>
      <c r="N1956" s="2">
        <f>IFERROR(__xludf.DUMMYFUNCTION("""COMPUTED_VALUE"""),2491.58)</f>
        <v>2491.58</v>
      </c>
    </row>
    <row r="1957">
      <c r="A1957" s="10">
        <f t="shared" si="8"/>
        <v>39939.66667</v>
      </c>
      <c r="B1957" s="2" t="str">
        <f t="shared" si="2"/>
        <v/>
      </c>
      <c r="C1957" s="2" t="str">
        <f t="shared" si="3"/>
        <v>SP500</v>
      </c>
      <c r="D1957" s="2">
        <f t="shared" si="4"/>
        <v>1759.1</v>
      </c>
      <c r="E1957" s="2">
        <f t="shared" si="5"/>
        <v>1759.1</v>
      </c>
      <c r="G1957" s="10">
        <f t="shared" si="9"/>
        <v>39939.64583</v>
      </c>
      <c r="H1957" s="6" t="str">
        <f t="shared" si="6"/>
        <v/>
      </c>
      <c r="I1957" s="2">
        <f t="shared" si="7"/>
        <v>1426.89</v>
      </c>
      <c r="M1957" s="10">
        <f>IFERROR(__xludf.DUMMYFUNCTION("""COMPUTED_VALUE"""),40815.666666666664)</f>
        <v>40815.66667</v>
      </c>
      <c r="N1957" s="2">
        <f>IFERROR(__xludf.DUMMYFUNCTION("""COMPUTED_VALUE"""),2480.76)</f>
        <v>2480.76</v>
      </c>
    </row>
    <row r="1958">
      <c r="A1958" s="10">
        <f t="shared" si="8"/>
        <v>39940.66667</v>
      </c>
      <c r="B1958" s="2" t="str">
        <f t="shared" si="2"/>
        <v/>
      </c>
      <c r="C1958" s="2" t="str">
        <f t="shared" si="3"/>
        <v>SP500</v>
      </c>
      <c r="D1958" s="2">
        <f t="shared" si="4"/>
        <v>1716.24</v>
      </c>
      <c r="E1958" s="2">
        <f t="shared" si="5"/>
        <v>1716.24</v>
      </c>
      <c r="G1958" s="10">
        <f t="shared" si="9"/>
        <v>39940.64583</v>
      </c>
      <c r="H1958" s="6" t="str">
        <f t="shared" si="6"/>
        <v/>
      </c>
      <c r="I1958" s="2">
        <f t="shared" si="7"/>
        <v>1426.89</v>
      </c>
      <c r="M1958" s="10">
        <f>IFERROR(__xludf.DUMMYFUNCTION("""COMPUTED_VALUE"""),40816.666666666664)</f>
        <v>40816.66667</v>
      </c>
      <c r="N1958" s="2">
        <f>IFERROR(__xludf.DUMMYFUNCTION("""COMPUTED_VALUE"""),2415.4)</f>
        <v>2415.4</v>
      </c>
    </row>
    <row r="1959">
      <c r="A1959" s="10">
        <f t="shared" si="8"/>
        <v>39941.66667</v>
      </c>
      <c r="B1959" s="2" t="str">
        <f t="shared" si="2"/>
        <v/>
      </c>
      <c r="C1959" s="2" t="str">
        <f t="shared" si="3"/>
        <v>SP500</v>
      </c>
      <c r="D1959" s="2">
        <f t="shared" si="4"/>
        <v>1739</v>
      </c>
      <c r="E1959" s="2">
        <f t="shared" si="5"/>
        <v>1739</v>
      </c>
      <c r="G1959" s="10">
        <f t="shared" si="9"/>
        <v>39941.64583</v>
      </c>
      <c r="H1959" s="6" t="str">
        <f t="shared" si="6"/>
        <v/>
      </c>
      <c r="I1959" s="2">
        <f t="shared" si="7"/>
        <v>1426.89</v>
      </c>
      <c r="M1959" s="10">
        <f>IFERROR(__xludf.DUMMYFUNCTION("""COMPUTED_VALUE"""),40819.666666666664)</f>
        <v>40819.66667</v>
      </c>
      <c r="N1959" s="2">
        <f>IFERROR(__xludf.DUMMYFUNCTION("""COMPUTED_VALUE"""),2335.83)</f>
        <v>2335.83</v>
      </c>
    </row>
    <row r="1960">
      <c r="A1960" s="10">
        <f t="shared" si="8"/>
        <v>39942.66667</v>
      </c>
      <c r="B1960" s="2" t="str">
        <f t="shared" si="2"/>
        <v/>
      </c>
      <c r="C1960" s="2" t="str">
        <f t="shared" si="3"/>
        <v>SP500</v>
      </c>
      <c r="D1960" s="2" t="str">
        <f t="shared" si="4"/>
        <v/>
      </c>
      <c r="E1960" s="2">
        <f t="shared" si="5"/>
        <v>1739</v>
      </c>
      <c r="G1960" s="10">
        <f t="shared" si="9"/>
        <v>39942.64583</v>
      </c>
      <c r="H1960" s="6" t="str">
        <f t="shared" si="6"/>
        <v/>
      </c>
      <c r="I1960" s="2">
        <f t="shared" si="7"/>
        <v>1426.89</v>
      </c>
      <c r="M1960" s="10">
        <f>IFERROR(__xludf.DUMMYFUNCTION("""COMPUTED_VALUE"""),40820.666666666664)</f>
        <v>40820.66667</v>
      </c>
      <c r="N1960" s="2">
        <f>IFERROR(__xludf.DUMMYFUNCTION("""COMPUTED_VALUE"""),2404.82)</f>
        <v>2404.82</v>
      </c>
    </row>
    <row r="1961">
      <c r="A1961" s="10">
        <f t="shared" si="8"/>
        <v>39943.66667</v>
      </c>
      <c r="B1961" s="2" t="str">
        <f t="shared" si="2"/>
        <v/>
      </c>
      <c r="C1961" s="2" t="str">
        <f t="shared" si="3"/>
        <v>SP500</v>
      </c>
      <c r="D1961" s="2" t="str">
        <f t="shared" si="4"/>
        <v/>
      </c>
      <c r="E1961" s="2">
        <f t="shared" si="5"/>
        <v>1739</v>
      </c>
      <c r="G1961" s="10">
        <f t="shared" si="9"/>
        <v>39943.64583</v>
      </c>
      <c r="H1961" s="6" t="str">
        <f t="shared" si="6"/>
        <v/>
      </c>
      <c r="I1961" s="2">
        <f t="shared" si="7"/>
        <v>1426.89</v>
      </c>
      <c r="M1961" s="10">
        <f>IFERROR(__xludf.DUMMYFUNCTION("""COMPUTED_VALUE"""),40821.666666666664)</f>
        <v>40821.66667</v>
      </c>
      <c r="N1961" s="2">
        <f>IFERROR(__xludf.DUMMYFUNCTION("""COMPUTED_VALUE"""),2460.51)</f>
        <v>2460.51</v>
      </c>
    </row>
    <row r="1962">
      <c r="A1962" s="10">
        <f t="shared" si="8"/>
        <v>39944.66667</v>
      </c>
      <c r="B1962" s="2" t="str">
        <f t="shared" si="2"/>
        <v/>
      </c>
      <c r="C1962" s="2" t="str">
        <f t="shared" si="3"/>
        <v>SP500</v>
      </c>
      <c r="D1962" s="2">
        <f t="shared" si="4"/>
        <v>1731.24</v>
      </c>
      <c r="E1962" s="2">
        <f t="shared" si="5"/>
        <v>1731.24</v>
      </c>
      <c r="G1962" s="10">
        <f t="shared" si="9"/>
        <v>39944.64583</v>
      </c>
      <c r="H1962" s="6" t="str">
        <f t="shared" si="6"/>
        <v/>
      </c>
      <c r="I1962" s="2">
        <f t="shared" si="7"/>
        <v>1426.89</v>
      </c>
      <c r="M1962" s="10">
        <f>IFERROR(__xludf.DUMMYFUNCTION("""COMPUTED_VALUE"""),40822.666666666664)</f>
        <v>40822.66667</v>
      </c>
      <c r="N1962" s="2">
        <f>IFERROR(__xludf.DUMMYFUNCTION("""COMPUTED_VALUE"""),2506.82)</f>
        <v>2506.82</v>
      </c>
    </row>
    <row r="1963">
      <c r="A1963" s="10">
        <f t="shared" si="8"/>
        <v>39945.66667</v>
      </c>
      <c r="B1963" s="2" t="str">
        <f t="shared" si="2"/>
        <v/>
      </c>
      <c r="C1963" s="2" t="str">
        <f t="shared" si="3"/>
        <v>SP500</v>
      </c>
      <c r="D1963" s="2">
        <f t="shared" si="4"/>
        <v>1715.92</v>
      </c>
      <c r="E1963" s="2">
        <f t="shared" si="5"/>
        <v>1715.92</v>
      </c>
      <c r="G1963" s="10">
        <f t="shared" si="9"/>
        <v>39945.64583</v>
      </c>
      <c r="H1963" s="6" t="str">
        <f t="shared" si="6"/>
        <v/>
      </c>
      <c r="I1963" s="2">
        <f t="shared" si="7"/>
        <v>1426.89</v>
      </c>
      <c r="M1963" s="10">
        <f>IFERROR(__xludf.DUMMYFUNCTION("""COMPUTED_VALUE"""),40823.666666666664)</f>
        <v>40823.66667</v>
      </c>
      <c r="N1963" s="2">
        <f>IFERROR(__xludf.DUMMYFUNCTION("""COMPUTED_VALUE"""),2479.35)</f>
        <v>2479.35</v>
      </c>
    </row>
    <row r="1964">
      <c r="A1964" s="10">
        <f t="shared" si="8"/>
        <v>39946.66667</v>
      </c>
      <c r="B1964" s="2" t="str">
        <f t="shared" si="2"/>
        <v/>
      </c>
      <c r="C1964" s="2" t="str">
        <f t="shared" si="3"/>
        <v>SP500</v>
      </c>
      <c r="D1964" s="2">
        <f t="shared" si="4"/>
        <v>1664.19</v>
      </c>
      <c r="E1964" s="2">
        <f t="shared" si="5"/>
        <v>1664.19</v>
      </c>
      <c r="G1964" s="10">
        <f t="shared" si="9"/>
        <v>39946.64583</v>
      </c>
      <c r="H1964" s="6" t="str">
        <f t="shared" si="6"/>
        <v/>
      </c>
      <c r="I1964" s="2">
        <f t="shared" si="7"/>
        <v>1426.89</v>
      </c>
      <c r="M1964" s="10">
        <f>IFERROR(__xludf.DUMMYFUNCTION("""COMPUTED_VALUE"""),40826.666666666664)</f>
        <v>40826.66667</v>
      </c>
      <c r="N1964" s="2">
        <f>IFERROR(__xludf.DUMMYFUNCTION("""COMPUTED_VALUE"""),2566.05)</f>
        <v>2566.05</v>
      </c>
    </row>
    <row r="1965">
      <c r="A1965" s="10">
        <f t="shared" si="8"/>
        <v>39947.66667</v>
      </c>
      <c r="B1965" s="2" t="str">
        <f t="shared" si="2"/>
        <v/>
      </c>
      <c r="C1965" s="2" t="str">
        <f t="shared" si="3"/>
        <v>SP500</v>
      </c>
      <c r="D1965" s="2">
        <f t="shared" si="4"/>
        <v>1689.21</v>
      </c>
      <c r="E1965" s="2">
        <f t="shared" si="5"/>
        <v>1689.21</v>
      </c>
      <c r="G1965" s="10">
        <f t="shared" si="9"/>
        <v>39947.64583</v>
      </c>
      <c r="H1965" s="6" t="str">
        <f t="shared" si="6"/>
        <v/>
      </c>
      <c r="I1965" s="2">
        <f t="shared" si="7"/>
        <v>1426.89</v>
      </c>
      <c r="M1965" s="10">
        <f>IFERROR(__xludf.DUMMYFUNCTION("""COMPUTED_VALUE"""),40827.666666666664)</f>
        <v>40827.66667</v>
      </c>
      <c r="N1965" s="2">
        <f>IFERROR(__xludf.DUMMYFUNCTION("""COMPUTED_VALUE"""),2583.03)</f>
        <v>2583.03</v>
      </c>
    </row>
    <row r="1966">
      <c r="A1966" s="10">
        <f t="shared" si="8"/>
        <v>39948.66667</v>
      </c>
      <c r="B1966" s="2" t="str">
        <f t="shared" si="2"/>
        <v/>
      </c>
      <c r="C1966" s="2" t="str">
        <f t="shared" si="3"/>
        <v>SP500</v>
      </c>
      <c r="D1966" s="2">
        <f t="shared" si="4"/>
        <v>1680.14</v>
      </c>
      <c r="E1966" s="2">
        <f t="shared" si="5"/>
        <v>1680.14</v>
      </c>
      <c r="G1966" s="10">
        <f t="shared" si="9"/>
        <v>39948.64583</v>
      </c>
      <c r="H1966" s="6" t="str">
        <f t="shared" si="6"/>
        <v/>
      </c>
      <c r="I1966" s="2">
        <f t="shared" si="7"/>
        <v>1426.89</v>
      </c>
      <c r="M1966" s="10">
        <f>IFERROR(__xludf.DUMMYFUNCTION("""COMPUTED_VALUE"""),40828.666666666664)</f>
        <v>40828.66667</v>
      </c>
      <c r="N1966" s="2">
        <f>IFERROR(__xludf.DUMMYFUNCTION("""COMPUTED_VALUE"""),2604.73)</f>
        <v>2604.73</v>
      </c>
    </row>
    <row r="1967">
      <c r="A1967" s="10">
        <f t="shared" si="8"/>
        <v>39949.66667</v>
      </c>
      <c r="B1967" s="2" t="str">
        <f t="shared" si="2"/>
        <v/>
      </c>
      <c r="C1967" s="2" t="str">
        <f t="shared" si="3"/>
        <v>SP500</v>
      </c>
      <c r="D1967" s="2" t="str">
        <f t="shared" si="4"/>
        <v/>
      </c>
      <c r="E1967" s="2">
        <f t="shared" si="5"/>
        <v>1680.14</v>
      </c>
      <c r="G1967" s="10">
        <f t="shared" si="9"/>
        <v>39949.64583</v>
      </c>
      <c r="H1967" s="6" t="str">
        <f t="shared" si="6"/>
        <v/>
      </c>
      <c r="I1967" s="2">
        <f t="shared" si="7"/>
        <v>1426.89</v>
      </c>
      <c r="M1967" s="10">
        <f>IFERROR(__xludf.DUMMYFUNCTION("""COMPUTED_VALUE"""),40829.666666666664)</f>
        <v>40829.66667</v>
      </c>
      <c r="N1967" s="2">
        <f>IFERROR(__xludf.DUMMYFUNCTION("""COMPUTED_VALUE"""),2620.24)</f>
        <v>2620.24</v>
      </c>
    </row>
    <row r="1968">
      <c r="A1968" s="10">
        <f t="shared" si="8"/>
        <v>39950.66667</v>
      </c>
      <c r="B1968" s="2" t="str">
        <f t="shared" si="2"/>
        <v/>
      </c>
      <c r="C1968" s="2" t="str">
        <f t="shared" si="3"/>
        <v>SP500</v>
      </c>
      <c r="D1968" s="2" t="str">
        <f t="shared" si="4"/>
        <v/>
      </c>
      <c r="E1968" s="2">
        <f t="shared" si="5"/>
        <v>1680.14</v>
      </c>
      <c r="G1968" s="10">
        <f t="shared" si="9"/>
        <v>39950.64583</v>
      </c>
      <c r="H1968" s="6" t="str">
        <f t="shared" si="6"/>
        <v/>
      </c>
      <c r="I1968" s="2">
        <f t="shared" si="7"/>
        <v>1426.89</v>
      </c>
      <c r="M1968" s="10">
        <f>IFERROR(__xludf.DUMMYFUNCTION("""COMPUTED_VALUE"""),40830.666666666664)</f>
        <v>40830.66667</v>
      </c>
      <c r="N1968" s="2">
        <f>IFERROR(__xludf.DUMMYFUNCTION("""COMPUTED_VALUE"""),2667.85)</f>
        <v>2667.85</v>
      </c>
    </row>
    <row r="1969">
      <c r="A1969" s="10">
        <f t="shared" si="8"/>
        <v>39951.66667</v>
      </c>
      <c r="B1969" s="2" t="str">
        <f t="shared" si="2"/>
        <v/>
      </c>
      <c r="C1969" s="2" t="str">
        <f t="shared" si="3"/>
        <v>SP500</v>
      </c>
      <c r="D1969" s="2">
        <f t="shared" si="4"/>
        <v>1732.36</v>
      </c>
      <c r="E1969" s="2">
        <f t="shared" si="5"/>
        <v>1732.36</v>
      </c>
      <c r="G1969" s="10">
        <f t="shared" si="9"/>
        <v>39951.64583</v>
      </c>
      <c r="H1969" s="6" t="str">
        <f t="shared" si="6"/>
        <v/>
      </c>
      <c r="I1969" s="2">
        <f t="shared" si="7"/>
        <v>1426.89</v>
      </c>
      <c r="M1969" s="10">
        <f>IFERROR(__xludf.DUMMYFUNCTION("""COMPUTED_VALUE"""),40833.666666666664)</f>
        <v>40833.66667</v>
      </c>
      <c r="N1969" s="2">
        <f>IFERROR(__xludf.DUMMYFUNCTION("""COMPUTED_VALUE"""),2614.92)</f>
        <v>2614.92</v>
      </c>
    </row>
    <row r="1970">
      <c r="A1970" s="10">
        <f t="shared" si="8"/>
        <v>39952.66667</v>
      </c>
      <c r="B1970" s="2" t="str">
        <f t="shared" si="2"/>
        <v/>
      </c>
      <c r="C1970" s="2" t="str">
        <f t="shared" si="3"/>
        <v>SP500</v>
      </c>
      <c r="D1970" s="2">
        <f t="shared" si="4"/>
        <v>1734.54</v>
      </c>
      <c r="E1970" s="2">
        <f t="shared" si="5"/>
        <v>1734.54</v>
      </c>
      <c r="G1970" s="10">
        <f t="shared" si="9"/>
        <v>39952.64583</v>
      </c>
      <c r="H1970" s="6" t="str">
        <f t="shared" si="6"/>
        <v/>
      </c>
      <c r="I1970" s="2">
        <f t="shared" si="7"/>
        <v>1426.89</v>
      </c>
      <c r="M1970" s="10">
        <f>IFERROR(__xludf.DUMMYFUNCTION("""COMPUTED_VALUE"""),40834.666666666664)</f>
        <v>40834.66667</v>
      </c>
      <c r="N1970" s="2">
        <f>IFERROR(__xludf.DUMMYFUNCTION("""COMPUTED_VALUE"""),2657.43)</f>
        <v>2657.43</v>
      </c>
    </row>
    <row r="1971">
      <c r="A1971" s="10">
        <f t="shared" si="8"/>
        <v>39953.66667</v>
      </c>
      <c r="B1971" s="2" t="str">
        <f t="shared" si="2"/>
        <v/>
      </c>
      <c r="C1971" s="2" t="str">
        <f t="shared" si="3"/>
        <v>SP500</v>
      </c>
      <c r="D1971" s="2">
        <f t="shared" si="4"/>
        <v>1727.84</v>
      </c>
      <c r="E1971" s="2">
        <f t="shared" si="5"/>
        <v>1727.84</v>
      </c>
      <c r="G1971" s="10">
        <f t="shared" si="9"/>
        <v>39953.64583</v>
      </c>
      <c r="H1971" s="6" t="str">
        <f t="shared" si="6"/>
        <v/>
      </c>
      <c r="I1971" s="2">
        <f t="shared" si="7"/>
        <v>1426.89</v>
      </c>
      <c r="M1971" s="10">
        <f>IFERROR(__xludf.DUMMYFUNCTION("""COMPUTED_VALUE"""),40835.666666666664)</f>
        <v>40835.66667</v>
      </c>
      <c r="N1971" s="2">
        <f>IFERROR(__xludf.DUMMYFUNCTION("""COMPUTED_VALUE"""),2604.04)</f>
        <v>2604.04</v>
      </c>
    </row>
    <row r="1972">
      <c r="A1972" s="10">
        <f t="shared" si="8"/>
        <v>39954.66667</v>
      </c>
      <c r="B1972" s="2" t="str">
        <f t="shared" si="2"/>
        <v/>
      </c>
      <c r="C1972" s="2" t="str">
        <f t="shared" si="3"/>
        <v>SP500</v>
      </c>
      <c r="D1972" s="2">
        <f t="shared" si="4"/>
        <v>1695.25</v>
      </c>
      <c r="E1972" s="2">
        <f t="shared" si="5"/>
        <v>1695.25</v>
      </c>
      <c r="G1972" s="10">
        <f t="shared" si="9"/>
        <v>39954.64583</v>
      </c>
      <c r="H1972" s="6" t="str">
        <f t="shared" si="6"/>
        <v/>
      </c>
      <c r="I1972" s="2">
        <f t="shared" si="7"/>
        <v>1426.89</v>
      </c>
      <c r="M1972" s="10">
        <f>IFERROR(__xludf.DUMMYFUNCTION("""COMPUTED_VALUE"""),40836.666666666664)</f>
        <v>40836.66667</v>
      </c>
      <c r="N1972" s="2">
        <f>IFERROR(__xludf.DUMMYFUNCTION("""COMPUTED_VALUE"""),2598.62)</f>
        <v>2598.62</v>
      </c>
    </row>
    <row r="1973">
      <c r="A1973" s="10">
        <f t="shared" si="8"/>
        <v>39955.66667</v>
      </c>
      <c r="B1973" s="2" t="str">
        <f t="shared" si="2"/>
        <v/>
      </c>
      <c r="C1973" s="2" t="str">
        <f t="shared" si="3"/>
        <v>SP500</v>
      </c>
      <c r="D1973" s="2">
        <f t="shared" si="4"/>
        <v>1692.01</v>
      </c>
      <c r="E1973" s="2">
        <f t="shared" si="5"/>
        <v>1692.01</v>
      </c>
      <c r="G1973" s="10">
        <f t="shared" si="9"/>
        <v>39955.64583</v>
      </c>
      <c r="H1973" s="6" t="str">
        <f t="shared" si="6"/>
        <v/>
      </c>
      <c r="I1973" s="2">
        <f t="shared" si="7"/>
        <v>1426.89</v>
      </c>
      <c r="M1973" s="10">
        <f>IFERROR(__xludf.DUMMYFUNCTION("""COMPUTED_VALUE"""),40837.666666666664)</f>
        <v>40837.66667</v>
      </c>
      <c r="N1973" s="2">
        <f>IFERROR(__xludf.DUMMYFUNCTION("""COMPUTED_VALUE"""),2637.46)</f>
        <v>2637.46</v>
      </c>
    </row>
    <row r="1974">
      <c r="A1974" s="10">
        <f t="shared" si="8"/>
        <v>39956.66667</v>
      </c>
      <c r="B1974" s="2" t="str">
        <f t="shared" si="2"/>
        <v/>
      </c>
      <c r="C1974" s="2" t="str">
        <f t="shared" si="3"/>
        <v>SP500</v>
      </c>
      <c r="D1974" s="2" t="str">
        <f t="shared" si="4"/>
        <v/>
      </c>
      <c r="E1974" s="2">
        <f t="shared" si="5"/>
        <v>1692.01</v>
      </c>
      <c r="G1974" s="10">
        <f t="shared" si="9"/>
        <v>39956.64583</v>
      </c>
      <c r="H1974" s="6" t="str">
        <f t="shared" si="6"/>
        <v/>
      </c>
      <c r="I1974" s="2">
        <f t="shared" si="7"/>
        <v>1426.89</v>
      </c>
      <c r="M1974" s="10">
        <f>IFERROR(__xludf.DUMMYFUNCTION("""COMPUTED_VALUE"""),40840.666666666664)</f>
        <v>40840.66667</v>
      </c>
      <c r="N1974" s="2">
        <f>IFERROR(__xludf.DUMMYFUNCTION("""COMPUTED_VALUE"""),2699.44)</f>
        <v>2699.44</v>
      </c>
    </row>
    <row r="1975">
      <c r="A1975" s="10">
        <f t="shared" si="8"/>
        <v>39957.66667</v>
      </c>
      <c r="B1975" s="2" t="str">
        <f t="shared" si="2"/>
        <v/>
      </c>
      <c r="C1975" s="2" t="str">
        <f t="shared" si="3"/>
        <v>SP500</v>
      </c>
      <c r="D1975" s="2" t="str">
        <f t="shared" si="4"/>
        <v/>
      </c>
      <c r="E1975" s="2">
        <f t="shared" si="5"/>
        <v>1692.01</v>
      </c>
      <c r="G1975" s="10">
        <f t="shared" si="9"/>
        <v>39957.64583</v>
      </c>
      <c r="H1975" s="6" t="str">
        <f t="shared" si="6"/>
        <v/>
      </c>
      <c r="I1975" s="2">
        <f t="shared" si="7"/>
        <v>1426.89</v>
      </c>
      <c r="M1975" s="10">
        <f>IFERROR(__xludf.DUMMYFUNCTION("""COMPUTED_VALUE"""),40841.666666666664)</f>
        <v>40841.66667</v>
      </c>
      <c r="N1975" s="2">
        <f>IFERROR(__xludf.DUMMYFUNCTION("""COMPUTED_VALUE"""),2638.42)</f>
        <v>2638.42</v>
      </c>
    </row>
    <row r="1976">
      <c r="A1976" s="10">
        <f t="shared" si="8"/>
        <v>39958.66667</v>
      </c>
      <c r="B1976" s="2" t="str">
        <f t="shared" si="2"/>
        <v/>
      </c>
      <c r="C1976" s="2" t="str">
        <f t="shared" si="3"/>
        <v>SP500</v>
      </c>
      <c r="D1976" s="2" t="str">
        <f t="shared" si="4"/>
        <v/>
      </c>
      <c r="E1976" s="2">
        <f t="shared" si="5"/>
        <v>1692.01</v>
      </c>
      <c r="G1976" s="10">
        <f t="shared" si="9"/>
        <v>39958.64583</v>
      </c>
      <c r="H1976" s="6" t="str">
        <f t="shared" si="6"/>
        <v/>
      </c>
      <c r="I1976" s="2">
        <f t="shared" si="7"/>
        <v>1426.89</v>
      </c>
      <c r="M1976" s="10">
        <f>IFERROR(__xludf.DUMMYFUNCTION("""COMPUTED_VALUE"""),40842.666666666664)</f>
        <v>40842.66667</v>
      </c>
      <c r="N1976" s="2">
        <f>IFERROR(__xludf.DUMMYFUNCTION("""COMPUTED_VALUE"""),2650.67)</f>
        <v>2650.67</v>
      </c>
    </row>
    <row r="1977">
      <c r="A1977" s="10">
        <f t="shared" si="8"/>
        <v>39959.66667</v>
      </c>
      <c r="B1977" s="2" t="str">
        <f t="shared" si="2"/>
        <v/>
      </c>
      <c r="C1977" s="2" t="str">
        <f t="shared" si="3"/>
        <v>SP500</v>
      </c>
      <c r="D1977" s="2">
        <f t="shared" si="4"/>
        <v>1750.43</v>
      </c>
      <c r="E1977" s="2">
        <f t="shared" si="5"/>
        <v>1750.43</v>
      </c>
      <c r="G1977" s="10">
        <f t="shared" si="9"/>
        <v>39959.64583</v>
      </c>
      <c r="H1977" s="6" t="str">
        <f t="shared" si="6"/>
        <v/>
      </c>
      <c r="I1977" s="2">
        <f t="shared" si="7"/>
        <v>1426.89</v>
      </c>
      <c r="M1977" s="10">
        <f>IFERROR(__xludf.DUMMYFUNCTION("""COMPUTED_VALUE"""),40843.666666666664)</f>
        <v>40843.66667</v>
      </c>
      <c r="N1977" s="2">
        <f>IFERROR(__xludf.DUMMYFUNCTION("""COMPUTED_VALUE"""),2738.63)</f>
        <v>2738.63</v>
      </c>
    </row>
    <row r="1978">
      <c r="A1978" s="10">
        <f t="shared" si="8"/>
        <v>39960.66667</v>
      </c>
      <c r="B1978" s="2" t="str">
        <f t="shared" si="2"/>
        <v/>
      </c>
      <c r="C1978" s="2" t="str">
        <f t="shared" si="3"/>
        <v>SP500</v>
      </c>
      <c r="D1978" s="2">
        <f t="shared" si="4"/>
        <v>1731.08</v>
      </c>
      <c r="E1978" s="2">
        <f t="shared" si="5"/>
        <v>1731.08</v>
      </c>
      <c r="G1978" s="10">
        <f t="shared" si="9"/>
        <v>39960.64583</v>
      </c>
      <c r="H1978" s="6" t="str">
        <f t="shared" si="6"/>
        <v/>
      </c>
      <c r="I1978" s="2">
        <f t="shared" si="7"/>
        <v>1426.89</v>
      </c>
      <c r="M1978" s="10">
        <f>IFERROR(__xludf.DUMMYFUNCTION("""COMPUTED_VALUE"""),40844.666666666664)</f>
        <v>40844.66667</v>
      </c>
      <c r="N1978" s="2">
        <f>IFERROR(__xludf.DUMMYFUNCTION("""COMPUTED_VALUE"""),2737.15)</f>
        <v>2737.15</v>
      </c>
    </row>
    <row r="1979">
      <c r="A1979" s="10">
        <f t="shared" si="8"/>
        <v>39961.66667</v>
      </c>
      <c r="B1979" s="2" t="str">
        <f t="shared" si="2"/>
        <v/>
      </c>
      <c r="C1979" s="2" t="str">
        <f t="shared" si="3"/>
        <v>SP500</v>
      </c>
      <c r="D1979" s="2">
        <f t="shared" si="4"/>
        <v>1751.79</v>
      </c>
      <c r="E1979" s="2">
        <f t="shared" si="5"/>
        <v>1751.79</v>
      </c>
      <c r="G1979" s="10">
        <f t="shared" si="9"/>
        <v>39961.64583</v>
      </c>
      <c r="H1979" s="6" t="str">
        <f t="shared" si="6"/>
        <v/>
      </c>
      <c r="I1979" s="2">
        <f t="shared" si="7"/>
        <v>1426.89</v>
      </c>
      <c r="M1979" s="10">
        <f>IFERROR(__xludf.DUMMYFUNCTION("""COMPUTED_VALUE"""),40847.666666666664)</f>
        <v>40847.66667</v>
      </c>
      <c r="N1979" s="2">
        <f>IFERROR(__xludf.DUMMYFUNCTION("""COMPUTED_VALUE"""),2684.41)</f>
        <v>2684.41</v>
      </c>
    </row>
    <row r="1980">
      <c r="A1980" s="10">
        <f t="shared" si="8"/>
        <v>39962.66667</v>
      </c>
      <c r="B1980" s="2" t="str">
        <f t="shared" si="2"/>
        <v/>
      </c>
      <c r="C1980" s="2" t="str">
        <f t="shared" si="3"/>
        <v>SP500</v>
      </c>
      <c r="D1980" s="2">
        <f t="shared" si="4"/>
        <v>1774.33</v>
      </c>
      <c r="E1980" s="2">
        <f t="shared" si="5"/>
        <v>1774.33</v>
      </c>
      <c r="G1980" s="10">
        <f t="shared" si="9"/>
        <v>39962.64583</v>
      </c>
      <c r="H1980" s="6" t="str">
        <f t="shared" si="6"/>
        <v/>
      </c>
      <c r="I1980" s="2">
        <f t="shared" si="7"/>
        <v>1426.89</v>
      </c>
      <c r="M1980" s="10">
        <f>IFERROR(__xludf.DUMMYFUNCTION("""COMPUTED_VALUE"""),40848.666666666664)</f>
        <v>40848.66667</v>
      </c>
      <c r="N1980" s="2">
        <f>IFERROR(__xludf.DUMMYFUNCTION("""COMPUTED_VALUE"""),2606.96)</f>
        <v>2606.96</v>
      </c>
    </row>
    <row r="1981">
      <c r="A1981" s="10">
        <f t="shared" si="8"/>
        <v>39963.66667</v>
      </c>
      <c r="B1981" s="2" t="str">
        <f t="shared" si="2"/>
        <v/>
      </c>
      <c r="C1981" s="2" t="str">
        <f t="shared" si="3"/>
        <v>SP500</v>
      </c>
      <c r="D1981" s="2" t="str">
        <f t="shared" si="4"/>
        <v/>
      </c>
      <c r="E1981" s="2">
        <f t="shared" si="5"/>
        <v>1774.33</v>
      </c>
      <c r="G1981" s="10">
        <f t="shared" si="9"/>
        <v>39963.64583</v>
      </c>
      <c r="H1981" s="6" t="str">
        <f t="shared" si="6"/>
        <v/>
      </c>
      <c r="I1981" s="2">
        <f t="shared" si="7"/>
        <v>1426.89</v>
      </c>
      <c r="M1981" s="10">
        <f>IFERROR(__xludf.DUMMYFUNCTION("""COMPUTED_VALUE"""),40849.666666666664)</f>
        <v>40849.66667</v>
      </c>
      <c r="N1981" s="2">
        <f>IFERROR(__xludf.DUMMYFUNCTION("""COMPUTED_VALUE"""),2639.98)</f>
        <v>2639.98</v>
      </c>
    </row>
    <row r="1982">
      <c r="A1982" s="10">
        <f t="shared" si="8"/>
        <v>39964.66667</v>
      </c>
      <c r="B1982" s="2" t="str">
        <f t="shared" si="2"/>
        <v/>
      </c>
      <c r="C1982" s="2" t="str">
        <f t="shared" si="3"/>
        <v>SP500</v>
      </c>
      <c r="D1982" s="2" t="str">
        <f t="shared" si="4"/>
        <v/>
      </c>
      <c r="E1982" s="2">
        <f t="shared" si="5"/>
        <v>1774.33</v>
      </c>
      <c r="G1982" s="10">
        <f t="shared" si="9"/>
        <v>39964.64583</v>
      </c>
      <c r="H1982" s="6" t="str">
        <f t="shared" si="6"/>
        <v/>
      </c>
      <c r="I1982" s="2">
        <f t="shared" si="7"/>
        <v>1426.89</v>
      </c>
      <c r="M1982" s="10">
        <f>IFERROR(__xludf.DUMMYFUNCTION("""COMPUTED_VALUE"""),40850.666666666664)</f>
        <v>40850.66667</v>
      </c>
      <c r="N1982" s="2">
        <f>IFERROR(__xludf.DUMMYFUNCTION("""COMPUTED_VALUE"""),2697.97)</f>
        <v>2697.97</v>
      </c>
    </row>
    <row r="1983">
      <c r="A1983" s="10">
        <f t="shared" si="8"/>
        <v>39965.66667</v>
      </c>
      <c r="B1983" s="2" t="str">
        <f t="shared" si="2"/>
        <v/>
      </c>
      <c r="C1983" s="2" t="str">
        <f t="shared" si="3"/>
        <v>SP500</v>
      </c>
      <c r="D1983" s="2">
        <f t="shared" si="4"/>
        <v>1828.68</v>
      </c>
      <c r="E1983" s="2">
        <f t="shared" si="5"/>
        <v>1828.68</v>
      </c>
      <c r="G1983" s="10">
        <f t="shared" si="9"/>
        <v>39965.64583</v>
      </c>
      <c r="H1983" s="6" t="str">
        <f t="shared" si="6"/>
        <v/>
      </c>
      <c r="I1983" s="2">
        <f t="shared" si="7"/>
        <v>1426.89</v>
      </c>
      <c r="M1983" s="10">
        <f>IFERROR(__xludf.DUMMYFUNCTION("""COMPUTED_VALUE"""),40851.666666666664)</f>
        <v>40851.66667</v>
      </c>
      <c r="N1983" s="2">
        <f>IFERROR(__xludf.DUMMYFUNCTION("""COMPUTED_VALUE"""),2686.15)</f>
        <v>2686.15</v>
      </c>
    </row>
    <row r="1984">
      <c r="A1984" s="10">
        <f t="shared" si="8"/>
        <v>39966.66667</v>
      </c>
      <c r="B1984" s="2" t="str">
        <f t="shared" si="2"/>
        <v/>
      </c>
      <c r="C1984" s="2" t="str">
        <f t="shared" si="3"/>
        <v>SP500</v>
      </c>
      <c r="D1984" s="2">
        <f t="shared" si="4"/>
        <v>1836.8</v>
      </c>
      <c r="E1984" s="2">
        <f t="shared" si="5"/>
        <v>1836.8</v>
      </c>
      <c r="G1984" s="10">
        <f t="shared" si="9"/>
        <v>39966.64583</v>
      </c>
      <c r="H1984" s="6" t="str">
        <f t="shared" si="6"/>
        <v/>
      </c>
      <c r="I1984" s="2">
        <f t="shared" si="7"/>
        <v>1426.89</v>
      </c>
      <c r="M1984" s="10">
        <f>IFERROR(__xludf.DUMMYFUNCTION("""COMPUTED_VALUE"""),40854.666666666664)</f>
        <v>40854.66667</v>
      </c>
      <c r="N1984" s="2">
        <f>IFERROR(__xludf.DUMMYFUNCTION("""COMPUTED_VALUE"""),2695.25)</f>
        <v>2695.25</v>
      </c>
    </row>
    <row r="1985">
      <c r="A1985" s="10">
        <f t="shared" si="8"/>
        <v>39967.66667</v>
      </c>
      <c r="B1985" s="2" t="str">
        <f t="shared" si="2"/>
        <v/>
      </c>
      <c r="C1985" s="2" t="str">
        <f t="shared" si="3"/>
        <v>SP500</v>
      </c>
      <c r="D1985" s="2">
        <f t="shared" si="4"/>
        <v>1825.92</v>
      </c>
      <c r="E1985" s="2">
        <f t="shared" si="5"/>
        <v>1825.92</v>
      </c>
      <c r="G1985" s="10">
        <f t="shared" si="9"/>
        <v>39967.64583</v>
      </c>
      <c r="H1985" s="6" t="str">
        <f t="shared" si="6"/>
        <v/>
      </c>
      <c r="I1985" s="2">
        <f t="shared" si="7"/>
        <v>1426.89</v>
      </c>
      <c r="M1985" s="10">
        <f>IFERROR(__xludf.DUMMYFUNCTION("""COMPUTED_VALUE"""),40855.666666666664)</f>
        <v>40855.66667</v>
      </c>
      <c r="N1985" s="2">
        <f>IFERROR(__xludf.DUMMYFUNCTION("""COMPUTED_VALUE"""),2727.49)</f>
        <v>2727.49</v>
      </c>
    </row>
    <row r="1986">
      <c r="A1986" s="10">
        <f t="shared" si="8"/>
        <v>39968.66667</v>
      </c>
      <c r="B1986" s="2" t="str">
        <f t="shared" si="2"/>
        <v/>
      </c>
      <c r="C1986" s="2" t="str">
        <f t="shared" si="3"/>
        <v>SP500</v>
      </c>
      <c r="D1986" s="2">
        <f t="shared" si="4"/>
        <v>1850.02</v>
      </c>
      <c r="E1986" s="2">
        <f t="shared" si="5"/>
        <v>1850.02</v>
      </c>
      <c r="G1986" s="10">
        <f t="shared" si="9"/>
        <v>39968.64583</v>
      </c>
      <c r="H1986" s="6" t="str">
        <f t="shared" si="6"/>
        <v/>
      </c>
      <c r="I1986" s="2">
        <f t="shared" si="7"/>
        <v>1426.89</v>
      </c>
      <c r="M1986" s="10">
        <f>IFERROR(__xludf.DUMMYFUNCTION("""COMPUTED_VALUE"""),40856.666666666664)</f>
        <v>40856.66667</v>
      </c>
      <c r="N1986" s="2">
        <f>IFERROR(__xludf.DUMMYFUNCTION("""COMPUTED_VALUE"""),2621.65)</f>
        <v>2621.65</v>
      </c>
    </row>
    <row r="1987">
      <c r="A1987" s="10">
        <f t="shared" si="8"/>
        <v>39969.66667</v>
      </c>
      <c r="B1987" s="2" t="str">
        <f t="shared" si="2"/>
        <v/>
      </c>
      <c r="C1987" s="2" t="str">
        <f t="shared" si="3"/>
        <v>SP500</v>
      </c>
      <c r="D1987" s="2">
        <f t="shared" si="4"/>
        <v>1849.42</v>
      </c>
      <c r="E1987" s="2">
        <f t="shared" si="5"/>
        <v>1849.42</v>
      </c>
      <c r="G1987" s="10">
        <f t="shared" si="9"/>
        <v>39969.64583</v>
      </c>
      <c r="H1987" s="6" t="str">
        <f t="shared" si="6"/>
        <v/>
      </c>
      <c r="I1987" s="2">
        <f t="shared" si="7"/>
        <v>1426.89</v>
      </c>
      <c r="M1987" s="10">
        <f>IFERROR(__xludf.DUMMYFUNCTION("""COMPUTED_VALUE"""),40857.666666666664)</f>
        <v>40857.66667</v>
      </c>
      <c r="N1987" s="2">
        <f>IFERROR(__xludf.DUMMYFUNCTION("""COMPUTED_VALUE"""),2625.15)</f>
        <v>2625.15</v>
      </c>
    </row>
    <row r="1988">
      <c r="A1988" s="10">
        <f t="shared" si="8"/>
        <v>39970.66667</v>
      </c>
      <c r="B1988" s="2" t="str">
        <f t="shared" si="2"/>
        <v/>
      </c>
      <c r="C1988" s="2" t="str">
        <f t="shared" si="3"/>
        <v>SP500</v>
      </c>
      <c r="D1988" s="2" t="str">
        <f t="shared" si="4"/>
        <v/>
      </c>
      <c r="E1988" s="2">
        <f t="shared" si="5"/>
        <v>1849.42</v>
      </c>
      <c r="G1988" s="10">
        <f t="shared" si="9"/>
        <v>39970.64583</v>
      </c>
      <c r="H1988" s="6" t="str">
        <f t="shared" si="6"/>
        <v/>
      </c>
      <c r="I1988" s="2">
        <f t="shared" si="7"/>
        <v>1426.89</v>
      </c>
      <c r="M1988" s="10">
        <f>IFERROR(__xludf.DUMMYFUNCTION("""COMPUTED_VALUE"""),40858.666666666664)</f>
        <v>40858.66667</v>
      </c>
      <c r="N1988" s="2">
        <f>IFERROR(__xludf.DUMMYFUNCTION("""COMPUTED_VALUE"""),2678.75)</f>
        <v>2678.75</v>
      </c>
    </row>
    <row r="1989">
      <c r="A1989" s="10">
        <f t="shared" si="8"/>
        <v>39971.66667</v>
      </c>
      <c r="B1989" s="2" t="str">
        <f t="shared" si="2"/>
        <v/>
      </c>
      <c r="C1989" s="2" t="str">
        <f t="shared" si="3"/>
        <v>SP500</v>
      </c>
      <c r="D1989" s="2" t="str">
        <f t="shared" si="4"/>
        <v/>
      </c>
      <c r="E1989" s="2">
        <f t="shared" si="5"/>
        <v>1849.42</v>
      </c>
      <c r="G1989" s="10">
        <f t="shared" si="9"/>
        <v>39971.64583</v>
      </c>
      <c r="H1989" s="6" t="str">
        <f t="shared" si="6"/>
        <v/>
      </c>
      <c r="I1989" s="2">
        <f t="shared" si="7"/>
        <v>1426.89</v>
      </c>
      <c r="M1989" s="10">
        <f>IFERROR(__xludf.DUMMYFUNCTION("""COMPUTED_VALUE"""),40861.666666666664)</f>
        <v>40861.66667</v>
      </c>
      <c r="N1989" s="2">
        <f>IFERROR(__xludf.DUMMYFUNCTION("""COMPUTED_VALUE"""),2657.22)</f>
        <v>2657.22</v>
      </c>
    </row>
    <row r="1990">
      <c r="A1990" s="10">
        <f t="shared" si="8"/>
        <v>39972.66667</v>
      </c>
      <c r="B1990" s="2" t="str">
        <f t="shared" si="2"/>
        <v/>
      </c>
      <c r="C1990" s="2" t="str">
        <f t="shared" si="3"/>
        <v>SP500</v>
      </c>
      <c r="D1990" s="2">
        <f t="shared" si="4"/>
        <v>1842.4</v>
      </c>
      <c r="E1990" s="2">
        <f t="shared" si="5"/>
        <v>1842.4</v>
      </c>
      <c r="G1990" s="10">
        <f t="shared" si="9"/>
        <v>39972.64583</v>
      </c>
      <c r="H1990" s="6" t="str">
        <f t="shared" si="6"/>
        <v/>
      </c>
      <c r="I1990" s="2">
        <f t="shared" si="7"/>
        <v>1426.89</v>
      </c>
      <c r="M1990" s="10">
        <f>IFERROR(__xludf.DUMMYFUNCTION("""COMPUTED_VALUE"""),40862.666666666664)</f>
        <v>40862.66667</v>
      </c>
      <c r="N1990" s="2">
        <f>IFERROR(__xludf.DUMMYFUNCTION("""COMPUTED_VALUE"""),2686.2)</f>
        <v>2686.2</v>
      </c>
    </row>
    <row r="1991">
      <c r="A1991" s="10">
        <f t="shared" si="8"/>
        <v>39973.66667</v>
      </c>
      <c r="B1991" s="2" t="str">
        <f t="shared" si="2"/>
        <v/>
      </c>
      <c r="C1991" s="2" t="str">
        <f t="shared" si="3"/>
        <v>SP500</v>
      </c>
      <c r="D1991" s="2">
        <f t="shared" si="4"/>
        <v>1860.13</v>
      </c>
      <c r="E1991" s="2">
        <f t="shared" si="5"/>
        <v>1860.13</v>
      </c>
      <c r="G1991" s="10">
        <f t="shared" si="9"/>
        <v>39973.64583</v>
      </c>
      <c r="H1991" s="6" t="str">
        <f t="shared" si="6"/>
        <v/>
      </c>
      <c r="I1991" s="2">
        <f t="shared" si="7"/>
        <v>1426.89</v>
      </c>
      <c r="M1991" s="10">
        <f>IFERROR(__xludf.DUMMYFUNCTION("""COMPUTED_VALUE"""),40863.666666666664)</f>
        <v>40863.66667</v>
      </c>
      <c r="N1991" s="2">
        <f>IFERROR(__xludf.DUMMYFUNCTION("""COMPUTED_VALUE"""),2639.61)</f>
        <v>2639.61</v>
      </c>
    </row>
    <row r="1992">
      <c r="A1992" s="10">
        <f t="shared" si="8"/>
        <v>39974.66667</v>
      </c>
      <c r="B1992" s="2" t="str">
        <f t="shared" si="2"/>
        <v/>
      </c>
      <c r="C1992" s="2" t="str">
        <f t="shared" si="3"/>
        <v>SP500</v>
      </c>
      <c r="D1992" s="2">
        <f t="shared" si="4"/>
        <v>1853.08</v>
      </c>
      <c r="E1992" s="2">
        <f t="shared" si="5"/>
        <v>1853.08</v>
      </c>
      <c r="G1992" s="10">
        <f t="shared" si="9"/>
        <v>39974.64583</v>
      </c>
      <c r="H1992" s="6" t="str">
        <f t="shared" si="6"/>
        <v/>
      </c>
      <c r="I1992" s="2">
        <f t="shared" si="7"/>
        <v>1426.89</v>
      </c>
      <c r="M1992" s="10">
        <f>IFERROR(__xludf.DUMMYFUNCTION("""COMPUTED_VALUE"""),40864.666666666664)</f>
        <v>40864.66667</v>
      </c>
      <c r="N1992" s="2">
        <f>IFERROR(__xludf.DUMMYFUNCTION("""COMPUTED_VALUE"""),2587.99)</f>
        <v>2587.99</v>
      </c>
    </row>
    <row r="1993">
      <c r="A1993" s="10">
        <f t="shared" si="8"/>
        <v>39975.66667</v>
      </c>
      <c r="B1993" s="2" t="str">
        <f t="shared" si="2"/>
        <v/>
      </c>
      <c r="C1993" s="2" t="str">
        <f t="shared" si="3"/>
        <v>SP500</v>
      </c>
      <c r="D1993" s="2">
        <f t="shared" si="4"/>
        <v>1862.37</v>
      </c>
      <c r="E1993" s="2">
        <f t="shared" si="5"/>
        <v>1862.37</v>
      </c>
      <c r="G1993" s="10">
        <f t="shared" si="9"/>
        <v>39975.64583</v>
      </c>
      <c r="H1993" s="6" t="str">
        <f t="shared" si="6"/>
        <v/>
      </c>
      <c r="I1993" s="2">
        <f t="shared" si="7"/>
        <v>1426.89</v>
      </c>
      <c r="M1993" s="10">
        <f>IFERROR(__xludf.DUMMYFUNCTION("""COMPUTED_VALUE"""),40865.666666666664)</f>
        <v>40865.66667</v>
      </c>
      <c r="N1993" s="2">
        <f>IFERROR(__xludf.DUMMYFUNCTION("""COMPUTED_VALUE"""),2572.5)</f>
        <v>2572.5</v>
      </c>
    </row>
    <row r="1994">
      <c r="A1994" s="10">
        <f t="shared" si="8"/>
        <v>39976.66667</v>
      </c>
      <c r="B1994" s="2" t="str">
        <f t="shared" si="2"/>
        <v/>
      </c>
      <c r="C1994" s="2" t="str">
        <f t="shared" si="3"/>
        <v>SP500</v>
      </c>
      <c r="D1994" s="2">
        <f t="shared" si="4"/>
        <v>1858.8</v>
      </c>
      <c r="E1994" s="2">
        <f t="shared" si="5"/>
        <v>1858.8</v>
      </c>
      <c r="G1994" s="10">
        <f t="shared" si="9"/>
        <v>39976.64583</v>
      </c>
      <c r="H1994" s="6" t="str">
        <f t="shared" si="6"/>
        <v/>
      </c>
      <c r="I1994" s="2">
        <f t="shared" si="7"/>
        <v>1426.89</v>
      </c>
      <c r="M1994" s="10">
        <f>IFERROR(__xludf.DUMMYFUNCTION("""COMPUTED_VALUE"""),40868.666666666664)</f>
        <v>40868.66667</v>
      </c>
      <c r="N1994" s="2">
        <f>IFERROR(__xludf.DUMMYFUNCTION("""COMPUTED_VALUE"""),2523.14)</f>
        <v>2523.14</v>
      </c>
    </row>
    <row r="1995">
      <c r="A1995" s="10">
        <f t="shared" si="8"/>
        <v>39977.66667</v>
      </c>
      <c r="B1995" s="2" t="str">
        <f t="shared" si="2"/>
        <v/>
      </c>
      <c r="C1995" s="2" t="str">
        <f t="shared" si="3"/>
        <v>SP500</v>
      </c>
      <c r="D1995" s="2" t="str">
        <f t="shared" si="4"/>
        <v/>
      </c>
      <c r="E1995" s="2">
        <f t="shared" si="5"/>
        <v>1858.8</v>
      </c>
      <c r="G1995" s="10">
        <f t="shared" si="9"/>
        <v>39977.64583</v>
      </c>
      <c r="H1995" s="6" t="str">
        <f t="shared" si="6"/>
        <v/>
      </c>
      <c r="I1995" s="2">
        <f t="shared" si="7"/>
        <v>1426.89</v>
      </c>
      <c r="M1995" s="10">
        <f>IFERROR(__xludf.DUMMYFUNCTION("""COMPUTED_VALUE"""),40869.666666666664)</f>
        <v>40869.66667</v>
      </c>
      <c r="N1995" s="2">
        <f>IFERROR(__xludf.DUMMYFUNCTION("""COMPUTED_VALUE"""),2521.28)</f>
        <v>2521.28</v>
      </c>
    </row>
    <row r="1996">
      <c r="A1996" s="10">
        <f t="shared" si="8"/>
        <v>39978.66667</v>
      </c>
      <c r="B1996" s="2" t="str">
        <f t="shared" si="2"/>
        <v/>
      </c>
      <c r="C1996" s="2" t="str">
        <f t="shared" si="3"/>
        <v>SP500</v>
      </c>
      <c r="D1996" s="2" t="str">
        <f t="shared" si="4"/>
        <v/>
      </c>
      <c r="E1996" s="2">
        <f t="shared" si="5"/>
        <v>1858.8</v>
      </c>
      <c r="G1996" s="10">
        <f t="shared" si="9"/>
        <v>39978.64583</v>
      </c>
      <c r="H1996" s="6" t="str">
        <f t="shared" si="6"/>
        <v/>
      </c>
      <c r="I1996" s="2">
        <f t="shared" si="7"/>
        <v>1426.89</v>
      </c>
      <c r="M1996" s="10">
        <f>IFERROR(__xludf.DUMMYFUNCTION("""COMPUTED_VALUE"""),40870.666666666664)</f>
        <v>40870.66667</v>
      </c>
      <c r="N1996" s="2">
        <f>IFERROR(__xludf.DUMMYFUNCTION("""COMPUTED_VALUE"""),2460.08)</f>
        <v>2460.08</v>
      </c>
    </row>
    <row r="1997">
      <c r="A1997" s="10">
        <f t="shared" si="8"/>
        <v>39979.66667</v>
      </c>
      <c r="B1997" s="2" t="str">
        <f t="shared" si="2"/>
        <v/>
      </c>
      <c r="C1997" s="2" t="str">
        <f t="shared" si="3"/>
        <v>SP500</v>
      </c>
      <c r="D1997" s="2">
        <f t="shared" si="4"/>
        <v>1816.38</v>
      </c>
      <c r="E1997" s="2">
        <f t="shared" si="5"/>
        <v>1816.38</v>
      </c>
      <c r="G1997" s="10">
        <f t="shared" si="9"/>
        <v>39979.64583</v>
      </c>
      <c r="H1997" s="6" t="str">
        <f t="shared" si="6"/>
        <v/>
      </c>
      <c r="I1997" s="2">
        <f t="shared" si="7"/>
        <v>1426.89</v>
      </c>
      <c r="M1997" s="10">
        <f>IFERROR(__xludf.DUMMYFUNCTION("""COMPUTED_VALUE"""),40872.666666666664)</f>
        <v>40872.66667</v>
      </c>
      <c r="N1997" s="2">
        <f>IFERROR(__xludf.DUMMYFUNCTION("""COMPUTED_VALUE"""),2441.51)</f>
        <v>2441.51</v>
      </c>
    </row>
    <row r="1998">
      <c r="A1998" s="10">
        <f t="shared" si="8"/>
        <v>39980.66667</v>
      </c>
      <c r="B1998" s="2" t="str">
        <f t="shared" si="2"/>
        <v/>
      </c>
      <c r="C1998" s="2" t="str">
        <f t="shared" si="3"/>
        <v>SP500</v>
      </c>
      <c r="D1998" s="2">
        <f t="shared" si="4"/>
        <v>1796.18</v>
      </c>
      <c r="E1998" s="2">
        <f t="shared" si="5"/>
        <v>1796.18</v>
      </c>
      <c r="G1998" s="10">
        <f t="shared" si="9"/>
        <v>39980.64583</v>
      </c>
      <c r="H1998" s="6" t="str">
        <f t="shared" si="6"/>
        <v/>
      </c>
      <c r="I1998" s="2">
        <f t="shared" si="7"/>
        <v>1426.89</v>
      </c>
      <c r="M1998" s="10">
        <f>IFERROR(__xludf.DUMMYFUNCTION("""COMPUTED_VALUE"""),40875.666666666664)</f>
        <v>40875.66667</v>
      </c>
      <c r="N1998" s="2">
        <f>IFERROR(__xludf.DUMMYFUNCTION("""COMPUTED_VALUE"""),2527.34)</f>
        <v>2527.34</v>
      </c>
    </row>
    <row r="1999">
      <c r="A1999" s="10">
        <f t="shared" si="8"/>
        <v>39981.66667</v>
      </c>
      <c r="B1999" s="2" t="str">
        <f t="shared" si="2"/>
        <v/>
      </c>
      <c r="C1999" s="2" t="str">
        <f t="shared" si="3"/>
        <v>SP500</v>
      </c>
      <c r="D1999" s="2">
        <f t="shared" si="4"/>
        <v>1808.06</v>
      </c>
      <c r="E1999" s="2">
        <f t="shared" si="5"/>
        <v>1808.06</v>
      </c>
      <c r="G1999" s="10">
        <f t="shared" si="9"/>
        <v>39981.64583</v>
      </c>
      <c r="H1999" s="6" t="str">
        <f t="shared" si="6"/>
        <v/>
      </c>
      <c r="I1999" s="2">
        <f t="shared" si="7"/>
        <v>1426.89</v>
      </c>
      <c r="M1999" s="10">
        <f>IFERROR(__xludf.DUMMYFUNCTION("""COMPUTED_VALUE"""),40876.666666666664)</f>
        <v>40876.66667</v>
      </c>
      <c r="N1999" s="2">
        <f>IFERROR(__xludf.DUMMYFUNCTION("""COMPUTED_VALUE"""),2515.51)</f>
        <v>2515.51</v>
      </c>
    </row>
    <row r="2000">
      <c r="A2000" s="10">
        <f t="shared" si="8"/>
        <v>39982.66667</v>
      </c>
      <c r="B2000" s="2" t="str">
        <f t="shared" si="2"/>
        <v/>
      </c>
      <c r="C2000" s="2" t="str">
        <f t="shared" si="3"/>
        <v>SP500</v>
      </c>
      <c r="D2000" s="2">
        <f t="shared" si="4"/>
        <v>1807.72</v>
      </c>
      <c r="E2000" s="2">
        <f t="shared" si="5"/>
        <v>1807.72</v>
      </c>
      <c r="G2000" s="10">
        <f t="shared" si="9"/>
        <v>39982.64583</v>
      </c>
      <c r="H2000" s="6" t="str">
        <f t="shared" si="6"/>
        <v/>
      </c>
      <c r="I2000" s="2">
        <f t="shared" si="7"/>
        <v>1426.89</v>
      </c>
      <c r="M2000" s="10">
        <f>IFERROR(__xludf.DUMMYFUNCTION("""COMPUTED_VALUE"""),40877.666666666664)</f>
        <v>40877.66667</v>
      </c>
      <c r="N2000" s="2">
        <f>IFERROR(__xludf.DUMMYFUNCTION("""COMPUTED_VALUE"""),2620.34)</f>
        <v>2620.34</v>
      </c>
    </row>
    <row r="2001">
      <c r="A2001" s="10">
        <f t="shared" si="8"/>
        <v>39983.66667</v>
      </c>
      <c r="B2001" s="2" t="str">
        <f t="shared" si="2"/>
        <v/>
      </c>
      <c r="C2001" s="2" t="str">
        <f t="shared" si="3"/>
        <v>SP500</v>
      </c>
      <c r="D2001" s="2">
        <f t="shared" si="4"/>
        <v>1827.47</v>
      </c>
      <c r="E2001" s="2">
        <f t="shared" si="5"/>
        <v>1827.47</v>
      </c>
      <c r="G2001" s="10">
        <f t="shared" si="9"/>
        <v>39983.64583</v>
      </c>
      <c r="H2001" s="6" t="str">
        <f t="shared" si="6"/>
        <v/>
      </c>
      <c r="I2001" s="2">
        <f t="shared" si="7"/>
        <v>1426.89</v>
      </c>
      <c r="M2001" s="10">
        <f>IFERROR(__xludf.DUMMYFUNCTION("""COMPUTED_VALUE"""),40878.666666666664)</f>
        <v>40878.66667</v>
      </c>
      <c r="N2001" s="2">
        <f>IFERROR(__xludf.DUMMYFUNCTION("""COMPUTED_VALUE"""),2626.2)</f>
        <v>2626.2</v>
      </c>
    </row>
    <row r="2002">
      <c r="A2002" s="10">
        <f t="shared" si="8"/>
        <v>39984.66667</v>
      </c>
      <c r="B2002" s="2" t="str">
        <f t="shared" si="2"/>
        <v/>
      </c>
      <c r="C2002" s="2" t="str">
        <f t="shared" si="3"/>
        <v>SP500</v>
      </c>
      <c r="D2002" s="2" t="str">
        <f t="shared" si="4"/>
        <v/>
      </c>
      <c r="E2002" s="2">
        <f t="shared" si="5"/>
        <v>1827.47</v>
      </c>
      <c r="G2002" s="10">
        <f t="shared" si="9"/>
        <v>39984.64583</v>
      </c>
      <c r="H2002" s="6" t="str">
        <f t="shared" si="6"/>
        <v/>
      </c>
      <c r="I2002" s="2">
        <f t="shared" si="7"/>
        <v>1426.89</v>
      </c>
      <c r="M2002" s="10">
        <f>IFERROR(__xludf.DUMMYFUNCTION("""COMPUTED_VALUE"""),40879.666666666664)</f>
        <v>40879.66667</v>
      </c>
      <c r="N2002" s="2">
        <f>IFERROR(__xludf.DUMMYFUNCTION("""COMPUTED_VALUE"""),2626.93)</f>
        <v>2626.93</v>
      </c>
    </row>
    <row r="2003">
      <c r="A2003" s="10">
        <f t="shared" si="8"/>
        <v>39985.66667</v>
      </c>
      <c r="B2003" s="2" t="str">
        <f t="shared" si="2"/>
        <v/>
      </c>
      <c r="C2003" s="2" t="str">
        <f t="shared" si="3"/>
        <v>SP500</v>
      </c>
      <c r="D2003" s="2" t="str">
        <f t="shared" si="4"/>
        <v/>
      </c>
      <c r="E2003" s="2">
        <f t="shared" si="5"/>
        <v>1827.47</v>
      </c>
      <c r="G2003" s="10">
        <f t="shared" si="9"/>
        <v>39985.64583</v>
      </c>
      <c r="H2003" s="6" t="str">
        <f t="shared" si="6"/>
        <v/>
      </c>
      <c r="I2003" s="2">
        <f t="shared" si="7"/>
        <v>1426.89</v>
      </c>
      <c r="M2003" s="10">
        <f>IFERROR(__xludf.DUMMYFUNCTION("""COMPUTED_VALUE"""),40882.666666666664)</f>
        <v>40882.66667</v>
      </c>
      <c r="N2003" s="2">
        <f>IFERROR(__xludf.DUMMYFUNCTION("""COMPUTED_VALUE"""),2655.76)</f>
        <v>2655.76</v>
      </c>
    </row>
    <row r="2004">
      <c r="A2004" s="10">
        <f t="shared" si="8"/>
        <v>39986.66667</v>
      </c>
      <c r="B2004" s="2" t="str">
        <f t="shared" si="2"/>
        <v/>
      </c>
      <c r="C2004" s="2" t="str">
        <f t="shared" si="3"/>
        <v>SP500</v>
      </c>
      <c r="D2004" s="2">
        <f t="shared" si="4"/>
        <v>1766.19</v>
      </c>
      <c r="E2004" s="2">
        <f t="shared" si="5"/>
        <v>1766.19</v>
      </c>
      <c r="G2004" s="10">
        <f t="shared" si="9"/>
        <v>39986.64583</v>
      </c>
      <c r="H2004" s="6" t="str">
        <f t="shared" si="6"/>
        <v/>
      </c>
      <c r="I2004" s="2">
        <f t="shared" si="7"/>
        <v>1426.89</v>
      </c>
      <c r="M2004" s="10">
        <f>IFERROR(__xludf.DUMMYFUNCTION("""COMPUTED_VALUE"""),40883.666666666664)</f>
        <v>40883.66667</v>
      </c>
      <c r="N2004" s="2">
        <f>IFERROR(__xludf.DUMMYFUNCTION("""COMPUTED_VALUE"""),2649.56)</f>
        <v>2649.56</v>
      </c>
    </row>
    <row r="2005">
      <c r="A2005" s="10">
        <f t="shared" si="8"/>
        <v>39987.66667</v>
      </c>
      <c r="B2005" s="2" t="str">
        <f t="shared" si="2"/>
        <v/>
      </c>
      <c r="C2005" s="2" t="str">
        <f t="shared" si="3"/>
        <v>SP500</v>
      </c>
      <c r="D2005" s="2">
        <f t="shared" si="4"/>
        <v>1764.92</v>
      </c>
      <c r="E2005" s="2">
        <f t="shared" si="5"/>
        <v>1764.92</v>
      </c>
      <c r="G2005" s="10">
        <f t="shared" si="9"/>
        <v>39987.64583</v>
      </c>
      <c r="H2005" s="6" t="str">
        <f t="shared" si="6"/>
        <v/>
      </c>
      <c r="I2005" s="2">
        <f t="shared" si="7"/>
        <v>1426.89</v>
      </c>
      <c r="M2005" s="10">
        <f>IFERROR(__xludf.DUMMYFUNCTION("""COMPUTED_VALUE"""),40884.666666666664)</f>
        <v>40884.66667</v>
      </c>
      <c r="N2005" s="2">
        <f>IFERROR(__xludf.DUMMYFUNCTION("""COMPUTED_VALUE"""),2649.21)</f>
        <v>2649.21</v>
      </c>
    </row>
    <row r="2006">
      <c r="A2006" s="10">
        <f t="shared" si="8"/>
        <v>39988.66667</v>
      </c>
      <c r="B2006" s="2" t="str">
        <f t="shared" si="2"/>
        <v/>
      </c>
      <c r="C2006" s="2" t="str">
        <f t="shared" si="3"/>
        <v>SP500</v>
      </c>
      <c r="D2006" s="2">
        <f t="shared" si="4"/>
        <v>1792.34</v>
      </c>
      <c r="E2006" s="2">
        <f t="shared" si="5"/>
        <v>1792.34</v>
      </c>
      <c r="G2006" s="10">
        <f t="shared" si="9"/>
        <v>39988.64583</v>
      </c>
      <c r="H2006" s="6" t="str">
        <f t="shared" si="6"/>
        <v/>
      </c>
      <c r="I2006" s="2">
        <f t="shared" si="7"/>
        <v>1426.89</v>
      </c>
      <c r="M2006" s="10">
        <f>IFERROR(__xludf.DUMMYFUNCTION("""COMPUTED_VALUE"""),40885.666666666664)</f>
        <v>40885.66667</v>
      </c>
      <c r="N2006" s="2">
        <f>IFERROR(__xludf.DUMMYFUNCTION("""COMPUTED_VALUE"""),2596.38)</f>
        <v>2596.38</v>
      </c>
    </row>
    <row r="2007">
      <c r="A2007" s="10">
        <f t="shared" si="8"/>
        <v>39989.66667</v>
      </c>
      <c r="B2007" s="2" t="str">
        <f t="shared" si="2"/>
        <v/>
      </c>
      <c r="C2007" s="2" t="str">
        <f t="shared" si="3"/>
        <v>SP500</v>
      </c>
      <c r="D2007" s="2">
        <f t="shared" si="4"/>
        <v>1829.54</v>
      </c>
      <c r="E2007" s="2">
        <f t="shared" si="5"/>
        <v>1829.54</v>
      </c>
      <c r="G2007" s="10">
        <f t="shared" si="9"/>
        <v>39989.64583</v>
      </c>
      <c r="H2007" s="6" t="str">
        <f t="shared" si="6"/>
        <v/>
      </c>
      <c r="I2007" s="2">
        <f t="shared" si="7"/>
        <v>1426.89</v>
      </c>
      <c r="M2007" s="10">
        <f>IFERROR(__xludf.DUMMYFUNCTION("""COMPUTED_VALUE"""),40886.666666666664)</f>
        <v>40886.66667</v>
      </c>
      <c r="N2007" s="2">
        <f>IFERROR(__xludf.DUMMYFUNCTION("""COMPUTED_VALUE"""),2646.85)</f>
        <v>2646.85</v>
      </c>
    </row>
    <row r="2008">
      <c r="A2008" s="10">
        <f t="shared" si="8"/>
        <v>39990.66667</v>
      </c>
      <c r="B2008" s="2" t="str">
        <f t="shared" si="2"/>
        <v/>
      </c>
      <c r="C2008" s="2" t="str">
        <f t="shared" si="3"/>
        <v>SP500</v>
      </c>
      <c r="D2008" s="2">
        <f t="shared" si="4"/>
        <v>1838.22</v>
      </c>
      <c r="E2008" s="2">
        <f t="shared" si="5"/>
        <v>1838.22</v>
      </c>
      <c r="G2008" s="10">
        <f t="shared" si="9"/>
        <v>39990.64583</v>
      </c>
      <c r="H2008" s="6" t="str">
        <f t="shared" si="6"/>
        <v/>
      </c>
      <c r="I2008" s="2">
        <f t="shared" si="7"/>
        <v>1426.89</v>
      </c>
      <c r="M2008" s="10">
        <f>IFERROR(__xludf.DUMMYFUNCTION("""COMPUTED_VALUE"""),40889.666666666664)</f>
        <v>40889.66667</v>
      </c>
      <c r="N2008" s="2">
        <f>IFERROR(__xludf.DUMMYFUNCTION("""COMPUTED_VALUE"""),2612.26)</f>
        <v>2612.26</v>
      </c>
    </row>
    <row r="2009">
      <c r="A2009" s="10">
        <f t="shared" si="8"/>
        <v>39991.66667</v>
      </c>
      <c r="B2009" s="2" t="str">
        <f t="shared" si="2"/>
        <v/>
      </c>
      <c r="C2009" s="2" t="str">
        <f t="shared" si="3"/>
        <v>SP500</v>
      </c>
      <c r="D2009" s="2" t="str">
        <f t="shared" si="4"/>
        <v/>
      </c>
      <c r="E2009" s="2">
        <f t="shared" si="5"/>
        <v>1838.22</v>
      </c>
      <c r="G2009" s="10">
        <f t="shared" si="9"/>
        <v>39991.64583</v>
      </c>
      <c r="H2009" s="6" t="str">
        <f t="shared" si="6"/>
        <v/>
      </c>
      <c r="I2009" s="2">
        <f t="shared" si="7"/>
        <v>1426.89</v>
      </c>
      <c r="M2009" s="10">
        <f>IFERROR(__xludf.DUMMYFUNCTION("""COMPUTED_VALUE"""),40890.666666666664)</f>
        <v>40890.66667</v>
      </c>
      <c r="N2009" s="2">
        <f>IFERROR(__xludf.DUMMYFUNCTION("""COMPUTED_VALUE"""),2579.27)</f>
        <v>2579.27</v>
      </c>
    </row>
    <row r="2010">
      <c r="A2010" s="10">
        <f t="shared" si="8"/>
        <v>39992.66667</v>
      </c>
      <c r="B2010" s="2" t="str">
        <f t="shared" si="2"/>
        <v/>
      </c>
      <c r="C2010" s="2" t="str">
        <f t="shared" si="3"/>
        <v>SP500</v>
      </c>
      <c r="D2010" s="2" t="str">
        <f t="shared" si="4"/>
        <v/>
      </c>
      <c r="E2010" s="2">
        <f t="shared" si="5"/>
        <v>1838.22</v>
      </c>
      <c r="G2010" s="10">
        <f t="shared" si="9"/>
        <v>39992.64583</v>
      </c>
      <c r="H2010" s="6" t="str">
        <f t="shared" si="6"/>
        <v/>
      </c>
      <c r="I2010" s="2">
        <f t="shared" si="7"/>
        <v>1426.89</v>
      </c>
      <c r="M2010" s="10">
        <f>IFERROR(__xludf.DUMMYFUNCTION("""COMPUTED_VALUE"""),40891.666666666664)</f>
        <v>40891.66667</v>
      </c>
      <c r="N2010" s="2">
        <f>IFERROR(__xludf.DUMMYFUNCTION("""COMPUTED_VALUE"""),2539.31)</f>
        <v>2539.31</v>
      </c>
    </row>
    <row r="2011">
      <c r="A2011" s="10">
        <f t="shared" si="8"/>
        <v>39993.66667</v>
      </c>
      <c r="B2011" s="2" t="str">
        <f t="shared" si="2"/>
        <v/>
      </c>
      <c r="C2011" s="2" t="str">
        <f t="shared" si="3"/>
        <v>SP500</v>
      </c>
      <c r="D2011" s="2">
        <f t="shared" si="4"/>
        <v>1844.06</v>
      </c>
      <c r="E2011" s="2">
        <f t="shared" si="5"/>
        <v>1844.06</v>
      </c>
      <c r="G2011" s="10">
        <f t="shared" si="9"/>
        <v>39993.64583</v>
      </c>
      <c r="H2011" s="6" t="str">
        <f t="shared" si="6"/>
        <v/>
      </c>
      <c r="I2011" s="2">
        <f t="shared" si="7"/>
        <v>1426.89</v>
      </c>
      <c r="M2011" s="10">
        <f>IFERROR(__xludf.DUMMYFUNCTION("""COMPUTED_VALUE"""),40892.666666666664)</f>
        <v>40892.66667</v>
      </c>
      <c r="N2011" s="2">
        <f>IFERROR(__xludf.DUMMYFUNCTION("""COMPUTED_VALUE"""),2541.01)</f>
        <v>2541.01</v>
      </c>
    </row>
    <row r="2012">
      <c r="A2012" s="10">
        <f t="shared" si="8"/>
        <v>39994.66667</v>
      </c>
      <c r="B2012" s="2" t="str">
        <f t="shared" si="2"/>
        <v/>
      </c>
      <c r="C2012" s="2" t="str">
        <f t="shared" si="3"/>
        <v>SP500</v>
      </c>
      <c r="D2012" s="2">
        <f t="shared" si="4"/>
        <v>1835.04</v>
      </c>
      <c r="E2012" s="2">
        <f t="shared" si="5"/>
        <v>1835.04</v>
      </c>
      <c r="G2012" s="10">
        <f t="shared" si="9"/>
        <v>39994.64583</v>
      </c>
      <c r="H2012" s="6" t="str">
        <f t="shared" si="6"/>
        <v/>
      </c>
      <c r="I2012" s="2">
        <f t="shared" si="7"/>
        <v>1426.89</v>
      </c>
      <c r="M2012" s="10">
        <f>IFERROR(__xludf.DUMMYFUNCTION("""COMPUTED_VALUE"""),40893.666666666664)</f>
        <v>40893.66667</v>
      </c>
      <c r="N2012" s="2">
        <f>IFERROR(__xludf.DUMMYFUNCTION("""COMPUTED_VALUE"""),2555.33)</f>
        <v>2555.33</v>
      </c>
    </row>
    <row r="2013">
      <c r="A2013" s="10">
        <f t="shared" si="8"/>
        <v>39995.66667</v>
      </c>
      <c r="B2013" s="2" t="str">
        <f t="shared" si="2"/>
        <v/>
      </c>
      <c r="C2013" s="2" t="str">
        <f t="shared" si="3"/>
        <v>SP500</v>
      </c>
      <c r="D2013" s="2">
        <f t="shared" si="4"/>
        <v>1845.72</v>
      </c>
      <c r="E2013" s="2">
        <f t="shared" si="5"/>
        <v>1845.72</v>
      </c>
      <c r="G2013" s="10">
        <f t="shared" si="9"/>
        <v>39995.64583</v>
      </c>
      <c r="H2013" s="6" t="str">
        <f t="shared" si="6"/>
        <v/>
      </c>
      <c r="I2013" s="2">
        <f t="shared" si="7"/>
        <v>1426.89</v>
      </c>
      <c r="M2013" s="10">
        <f>IFERROR(__xludf.DUMMYFUNCTION("""COMPUTED_VALUE"""),40896.666666666664)</f>
        <v>40896.66667</v>
      </c>
      <c r="N2013" s="2">
        <f>IFERROR(__xludf.DUMMYFUNCTION("""COMPUTED_VALUE"""),2523.14)</f>
        <v>2523.14</v>
      </c>
    </row>
    <row r="2014">
      <c r="A2014" s="10">
        <f t="shared" si="8"/>
        <v>39996.66667</v>
      </c>
      <c r="B2014" s="2" t="str">
        <f t="shared" si="2"/>
        <v/>
      </c>
      <c r="C2014" s="2" t="str">
        <f t="shared" si="3"/>
        <v>SP500</v>
      </c>
      <c r="D2014" s="2">
        <f t="shared" si="4"/>
        <v>1796.52</v>
      </c>
      <c r="E2014" s="2">
        <f t="shared" si="5"/>
        <v>1796.52</v>
      </c>
      <c r="G2014" s="10">
        <f t="shared" si="9"/>
        <v>39996.64583</v>
      </c>
      <c r="H2014" s="6" t="str">
        <f t="shared" si="6"/>
        <v/>
      </c>
      <c r="I2014" s="2">
        <f t="shared" si="7"/>
        <v>1426.89</v>
      </c>
      <c r="M2014" s="10">
        <f>IFERROR(__xludf.DUMMYFUNCTION("""COMPUTED_VALUE"""),40897.666666666664)</f>
        <v>40897.66667</v>
      </c>
      <c r="N2014" s="2">
        <f>IFERROR(__xludf.DUMMYFUNCTION("""COMPUTED_VALUE"""),2603.73)</f>
        <v>2603.73</v>
      </c>
    </row>
    <row r="2015">
      <c r="A2015" s="10">
        <f t="shared" si="8"/>
        <v>39997.66667</v>
      </c>
      <c r="B2015" s="2" t="str">
        <f t="shared" si="2"/>
        <v/>
      </c>
      <c r="C2015" s="2" t="str">
        <f t="shared" si="3"/>
        <v>SP500</v>
      </c>
      <c r="D2015" s="2" t="str">
        <f t="shared" si="4"/>
        <v/>
      </c>
      <c r="E2015" s="2">
        <f t="shared" si="5"/>
        <v>1796.52</v>
      </c>
      <c r="G2015" s="10">
        <f t="shared" si="9"/>
        <v>39997.64583</v>
      </c>
      <c r="H2015" s="6" t="str">
        <f t="shared" si="6"/>
        <v/>
      </c>
      <c r="I2015" s="2">
        <f t="shared" si="7"/>
        <v>1426.89</v>
      </c>
      <c r="M2015" s="10">
        <f>IFERROR(__xludf.DUMMYFUNCTION("""COMPUTED_VALUE"""),40898.666666666664)</f>
        <v>40898.66667</v>
      </c>
      <c r="N2015" s="2">
        <f>IFERROR(__xludf.DUMMYFUNCTION("""COMPUTED_VALUE"""),2577.97)</f>
        <v>2577.97</v>
      </c>
    </row>
    <row r="2016">
      <c r="A2016" s="10">
        <f t="shared" si="8"/>
        <v>39998.66667</v>
      </c>
      <c r="B2016" s="2" t="str">
        <f t="shared" si="2"/>
        <v/>
      </c>
      <c r="C2016" s="2" t="str">
        <f t="shared" si="3"/>
        <v>SP500</v>
      </c>
      <c r="D2016" s="2" t="str">
        <f t="shared" si="4"/>
        <v/>
      </c>
      <c r="E2016" s="2">
        <f t="shared" si="5"/>
        <v>1796.52</v>
      </c>
      <c r="G2016" s="10">
        <f t="shared" si="9"/>
        <v>39998.64583</v>
      </c>
      <c r="H2016" s="6" t="str">
        <f t="shared" si="6"/>
        <v/>
      </c>
      <c r="I2016" s="2">
        <f t="shared" si="7"/>
        <v>1426.89</v>
      </c>
      <c r="M2016" s="10">
        <f>IFERROR(__xludf.DUMMYFUNCTION("""COMPUTED_VALUE"""),40899.666666666664)</f>
        <v>40899.66667</v>
      </c>
      <c r="N2016" s="2">
        <f>IFERROR(__xludf.DUMMYFUNCTION("""COMPUTED_VALUE"""),2599.45)</f>
        <v>2599.45</v>
      </c>
    </row>
    <row r="2017">
      <c r="A2017" s="10">
        <f t="shared" si="8"/>
        <v>39999.66667</v>
      </c>
      <c r="B2017" s="2" t="str">
        <f t="shared" si="2"/>
        <v/>
      </c>
      <c r="C2017" s="2" t="str">
        <f t="shared" si="3"/>
        <v>SP500</v>
      </c>
      <c r="D2017" s="2" t="str">
        <f t="shared" si="4"/>
        <v/>
      </c>
      <c r="E2017" s="2">
        <f t="shared" si="5"/>
        <v>1796.52</v>
      </c>
      <c r="G2017" s="10">
        <f t="shared" si="9"/>
        <v>39999.64583</v>
      </c>
      <c r="H2017" s="6" t="str">
        <f t="shared" si="6"/>
        <v/>
      </c>
      <c r="I2017" s="2">
        <f t="shared" si="7"/>
        <v>1426.89</v>
      </c>
      <c r="M2017" s="10">
        <f>IFERROR(__xludf.DUMMYFUNCTION("""COMPUTED_VALUE"""),40900.666666666664)</f>
        <v>40900.66667</v>
      </c>
      <c r="N2017" s="2">
        <f>IFERROR(__xludf.DUMMYFUNCTION("""COMPUTED_VALUE"""),2618.64)</f>
        <v>2618.64</v>
      </c>
    </row>
    <row r="2018">
      <c r="A2018" s="10">
        <f t="shared" si="8"/>
        <v>40000.66667</v>
      </c>
      <c r="B2018" s="2" t="str">
        <f t="shared" si="2"/>
        <v/>
      </c>
      <c r="C2018" s="2" t="str">
        <f t="shared" si="3"/>
        <v>SP500</v>
      </c>
      <c r="D2018" s="2">
        <f t="shared" si="4"/>
        <v>1787.4</v>
      </c>
      <c r="E2018" s="2">
        <f t="shared" si="5"/>
        <v>1787.4</v>
      </c>
      <c r="G2018" s="10">
        <f t="shared" si="9"/>
        <v>40000.64583</v>
      </c>
      <c r="H2018" s="6" t="str">
        <f t="shared" si="6"/>
        <v/>
      </c>
      <c r="I2018" s="2">
        <f t="shared" si="7"/>
        <v>1426.89</v>
      </c>
      <c r="M2018" s="10">
        <f>IFERROR(__xludf.DUMMYFUNCTION("""COMPUTED_VALUE"""),40904.666666666664)</f>
        <v>40904.66667</v>
      </c>
      <c r="N2018" s="2">
        <f>IFERROR(__xludf.DUMMYFUNCTION("""COMPUTED_VALUE"""),2625.2)</f>
        <v>2625.2</v>
      </c>
    </row>
    <row r="2019">
      <c r="A2019" s="10">
        <f t="shared" si="8"/>
        <v>40001.66667</v>
      </c>
      <c r="B2019" s="2" t="str">
        <f t="shared" si="2"/>
        <v/>
      </c>
      <c r="C2019" s="2" t="str">
        <f t="shared" si="3"/>
        <v>SP500</v>
      </c>
      <c r="D2019" s="2">
        <f t="shared" si="4"/>
        <v>1746.17</v>
      </c>
      <c r="E2019" s="2">
        <f t="shared" si="5"/>
        <v>1746.17</v>
      </c>
      <c r="G2019" s="10">
        <f t="shared" si="9"/>
        <v>40001.64583</v>
      </c>
      <c r="H2019" s="6" t="str">
        <f t="shared" si="6"/>
        <v/>
      </c>
      <c r="I2019" s="2">
        <f t="shared" si="7"/>
        <v>1426.89</v>
      </c>
      <c r="M2019" s="10">
        <f>IFERROR(__xludf.DUMMYFUNCTION("""COMPUTED_VALUE"""),40905.666666666664)</f>
        <v>40905.66667</v>
      </c>
      <c r="N2019" s="2">
        <f>IFERROR(__xludf.DUMMYFUNCTION("""COMPUTED_VALUE"""),2589.98)</f>
        <v>2589.98</v>
      </c>
    </row>
    <row r="2020">
      <c r="A2020" s="10">
        <f t="shared" si="8"/>
        <v>40002.66667</v>
      </c>
      <c r="B2020" s="2" t="str">
        <f t="shared" si="2"/>
        <v/>
      </c>
      <c r="C2020" s="2" t="str">
        <f t="shared" si="3"/>
        <v>SP500</v>
      </c>
      <c r="D2020" s="2">
        <f t="shared" si="4"/>
        <v>1747.17</v>
      </c>
      <c r="E2020" s="2">
        <f t="shared" si="5"/>
        <v>1747.17</v>
      </c>
      <c r="G2020" s="10">
        <f t="shared" si="9"/>
        <v>40002.64583</v>
      </c>
      <c r="H2020" s="6" t="str">
        <f t="shared" si="6"/>
        <v/>
      </c>
      <c r="I2020" s="2">
        <f t="shared" si="7"/>
        <v>1426.89</v>
      </c>
      <c r="M2020" s="10">
        <f>IFERROR(__xludf.DUMMYFUNCTION("""COMPUTED_VALUE"""),40906.666666666664)</f>
        <v>40906.66667</v>
      </c>
      <c r="N2020" s="2">
        <f>IFERROR(__xludf.DUMMYFUNCTION("""COMPUTED_VALUE"""),2613.74)</f>
        <v>2613.74</v>
      </c>
    </row>
    <row r="2021">
      <c r="A2021" s="10">
        <f t="shared" si="8"/>
        <v>40003.66667</v>
      </c>
      <c r="B2021" s="2" t="str">
        <f t="shared" si="2"/>
        <v/>
      </c>
      <c r="C2021" s="2" t="str">
        <f t="shared" si="3"/>
        <v>SP500</v>
      </c>
      <c r="D2021" s="2">
        <f t="shared" si="4"/>
        <v>1752.55</v>
      </c>
      <c r="E2021" s="2">
        <f t="shared" si="5"/>
        <v>1752.55</v>
      </c>
      <c r="G2021" s="10">
        <f t="shared" si="9"/>
        <v>40003.64583</v>
      </c>
      <c r="H2021" s="6" t="str">
        <f t="shared" si="6"/>
        <v/>
      </c>
      <c r="I2021" s="2">
        <f t="shared" si="7"/>
        <v>1426.89</v>
      </c>
      <c r="M2021" s="10">
        <f>IFERROR(__xludf.DUMMYFUNCTION("""COMPUTED_VALUE"""),40907.666666666664)</f>
        <v>40907.66667</v>
      </c>
      <c r="N2021" s="2">
        <f>IFERROR(__xludf.DUMMYFUNCTION("""COMPUTED_VALUE"""),2605.15)</f>
        <v>2605.15</v>
      </c>
    </row>
    <row r="2022">
      <c r="A2022" s="10">
        <f t="shared" si="8"/>
        <v>40004.66667</v>
      </c>
      <c r="B2022" s="2" t="str">
        <f t="shared" si="2"/>
        <v/>
      </c>
      <c r="C2022" s="2" t="str">
        <f t="shared" si="3"/>
        <v>SP500</v>
      </c>
      <c r="D2022" s="2">
        <f t="shared" si="4"/>
        <v>1756.03</v>
      </c>
      <c r="E2022" s="2">
        <f t="shared" si="5"/>
        <v>1756.03</v>
      </c>
      <c r="G2022" s="10">
        <f t="shared" si="9"/>
        <v>40004.64583</v>
      </c>
      <c r="H2022" s="6" t="str">
        <f t="shared" si="6"/>
        <v/>
      </c>
      <c r="I2022" s="2">
        <f t="shared" si="7"/>
        <v>1426.89</v>
      </c>
      <c r="M2022" s="10">
        <f>IFERROR(__xludf.DUMMYFUNCTION("""COMPUTED_VALUE"""),40911.666666666664)</f>
        <v>40911.66667</v>
      </c>
      <c r="N2022" s="2">
        <f>IFERROR(__xludf.DUMMYFUNCTION("""COMPUTED_VALUE"""),2648.72)</f>
        <v>2648.72</v>
      </c>
    </row>
    <row r="2023">
      <c r="A2023" s="10">
        <f t="shared" si="8"/>
        <v>40005.66667</v>
      </c>
      <c r="B2023" s="2" t="str">
        <f t="shared" si="2"/>
        <v/>
      </c>
      <c r="C2023" s="2" t="str">
        <f t="shared" si="3"/>
        <v>SP500</v>
      </c>
      <c r="D2023" s="2" t="str">
        <f t="shared" si="4"/>
        <v/>
      </c>
      <c r="E2023" s="2">
        <f t="shared" si="5"/>
        <v>1756.03</v>
      </c>
      <c r="G2023" s="10">
        <f t="shared" si="9"/>
        <v>40005.64583</v>
      </c>
      <c r="H2023" s="6" t="str">
        <f t="shared" si="6"/>
        <v/>
      </c>
      <c r="I2023" s="2">
        <f t="shared" si="7"/>
        <v>1426.89</v>
      </c>
      <c r="M2023" s="10">
        <f>IFERROR(__xludf.DUMMYFUNCTION("""COMPUTED_VALUE"""),40912.666666666664)</f>
        <v>40912.66667</v>
      </c>
      <c r="N2023" s="2">
        <f>IFERROR(__xludf.DUMMYFUNCTION("""COMPUTED_VALUE"""),2648.36)</f>
        <v>2648.36</v>
      </c>
    </row>
    <row r="2024">
      <c r="A2024" s="10">
        <f t="shared" si="8"/>
        <v>40006.66667</v>
      </c>
      <c r="B2024" s="2" t="str">
        <f t="shared" si="2"/>
        <v/>
      </c>
      <c r="C2024" s="2" t="str">
        <f t="shared" si="3"/>
        <v>SP500</v>
      </c>
      <c r="D2024" s="2" t="str">
        <f t="shared" si="4"/>
        <v/>
      </c>
      <c r="E2024" s="2">
        <f t="shared" si="5"/>
        <v>1756.03</v>
      </c>
      <c r="G2024" s="10">
        <f t="shared" si="9"/>
        <v>40006.64583</v>
      </c>
      <c r="H2024" s="6" t="str">
        <f t="shared" si="6"/>
        <v/>
      </c>
      <c r="I2024" s="2">
        <f t="shared" si="7"/>
        <v>1426.89</v>
      </c>
      <c r="M2024" s="10">
        <f>IFERROR(__xludf.DUMMYFUNCTION("""COMPUTED_VALUE"""),40913.666666666664)</f>
        <v>40913.66667</v>
      </c>
      <c r="N2024" s="2">
        <f>IFERROR(__xludf.DUMMYFUNCTION("""COMPUTED_VALUE"""),2669.86)</f>
        <v>2669.86</v>
      </c>
    </row>
    <row r="2025">
      <c r="A2025" s="10">
        <f t="shared" si="8"/>
        <v>40007.66667</v>
      </c>
      <c r="B2025" s="2" t="str">
        <f t="shared" si="2"/>
        <v/>
      </c>
      <c r="C2025" s="2" t="str">
        <f t="shared" si="3"/>
        <v>SP500</v>
      </c>
      <c r="D2025" s="2">
        <f t="shared" si="4"/>
        <v>1793.21</v>
      </c>
      <c r="E2025" s="2">
        <f t="shared" si="5"/>
        <v>1793.21</v>
      </c>
      <c r="G2025" s="10">
        <f t="shared" si="9"/>
        <v>40007.64583</v>
      </c>
      <c r="H2025" s="6" t="str">
        <f t="shared" si="6"/>
        <v/>
      </c>
      <c r="I2025" s="2">
        <f t="shared" si="7"/>
        <v>1426.89</v>
      </c>
      <c r="M2025" s="10">
        <f>IFERROR(__xludf.DUMMYFUNCTION("""COMPUTED_VALUE"""),40914.666666666664)</f>
        <v>40914.66667</v>
      </c>
      <c r="N2025" s="2">
        <f>IFERROR(__xludf.DUMMYFUNCTION("""COMPUTED_VALUE"""),2674.22)</f>
        <v>2674.22</v>
      </c>
    </row>
    <row r="2026">
      <c r="A2026" s="10">
        <f t="shared" si="8"/>
        <v>40008.66667</v>
      </c>
      <c r="B2026" s="2" t="str">
        <f t="shared" si="2"/>
        <v/>
      </c>
      <c r="C2026" s="2" t="str">
        <f t="shared" si="3"/>
        <v>SP500</v>
      </c>
      <c r="D2026" s="2">
        <f t="shared" si="4"/>
        <v>1799.73</v>
      </c>
      <c r="E2026" s="2">
        <f t="shared" si="5"/>
        <v>1799.73</v>
      </c>
      <c r="G2026" s="10">
        <f t="shared" si="9"/>
        <v>40008.64583</v>
      </c>
      <c r="H2026" s="6" t="str">
        <f t="shared" si="6"/>
        <v/>
      </c>
      <c r="I2026" s="2">
        <f t="shared" si="7"/>
        <v>1426.89</v>
      </c>
      <c r="M2026" s="10">
        <f>IFERROR(__xludf.DUMMYFUNCTION("""COMPUTED_VALUE"""),40917.666666666664)</f>
        <v>40917.66667</v>
      </c>
      <c r="N2026" s="2">
        <f>IFERROR(__xludf.DUMMYFUNCTION("""COMPUTED_VALUE"""),2676.56)</f>
        <v>2676.56</v>
      </c>
    </row>
    <row r="2027">
      <c r="A2027" s="10">
        <f t="shared" si="8"/>
        <v>40009.66667</v>
      </c>
      <c r="B2027" s="2" t="str">
        <f t="shared" si="2"/>
        <v/>
      </c>
      <c r="C2027" s="2" t="str">
        <f t="shared" si="3"/>
        <v>SP500</v>
      </c>
      <c r="D2027" s="2">
        <f t="shared" si="4"/>
        <v>1862.9</v>
      </c>
      <c r="E2027" s="2">
        <f t="shared" si="5"/>
        <v>1862.9</v>
      </c>
      <c r="G2027" s="10">
        <f t="shared" si="9"/>
        <v>40009.64583</v>
      </c>
      <c r="H2027" s="6" t="str">
        <f t="shared" si="6"/>
        <v/>
      </c>
      <c r="I2027" s="2">
        <f t="shared" si="7"/>
        <v>1426.89</v>
      </c>
      <c r="M2027" s="10">
        <f>IFERROR(__xludf.DUMMYFUNCTION("""COMPUTED_VALUE"""),40918.666666666664)</f>
        <v>40918.66667</v>
      </c>
      <c r="N2027" s="2">
        <f>IFERROR(__xludf.DUMMYFUNCTION("""COMPUTED_VALUE"""),2702.5)</f>
        <v>2702.5</v>
      </c>
    </row>
    <row r="2028">
      <c r="A2028" s="10">
        <f t="shared" si="8"/>
        <v>40010.66667</v>
      </c>
      <c r="B2028" s="2" t="str">
        <f t="shared" si="2"/>
        <v/>
      </c>
      <c r="C2028" s="2" t="str">
        <f t="shared" si="3"/>
        <v>SP500</v>
      </c>
      <c r="D2028" s="2">
        <f t="shared" si="4"/>
        <v>1885.03</v>
      </c>
      <c r="E2028" s="2">
        <f t="shared" si="5"/>
        <v>1885.03</v>
      </c>
      <c r="G2028" s="10">
        <f t="shared" si="9"/>
        <v>40010.64583</v>
      </c>
      <c r="H2028" s="6" t="str">
        <f t="shared" si="6"/>
        <v/>
      </c>
      <c r="I2028" s="2">
        <f t="shared" si="7"/>
        <v>1426.89</v>
      </c>
      <c r="M2028" s="10">
        <f>IFERROR(__xludf.DUMMYFUNCTION("""COMPUTED_VALUE"""),40919.666666666664)</f>
        <v>40919.66667</v>
      </c>
      <c r="N2028" s="2">
        <f>IFERROR(__xludf.DUMMYFUNCTION("""COMPUTED_VALUE"""),2710.76)</f>
        <v>2710.76</v>
      </c>
    </row>
    <row r="2029">
      <c r="A2029" s="10">
        <f t="shared" si="8"/>
        <v>40011.66667</v>
      </c>
      <c r="B2029" s="2" t="str">
        <f t="shared" si="2"/>
        <v/>
      </c>
      <c r="C2029" s="2" t="str">
        <f t="shared" si="3"/>
        <v>SP500</v>
      </c>
      <c r="D2029" s="2">
        <f t="shared" si="4"/>
        <v>1886.61</v>
      </c>
      <c r="E2029" s="2">
        <f t="shared" si="5"/>
        <v>1886.61</v>
      </c>
      <c r="G2029" s="10">
        <f t="shared" si="9"/>
        <v>40011.64583</v>
      </c>
      <c r="H2029" s="6" t="str">
        <f t="shared" si="6"/>
        <v/>
      </c>
      <c r="I2029" s="2">
        <f t="shared" si="7"/>
        <v>1426.89</v>
      </c>
      <c r="M2029" s="10">
        <f>IFERROR(__xludf.DUMMYFUNCTION("""COMPUTED_VALUE"""),40920.666666666664)</f>
        <v>40920.66667</v>
      </c>
      <c r="N2029" s="2">
        <f>IFERROR(__xludf.DUMMYFUNCTION("""COMPUTED_VALUE"""),2724.7)</f>
        <v>2724.7</v>
      </c>
    </row>
    <row r="2030">
      <c r="A2030" s="10">
        <f t="shared" si="8"/>
        <v>40012.66667</v>
      </c>
      <c r="B2030" s="2" t="str">
        <f t="shared" si="2"/>
        <v/>
      </c>
      <c r="C2030" s="2" t="str">
        <f t="shared" si="3"/>
        <v>SP500</v>
      </c>
      <c r="D2030" s="2" t="str">
        <f t="shared" si="4"/>
        <v/>
      </c>
      <c r="E2030" s="2">
        <f t="shared" si="5"/>
        <v>1886.61</v>
      </c>
      <c r="G2030" s="10">
        <f t="shared" si="9"/>
        <v>40012.64583</v>
      </c>
      <c r="H2030" s="6" t="str">
        <f t="shared" si="6"/>
        <v/>
      </c>
      <c r="I2030" s="2">
        <f t="shared" si="7"/>
        <v>1426.89</v>
      </c>
      <c r="M2030" s="10">
        <f>IFERROR(__xludf.DUMMYFUNCTION("""COMPUTED_VALUE"""),40921.666666666664)</f>
        <v>40921.66667</v>
      </c>
      <c r="N2030" s="2">
        <f>IFERROR(__xludf.DUMMYFUNCTION("""COMPUTED_VALUE"""),2710.67)</f>
        <v>2710.67</v>
      </c>
    </row>
    <row r="2031">
      <c r="A2031" s="10">
        <f t="shared" si="8"/>
        <v>40013.66667</v>
      </c>
      <c r="B2031" s="2" t="str">
        <f t="shared" si="2"/>
        <v/>
      </c>
      <c r="C2031" s="2" t="str">
        <f t="shared" si="3"/>
        <v>SP500</v>
      </c>
      <c r="D2031" s="2" t="str">
        <f t="shared" si="4"/>
        <v/>
      </c>
      <c r="E2031" s="2">
        <f t="shared" si="5"/>
        <v>1886.61</v>
      </c>
      <c r="G2031" s="10">
        <f t="shared" si="9"/>
        <v>40013.64583</v>
      </c>
      <c r="H2031" s="6" t="str">
        <f t="shared" si="6"/>
        <v/>
      </c>
      <c r="I2031" s="2">
        <f t="shared" si="7"/>
        <v>1426.89</v>
      </c>
      <c r="M2031" s="10">
        <f>IFERROR(__xludf.DUMMYFUNCTION("""COMPUTED_VALUE"""),40925.666666666664)</f>
        <v>40925.66667</v>
      </c>
      <c r="N2031" s="2">
        <f>IFERROR(__xludf.DUMMYFUNCTION("""COMPUTED_VALUE"""),2728.08)</f>
        <v>2728.08</v>
      </c>
    </row>
    <row r="2032">
      <c r="A2032" s="10">
        <f t="shared" si="8"/>
        <v>40014.66667</v>
      </c>
      <c r="B2032" s="2" t="str">
        <f t="shared" si="2"/>
        <v/>
      </c>
      <c r="C2032" s="2" t="str">
        <f t="shared" si="3"/>
        <v>SP500</v>
      </c>
      <c r="D2032" s="2">
        <f t="shared" si="4"/>
        <v>1909.29</v>
      </c>
      <c r="E2032" s="2">
        <f t="shared" si="5"/>
        <v>1909.29</v>
      </c>
      <c r="G2032" s="10">
        <f t="shared" si="9"/>
        <v>40014.64583</v>
      </c>
      <c r="H2032" s="6" t="str">
        <f t="shared" si="6"/>
        <v/>
      </c>
      <c r="I2032" s="2">
        <f t="shared" si="7"/>
        <v>1426.89</v>
      </c>
      <c r="M2032" s="10">
        <f>IFERROR(__xludf.DUMMYFUNCTION("""COMPUTED_VALUE"""),40926.666666666664)</f>
        <v>40926.66667</v>
      </c>
      <c r="N2032" s="2">
        <f>IFERROR(__xludf.DUMMYFUNCTION("""COMPUTED_VALUE"""),2769.71)</f>
        <v>2769.71</v>
      </c>
    </row>
    <row r="2033">
      <c r="A2033" s="10">
        <f t="shared" si="8"/>
        <v>40015.66667</v>
      </c>
      <c r="B2033" s="2" t="str">
        <f t="shared" si="2"/>
        <v/>
      </c>
      <c r="C2033" s="2" t="str">
        <f t="shared" si="3"/>
        <v>SP500</v>
      </c>
      <c r="D2033" s="2">
        <f t="shared" si="4"/>
        <v>1916.2</v>
      </c>
      <c r="E2033" s="2">
        <f t="shared" si="5"/>
        <v>1916.2</v>
      </c>
      <c r="G2033" s="10">
        <f t="shared" si="9"/>
        <v>40015.64583</v>
      </c>
      <c r="H2033" s="6" t="str">
        <f t="shared" si="6"/>
        <v/>
      </c>
      <c r="I2033" s="2">
        <f t="shared" si="7"/>
        <v>1426.89</v>
      </c>
      <c r="M2033" s="10">
        <f>IFERROR(__xludf.DUMMYFUNCTION("""COMPUTED_VALUE"""),40927.666666666664)</f>
        <v>40927.66667</v>
      </c>
      <c r="N2033" s="2">
        <f>IFERROR(__xludf.DUMMYFUNCTION("""COMPUTED_VALUE"""),2788.33)</f>
        <v>2788.33</v>
      </c>
    </row>
    <row r="2034">
      <c r="A2034" s="10">
        <f t="shared" si="8"/>
        <v>40016.66667</v>
      </c>
      <c r="B2034" s="2" t="str">
        <f t="shared" si="2"/>
        <v/>
      </c>
      <c r="C2034" s="2" t="str">
        <f t="shared" si="3"/>
        <v>SP500</v>
      </c>
      <c r="D2034" s="2">
        <f t="shared" si="4"/>
        <v>1926.38</v>
      </c>
      <c r="E2034" s="2">
        <f t="shared" si="5"/>
        <v>1926.38</v>
      </c>
      <c r="G2034" s="10">
        <f t="shared" si="9"/>
        <v>40016.64583</v>
      </c>
      <c r="H2034" s="6" t="str">
        <f t="shared" si="6"/>
        <v/>
      </c>
      <c r="I2034" s="2">
        <f t="shared" si="7"/>
        <v>1426.89</v>
      </c>
      <c r="M2034" s="10">
        <f>IFERROR(__xludf.DUMMYFUNCTION("""COMPUTED_VALUE"""),40928.666666666664)</f>
        <v>40928.66667</v>
      </c>
      <c r="N2034" s="2">
        <f>IFERROR(__xludf.DUMMYFUNCTION("""COMPUTED_VALUE"""),2786.7)</f>
        <v>2786.7</v>
      </c>
    </row>
    <row r="2035">
      <c r="A2035" s="10">
        <f t="shared" si="8"/>
        <v>40017.66667</v>
      </c>
      <c r="B2035" s="2" t="str">
        <f t="shared" si="2"/>
        <v/>
      </c>
      <c r="C2035" s="2" t="str">
        <f t="shared" si="3"/>
        <v>SP500</v>
      </c>
      <c r="D2035" s="2">
        <f t="shared" si="4"/>
        <v>1973.6</v>
      </c>
      <c r="E2035" s="2">
        <f t="shared" si="5"/>
        <v>1973.6</v>
      </c>
      <c r="G2035" s="10">
        <f t="shared" si="9"/>
        <v>40017.64583</v>
      </c>
      <c r="H2035" s="6" t="str">
        <f t="shared" si="6"/>
        <v/>
      </c>
      <c r="I2035" s="2">
        <f t="shared" si="7"/>
        <v>1426.89</v>
      </c>
      <c r="M2035" s="10">
        <f>IFERROR(__xludf.DUMMYFUNCTION("""COMPUTED_VALUE"""),40931.666666666664)</f>
        <v>40931.66667</v>
      </c>
      <c r="N2035" s="2">
        <f>IFERROR(__xludf.DUMMYFUNCTION("""COMPUTED_VALUE"""),2784.17)</f>
        <v>2784.17</v>
      </c>
    </row>
    <row r="2036">
      <c r="A2036" s="10">
        <f t="shared" si="8"/>
        <v>40018.66667</v>
      </c>
      <c r="B2036" s="2" t="str">
        <f t="shared" si="2"/>
        <v/>
      </c>
      <c r="C2036" s="2" t="str">
        <f t="shared" si="3"/>
        <v>SP500</v>
      </c>
      <c r="D2036" s="2">
        <f t="shared" si="4"/>
        <v>1965.96</v>
      </c>
      <c r="E2036" s="2">
        <f t="shared" si="5"/>
        <v>1965.96</v>
      </c>
      <c r="G2036" s="10">
        <f t="shared" si="9"/>
        <v>40018.64583</v>
      </c>
      <c r="H2036" s="6" t="str">
        <f t="shared" si="6"/>
        <v/>
      </c>
      <c r="I2036" s="2">
        <f t="shared" si="7"/>
        <v>1426.89</v>
      </c>
      <c r="M2036" s="10">
        <f>IFERROR(__xludf.DUMMYFUNCTION("""COMPUTED_VALUE"""),40932.666666666664)</f>
        <v>40932.66667</v>
      </c>
      <c r="N2036" s="2">
        <f>IFERROR(__xludf.DUMMYFUNCTION("""COMPUTED_VALUE"""),2786.64)</f>
        <v>2786.64</v>
      </c>
    </row>
    <row r="2037">
      <c r="A2037" s="10">
        <f t="shared" si="8"/>
        <v>40019.66667</v>
      </c>
      <c r="B2037" s="2" t="str">
        <f t="shared" si="2"/>
        <v/>
      </c>
      <c r="C2037" s="2" t="str">
        <f t="shared" si="3"/>
        <v>SP500</v>
      </c>
      <c r="D2037" s="2" t="str">
        <f t="shared" si="4"/>
        <v/>
      </c>
      <c r="E2037" s="2">
        <f t="shared" si="5"/>
        <v>1965.96</v>
      </c>
      <c r="G2037" s="10">
        <f t="shared" si="9"/>
        <v>40019.64583</v>
      </c>
      <c r="H2037" s="6" t="str">
        <f t="shared" si="6"/>
        <v/>
      </c>
      <c r="I2037" s="2">
        <f t="shared" si="7"/>
        <v>1426.89</v>
      </c>
      <c r="M2037" s="10">
        <f>IFERROR(__xludf.DUMMYFUNCTION("""COMPUTED_VALUE"""),40933.666666666664)</f>
        <v>40933.66667</v>
      </c>
      <c r="N2037" s="2">
        <f>IFERROR(__xludf.DUMMYFUNCTION("""COMPUTED_VALUE"""),2818.31)</f>
        <v>2818.31</v>
      </c>
    </row>
    <row r="2038">
      <c r="A2038" s="10">
        <f t="shared" si="8"/>
        <v>40020.66667</v>
      </c>
      <c r="B2038" s="2" t="str">
        <f t="shared" si="2"/>
        <v/>
      </c>
      <c r="C2038" s="2" t="str">
        <f t="shared" si="3"/>
        <v>SP500</v>
      </c>
      <c r="D2038" s="2" t="str">
        <f t="shared" si="4"/>
        <v/>
      </c>
      <c r="E2038" s="2">
        <f t="shared" si="5"/>
        <v>1965.96</v>
      </c>
      <c r="G2038" s="10">
        <f t="shared" si="9"/>
        <v>40020.64583</v>
      </c>
      <c r="H2038" s="6" t="str">
        <f t="shared" si="6"/>
        <v/>
      </c>
      <c r="I2038" s="2">
        <f t="shared" si="7"/>
        <v>1426.89</v>
      </c>
      <c r="M2038" s="10">
        <f>IFERROR(__xludf.DUMMYFUNCTION("""COMPUTED_VALUE"""),40934.666666666664)</f>
        <v>40934.66667</v>
      </c>
      <c r="N2038" s="2">
        <f>IFERROR(__xludf.DUMMYFUNCTION("""COMPUTED_VALUE"""),2805.28)</f>
        <v>2805.28</v>
      </c>
    </row>
    <row r="2039">
      <c r="A2039" s="10">
        <f t="shared" si="8"/>
        <v>40021.66667</v>
      </c>
      <c r="B2039" s="2" t="str">
        <f t="shared" si="2"/>
        <v/>
      </c>
      <c r="C2039" s="2" t="str">
        <f t="shared" si="3"/>
        <v>SP500</v>
      </c>
      <c r="D2039" s="2">
        <f t="shared" si="4"/>
        <v>1967.89</v>
      </c>
      <c r="E2039" s="2">
        <f t="shared" si="5"/>
        <v>1967.89</v>
      </c>
      <c r="G2039" s="10">
        <f t="shared" si="9"/>
        <v>40021.64583</v>
      </c>
      <c r="H2039" s="6" t="str">
        <f t="shared" si="6"/>
        <v/>
      </c>
      <c r="I2039" s="2">
        <f t="shared" si="7"/>
        <v>1426.89</v>
      </c>
      <c r="M2039" s="10">
        <f>IFERROR(__xludf.DUMMYFUNCTION("""COMPUTED_VALUE"""),40935.666666666664)</f>
        <v>40935.66667</v>
      </c>
      <c r="N2039" s="2">
        <f>IFERROR(__xludf.DUMMYFUNCTION("""COMPUTED_VALUE"""),2816.55)</f>
        <v>2816.55</v>
      </c>
    </row>
    <row r="2040">
      <c r="A2040" s="10">
        <f t="shared" si="8"/>
        <v>40022.66667</v>
      </c>
      <c r="B2040" s="2" t="str">
        <f t="shared" si="2"/>
        <v/>
      </c>
      <c r="C2040" s="2" t="str">
        <f t="shared" si="3"/>
        <v>SP500</v>
      </c>
      <c r="D2040" s="2">
        <f t="shared" si="4"/>
        <v>1975.51</v>
      </c>
      <c r="E2040" s="2">
        <f t="shared" si="5"/>
        <v>1975.51</v>
      </c>
      <c r="G2040" s="10">
        <f t="shared" si="9"/>
        <v>40022.64583</v>
      </c>
      <c r="H2040" s="6" t="str">
        <f t="shared" si="6"/>
        <v/>
      </c>
      <c r="I2040" s="2">
        <f t="shared" si="7"/>
        <v>1426.89</v>
      </c>
      <c r="M2040" s="10">
        <f>IFERROR(__xludf.DUMMYFUNCTION("""COMPUTED_VALUE"""),40938.666666666664)</f>
        <v>40938.66667</v>
      </c>
      <c r="N2040" s="2">
        <f>IFERROR(__xludf.DUMMYFUNCTION("""COMPUTED_VALUE"""),2811.94)</f>
        <v>2811.94</v>
      </c>
    </row>
    <row r="2041">
      <c r="A2041" s="10">
        <f t="shared" si="8"/>
        <v>40023.66667</v>
      </c>
      <c r="B2041" s="2" t="str">
        <f t="shared" si="2"/>
        <v/>
      </c>
      <c r="C2041" s="2" t="str">
        <f t="shared" si="3"/>
        <v>SP500</v>
      </c>
      <c r="D2041" s="2">
        <f t="shared" si="4"/>
        <v>1967.76</v>
      </c>
      <c r="E2041" s="2">
        <f t="shared" si="5"/>
        <v>1967.76</v>
      </c>
      <c r="G2041" s="10">
        <f t="shared" si="9"/>
        <v>40023.64583</v>
      </c>
      <c r="H2041" s="6" t="str">
        <f t="shared" si="6"/>
        <v/>
      </c>
      <c r="I2041" s="2">
        <f t="shared" si="7"/>
        <v>1426.89</v>
      </c>
      <c r="M2041" s="10">
        <f>IFERROR(__xludf.DUMMYFUNCTION("""COMPUTED_VALUE"""),40939.666666666664)</f>
        <v>40939.66667</v>
      </c>
      <c r="N2041" s="2">
        <f>IFERROR(__xludf.DUMMYFUNCTION("""COMPUTED_VALUE"""),2813.84)</f>
        <v>2813.84</v>
      </c>
    </row>
    <row r="2042">
      <c r="A2042" s="10">
        <f t="shared" si="8"/>
        <v>40024.66667</v>
      </c>
      <c r="B2042" s="2" t="str">
        <f t="shared" si="2"/>
        <v/>
      </c>
      <c r="C2042" s="2" t="str">
        <f t="shared" si="3"/>
        <v>SP500</v>
      </c>
      <c r="D2042" s="2">
        <f t="shared" si="4"/>
        <v>1984.3</v>
      </c>
      <c r="E2042" s="2">
        <f t="shared" si="5"/>
        <v>1984.3</v>
      </c>
      <c r="G2042" s="10">
        <f t="shared" si="9"/>
        <v>40024.64583</v>
      </c>
      <c r="H2042" s="6" t="str">
        <f t="shared" si="6"/>
        <v/>
      </c>
      <c r="I2042" s="2">
        <f t="shared" si="7"/>
        <v>1426.89</v>
      </c>
      <c r="M2042" s="10">
        <f>IFERROR(__xludf.DUMMYFUNCTION("""COMPUTED_VALUE"""),40940.666666666664)</f>
        <v>40940.66667</v>
      </c>
      <c r="N2042" s="2">
        <f>IFERROR(__xludf.DUMMYFUNCTION("""COMPUTED_VALUE"""),2848.27)</f>
        <v>2848.27</v>
      </c>
    </row>
    <row r="2043">
      <c r="A2043" s="10">
        <f t="shared" si="8"/>
        <v>40025.66667</v>
      </c>
      <c r="B2043" s="2" t="str">
        <f t="shared" si="2"/>
        <v/>
      </c>
      <c r="C2043" s="2" t="str">
        <f t="shared" si="3"/>
        <v>SP500</v>
      </c>
      <c r="D2043" s="2">
        <f t="shared" si="4"/>
        <v>1978.5</v>
      </c>
      <c r="E2043" s="2">
        <f t="shared" si="5"/>
        <v>1978.5</v>
      </c>
      <c r="G2043" s="10">
        <f t="shared" si="9"/>
        <v>40025.64583</v>
      </c>
      <c r="H2043" s="6" t="str">
        <f t="shared" si="6"/>
        <v/>
      </c>
      <c r="I2043" s="2">
        <f t="shared" si="7"/>
        <v>1426.89</v>
      </c>
      <c r="M2043" s="10">
        <f>IFERROR(__xludf.DUMMYFUNCTION("""COMPUTED_VALUE"""),40941.666666666664)</f>
        <v>40941.66667</v>
      </c>
      <c r="N2043" s="2">
        <f>IFERROR(__xludf.DUMMYFUNCTION("""COMPUTED_VALUE"""),2859.68)</f>
        <v>2859.68</v>
      </c>
    </row>
    <row r="2044">
      <c r="A2044" s="10">
        <f t="shared" si="8"/>
        <v>40026.66667</v>
      </c>
      <c r="B2044" s="2" t="str">
        <f t="shared" si="2"/>
        <v/>
      </c>
      <c r="C2044" s="2" t="str">
        <f t="shared" si="3"/>
        <v>SP500</v>
      </c>
      <c r="D2044" s="2" t="str">
        <f t="shared" si="4"/>
        <v/>
      </c>
      <c r="E2044" s="2">
        <f t="shared" si="5"/>
        <v>1978.5</v>
      </c>
      <c r="G2044" s="10">
        <f t="shared" si="9"/>
        <v>40026.64583</v>
      </c>
      <c r="H2044" s="6" t="str">
        <f t="shared" si="6"/>
        <v/>
      </c>
      <c r="I2044" s="2">
        <f t="shared" si="7"/>
        <v>1426.89</v>
      </c>
      <c r="M2044" s="10">
        <f>IFERROR(__xludf.DUMMYFUNCTION("""COMPUTED_VALUE"""),40942.666666666664)</f>
        <v>40942.66667</v>
      </c>
      <c r="N2044" s="2">
        <f>IFERROR(__xludf.DUMMYFUNCTION("""COMPUTED_VALUE"""),2905.66)</f>
        <v>2905.66</v>
      </c>
    </row>
    <row r="2045">
      <c r="A2045" s="10">
        <f t="shared" si="8"/>
        <v>40027.66667</v>
      </c>
      <c r="B2045" s="2" t="str">
        <f t="shared" si="2"/>
        <v/>
      </c>
      <c r="C2045" s="2" t="str">
        <f t="shared" si="3"/>
        <v>SP500</v>
      </c>
      <c r="D2045" s="2" t="str">
        <f t="shared" si="4"/>
        <v/>
      </c>
      <c r="E2045" s="2">
        <f t="shared" si="5"/>
        <v>1978.5</v>
      </c>
      <c r="G2045" s="10">
        <f t="shared" si="9"/>
        <v>40027.64583</v>
      </c>
      <c r="H2045" s="6" t="str">
        <f t="shared" si="6"/>
        <v/>
      </c>
      <c r="I2045" s="2">
        <f t="shared" si="7"/>
        <v>1426.89</v>
      </c>
      <c r="M2045" s="10">
        <f>IFERROR(__xludf.DUMMYFUNCTION("""COMPUTED_VALUE"""),40945.666666666664)</f>
        <v>40945.66667</v>
      </c>
      <c r="N2045" s="2">
        <f>IFERROR(__xludf.DUMMYFUNCTION("""COMPUTED_VALUE"""),2901.99)</f>
        <v>2901.99</v>
      </c>
    </row>
    <row r="2046">
      <c r="A2046" s="10">
        <f t="shared" si="8"/>
        <v>40028.66667</v>
      </c>
      <c r="B2046" s="2" t="str">
        <f t="shared" si="2"/>
        <v/>
      </c>
      <c r="C2046" s="2" t="str">
        <f t="shared" si="3"/>
        <v>SP500</v>
      </c>
      <c r="D2046" s="2">
        <f t="shared" si="4"/>
        <v>2008.61</v>
      </c>
      <c r="E2046" s="2">
        <f t="shared" si="5"/>
        <v>2008.61</v>
      </c>
      <c r="G2046" s="10">
        <f t="shared" si="9"/>
        <v>40028.64583</v>
      </c>
      <c r="H2046" s="6" t="str">
        <f t="shared" si="6"/>
        <v/>
      </c>
      <c r="I2046" s="2">
        <f t="shared" si="7"/>
        <v>1426.89</v>
      </c>
      <c r="M2046" s="10">
        <f>IFERROR(__xludf.DUMMYFUNCTION("""COMPUTED_VALUE"""),40946.666666666664)</f>
        <v>40946.66667</v>
      </c>
      <c r="N2046" s="2">
        <f>IFERROR(__xludf.DUMMYFUNCTION("""COMPUTED_VALUE"""),2904.08)</f>
        <v>2904.08</v>
      </c>
    </row>
    <row r="2047">
      <c r="A2047" s="10">
        <f t="shared" si="8"/>
        <v>40029.66667</v>
      </c>
      <c r="B2047" s="2" t="str">
        <f t="shared" si="2"/>
        <v/>
      </c>
      <c r="C2047" s="2" t="str">
        <f t="shared" si="3"/>
        <v>SP500</v>
      </c>
      <c r="D2047" s="2">
        <f t="shared" si="4"/>
        <v>2011.31</v>
      </c>
      <c r="E2047" s="2">
        <f t="shared" si="5"/>
        <v>2011.31</v>
      </c>
      <c r="G2047" s="10">
        <f t="shared" si="9"/>
        <v>40029.64583</v>
      </c>
      <c r="H2047" s="6" t="str">
        <f t="shared" si="6"/>
        <v/>
      </c>
      <c r="I2047" s="2">
        <f t="shared" si="7"/>
        <v>1426.89</v>
      </c>
      <c r="M2047" s="10">
        <f>IFERROR(__xludf.DUMMYFUNCTION("""COMPUTED_VALUE"""),40947.666666666664)</f>
        <v>40947.66667</v>
      </c>
      <c r="N2047" s="2">
        <f>IFERROR(__xludf.DUMMYFUNCTION("""COMPUTED_VALUE"""),2915.86)</f>
        <v>2915.86</v>
      </c>
    </row>
    <row r="2048">
      <c r="A2048" s="10">
        <f t="shared" si="8"/>
        <v>40030.66667</v>
      </c>
      <c r="B2048" s="2" t="str">
        <f t="shared" si="2"/>
        <v/>
      </c>
      <c r="C2048" s="2" t="str">
        <f t="shared" si="3"/>
        <v>SP500</v>
      </c>
      <c r="D2048" s="2">
        <f t="shared" si="4"/>
        <v>1993.05</v>
      </c>
      <c r="E2048" s="2">
        <f t="shared" si="5"/>
        <v>1993.05</v>
      </c>
      <c r="G2048" s="10">
        <f t="shared" si="9"/>
        <v>40030.64583</v>
      </c>
      <c r="H2048" s="6" t="str">
        <f t="shared" si="6"/>
        <v/>
      </c>
      <c r="I2048" s="2">
        <f t="shared" si="7"/>
        <v>1426.89</v>
      </c>
      <c r="M2048" s="10">
        <f>IFERROR(__xludf.DUMMYFUNCTION("""COMPUTED_VALUE"""),40948.666666666664)</f>
        <v>40948.66667</v>
      </c>
      <c r="N2048" s="2">
        <f>IFERROR(__xludf.DUMMYFUNCTION("""COMPUTED_VALUE"""),2927.23)</f>
        <v>2927.23</v>
      </c>
    </row>
    <row r="2049">
      <c r="A2049" s="10">
        <f t="shared" si="8"/>
        <v>40031.66667</v>
      </c>
      <c r="B2049" s="2" t="str">
        <f t="shared" si="2"/>
        <v/>
      </c>
      <c r="C2049" s="2" t="str">
        <f t="shared" si="3"/>
        <v>SP500</v>
      </c>
      <c r="D2049" s="2">
        <f t="shared" si="4"/>
        <v>1973.16</v>
      </c>
      <c r="E2049" s="2">
        <f t="shared" si="5"/>
        <v>1973.16</v>
      </c>
      <c r="G2049" s="10">
        <f t="shared" si="9"/>
        <v>40031.64583</v>
      </c>
      <c r="H2049" s="6" t="str">
        <f t="shared" si="6"/>
        <v/>
      </c>
      <c r="I2049" s="2">
        <f t="shared" si="7"/>
        <v>1426.89</v>
      </c>
      <c r="M2049" s="10">
        <f>IFERROR(__xludf.DUMMYFUNCTION("""COMPUTED_VALUE"""),40949.666666666664)</f>
        <v>40949.66667</v>
      </c>
      <c r="N2049" s="2">
        <f>IFERROR(__xludf.DUMMYFUNCTION("""COMPUTED_VALUE"""),2903.88)</f>
        <v>2903.88</v>
      </c>
    </row>
    <row r="2050">
      <c r="A2050" s="10">
        <f t="shared" si="8"/>
        <v>40032.66667</v>
      </c>
      <c r="B2050" s="2" t="str">
        <f t="shared" si="2"/>
        <v/>
      </c>
      <c r="C2050" s="2" t="str">
        <f t="shared" si="3"/>
        <v>SP500</v>
      </c>
      <c r="D2050" s="2">
        <f t="shared" si="4"/>
        <v>2000.25</v>
      </c>
      <c r="E2050" s="2">
        <f t="shared" si="5"/>
        <v>2000.25</v>
      </c>
      <c r="G2050" s="10">
        <f t="shared" si="9"/>
        <v>40032.64583</v>
      </c>
      <c r="H2050" s="6" t="str">
        <f t="shared" si="6"/>
        <v/>
      </c>
      <c r="I2050" s="2">
        <f t="shared" si="7"/>
        <v>1426.89</v>
      </c>
      <c r="M2050" s="10">
        <f>IFERROR(__xludf.DUMMYFUNCTION("""COMPUTED_VALUE"""),40952.666666666664)</f>
        <v>40952.66667</v>
      </c>
      <c r="N2050" s="2">
        <f>IFERROR(__xludf.DUMMYFUNCTION("""COMPUTED_VALUE"""),2931.39)</f>
        <v>2931.39</v>
      </c>
    </row>
    <row r="2051">
      <c r="A2051" s="10">
        <f t="shared" si="8"/>
        <v>40033.66667</v>
      </c>
      <c r="B2051" s="2" t="str">
        <f t="shared" si="2"/>
        <v/>
      </c>
      <c r="C2051" s="2" t="str">
        <f t="shared" si="3"/>
        <v>SP500</v>
      </c>
      <c r="D2051" s="2" t="str">
        <f t="shared" si="4"/>
        <v/>
      </c>
      <c r="E2051" s="2">
        <f t="shared" si="5"/>
        <v>2000.25</v>
      </c>
      <c r="G2051" s="10">
        <f t="shared" si="9"/>
        <v>40033.64583</v>
      </c>
      <c r="H2051" s="6" t="str">
        <f t="shared" si="6"/>
        <v/>
      </c>
      <c r="I2051" s="2">
        <f t="shared" si="7"/>
        <v>1426.89</v>
      </c>
      <c r="M2051" s="10">
        <f>IFERROR(__xludf.DUMMYFUNCTION("""COMPUTED_VALUE"""),40953.666666666664)</f>
        <v>40953.66667</v>
      </c>
      <c r="N2051" s="2">
        <f>IFERROR(__xludf.DUMMYFUNCTION("""COMPUTED_VALUE"""),2931.83)</f>
        <v>2931.83</v>
      </c>
    </row>
    <row r="2052">
      <c r="A2052" s="10">
        <f t="shared" si="8"/>
        <v>40034.66667</v>
      </c>
      <c r="B2052" s="2" t="str">
        <f t="shared" si="2"/>
        <v/>
      </c>
      <c r="C2052" s="2" t="str">
        <f t="shared" si="3"/>
        <v>SP500</v>
      </c>
      <c r="D2052" s="2" t="str">
        <f t="shared" si="4"/>
        <v/>
      </c>
      <c r="E2052" s="2">
        <f t="shared" si="5"/>
        <v>2000.25</v>
      </c>
      <c r="G2052" s="10">
        <f t="shared" si="9"/>
        <v>40034.64583</v>
      </c>
      <c r="H2052" s="6" t="str">
        <f t="shared" si="6"/>
        <v/>
      </c>
      <c r="I2052" s="2">
        <f t="shared" si="7"/>
        <v>1426.89</v>
      </c>
      <c r="M2052" s="10">
        <f>IFERROR(__xludf.DUMMYFUNCTION("""COMPUTED_VALUE"""),40954.666666666664)</f>
        <v>40954.66667</v>
      </c>
      <c r="N2052" s="2">
        <f>IFERROR(__xludf.DUMMYFUNCTION("""COMPUTED_VALUE"""),2915.83)</f>
        <v>2915.83</v>
      </c>
    </row>
    <row r="2053">
      <c r="A2053" s="10">
        <f t="shared" si="8"/>
        <v>40035.66667</v>
      </c>
      <c r="B2053" s="2" t="str">
        <f t="shared" si="2"/>
        <v/>
      </c>
      <c r="C2053" s="2" t="str">
        <f t="shared" si="3"/>
        <v>SP500</v>
      </c>
      <c r="D2053" s="2">
        <f t="shared" si="4"/>
        <v>1992.24</v>
      </c>
      <c r="E2053" s="2">
        <f t="shared" si="5"/>
        <v>1992.24</v>
      </c>
      <c r="G2053" s="10">
        <f t="shared" si="9"/>
        <v>40035.64583</v>
      </c>
      <c r="H2053" s="6" t="str">
        <f t="shared" si="6"/>
        <v/>
      </c>
      <c r="I2053" s="2">
        <f t="shared" si="7"/>
        <v>1426.89</v>
      </c>
      <c r="M2053" s="10">
        <f>IFERROR(__xludf.DUMMYFUNCTION("""COMPUTED_VALUE"""),40955.666666666664)</f>
        <v>40955.66667</v>
      </c>
      <c r="N2053" s="2">
        <f>IFERROR(__xludf.DUMMYFUNCTION("""COMPUTED_VALUE"""),2959.85)</f>
        <v>2959.85</v>
      </c>
    </row>
    <row r="2054">
      <c r="A2054" s="10">
        <f t="shared" si="8"/>
        <v>40036.66667</v>
      </c>
      <c r="B2054" s="2" t="str">
        <f t="shared" si="2"/>
        <v/>
      </c>
      <c r="C2054" s="2" t="str">
        <f t="shared" si="3"/>
        <v>SP500</v>
      </c>
      <c r="D2054" s="2">
        <f t="shared" si="4"/>
        <v>1969.73</v>
      </c>
      <c r="E2054" s="2">
        <f t="shared" si="5"/>
        <v>1969.73</v>
      </c>
      <c r="G2054" s="10">
        <f t="shared" si="9"/>
        <v>40036.64583</v>
      </c>
      <c r="H2054" s="6" t="str">
        <f t="shared" si="6"/>
        <v/>
      </c>
      <c r="I2054" s="2">
        <f t="shared" si="7"/>
        <v>1426.89</v>
      </c>
      <c r="M2054" s="10">
        <f>IFERROR(__xludf.DUMMYFUNCTION("""COMPUTED_VALUE"""),40956.666666666664)</f>
        <v>40956.66667</v>
      </c>
      <c r="N2054" s="2">
        <f>IFERROR(__xludf.DUMMYFUNCTION("""COMPUTED_VALUE"""),2951.78)</f>
        <v>2951.78</v>
      </c>
    </row>
    <row r="2055">
      <c r="A2055" s="10">
        <f t="shared" si="8"/>
        <v>40037.66667</v>
      </c>
      <c r="B2055" s="2" t="str">
        <f t="shared" si="2"/>
        <v/>
      </c>
      <c r="C2055" s="2" t="str">
        <f t="shared" si="3"/>
        <v>SP500</v>
      </c>
      <c r="D2055" s="2">
        <f t="shared" si="4"/>
        <v>1998.72</v>
      </c>
      <c r="E2055" s="2">
        <f t="shared" si="5"/>
        <v>1998.72</v>
      </c>
      <c r="G2055" s="10">
        <f t="shared" si="9"/>
        <v>40037.64583</v>
      </c>
      <c r="H2055" s="6" t="str">
        <f t="shared" si="6"/>
        <v/>
      </c>
      <c r="I2055" s="2">
        <f t="shared" si="7"/>
        <v>1426.89</v>
      </c>
      <c r="M2055" s="10">
        <f>IFERROR(__xludf.DUMMYFUNCTION("""COMPUTED_VALUE"""),40960.666666666664)</f>
        <v>40960.66667</v>
      </c>
      <c r="N2055" s="2">
        <f>IFERROR(__xludf.DUMMYFUNCTION("""COMPUTED_VALUE"""),2948.57)</f>
        <v>2948.57</v>
      </c>
    </row>
    <row r="2056">
      <c r="A2056" s="10">
        <f t="shared" si="8"/>
        <v>40038.66667</v>
      </c>
      <c r="B2056" s="2" t="str">
        <f t="shared" si="2"/>
        <v/>
      </c>
      <c r="C2056" s="2" t="str">
        <f t="shared" si="3"/>
        <v>SP500</v>
      </c>
      <c r="D2056" s="2">
        <f t="shared" si="4"/>
        <v>2009.35</v>
      </c>
      <c r="E2056" s="2">
        <f t="shared" si="5"/>
        <v>2009.35</v>
      </c>
      <c r="G2056" s="10">
        <f t="shared" si="9"/>
        <v>40038.64583</v>
      </c>
      <c r="H2056" s="6" t="str">
        <f t="shared" si="6"/>
        <v/>
      </c>
      <c r="I2056" s="2">
        <f t="shared" si="7"/>
        <v>1426.89</v>
      </c>
      <c r="M2056" s="10">
        <f>IFERROR(__xludf.DUMMYFUNCTION("""COMPUTED_VALUE"""),40961.666666666664)</f>
        <v>40961.66667</v>
      </c>
      <c r="N2056" s="2">
        <f>IFERROR(__xludf.DUMMYFUNCTION("""COMPUTED_VALUE"""),2933.17)</f>
        <v>2933.17</v>
      </c>
    </row>
    <row r="2057">
      <c r="A2057" s="10">
        <f t="shared" si="8"/>
        <v>40039.66667</v>
      </c>
      <c r="B2057" s="2" t="str">
        <f t="shared" si="2"/>
        <v/>
      </c>
      <c r="C2057" s="2" t="str">
        <f t="shared" si="3"/>
        <v>SP500</v>
      </c>
      <c r="D2057" s="2">
        <f t="shared" si="4"/>
        <v>1985.52</v>
      </c>
      <c r="E2057" s="2">
        <f t="shared" si="5"/>
        <v>1985.52</v>
      </c>
      <c r="G2057" s="10">
        <f t="shared" si="9"/>
        <v>40039.64583</v>
      </c>
      <c r="H2057" s="6" t="str">
        <f t="shared" si="6"/>
        <v/>
      </c>
      <c r="I2057" s="2">
        <f t="shared" si="7"/>
        <v>1426.89</v>
      </c>
      <c r="M2057" s="10">
        <f>IFERROR(__xludf.DUMMYFUNCTION("""COMPUTED_VALUE"""),40962.666666666664)</f>
        <v>40962.66667</v>
      </c>
      <c r="N2057" s="2">
        <f>IFERROR(__xludf.DUMMYFUNCTION("""COMPUTED_VALUE"""),2956.98)</f>
        <v>2956.98</v>
      </c>
    </row>
    <row r="2058">
      <c r="A2058" s="10">
        <f t="shared" si="8"/>
        <v>40040.66667</v>
      </c>
      <c r="B2058" s="2" t="str">
        <f t="shared" si="2"/>
        <v/>
      </c>
      <c r="C2058" s="2" t="str">
        <f t="shared" si="3"/>
        <v>SP500</v>
      </c>
      <c r="D2058" s="2" t="str">
        <f t="shared" si="4"/>
        <v/>
      </c>
      <c r="E2058" s="2">
        <f t="shared" si="5"/>
        <v>1985.52</v>
      </c>
      <c r="G2058" s="10">
        <f t="shared" si="9"/>
        <v>40040.64583</v>
      </c>
      <c r="H2058" s="6" t="str">
        <f t="shared" si="6"/>
        <v/>
      </c>
      <c r="I2058" s="2">
        <f t="shared" si="7"/>
        <v>1426.89</v>
      </c>
      <c r="M2058" s="10">
        <f>IFERROR(__xludf.DUMMYFUNCTION("""COMPUTED_VALUE"""),40963.666666666664)</f>
        <v>40963.66667</v>
      </c>
      <c r="N2058" s="2">
        <f>IFERROR(__xludf.DUMMYFUNCTION("""COMPUTED_VALUE"""),2963.75)</f>
        <v>2963.75</v>
      </c>
    </row>
    <row r="2059">
      <c r="A2059" s="10">
        <f t="shared" si="8"/>
        <v>40041.66667</v>
      </c>
      <c r="B2059" s="2" t="str">
        <f t="shared" si="2"/>
        <v/>
      </c>
      <c r="C2059" s="2" t="str">
        <f t="shared" si="3"/>
        <v>SP500</v>
      </c>
      <c r="D2059" s="2" t="str">
        <f t="shared" si="4"/>
        <v/>
      </c>
      <c r="E2059" s="2">
        <f t="shared" si="5"/>
        <v>1985.52</v>
      </c>
      <c r="G2059" s="10">
        <f t="shared" si="9"/>
        <v>40041.64583</v>
      </c>
      <c r="H2059" s="6" t="str">
        <f t="shared" si="6"/>
        <v/>
      </c>
      <c r="I2059" s="2">
        <f t="shared" si="7"/>
        <v>1426.89</v>
      </c>
      <c r="M2059" s="10">
        <f>IFERROR(__xludf.DUMMYFUNCTION("""COMPUTED_VALUE"""),40966.666666666664)</f>
        <v>40966.66667</v>
      </c>
      <c r="N2059" s="2">
        <f>IFERROR(__xludf.DUMMYFUNCTION("""COMPUTED_VALUE"""),2966.16)</f>
        <v>2966.16</v>
      </c>
    </row>
    <row r="2060">
      <c r="A2060" s="10">
        <f t="shared" si="8"/>
        <v>40042.66667</v>
      </c>
      <c r="B2060" s="2" t="str">
        <f t="shared" si="2"/>
        <v/>
      </c>
      <c r="C2060" s="2" t="str">
        <f t="shared" si="3"/>
        <v>SP500</v>
      </c>
      <c r="D2060" s="2">
        <f t="shared" si="4"/>
        <v>1930.84</v>
      </c>
      <c r="E2060" s="2">
        <f t="shared" si="5"/>
        <v>1930.84</v>
      </c>
      <c r="G2060" s="10">
        <f t="shared" si="9"/>
        <v>40042.64583</v>
      </c>
      <c r="H2060" s="6" t="str">
        <f t="shared" si="6"/>
        <v/>
      </c>
      <c r="I2060" s="2">
        <f t="shared" si="7"/>
        <v>1426.89</v>
      </c>
      <c r="M2060" s="10">
        <f>IFERROR(__xludf.DUMMYFUNCTION("""COMPUTED_VALUE"""),40967.666666666664)</f>
        <v>40967.66667</v>
      </c>
      <c r="N2060" s="2">
        <f>IFERROR(__xludf.DUMMYFUNCTION("""COMPUTED_VALUE"""),2986.76)</f>
        <v>2986.76</v>
      </c>
    </row>
    <row r="2061">
      <c r="A2061" s="10">
        <f t="shared" si="8"/>
        <v>40043.66667</v>
      </c>
      <c r="B2061" s="2" t="str">
        <f t="shared" si="2"/>
        <v/>
      </c>
      <c r="C2061" s="2" t="str">
        <f t="shared" si="3"/>
        <v>SP500</v>
      </c>
      <c r="D2061" s="2">
        <f t="shared" si="4"/>
        <v>1955.92</v>
      </c>
      <c r="E2061" s="2">
        <f t="shared" si="5"/>
        <v>1955.92</v>
      </c>
      <c r="G2061" s="10">
        <f t="shared" si="9"/>
        <v>40043.64583</v>
      </c>
      <c r="H2061" s="6" t="str">
        <f t="shared" si="6"/>
        <v/>
      </c>
      <c r="I2061" s="2">
        <f t="shared" si="7"/>
        <v>1426.89</v>
      </c>
      <c r="M2061" s="10">
        <f>IFERROR(__xludf.DUMMYFUNCTION("""COMPUTED_VALUE"""),40968.666666666664)</f>
        <v>40968.66667</v>
      </c>
      <c r="N2061" s="2">
        <f>IFERROR(__xludf.DUMMYFUNCTION("""COMPUTED_VALUE"""),2966.89)</f>
        <v>2966.89</v>
      </c>
    </row>
    <row r="2062">
      <c r="A2062" s="10">
        <f t="shared" si="8"/>
        <v>40044.66667</v>
      </c>
      <c r="B2062" s="2" t="str">
        <f t="shared" si="2"/>
        <v/>
      </c>
      <c r="C2062" s="2" t="str">
        <f t="shared" si="3"/>
        <v>SP500</v>
      </c>
      <c r="D2062" s="2">
        <f t="shared" si="4"/>
        <v>1969.24</v>
      </c>
      <c r="E2062" s="2">
        <f t="shared" si="5"/>
        <v>1969.24</v>
      </c>
      <c r="G2062" s="10">
        <f t="shared" si="9"/>
        <v>40044.64583</v>
      </c>
      <c r="H2062" s="6" t="str">
        <f t="shared" si="6"/>
        <v/>
      </c>
      <c r="I2062" s="2">
        <f t="shared" si="7"/>
        <v>1426.89</v>
      </c>
      <c r="M2062" s="10">
        <f>IFERROR(__xludf.DUMMYFUNCTION("""COMPUTED_VALUE"""),40969.666666666664)</f>
        <v>40969.66667</v>
      </c>
      <c r="N2062" s="2">
        <f>IFERROR(__xludf.DUMMYFUNCTION("""COMPUTED_VALUE"""),2988.97)</f>
        <v>2988.97</v>
      </c>
    </row>
    <row r="2063">
      <c r="A2063" s="10">
        <f t="shared" si="8"/>
        <v>40045.66667</v>
      </c>
      <c r="B2063" s="2" t="str">
        <f t="shared" si="2"/>
        <v/>
      </c>
      <c r="C2063" s="2" t="str">
        <f t="shared" si="3"/>
        <v>SP500</v>
      </c>
      <c r="D2063" s="2">
        <f t="shared" si="4"/>
        <v>1989.22</v>
      </c>
      <c r="E2063" s="2">
        <f t="shared" si="5"/>
        <v>1989.22</v>
      </c>
      <c r="G2063" s="10">
        <f t="shared" si="9"/>
        <v>40045.64583</v>
      </c>
      <c r="H2063" s="6" t="str">
        <f t="shared" si="6"/>
        <v/>
      </c>
      <c r="I2063" s="2">
        <f t="shared" si="7"/>
        <v>1426.89</v>
      </c>
      <c r="M2063" s="10">
        <f>IFERROR(__xludf.DUMMYFUNCTION("""COMPUTED_VALUE"""),40970.666666666664)</f>
        <v>40970.66667</v>
      </c>
      <c r="N2063" s="2">
        <f>IFERROR(__xludf.DUMMYFUNCTION("""COMPUTED_VALUE"""),2976.19)</f>
        <v>2976.19</v>
      </c>
    </row>
    <row r="2064">
      <c r="A2064" s="10">
        <f t="shared" si="8"/>
        <v>40046.66667</v>
      </c>
      <c r="B2064" s="2" t="str">
        <f t="shared" si="2"/>
        <v/>
      </c>
      <c r="C2064" s="2" t="str">
        <f t="shared" si="3"/>
        <v>SP500</v>
      </c>
      <c r="D2064" s="2">
        <f t="shared" si="4"/>
        <v>2020.9</v>
      </c>
      <c r="E2064" s="2">
        <f t="shared" si="5"/>
        <v>2020.9</v>
      </c>
      <c r="G2064" s="10">
        <f t="shared" si="9"/>
        <v>40046.64583</v>
      </c>
      <c r="H2064" s="6" t="str">
        <f t="shared" si="6"/>
        <v/>
      </c>
      <c r="I2064" s="2">
        <f t="shared" si="7"/>
        <v>1426.89</v>
      </c>
      <c r="M2064" s="10">
        <f>IFERROR(__xludf.DUMMYFUNCTION("""COMPUTED_VALUE"""),40973.666666666664)</f>
        <v>40973.66667</v>
      </c>
      <c r="N2064" s="2">
        <f>IFERROR(__xludf.DUMMYFUNCTION("""COMPUTED_VALUE"""),2950.48)</f>
        <v>2950.48</v>
      </c>
    </row>
    <row r="2065">
      <c r="A2065" s="10">
        <f t="shared" si="8"/>
        <v>40047.66667</v>
      </c>
      <c r="B2065" s="2" t="str">
        <f t="shared" si="2"/>
        <v/>
      </c>
      <c r="C2065" s="2" t="str">
        <f t="shared" si="3"/>
        <v>SP500</v>
      </c>
      <c r="D2065" s="2" t="str">
        <f t="shared" si="4"/>
        <v/>
      </c>
      <c r="E2065" s="2">
        <f t="shared" si="5"/>
        <v>2020.9</v>
      </c>
      <c r="G2065" s="10">
        <f t="shared" si="9"/>
        <v>40047.64583</v>
      </c>
      <c r="H2065" s="6" t="str">
        <f t="shared" si="6"/>
        <v/>
      </c>
      <c r="I2065" s="2">
        <f t="shared" si="7"/>
        <v>1426.89</v>
      </c>
      <c r="M2065" s="10">
        <f>IFERROR(__xludf.DUMMYFUNCTION("""COMPUTED_VALUE"""),40974.666666666664)</f>
        <v>40974.66667</v>
      </c>
      <c r="N2065" s="2">
        <f>IFERROR(__xludf.DUMMYFUNCTION("""COMPUTED_VALUE"""),2910.32)</f>
        <v>2910.32</v>
      </c>
    </row>
    <row r="2066">
      <c r="A2066" s="10">
        <f t="shared" si="8"/>
        <v>40048.66667</v>
      </c>
      <c r="B2066" s="2" t="str">
        <f t="shared" si="2"/>
        <v/>
      </c>
      <c r="C2066" s="2" t="str">
        <f t="shared" si="3"/>
        <v>SP500</v>
      </c>
      <c r="D2066" s="2" t="str">
        <f t="shared" si="4"/>
        <v/>
      </c>
      <c r="E2066" s="2">
        <f t="shared" si="5"/>
        <v>2020.9</v>
      </c>
      <c r="G2066" s="10">
        <f t="shared" si="9"/>
        <v>40048.64583</v>
      </c>
      <c r="H2066" s="6" t="str">
        <f t="shared" si="6"/>
        <v/>
      </c>
      <c r="I2066" s="2">
        <f t="shared" si="7"/>
        <v>1426.89</v>
      </c>
      <c r="M2066" s="10">
        <f>IFERROR(__xludf.DUMMYFUNCTION("""COMPUTED_VALUE"""),40975.666666666664)</f>
        <v>40975.66667</v>
      </c>
      <c r="N2066" s="2">
        <f>IFERROR(__xludf.DUMMYFUNCTION("""COMPUTED_VALUE"""),2935.69)</f>
        <v>2935.69</v>
      </c>
    </row>
    <row r="2067">
      <c r="A2067" s="10">
        <f t="shared" si="8"/>
        <v>40049.66667</v>
      </c>
      <c r="B2067" s="2" t="str">
        <f t="shared" si="2"/>
        <v/>
      </c>
      <c r="C2067" s="2" t="str">
        <f t="shared" si="3"/>
        <v>SP500</v>
      </c>
      <c r="D2067" s="2">
        <f t="shared" si="4"/>
        <v>2017.98</v>
      </c>
      <c r="E2067" s="2">
        <f t="shared" si="5"/>
        <v>2017.98</v>
      </c>
      <c r="G2067" s="10">
        <f t="shared" si="9"/>
        <v>40049.64583</v>
      </c>
      <c r="H2067" s="6" t="str">
        <f t="shared" si="6"/>
        <v/>
      </c>
      <c r="I2067" s="2">
        <f t="shared" si="7"/>
        <v>1426.89</v>
      </c>
      <c r="M2067" s="10">
        <f>IFERROR(__xludf.DUMMYFUNCTION("""COMPUTED_VALUE"""),40976.666666666664)</f>
        <v>40976.66667</v>
      </c>
      <c r="N2067" s="2">
        <f>IFERROR(__xludf.DUMMYFUNCTION("""COMPUTED_VALUE"""),2970.42)</f>
        <v>2970.42</v>
      </c>
    </row>
    <row r="2068">
      <c r="A2068" s="10">
        <f t="shared" si="8"/>
        <v>40050.66667</v>
      </c>
      <c r="B2068" s="2" t="str">
        <f t="shared" si="2"/>
        <v/>
      </c>
      <c r="C2068" s="2" t="str">
        <f t="shared" si="3"/>
        <v>SP500</v>
      </c>
      <c r="D2068" s="2">
        <f t="shared" si="4"/>
        <v>2024.23</v>
      </c>
      <c r="E2068" s="2">
        <f t="shared" si="5"/>
        <v>2024.23</v>
      </c>
      <c r="G2068" s="10">
        <f t="shared" si="9"/>
        <v>40050.64583</v>
      </c>
      <c r="H2068" s="6" t="str">
        <f t="shared" si="6"/>
        <v/>
      </c>
      <c r="I2068" s="2">
        <f t="shared" si="7"/>
        <v>1426.89</v>
      </c>
      <c r="M2068" s="10">
        <f>IFERROR(__xludf.DUMMYFUNCTION("""COMPUTED_VALUE"""),40977.666666666664)</f>
        <v>40977.66667</v>
      </c>
      <c r="N2068" s="2">
        <f>IFERROR(__xludf.DUMMYFUNCTION("""COMPUTED_VALUE"""),2988.34)</f>
        <v>2988.34</v>
      </c>
    </row>
    <row r="2069">
      <c r="A2069" s="10">
        <f t="shared" si="8"/>
        <v>40051.66667</v>
      </c>
      <c r="B2069" s="2" t="str">
        <f t="shared" si="2"/>
        <v/>
      </c>
      <c r="C2069" s="2" t="str">
        <f t="shared" si="3"/>
        <v>SP500</v>
      </c>
      <c r="D2069" s="2">
        <f t="shared" si="4"/>
        <v>2024.43</v>
      </c>
      <c r="E2069" s="2">
        <f t="shared" si="5"/>
        <v>2024.43</v>
      </c>
      <c r="G2069" s="10">
        <f t="shared" si="9"/>
        <v>40051.64583</v>
      </c>
      <c r="H2069" s="6" t="str">
        <f t="shared" si="6"/>
        <v/>
      </c>
      <c r="I2069" s="2">
        <f t="shared" si="7"/>
        <v>1426.89</v>
      </c>
      <c r="M2069" s="10">
        <f>IFERROR(__xludf.DUMMYFUNCTION("""COMPUTED_VALUE"""),40980.666666666664)</f>
        <v>40980.66667</v>
      </c>
      <c r="N2069" s="2">
        <f>IFERROR(__xludf.DUMMYFUNCTION("""COMPUTED_VALUE"""),2983.66)</f>
        <v>2983.66</v>
      </c>
    </row>
    <row r="2070">
      <c r="A2070" s="10">
        <f t="shared" si="8"/>
        <v>40052.66667</v>
      </c>
      <c r="B2070" s="2" t="str">
        <f t="shared" si="2"/>
        <v/>
      </c>
      <c r="C2070" s="2" t="str">
        <f t="shared" si="3"/>
        <v>SP500</v>
      </c>
      <c r="D2070" s="2">
        <f t="shared" si="4"/>
        <v>2027.73</v>
      </c>
      <c r="E2070" s="2">
        <f t="shared" si="5"/>
        <v>2027.73</v>
      </c>
      <c r="G2070" s="10">
        <f t="shared" si="9"/>
        <v>40052.64583</v>
      </c>
      <c r="H2070" s="6" t="str">
        <f t="shared" si="6"/>
        <v/>
      </c>
      <c r="I2070" s="2">
        <f t="shared" si="7"/>
        <v>1426.89</v>
      </c>
      <c r="M2070" s="10">
        <f>IFERROR(__xludf.DUMMYFUNCTION("""COMPUTED_VALUE"""),40981.666666666664)</f>
        <v>40981.66667</v>
      </c>
      <c r="N2070" s="2">
        <f>IFERROR(__xludf.DUMMYFUNCTION("""COMPUTED_VALUE"""),3039.88)</f>
        <v>3039.88</v>
      </c>
    </row>
    <row r="2071">
      <c r="A2071" s="10">
        <f t="shared" si="8"/>
        <v>40053.66667</v>
      </c>
      <c r="B2071" s="2" t="str">
        <f t="shared" si="2"/>
        <v/>
      </c>
      <c r="C2071" s="2" t="str">
        <f t="shared" si="3"/>
        <v>SP500</v>
      </c>
      <c r="D2071" s="2">
        <f t="shared" si="4"/>
        <v>2028.77</v>
      </c>
      <c r="E2071" s="2">
        <f t="shared" si="5"/>
        <v>2028.77</v>
      </c>
      <c r="G2071" s="10">
        <f t="shared" si="9"/>
        <v>40053.64583</v>
      </c>
      <c r="H2071" s="6" t="str">
        <f t="shared" si="6"/>
        <v/>
      </c>
      <c r="I2071" s="2">
        <f t="shared" si="7"/>
        <v>1426.89</v>
      </c>
      <c r="M2071" s="10">
        <f>IFERROR(__xludf.DUMMYFUNCTION("""COMPUTED_VALUE"""),40982.666666666664)</f>
        <v>40982.66667</v>
      </c>
      <c r="N2071" s="2">
        <f>IFERROR(__xludf.DUMMYFUNCTION("""COMPUTED_VALUE"""),3040.73)</f>
        <v>3040.73</v>
      </c>
    </row>
    <row r="2072">
      <c r="A2072" s="10">
        <f t="shared" si="8"/>
        <v>40054.66667</v>
      </c>
      <c r="B2072" s="2" t="str">
        <f t="shared" si="2"/>
        <v/>
      </c>
      <c r="C2072" s="2" t="str">
        <f t="shared" si="3"/>
        <v>SP500</v>
      </c>
      <c r="D2072" s="2" t="str">
        <f t="shared" si="4"/>
        <v/>
      </c>
      <c r="E2072" s="2">
        <f t="shared" si="5"/>
        <v>2028.77</v>
      </c>
      <c r="G2072" s="10">
        <f t="shared" si="9"/>
        <v>40054.64583</v>
      </c>
      <c r="H2072" s="6" t="str">
        <f t="shared" si="6"/>
        <v/>
      </c>
      <c r="I2072" s="2">
        <f t="shared" si="7"/>
        <v>1426.89</v>
      </c>
      <c r="M2072" s="10">
        <f>IFERROR(__xludf.DUMMYFUNCTION("""COMPUTED_VALUE"""),40983.666666666664)</f>
        <v>40983.66667</v>
      </c>
      <c r="N2072" s="2">
        <f>IFERROR(__xludf.DUMMYFUNCTION("""COMPUTED_VALUE"""),3056.37)</f>
        <v>3056.37</v>
      </c>
    </row>
    <row r="2073">
      <c r="A2073" s="10">
        <f t="shared" si="8"/>
        <v>40055.66667</v>
      </c>
      <c r="B2073" s="2" t="str">
        <f t="shared" si="2"/>
        <v/>
      </c>
      <c r="C2073" s="2" t="str">
        <f t="shared" si="3"/>
        <v>SP500</v>
      </c>
      <c r="D2073" s="2" t="str">
        <f t="shared" si="4"/>
        <v/>
      </c>
      <c r="E2073" s="2">
        <f t="shared" si="5"/>
        <v>2028.77</v>
      </c>
      <c r="G2073" s="10">
        <f t="shared" si="9"/>
        <v>40055.64583</v>
      </c>
      <c r="H2073" s="6" t="str">
        <f t="shared" si="6"/>
        <v/>
      </c>
      <c r="I2073" s="2">
        <f t="shared" si="7"/>
        <v>1426.89</v>
      </c>
      <c r="M2073" s="10">
        <f>IFERROR(__xludf.DUMMYFUNCTION("""COMPUTED_VALUE"""),40984.666666666664)</f>
        <v>40984.66667</v>
      </c>
      <c r="N2073" s="2">
        <f>IFERROR(__xludf.DUMMYFUNCTION("""COMPUTED_VALUE"""),3055.26)</f>
        <v>3055.26</v>
      </c>
    </row>
    <row r="2074">
      <c r="A2074" s="10">
        <f t="shared" si="8"/>
        <v>40056.66667</v>
      </c>
      <c r="B2074" s="2" t="str">
        <f t="shared" si="2"/>
        <v/>
      </c>
      <c r="C2074" s="2" t="str">
        <f t="shared" si="3"/>
        <v>SP500</v>
      </c>
      <c r="D2074" s="2">
        <f t="shared" si="4"/>
        <v>2009.06</v>
      </c>
      <c r="E2074" s="2">
        <f t="shared" si="5"/>
        <v>2009.06</v>
      </c>
      <c r="G2074" s="10">
        <f t="shared" si="9"/>
        <v>40056.64583</v>
      </c>
      <c r="H2074" s="6" t="str">
        <f t="shared" si="6"/>
        <v/>
      </c>
      <c r="I2074" s="2">
        <f t="shared" si="7"/>
        <v>1426.89</v>
      </c>
      <c r="M2074" s="10">
        <f>IFERROR(__xludf.DUMMYFUNCTION("""COMPUTED_VALUE"""),40987.666666666664)</f>
        <v>40987.66667</v>
      </c>
      <c r="N2074" s="2">
        <f>IFERROR(__xludf.DUMMYFUNCTION("""COMPUTED_VALUE"""),3078.32)</f>
        <v>3078.32</v>
      </c>
    </row>
    <row r="2075">
      <c r="A2075" s="10">
        <f t="shared" si="8"/>
        <v>40057.66667</v>
      </c>
      <c r="B2075" s="2" t="str">
        <f t="shared" si="2"/>
        <v/>
      </c>
      <c r="C2075" s="2" t="str">
        <f t="shared" si="3"/>
        <v>SP500</v>
      </c>
      <c r="D2075" s="2">
        <f t="shared" si="4"/>
        <v>1968.89</v>
      </c>
      <c r="E2075" s="2">
        <f t="shared" si="5"/>
        <v>1968.89</v>
      </c>
      <c r="G2075" s="10">
        <f t="shared" si="9"/>
        <v>40057.64583</v>
      </c>
      <c r="H2075" s="6" t="str">
        <f t="shared" si="6"/>
        <v/>
      </c>
      <c r="I2075" s="2">
        <f t="shared" si="7"/>
        <v>1426.89</v>
      </c>
      <c r="M2075" s="10">
        <f>IFERROR(__xludf.DUMMYFUNCTION("""COMPUTED_VALUE"""),40988.666666666664)</f>
        <v>40988.66667</v>
      </c>
      <c r="N2075" s="2">
        <f>IFERROR(__xludf.DUMMYFUNCTION("""COMPUTED_VALUE"""),3074.15)</f>
        <v>3074.15</v>
      </c>
    </row>
    <row r="2076">
      <c r="A2076" s="10">
        <f t="shared" si="8"/>
        <v>40058.66667</v>
      </c>
      <c r="B2076" s="2" t="str">
        <f t="shared" si="2"/>
        <v/>
      </c>
      <c r="C2076" s="2" t="str">
        <f t="shared" si="3"/>
        <v>SP500</v>
      </c>
      <c r="D2076" s="2">
        <f t="shared" si="4"/>
        <v>1967.07</v>
      </c>
      <c r="E2076" s="2">
        <f t="shared" si="5"/>
        <v>1967.07</v>
      </c>
      <c r="G2076" s="10">
        <f t="shared" si="9"/>
        <v>40058.64583</v>
      </c>
      <c r="H2076" s="6" t="str">
        <f t="shared" si="6"/>
        <v/>
      </c>
      <c r="I2076" s="2">
        <f t="shared" si="7"/>
        <v>1426.89</v>
      </c>
      <c r="M2076" s="10">
        <f>IFERROR(__xludf.DUMMYFUNCTION("""COMPUTED_VALUE"""),40989.666666666664)</f>
        <v>40989.66667</v>
      </c>
      <c r="N2076" s="2">
        <f>IFERROR(__xludf.DUMMYFUNCTION("""COMPUTED_VALUE"""),3075.32)</f>
        <v>3075.32</v>
      </c>
    </row>
    <row r="2077">
      <c r="A2077" s="10">
        <f t="shared" si="8"/>
        <v>40059.66667</v>
      </c>
      <c r="B2077" s="2" t="str">
        <f t="shared" si="2"/>
        <v/>
      </c>
      <c r="C2077" s="2" t="str">
        <f t="shared" si="3"/>
        <v>SP500</v>
      </c>
      <c r="D2077" s="2">
        <f t="shared" si="4"/>
        <v>1983.2</v>
      </c>
      <c r="E2077" s="2">
        <f t="shared" si="5"/>
        <v>1983.2</v>
      </c>
      <c r="G2077" s="10">
        <f t="shared" si="9"/>
        <v>40059.64583</v>
      </c>
      <c r="H2077" s="6" t="str">
        <f t="shared" si="6"/>
        <v/>
      </c>
      <c r="I2077" s="2">
        <f t="shared" si="7"/>
        <v>1426.89</v>
      </c>
      <c r="M2077" s="10">
        <f>IFERROR(__xludf.DUMMYFUNCTION("""COMPUTED_VALUE"""),40990.666666666664)</f>
        <v>40990.66667</v>
      </c>
      <c r="N2077" s="2">
        <f>IFERROR(__xludf.DUMMYFUNCTION("""COMPUTED_VALUE"""),3063.32)</f>
        <v>3063.32</v>
      </c>
    </row>
    <row r="2078">
      <c r="A2078" s="10">
        <f t="shared" si="8"/>
        <v>40060.66667</v>
      </c>
      <c r="B2078" s="2" t="str">
        <f t="shared" si="2"/>
        <v/>
      </c>
      <c r="C2078" s="2" t="str">
        <f t="shared" si="3"/>
        <v>SP500</v>
      </c>
      <c r="D2078" s="2">
        <f t="shared" si="4"/>
        <v>2018.78</v>
      </c>
      <c r="E2078" s="2">
        <f t="shared" si="5"/>
        <v>2018.78</v>
      </c>
      <c r="G2078" s="10">
        <f t="shared" si="9"/>
        <v>40060.64583</v>
      </c>
      <c r="H2078" s="6" t="str">
        <f t="shared" si="6"/>
        <v/>
      </c>
      <c r="I2078" s="2">
        <f t="shared" si="7"/>
        <v>1426.89</v>
      </c>
      <c r="M2078" s="10">
        <f>IFERROR(__xludf.DUMMYFUNCTION("""COMPUTED_VALUE"""),40991.666666666664)</f>
        <v>40991.66667</v>
      </c>
      <c r="N2078" s="2">
        <f>IFERROR(__xludf.DUMMYFUNCTION("""COMPUTED_VALUE"""),3067.92)</f>
        <v>3067.92</v>
      </c>
    </row>
    <row r="2079">
      <c r="A2079" s="10">
        <f t="shared" si="8"/>
        <v>40061.66667</v>
      </c>
      <c r="B2079" s="2" t="str">
        <f t="shared" si="2"/>
        <v/>
      </c>
      <c r="C2079" s="2" t="str">
        <f t="shared" si="3"/>
        <v>SP500</v>
      </c>
      <c r="D2079" s="2" t="str">
        <f t="shared" si="4"/>
        <v/>
      </c>
      <c r="E2079" s="2">
        <f t="shared" si="5"/>
        <v>2018.78</v>
      </c>
      <c r="G2079" s="10">
        <f t="shared" si="9"/>
        <v>40061.64583</v>
      </c>
      <c r="H2079" s="6" t="str">
        <f t="shared" si="6"/>
        <v/>
      </c>
      <c r="I2079" s="2">
        <f t="shared" si="7"/>
        <v>1426.89</v>
      </c>
      <c r="M2079" s="10">
        <f>IFERROR(__xludf.DUMMYFUNCTION("""COMPUTED_VALUE"""),40994.666666666664)</f>
        <v>40994.66667</v>
      </c>
      <c r="N2079" s="2">
        <f>IFERROR(__xludf.DUMMYFUNCTION("""COMPUTED_VALUE"""),3122.57)</f>
        <v>3122.57</v>
      </c>
    </row>
    <row r="2080">
      <c r="A2080" s="10">
        <f t="shared" si="8"/>
        <v>40062.66667</v>
      </c>
      <c r="B2080" s="2" t="str">
        <f t="shared" si="2"/>
        <v/>
      </c>
      <c r="C2080" s="2" t="str">
        <f t="shared" si="3"/>
        <v>SP500</v>
      </c>
      <c r="D2080" s="2" t="str">
        <f t="shared" si="4"/>
        <v/>
      </c>
      <c r="E2080" s="2">
        <f t="shared" si="5"/>
        <v>2018.78</v>
      </c>
      <c r="G2080" s="10">
        <f t="shared" si="9"/>
        <v>40062.64583</v>
      </c>
      <c r="H2080" s="6" t="str">
        <f t="shared" si="6"/>
        <v/>
      </c>
      <c r="I2080" s="2">
        <f t="shared" si="7"/>
        <v>1426.89</v>
      </c>
      <c r="M2080" s="10">
        <f>IFERROR(__xludf.DUMMYFUNCTION("""COMPUTED_VALUE"""),40995.666666666664)</f>
        <v>40995.66667</v>
      </c>
      <c r="N2080" s="2">
        <f>IFERROR(__xludf.DUMMYFUNCTION("""COMPUTED_VALUE"""),3120.35)</f>
        <v>3120.35</v>
      </c>
    </row>
    <row r="2081">
      <c r="A2081" s="10">
        <f t="shared" si="8"/>
        <v>40063.66667</v>
      </c>
      <c r="B2081" s="2" t="str">
        <f t="shared" si="2"/>
        <v/>
      </c>
      <c r="C2081" s="2" t="str">
        <f t="shared" si="3"/>
        <v>SP500</v>
      </c>
      <c r="D2081" s="2" t="str">
        <f t="shared" si="4"/>
        <v/>
      </c>
      <c r="E2081" s="2">
        <f t="shared" si="5"/>
        <v>2018.78</v>
      </c>
      <c r="G2081" s="10">
        <f t="shared" si="9"/>
        <v>40063.64583</v>
      </c>
      <c r="H2081" s="6" t="str">
        <f t="shared" si="6"/>
        <v/>
      </c>
      <c r="I2081" s="2">
        <f t="shared" si="7"/>
        <v>1426.89</v>
      </c>
      <c r="M2081" s="10">
        <f>IFERROR(__xludf.DUMMYFUNCTION("""COMPUTED_VALUE"""),40996.666666666664)</f>
        <v>40996.66667</v>
      </c>
      <c r="N2081" s="2">
        <f>IFERROR(__xludf.DUMMYFUNCTION("""COMPUTED_VALUE"""),3104.96)</f>
        <v>3104.96</v>
      </c>
    </row>
    <row r="2082">
      <c r="A2082" s="10">
        <f t="shared" si="8"/>
        <v>40064.66667</v>
      </c>
      <c r="B2082" s="2" t="str">
        <f t="shared" si="2"/>
        <v/>
      </c>
      <c r="C2082" s="2" t="str">
        <f t="shared" si="3"/>
        <v>SP500</v>
      </c>
      <c r="D2082" s="2">
        <f t="shared" si="4"/>
        <v>2037.77</v>
      </c>
      <c r="E2082" s="2">
        <f t="shared" si="5"/>
        <v>2037.77</v>
      </c>
      <c r="G2082" s="10">
        <f t="shared" si="9"/>
        <v>40064.64583</v>
      </c>
      <c r="H2082" s="6" t="str">
        <f t="shared" si="6"/>
        <v/>
      </c>
      <c r="I2082" s="2">
        <f t="shared" si="7"/>
        <v>1426.89</v>
      </c>
      <c r="M2082" s="10">
        <f>IFERROR(__xludf.DUMMYFUNCTION("""COMPUTED_VALUE"""),40997.666666666664)</f>
        <v>40997.66667</v>
      </c>
      <c r="N2082" s="2">
        <f>IFERROR(__xludf.DUMMYFUNCTION("""COMPUTED_VALUE"""),3095.36)</f>
        <v>3095.36</v>
      </c>
    </row>
    <row r="2083">
      <c r="A2083" s="10">
        <f t="shared" si="8"/>
        <v>40065.66667</v>
      </c>
      <c r="B2083" s="2" t="str">
        <f t="shared" si="2"/>
        <v/>
      </c>
      <c r="C2083" s="2" t="str">
        <f t="shared" si="3"/>
        <v>SP500</v>
      </c>
      <c r="D2083" s="2">
        <f t="shared" si="4"/>
        <v>2060.39</v>
      </c>
      <c r="E2083" s="2">
        <f t="shared" si="5"/>
        <v>2060.39</v>
      </c>
      <c r="G2083" s="10">
        <f t="shared" si="9"/>
        <v>40065.64583</v>
      </c>
      <c r="H2083" s="6" t="str">
        <f t="shared" si="6"/>
        <v/>
      </c>
      <c r="I2083" s="2">
        <f t="shared" si="7"/>
        <v>1426.89</v>
      </c>
      <c r="M2083" s="10">
        <f>IFERROR(__xludf.DUMMYFUNCTION("""COMPUTED_VALUE"""),40998.666666666664)</f>
        <v>40998.66667</v>
      </c>
      <c r="N2083" s="2">
        <f>IFERROR(__xludf.DUMMYFUNCTION("""COMPUTED_VALUE"""),3091.57)</f>
        <v>3091.57</v>
      </c>
    </row>
    <row r="2084">
      <c r="A2084" s="10">
        <f t="shared" si="8"/>
        <v>40066.66667</v>
      </c>
      <c r="B2084" s="2" t="str">
        <f t="shared" si="2"/>
        <v/>
      </c>
      <c r="C2084" s="2" t="str">
        <f t="shared" si="3"/>
        <v>SP500</v>
      </c>
      <c r="D2084" s="2">
        <f t="shared" si="4"/>
        <v>2084.02</v>
      </c>
      <c r="E2084" s="2">
        <f t="shared" si="5"/>
        <v>2084.02</v>
      </c>
      <c r="G2084" s="10">
        <f t="shared" si="9"/>
        <v>40066.64583</v>
      </c>
      <c r="H2084" s="6" t="str">
        <f t="shared" si="6"/>
        <v/>
      </c>
      <c r="I2084" s="2">
        <f t="shared" si="7"/>
        <v>1426.89</v>
      </c>
      <c r="M2084" s="10">
        <f>IFERROR(__xludf.DUMMYFUNCTION("""COMPUTED_VALUE"""),41001.666666666664)</f>
        <v>41001.66667</v>
      </c>
      <c r="N2084" s="2">
        <f>IFERROR(__xludf.DUMMYFUNCTION("""COMPUTED_VALUE"""),3119.7)</f>
        <v>3119.7</v>
      </c>
    </row>
    <row r="2085">
      <c r="A2085" s="10">
        <f t="shared" si="8"/>
        <v>40067.66667</v>
      </c>
      <c r="B2085" s="2" t="str">
        <f t="shared" si="2"/>
        <v/>
      </c>
      <c r="C2085" s="2" t="str">
        <f t="shared" si="3"/>
        <v>SP500</v>
      </c>
      <c r="D2085" s="2">
        <f t="shared" si="4"/>
        <v>2080.9</v>
      </c>
      <c r="E2085" s="2">
        <f t="shared" si="5"/>
        <v>2080.9</v>
      </c>
      <c r="G2085" s="10">
        <f t="shared" si="9"/>
        <v>40067.64583</v>
      </c>
      <c r="H2085" s="6" t="str">
        <f t="shared" si="6"/>
        <v/>
      </c>
      <c r="I2085" s="2">
        <f t="shared" si="7"/>
        <v>1426.89</v>
      </c>
      <c r="M2085" s="10">
        <f>IFERROR(__xludf.DUMMYFUNCTION("""COMPUTED_VALUE"""),41002.666666666664)</f>
        <v>41002.66667</v>
      </c>
      <c r="N2085" s="2">
        <f>IFERROR(__xludf.DUMMYFUNCTION("""COMPUTED_VALUE"""),3113.57)</f>
        <v>3113.57</v>
      </c>
    </row>
    <row r="2086">
      <c r="A2086" s="10">
        <f t="shared" si="8"/>
        <v>40068.66667</v>
      </c>
      <c r="B2086" s="2" t="str">
        <f t="shared" si="2"/>
        <v/>
      </c>
      <c r="C2086" s="2" t="str">
        <f t="shared" si="3"/>
        <v>SP500</v>
      </c>
      <c r="D2086" s="2" t="str">
        <f t="shared" si="4"/>
        <v/>
      </c>
      <c r="E2086" s="2">
        <f t="shared" si="5"/>
        <v>2080.9</v>
      </c>
      <c r="G2086" s="10">
        <f t="shared" si="9"/>
        <v>40068.64583</v>
      </c>
      <c r="H2086" s="6" t="str">
        <f t="shared" si="6"/>
        <v/>
      </c>
      <c r="I2086" s="2">
        <f t="shared" si="7"/>
        <v>1426.89</v>
      </c>
      <c r="M2086" s="10">
        <f>IFERROR(__xludf.DUMMYFUNCTION("""COMPUTED_VALUE"""),41003.666666666664)</f>
        <v>41003.66667</v>
      </c>
      <c r="N2086" s="2">
        <f>IFERROR(__xludf.DUMMYFUNCTION("""COMPUTED_VALUE"""),3068.09)</f>
        <v>3068.09</v>
      </c>
    </row>
    <row r="2087">
      <c r="A2087" s="10">
        <f t="shared" si="8"/>
        <v>40069.66667</v>
      </c>
      <c r="B2087" s="2" t="str">
        <f t="shared" si="2"/>
        <v/>
      </c>
      <c r="C2087" s="2" t="str">
        <f t="shared" si="3"/>
        <v>SP500</v>
      </c>
      <c r="D2087" s="2" t="str">
        <f t="shared" si="4"/>
        <v/>
      </c>
      <c r="E2087" s="2">
        <f t="shared" si="5"/>
        <v>2080.9</v>
      </c>
      <c r="G2087" s="10">
        <f t="shared" si="9"/>
        <v>40069.64583</v>
      </c>
      <c r="H2087" s="6" t="str">
        <f t="shared" si="6"/>
        <v/>
      </c>
      <c r="I2087" s="2">
        <f t="shared" si="7"/>
        <v>1426.89</v>
      </c>
      <c r="M2087" s="10">
        <f>IFERROR(__xludf.DUMMYFUNCTION("""COMPUTED_VALUE"""),41004.666666666664)</f>
        <v>41004.66667</v>
      </c>
      <c r="N2087" s="2">
        <f>IFERROR(__xludf.DUMMYFUNCTION("""COMPUTED_VALUE"""),3080.5)</f>
        <v>3080.5</v>
      </c>
    </row>
    <row r="2088">
      <c r="A2088" s="10">
        <f t="shared" si="8"/>
        <v>40070.66667</v>
      </c>
      <c r="B2088" s="2" t="str">
        <f t="shared" si="2"/>
        <v/>
      </c>
      <c r="C2088" s="2" t="str">
        <f t="shared" si="3"/>
        <v>SP500</v>
      </c>
      <c r="D2088" s="2">
        <f t="shared" si="4"/>
        <v>2091.78</v>
      </c>
      <c r="E2088" s="2">
        <f t="shared" si="5"/>
        <v>2091.78</v>
      </c>
      <c r="G2088" s="10">
        <f t="shared" si="9"/>
        <v>40070.64583</v>
      </c>
      <c r="H2088" s="6" t="str">
        <f t="shared" si="6"/>
        <v/>
      </c>
      <c r="I2088" s="2">
        <f t="shared" si="7"/>
        <v>1426.89</v>
      </c>
      <c r="M2088" s="10">
        <f>IFERROR(__xludf.DUMMYFUNCTION("""COMPUTED_VALUE"""),41008.666666666664)</f>
        <v>41008.66667</v>
      </c>
      <c r="N2088" s="2">
        <f>IFERROR(__xludf.DUMMYFUNCTION("""COMPUTED_VALUE"""),3047.08)</f>
        <v>3047.08</v>
      </c>
    </row>
    <row r="2089">
      <c r="A2089" s="10">
        <f t="shared" si="8"/>
        <v>40071.66667</v>
      </c>
      <c r="B2089" s="2" t="str">
        <f t="shared" si="2"/>
        <v/>
      </c>
      <c r="C2089" s="2" t="str">
        <f t="shared" si="3"/>
        <v>SP500</v>
      </c>
      <c r="D2089" s="2">
        <f t="shared" si="4"/>
        <v>2102.64</v>
      </c>
      <c r="E2089" s="2">
        <f t="shared" si="5"/>
        <v>2102.64</v>
      </c>
      <c r="G2089" s="10">
        <f t="shared" si="9"/>
        <v>40071.64583</v>
      </c>
      <c r="H2089" s="6" t="str">
        <f t="shared" si="6"/>
        <v/>
      </c>
      <c r="I2089" s="2">
        <f t="shared" si="7"/>
        <v>1426.89</v>
      </c>
      <c r="M2089" s="10">
        <f>IFERROR(__xludf.DUMMYFUNCTION("""COMPUTED_VALUE"""),41009.666666666664)</f>
        <v>41009.66667</v>
      </c>
      <c r="N2089" s="2">
        <f>IFERROR(__xludf.DUMMYFUNCTION("""COMPUTED_VALUE"""),2991.22)</f>
        <v>2991.22</v>
      </c>
    </row>
    <row r="2090">
      <c r="A2090" s="10">
        <f t="shared" si="8"/>
        <v>40072.66667</v>
      </c>
      <c r="B2090" s="2" t="str">
        <f t="shared" si="2"/>
        <v/>
      </c>
      <c r="C2090" s="2" t="str">
        <f t="shared" si="3"/>
        <v>SP500</v>
      </c>
      <c r="D2090" s="2">
        <f t="shared" si="4"/>
        <v>2133.15</v>
      </c>
      <c r="E2090" s="2">
        <f t="shared" si="5"/>
        <v>2133.15</v>
      </c>
      <c r="G2090" s="10">
        <f t="shared" si="9"/>
        <v>40072.64583</v>
      </c>
      <c r="H2090" s="6" t="str">
        <f t="shared" si="6"/>
        <v/>
      </c>
      <c r="I2090" s="2">
        <f t="shared" si="7"/>
        <v>1426.89</v>
      </c>
      <c r="M2090" s="10">
        <f>IFERROR(__xludf.DUMMYFUNCTION("""COMPUTED_VALUE"""),41010.666666666664)</f>
        <v>41010.66667</v>
      </c>
      <c r="N2090" s="2">
        <f>IFERROR(__xludf.DUMMYFUNCTION("""COMPUTED_VALUE"""),3016.46)</f>
        <v>3016.46</v>
      </c>
    </row>
    <row r="2091">
      <c r="A2091" s="10">
        <f t="shared" si="8"/>
        <v>40073.66667</v>
      </c>
      <c r="B2091" s="2" t="str">
        <f t="shared" si="2"/>
        <v/>
      </c>
      <c r="C2091" s="2" t="str">
        <f t="shared" si="3"/>
        <v>SP500</v>
      </c>
      <c r="D2091" s="2">
        <f t="shared" si="4"/>
        <v>2126.75</v>
      </c>
      <c r="E2091" s="2">
        <f t="shared" si="5"/>
        <v>2126.75</v>
      </c>
      <c r="G2091" s="10">
        <f t="shared" si="9"/>
        <v>40073.64583</v>
      </c>
      <c r="H2091" s="6" t="str">
        <f t="shared" si="6"/>
        <v/>
      </c>
      <c r="I2091" s="2">
        <f t="shared" si="7"/>
        <v>1426.89</v>
      </c>
      <c r="M2091" s="10">
        <f>IFERROR(__xludf.DUMMYFUNCTION("""COMPUTED_VALUE"""),41011.666666666664)</f>
        <v>41011.66667</v>
      </c>
      <c r="N2091" s="2">
        <f>IFERROR(__xludf.DUMMYFUNCTION("""COMPUTED_VALUE"""),3055.55)</f>
        <v>3055.55</v>
      </c>
    </row>
    <row r="2092">
      <c r="A2092" s="10">
        <f t="shared" si="8"/>
        <v>40074.66667</v>
      </c>
      <c r="B2092" s="2" t="str">
        <f t="shared" si="2"/>
        <v/>
      </c>
      <c r="C2092" s="2" t="str">
        <f t="shared" si="3"/>
        <v>SP500</v>
      </c>
      <c r="D2092" s="2">
        <f t="shared" si="4"/>
        <v>2132.86</v>
      </c>
      <c r="E2092" s="2">
        <f t="shared" si="5"/>
        <v>2132.86</v>
      </c>
      <c r="G2092" s="10">
        <f t="shared" si="9"/>
        <v>40074.64583</v>
      </c>
      <c r="H2092" s="6" t="str">
        <f t="shared" si="6"/>
        <v/>
      </c>
      <c r="I2092" s="2">
        <f t="shared" si="7"/>
        <v>1426.89</v>
      </c>
      <c r="M2092" s="10">
        <f>IFERROR(__xludf.DUMMYFUNCTION("""COMPUTED_VALUE"""),41012.666666666664)</f>
        <v>41012.66667</v>
      </c>
      <c r="N2092" s="2">
        <f>IFERROR(__xludf.DUMMYFUNCTION("""COMPUTED_VALUE"""),3011.33)</f>
        <v>3011.33</v>
      </c>
    </row>
    <row r="2093">
      <c r="A2093" s="10">
        <f t="shared" si="8"/>
        <v>40075.66667</v>
      </c>
      <c r="B2093" s="2" t="str">
        <f t="shared" si="2"/>
        <v/>
      </c>
      <c r="C2093" s="2" t="str">
        <f t="shared" si="3"/>
        <v>SP500</v>
      </c>
      <c r="D2093" s="2" t="str">
        <f t="shared" si="4"/>
        <v/>
      </c>
      <c r="E2093" s="2">
        <f t="shared" si="5"/>
        <v>2132.86</v>
      </c>
      <c r="G2093" s="10">
        <f t="shared" si="9"/>
        <v>40075.64583</v>
      </c>
      <c r="H2093" s="6" t="str">
        <f t="shared" si="6"/>
        <v/>
      </c>
      <c r="I2093" s="2">
        <f t="shared" si="7"/>
        <v>1426.89</v>
      </c>
      <c r="M2093" s="10">
        <f>IFERROR(__xludf.DUMMYFUNCTION("""COMPUTED_VALUE"""),41015.666666666664)</f>
        <v>41015.66667</v>
      </c>
      <c r="N2093" s="2">
        <f>IFERROR(__xludf.DUMMYFUNCTION("""COMPUTED_VALUE"""),2988.4)</f>
        <v>2988.4</v>
      </c>
    </row>
    <row r="2094">
      <c r="A2094" s="10">
        <f t="shared" si="8"/>
        <v>40076.66667</v>
      </c>
      <c r="B2094" s="2" t="str">
        <f t="shared" si="2"/>
        <v/>
      </c>
      <c r="C2094" s="2" t="str">
        <f t="shared" si="3"/>
        <v>SP500</v>
      </c>
      <c r="D2094" s="2" t="str">
        <f t="shared" si="4"/>
        <v/>
      </c>
      <c r="E2094" s="2">
        <f t="shared" si="5"/>
        <v>2132.86</v>
      </c>
      <c r="G2094" s="10">
        <f t="shared" si="9"/>
        <v>40076.64583</v>
      </c>
      <c r="H2094" s="6" t="str">
        <f t="shared" si="6"/>
        <v/>
      </c>
      <c r="I2094" s="2">
        <f t="shared" si="7"/>
        <v>1426.89</v>
      </c>
      <c r="M2094" s="10">
        <f>IFERROR(__xludf.DUMMYFUNCTION("""COMPUTED_VALUE"""),41016.666666666664)</f>
        <v>41016.66667</v>
      </c>
      <c r="N2094" s="2">
        <f>IFERROR(__xludf.DUMMYFUNCTION("""COMPUTED_VALUE"""),3042.82)</f>
        <v>3042.82</v>
      </c>
    </row>
    <row r="2095">
      <c r="A2095" s="10">
        <f t="shared" si="8"/>
        <v>40077.66667</v>
      </c>
      <c r="B2095" s="2" t="str">
        <f t="shared" si="2"/>
        <v/>
      </c>
      <c r="C2095" s="2" t="str">
        <f t="shared" si="3"/>
        <v>SP500</v>
      </c>
      <c r="D2095" s="2">
        <f t="shared" si="4"/>
        <v>2138.04</v>
      </c>
      <c r="E2095" s="2">
        <f t="shared" si="5"/>
        <v>2138.04</v>
      </c>
      <c r="G2095" s="10">
        <f t="shared" si="9"/>
        <v>40077.64583</v>
      </c>
      <c r="H2095" s="6" t="str">
        <f t="shared" si="6"/>
        <v/>
      </c>
      <c r="I2095" s="2">
        <f t="shared" si="7"/>
        <v>1426.89</v>
      </c>
      <c r="M2095" s="10">
        <f>IFERROR(__xludf.DUMMYFUNCTION("""COMPUTED_VALUE"""),41017.666666666664)</f>
        <v>41017.66667</v>
      </c>
      <c r="N2095" s="2">
        <f>IFERROR(__xludf.DUMMYFUNCTION("""COMPUTED_VALUE"""),3031.45)</f>
        <v>3031.45</v>
      </c>
    </row>
    <row r="2096">
      <c r="A2096" s="10">
        <f t="shared" si="8"/>
        <v>40078.66667</v>
      </c>
      <c r="B2096" s="2" t="str">
        <f t="shared" si="2"/>
        <v/>
      </c>
      <c r="C2096" s="2" t="str">
        <f t="shared" si="3"/>
        <v>SP500</v>
      </c>
      <c r="D2096" s="2">
        <f t="shared" si="4"/>
        <v>2146.3</v>
      </c>
      <c r="E2096" s="2">
        <f t="shared" si="5"/>
        <v>2146.3</v>
      </c>
      <c r="G2096" s="10">
        <f t="shared" si="9"/>
        <v>40078.64583</v>
      </c>
      <c r="H2096" s="6" t="str">
        <f t="shared" si="6"/>
        <v/>
      </c>
      <c r="I2096" s="2">
        <f t="shared" si="7"/>
        <v>1426.89</v>
      </c>
      <c r="M2096" s="10">
        <f>IFERROR(__xludf.DUMMYFUNCTION("""COMPUTED_VALUE"""),41018.666666666664)</f>
        <v>41018.66667</v>
      </c>
      <c r="N2096" s="2">
        <f>IFERROR(__xludf.DUMMYFUNCTION("""COMPUTED_VALUE"""),3007.56)</f>
        <v>3007.56</v>
      </c>
    </row>
    <row r="2097">
      <c r="A2097" s="10">
        <f t="shared" si="8"/>
        <v>40079.66667</v>
      </c>
      <c r="B2097" s="2" t="str">
        <f t="shared" si="2"/>
        <v/>
      </c>
      <c r="C2097" s="2" t="str">
        <f t="shared" si="3"/>
        <v>SP500</v>
      </c>
      <c r="D2097" s="2">
        <f t="shared" si="4"/>
        <v>2131.42</v>
      </c>
      <c r="E2097" s="2">
        <f t="shared" si="5"/>
        <v>2131.42</v>
      </c>
      <c r="G2097" s="10">
        <f t="shared" si="9"/>
        <v>40079.64583</v>
      </c>
      <c r="H2097" s="6" t="str">
        <f t="shared" si="6"/>
        <v/>
      </c>
      <c r="I2097" s="2">
        <f t="shared" si="7"/>
        <v>1426.89</v>
      </c>
      <c r="M2097" s="10">
        <f>IFERROR(__xludf.DUMMYFUNCTION("""COMPUTED_VALUE"""),41019.666666666664)</f>
        <v>41019.66667</v>
      </c>
      <c r="N2097" s="2">
        <f>IFERROR(__xludf.DUMMYFUNCTION("""COMPUTED_VALUE"""),3000.45)</f>
        <v>3000.45</v>
      </c>
    </row>
    <row r="2098">
      <c r="A2098" s="10">
        <f t="shared" si="8"/>
        <v>40080.66667</v>
      </c>
      <c r="B2098" s="2" t="str">
        <f t="shared" si="2"/>
        <v/>
      </c>
      <c r="C2098" s="2" t="str">
        <f t="shared" si="3"/>
        <v>SP500</v>
      </c>
      <c r="D2098" s="2">
        <f t="shared" si="4"/>
        <v>2107.61</v>
      </c>
      <c r="E2098" s="2">
        <f t="shared" si="5"/>
        <v>2107.61</v>
      </c>
      <c r="G2098" s="10">
        <f t="shared" si="9"/>
        <v>40080.64583</v>
      </c>
      <c r="H2098" s="6" t="str">
        <f t="shared" si="6"/>
        <v/>
      </c>
      <c r="I2098" s="2">
        <f t="shared" si="7"/>
        <v>1426.89</v>
      </c>
      <c r="M2098" s="10">
        <f>IFERROR(__xludf.DUMMYFUNCTION("""COMPUTED_VALUE"""),41022.666666666664)</f>
        <v>41022.66667</v>
      </c>
      <c r="N2098" s="2">
        <f>IFERROR(__xludf.DUMMYFUNCTION("""COMPUTED_VALUE"""),2970.45)</f>
        <v>2970.45</v>
      </c>
    </row>
    <row r="2099">
      <c r="A2099" s="10">
        <f t="shared" si="8"/>
        <v>40081.66667</v>
      </c>
      <c r="B2099" s="2" t="str">
        <f t="shared" si="2"/>
        <v/>
      </c>
      <c r="C2099" s="2" t="str">
        <f t="shared" si="3"/>
        <v>SP500</v>
      </c>
      <c r="D2099" s="2">
        <f t="shared" si="4"/>
        <v>2090.92</v>
      </c>
      <c r="E2099" s="2">
        <f t="shared" si="5"/>
        <v>2090.92</v>
      </c>
      <c r="G2099" s="10">
        <f t="shared" si="9"/>
        <v>40081.64583</v>
      </c>
      <c r="H2099" s="6" t="str">
        <f t="shared" si="6"/>
        <v/>
      </c>
      <c r="I2099" s="2">
        <f t="shared" si="7"/>
        <v>1426.89</v>
      </c>
      <c r="M2099" s="10">
        <f>IFERROR(__xludf.DUMMYFUNCTION("""COMPUTED_VALUE"""),41023.666666666664)</f>
        <v>41023.66667</v>
      </c>
      <c r="N2099" s="2">
        <f>IFERROR(__xludf.DUMMYFUNCTION("""COMPUTED_VALUE"""),2961.6)</f>
        <v>2961.6</v>
      </c>
    </row>
    <row r="2100">
      <c r="A2100" s="10">
        <f t="shared" si="8"/>
        <v>40082.66667</v>
      </c>
      <c r="B2100" s="2" t="str">
        <f t="shared" si="2"/>
        <v/>
      </c>
      <c r="C2100" s="2" t="str">
        <f t="shared" si="3"/>
        <v>SP500</v>
      </c>
      <c r="D2100" s="2" t="str">
        <f t="shared" si="4"/>
        <v/>
      </c>
      <c r="E2100" s="2">
        <f t="shared" si="5"/>
        <v>2090.92</v>
      </c>
      <c r="G2100" s="10">
        <f t="shared" si="9"/>
        <v>40082.64583</v>
      </c>
      <c r="H2100" s="6" t="str">
        <f t="shared" si="6"/>
        <v/>
      </c>
      <c r="I2100" s="2">
        <f t="shared" si="7"/>
        <v>1426.89</v>
      </c>
      <c r="M2100" s="10">
        <f>IFERROR(__xludf.DUMMYFUNCTION("""COMPUTED_VALUE"""),41024.666666666664)</f>
        <v>41024.66667</v>
      </c>
      <c r="N2100" s="2">
        <f>IFERROR(__xludf.DUMMYFUNCTION("""COMPUTED_VALUE"""),3029.63)</f>
        <v>3029.63</v>
      </c>
    </row>
    <row r="2101">
      <c r="A2101" s="10">
        <f t="shared" si="8"/>
        <v>40083.66667</v>
      </c>
      <c r="B2101" s="2" t="str">
        <f t="shared" si="2"/>
        <v/>
      </c>
      <c r="C2101" s="2" t="str">
        <f t="shared" si="3"/>
        <v>SP500</v>
      </c>
      <c r="D2101" s="2" t="str">
        <f t="shared" si="4"/>
        <v/>
      </c>
      <c r="E2101" s="2">
        <f t="shared" si="5"/>
        <v>2090.92</v>
      </c>
      <c r="G2101" s="10">
        <f t="shared" si="9"/>
        <v>40083.64583</v>
      </c>
      <c r="H2101" s="6" t="str">
        <f t="shared" si="6"/>
        <v/>
      </c>
      <c r="I2101" s="2">
        <f t="shared" si="7"/>
        <v>1426.89</v>
      </c>
      <c r="M2101" s="10">
        <f>IFERROR(__xludf.DUMMYFUNCTION("""COMPUTED_VALUE"""),41025.666666666664)</f>
        <v>41025.66667</v>
      </c>
      <c r="N2101" s="2">
        <f>IFERROR(__xludf.DUMMYFUNCTION("""COMPUTED_VALUE"""),3050.61)</f>
        <v>3050.61</v>
      </c>
    </row>
    <row r="2102">
      <c r="A2102" s="10">
        <f t="shared" si="8"/>
        <v>40084.66667</v>
      </c>
      <c r="B2102" s="2" t="str">
        <f t="shared" si="2"/>
        <v/>
      </c>
      <c r="C2102" s="2" t="str">
        <f t="shared" si="3"/>
        <v>SP500</v>
      </c>
      <c r="D2102" s="2">
        <f t="shared" si="4"/>
        <v>2130.74</v>
      </c>
      <c r="E2102" s="2">
        <f t="shared" si="5"/>
        <v>2130.74</v>
      </c>
      <c r="G2102" s="10">
        <f t="shared" si="9"/>
        <v>40084.64583</v>
      </c>
      <c r="H2102" s="6" t="str">
        <f t="shared" si="6"/>
        <v/>
      </c>
      <c r="I2102" s="2">
        <f t="shared" si="7"/>
        <v>1426.89</v>
      </c>
      <c r="M2102" s="10">
        <f>IFERROR(__xludf.DUMMYFUNCTION("""COMPUTED_VALUE"""),41026.666666666664)</f>
        <v>41026.66667</v>
      </c>
      <c r="N2102" s="2">
        <f>IFERROR(__xludf.DUMMYFUNCTION("""COMPUTED_VALUE"""),3069.2)</f>
        <v>3069.2</v>
      </c>
    </row>
    <row r="2103">
      <c r="A2103" s="10">
        <f t="shared" si="8"/>
        <v>40085.66667</v>
      </c>
      <c r="B2103" s="2" t="str">
        <f t="shared" si="2"/>
        <v/>
      </c>
      <c r="C2103" s="2" t="str">
        <f t="shared" si="3"/>
        <v>SP500</v>
      </c>
      <c r="D2103" s="2">
        <f t="shared" si="4"/>
        <v>2124.04</v>
      </c>
      <c r="E2103" s="2">
        <f t="shared" si="5"/>
        <v>2124.04</v>
      </c>
      <c r="G2103" s="10">
        <f t="shared" si="9"/>
        <v>40085.64583</v>
      </c>
      <c r="H2103" s="6" t="str">
        <f t="shared" si="6"/>
        <v/>
      </c>
      <c r="I2103" s="2">
        <f t="shared" si="7"/>
        <v>1426.89</v>
      </c>
      <c r="M2103" s="10">
        <f>IFERROR(__xludf.DUMMYFUNCTION("""COMPUTED_VALUE"""),41029.666666666664)</f>
        <v>41029.66667</v>
      </c>
      <c r="N2103" s="2">
        <f>IFERROR(__xludf.DUMMYFUNCTION("""COMPUTED_VALUE"""),3046.36)</f>
        <v>3046.36</v>
      </c>
    </row>
    <row r="2104">
      <c r="A2104" s="10">
        <f t="shared" si="8"/>
        <v>40086.66667</v>
      </c>
      <c r="B2104" s="2" t="str">
        <f t="shared" si="2"/>
        <v/>
      </c>
      <c r="C2104" s="2" t="str">
        <f t="shared" si="3"/>
        <v>SP500</v>
      </c>
      <c r="D2104" s="2">
        <f t="shared" si="4"/>
        <v>2122.42</v>
      </c>
      <c r="E2104" s="2">
        <f t="shared" si="5"/>
        <v>2122.42</v>
      </c>
      <c r="G2104" s="10">
        <f t="shared" si="9"/>
        <v>40086.64583</v>
      </c>
      <c r="H2104" s="6" t="str">
        <f t="shared" si="6"/>
        <v/>
      </c>
      <c r="I2104" s="2">
        <f t="shared" si="7"/>
        <v>1426.89</v>
      </c>
      <c r="M2104" s="10">
        <f>IFERROR(__xludf.DUMMYFUNCTION("""COMPUTED_VALUE"""),41030.666666666664)</f>
        <v>41030.66667</v>
      </c>
      <c r="N2104" s="2">
        <f>IFERROR(__xludf.DUMMYFUNCTION("""COMPUTED_VALUE"""),3050.44)</f>
        <v>3050.44</v>
      </c>
    </row>
    <row r="2105">
      <c r="A2105" s="10">
        <f t="shared" si="8"/>
        <v>40087.66667</v>
      </c>
      <c r="B2105" s="2" t="str">
        <f t="shared" si="2"/>
        <v/>
      </c>
      <c r="C2105" s="2" t="str">
        <f t="shared" si="3"/>
        <v>SP500</v>
      </c>
      <c r="D2105" s="2">
        <f t="shared" si="4"/>
        <v>2057.48</v>
      </c>
      <c r="E2105" s="2">
        <f t="shared" si="5"/>
        <v>2057.48</v>
      </c>
      <c r="G2105" s="10">
        <f t="shared" si="9"/>
        <v>40087.64583</v>
      </c>
      <c r="H2105" s="6" t="str">
        <f t="shared" si="6"/>
        <v/>
      </c>
      <c r="I2105" s="2">
        <f t="shared" si="7"/>
        <v>1426.89</v>
      </c>
      <c r="M2105" s="10">
        <f>IFERROR(__xludf.DUMMYFUNCTION("""COMPUTED_VALUE"""),41031.666666666664)</f>
        <v>41031.66667</v>
      </c>
      <c r="N2105" s="2">
        <f>IFERROR(__xludf.DUMMYFUNCTION("""COMPUTED_VALUE"""),3059.85)</f>
        <v>3059.85</v>
      </c>
    </row>
    <row r="2106">
      <c r="A2106" s="10">
        <f t="shared" si="8"/>
        <v>40088.66667</v>
      </c>
      <c r="B2106" s="2" t="str">
        <f t="shared" si="2"/>
        <v/>
      </c>
      <c r="C2106" s="2" t="str">
        <f t="shared" si="3"/>
        <v>SP500</v>
      </c>
      <c r="D2106" s="2">
        <f t="shared" si="4"/>
        <v>2048.11</v>
      </c>
      <c r="E2106" s="2">
        <f t="shared" si="5"/>
        <v>2048.11</v>
      </c>
      <c r="G2106" s="10">
        <f t="shared" si="9"/>
        <v>40088.64583</v>
      </c>
      <c r="H2106" s="6" t="str">
        <f t="shared" si="6"/>
        <v/>
      </c>
      <c r="I2106" s="2">
        <f t="shared" si="7"/>
        <v>1426.89</v>
      </c>
      <c r="M2106" s="10">
        <f>IFERROR(__xludf.DUMMYFUNCTION("""COMPUTED_VALUE"""),41032.666666666664)</f>
        <v>41032.66667</v>
      </c>
      <c r="N2106" s="2">
        <f>IFERROR(__xludf.DUMMYFUNCTION("""COMPUTED_VALUE"""),3024.3)</f>
        <v>3024.3</v>
      </c>
    </row>
    <row r="2107">
      <c r="A2107" s="10">
        <f t="shared" si="8"/>
        <v>40089.66667</v>
      </c>
      <c r="B2107" s="2" t="str">
        <f t="shared" si="2"/>
        <v/>
      </c>
      <c r="C2107" s="2" t="str">
        <f t="shared" si="3"/>
        <v>SP500</v>
      </c>
      <c r="D2107" s="2" t="str">
        <f t="shared" si="4"/>
        <v/>
      </c>
      <c r="E2107" s="2">
        <f t="shared" si="5"/>
        <v>2048.11</v>
      </c>
      <c r="G2107" s="10">
        <f t="shared" si="9"/>
        <v>40089.64583</v>
      </c>
      <c r="H2107" s="6" t="str">
        <f t="shared" si="6"/>
        <v/>
      </c>
      <c r="I2107" s="2">
        <f t="shared" si="7"/>
        <v>1426.89</v>
      </c>
      <c r="M2107" s="10">
        <f>IFERROR(__xludf.DUMMYFUNCTION("""COMPUTED_VALUE"""),41033.666666666664)</f>
        <v>41033.66667</v>
      </c>
      <c r="N2107" s="2">
        <f>IFERROR(__xludf.DUMMYFUNCTION("""COMPUTED_VALUE"""),2956.34)</f>
        <v>2956.34</v>
      </c>
    </row>
    <row r="2108">
      <c r="A2108" s="10">
        <f t="shared" si="8"/>
        <v>40090.66667</v>
      </c>
      <c r="B2108" s="2" t="str">
        <f t="shared" si="2"/>
        <v/>
      </c>
      <c r="C2108" s="2" t="str">
        <f t="shared" si="3"/>
        <v>SP500</v>
      </c>
      <c r="D2108" s="2" t="str">
        <f t="shared" si="4"/>
        <v/>
      </c>
      <c r="E2108" s="2">
        <f t="shared" si="5"/>
        <v>2048.11</v>
      </c>
      <c r="G2108" s="10">
        <f t="shared" si="9"/>
        <v>40090.64583</v>
      </c>
      <c r="H2108" s="6" t="str">
        <f t="shared" si="6"/>
        <v/>
      </c>
      <c r="I2108" s="2">
        <f t="shared" si="7"/>
        <v>1426.89</v>
      </c>
      <c r="M2108" s="10">
        <f>IFERROR(__xludf.DUMMYFUNCTION("""COMPUTED_VALUE"""),41036.666666666664)</f>
        <v>41036.66667</v>
      </c>
      <c r="N2108" s="2">
        <f>IFERROR(__xludf.DUMMYFUNCTION("""COMPUTED_VALUE"""),2957.76)</f>
        <v>2957.76</v>
      </c>
    </row>
    <row r="2109">
      <c r="A2109" s="10">
        <f t="shared" si="8"/>
        <v>40091.66667</v>
      </c>
      <c r="B2109" s="2" t="str">
        <f t="shared" si="2"/>
        <v/>
      </c>
      <c r="C2109" s="2" t="str">
        <f t="shared" si="3"/>
        <v>SP500</v>
      </c>
      <c r="D2109" s="2">
        <f t="shared" si="4"/>
        <v>2068.15</v>
      </c>
      <c r="E2109" s="2">
        <f t="shared" si="5"/>
        <v>2068.15</v>
      </c>
      <c r="G2109" s="10">
        <f t="shared" si="9"/>
        <v>40091.64583</v>
      </c>
      <c r="H2109" s="6" t="str">
        <f t="shared" si="6"/>
        <v/>
      </c>
      <c r="I2109" s="2">
        <f t="shared" si="7"/>
        <v>1426.89</v>
      </c>
      <c r="M2109" s="10">
        <f>IFERROR(__xludf.DUMMYFUNCTION("""COMPUTED_VALUE"""),41037.666666666664)</f>
        <v>41037.66667</v>
      </c>
      <c r="N2109" s="2">
        <f>IFERROR(__xludf.DUMMYFUNCTION("""COMPUTED_VALUE"""),2946.27)</f>
        <v>2946.27</v>
      </c>
    </row>
    <row r="2110">
      <c r="A2110" s="10">
        <f t="shared" si="8"/>
        <v>40092.66667</v>
      </c>
      <c r="B2110" s="2" t="str">
        <f t="shared" si="2"/>
        <v/>
      </c>
      <c r="C2110" s="2" t="str">
        <f t="shared" si="3"/>
        <v>SP500</v>
      </c>
      <c r="D2110" s="2">
        <f t="shared" si="4"/>
        <v>2103.57</v>
      </c>
      <c r="E2110" s="2">
        <f t="shared" si="5"/>
        <v>2103.57</v>
      </c>
      <c r="G2110" s="10">
        <f t="shared" si="9"/>
        <v>40092.64583</v>
      </c>
      <c r="H2110" s="6" t="str">
        <f t="shared" si="6"/>
        <v/>
      </c>
      <c r="I2110" s="2">
        <f t="shared" si="7"/>
        <v>1426.89</v>
      </c>
      <c r="M2110" s="10">
        <f>IFERROR(__xludf.DUMMYFUNCTION("""COMPUTED_VALUE"""),41038.666666666664)</f>
        <v>41038.66667</v>
      </c>
      <c r="N2110" s="2">
        <f>IFERROR(__xludf.DUMMYFUNCTION("""COMPUTED_VALUE"""),2934.71)</f>
        <v>2934.71</v>
      </c>
    </row>
    <row r="2111">
      <c r="A2111" s="10">
        <f t="shared" si="8"/>
        <v>40093.66667</v>
      </c>
      <c r="B2111" s="2" t="str">
        <f t="shared" si="2"/>
        <v/>
      </c>
      <c r="C2111" s="2" t="str">
        <f t="shared" si="3"/>
        <v>SP500</v>
      </c>
      <c r="D2111" s="2">
        <f t="shared" si="4"/>
        <v>2110.33</v>
      </c>
      <c r="E2111" s="2">
        <f t="shared" si="5"/>
        <v>2110.33</v>
      </c>
      <c r="G2111" s="10">
        <f t="shared" si="9"/>
        <v>40093.64583</v>
      </c>
      <c r="H2111" s="6" t="str">
        <f t="shared" si="6"/>
        <v/>
      </c>
      <c r="I2111" s="2">
        <f t="shared" si="7"/>
        <v>1426.89</v>
      </c>
      <c r="M2111" s="10">
        <f>IFERROR(__xludf.DUMMYFUNCTION("""COMPUTED_VALUE"""),41039.666666666664)</f>
        <v>41039.66667</v>
      </c>
      <c r="N2111" s="2">
        <f>IFERROR(__xludf.DUMMYFUNCTION("""COMPUTED_VALUE"""),2933.64)</f>
        <v>2933.64</v>
      </c>
    </row>
    <row r="2112">
      <c r="A2112" s="10">
        <f t="shared" si="8"/>
        <v>40094.66667</v>
      </c>
      <c r="B2112" s="2" t="str">
        <f t="shared" si="2"/>
        <v/>
      </c>
      <c r="C2112" s="2" t="str">
        <f t="shared" si="3"/>
        <v>SP500</v>
      </c>
      <c r="D2112" s="2">
        <f t="shared" si="4"/>
        <v>2123.93</v>
      </c>
      <c r="E2112" s="2">
        <f t="shared" si="5"/>
        <v>2123.93</v>
      </c>
      <c r="G2112" s="10">
        <f t="shared" si="9"/>
        <v>40094.64583</v>
      </c>
      <c r="H2112" s="6" t="str">
        <f t="shared" si="6"/>
        <v/>
      </c>
      <c r="I2112" s="2">
        <f t="shared" si="7"/>
        <v>1426.89</v>
      </c>
      <c r="M2112" s="10">
        <f>IFERROR(__xludf.DUMMYFUNCTION("""COMPUTED_VALUE"""),41040.666666666664)</f>
        <v>41040.66667</v>
      </c>
      <c r="N2112" s="2">
        <f>IFERROR(__xludf.DUMMYFUNCTION("""COMPUTED_VALUE"""),2933.82)</f>
        <v>2933.82</v>
      </c>
    </row>
    <row r="2113">
      <c r="A2113" s="10">
        <f t="shared" si="8"/>
        <v>40095.66667</v>
      </c>
      <c r="B2113" s="2" t="str">
        <f t="shared" si="2"/>
        <v/>
      </c>
      <c r="C2113" s="2" t="str">
        <f t="shared" si="3"/>
        <v>SP500</v>
      </c>
      <c r="D2113" s="2">
        <f t="shared" si="4"/>
        <v>2139.28</v>
      </c>
      <c r="E2113" s="2">
        <f t="shared" si="5"/>
        <v>2139.28</v>
      </c>
      <c r="G2113" s="10">
        <f t="shared" si="9"/>
        <v>40095.64583</v>
      </c>
      <c r="H2113" s="6" t="str">
        <f t="shared" si="6"/>
        <v/>
      </c>
      <c r="I2113" s="2">
        <f t="shared" si="7"/>
        <v>1426.89</v>
      </c>
      <c r="M2113" s="10">
        <f>IFERROR(__xludf.DUMMYFUNCTION("""COMPUTED_VALUE"""),41043.666666666664)</f>
        <v>41043.66667</v>
      </c>
      <c r="N2113" s="2">
        <f>IFERROR(__xludf.DUMMYFUNCTION("""COMPUTED_VALUE"""),2902.58)</f>
        <v>2902.58</v>
      </c>
    </row>
    <row r="2114">
      <c r="A2114" s="10">
        <f t="shared" si="8"/>
        <v>40096.66667</v>
      </c>
      <c r="B2114" s="2" t="str">
        <f t="shared" si="2"/>
        <v/>
      </c>
      <c r="C2114" s="2" t="str">
        <f t="shared" si="3"/>
        <v>SP500</v>
      </c>
      <c r="D2114" s="2" t="str">
        <f t="shared" si="4"/>
        <v/>
      </c>
      <c r="E2114" s="2">
        <f t="shared" si="5"/>
        <v>2139.28</v>
      </c>
      <c r="G2114" s="10">
        <f t="shared" si="9"/>
        <v>40096.64583</v>
      </c>
      <c r="H2114" s="6" t="str">
        <f t="shared" si="6"/>
        <v/>
      </c>
      <c r="I2114" s="2">
        <f t="shared" si="7"/>
        <v>1426.89</v>
      </c>
      <c r="M2114" s="10">
        <f>IFERROR(__xludf.DUMMYFUNCTION("""COMPUTED_VALUE"""),41044.666666666664)</f>
        <v>41044.66667</v>
      </c>
      <c r="N2114" s="2">
        <f>IFERROR(__xludf.DUMMYFUNCTION("""COMPUTED_VALUE"""),2893.76)</f>
        <v>2893.76</v>
      </c>
    </row>
    <row r="2115">
      <c r="A2115" s="10">
        <f t="shared" si="8"/>
        <v>40097.66667</v>
      </c>
      <c r="B2115" s="2" t="str">
        <f t="shared" si="2"/>
        <v/>
      </c>
      <c r="C2115" s="2" t="str">
        <f t="shared" si="3"/>
        <v>SP500</v>
      </c>
      <c r="D2115" s="2" t="str">
        <f t="shared" si="4"/>
        <v/>
      </c>
      <c r="E2115" s="2">
        <f t="shared" si="5"/>
        <v>2139.28</v>
      </c>
      <c r="G2115" s="10">
        <f t="shared" si="9"/>
        <v>40097.64583</v>
      </c>
      <c r="H2115" s="6" t="str">
        <f t="shared" si="6"/>
        <v/>
      </c>
      <c r="I2115" s="2">
        <f t="shared" si="7"/>
        <v>1426.89</v>
      </c>
      <c r="M2115" s="10">
        <f>IFERROR(__xludf.DUMMYFUNCTION("""COMPUTED_VALUE"""),41045.666666666664)</f>
        <v>41045.66667</v>
      </c>
      <c r="N2115" s="2">
        <f>IFERROR(__xludf.DUMMYFUNCTION("""COMPUTED_VALUE"""),2874.04)</f>
        <v>2874.04</v>
      </c>
    </row>
    <row r="2116">
      <c r="A2116" s="10">
        <f t="shared" si="8"/>
        <v>40098.66667</v>
      </c>
      <c r="B2116" s="2" t="str">
        <f t="shared" si="2"/>
        <v/>
      </c>
      <c r="C2116" s="2" t="str">
        <f t="shared" si="3"/>
        <v>SP500</v>
      </c>
      <c r="D2116" s="2">
        <f t="shared" si="4"/>
        <v>2139.14</v>
      </c>
      <c r="E2116" s="2">
        <f t="shared" si="5"/>
        <v>2139.14</v>
      </c>
      <c r="G2116" s="10">
        <f t="shared" si="9"/>
        <v>40098.64583</v>
      </c>
      <c r="H2116" s="6" t="str">
        <f t="shared" si="6"/>
        <v/>
      </c>
      <c r="I2116" s="2">
        <f t="shared" si="7"/>
        <v>1426.89</v>
      </c>
      <c r="M2116" s="10">
        <f>IFERROR(__xludf.DUMMYFUNCTION("""COMPUTED_VALUE"""),41046.666666666664)</f>
        <v>41046.66667</v>
      </c>
      <c r="N2116" s="2">
        <f>IFERROR(__xludf.DUMMYFUNCTION("""COMPUTED_VALUE"""),2813.69)</f>
        <v>2813.69</v>
      </c>
    </row>
    <row r="2117">
      <c r="A2117" s="10">
        <f t="shared" si="8"/>
        <v>40099.66667</v>
      </c>
      <c r="B2117" s="2" t="str">
        <f t="shared" si="2"/>
        <v/>
      </c>
      <c r="C2117" s="2" t="str">
        <f t="shared" si="3"/>
        <v>SP500</v>
      </c>
      <c r="D2117" s="2">
        <f t="shared" si="4"/>
        <v>2139.89</v>
      </c>
      <c r="E2117" s="2">
        <f t="shared" si="5"/>
        <v>2139.89</v>
      </c>
      <c r="G2117" s="10">
        <f t="shared" si="9"/>
        <v>40099.64583</v>
      </c>
      <c r="H2117" s="6" t="str">
        <f t="shared" si="6"/>
        <v/>
      </c>
      <c r="I2117" s="2">
        <f t="shared" si="7"/>
        <v>1426.89</v>
      </c>
      <c r="M2117" s="10">
        <f>IFERROR(__xludf.DUMMYFUNCTION("""COMPUTED_VALUE"""),41047.666666666664)</f>
        <v>41047.66667</v>
      </c>
      <c r="N2117" s="2">
        <f>IFERROR(__xludf.DUMMYFUNCTION("""COMPUTED_VALUE"""),2778.79)</f>
        <v>2778.79</v>
      </c>
    </row>
    <row r="2118">
      <c r="A2118" s="10">
        <f t="shared" si="8"/>
        <v>40100.66667</v>
      </c>
      <c r="B2118" s="2" t="str">
        <f t="shared" si="2"/>
        <v/>
      </c>
      <c r="C2118" s="2" t="str">
        <f t="shared" si="3"/>
        <v>SP500</v>
      </c>
      <c r="D2118" s="2">
        <f t="shared" si="4"/>
        <v>2172.23</v>
      </c>
      <c r="E2118" s="2">
        <f t="shared" si="5"/>
        <v>2172.23</v>
      </c>
      <c r="G2118" s="10">
        <f t="shared" si="9"/>
        <v>40100.64583</v>
      </c>
      <c r="H2118" s="6" t="str">
        <f t="shared" si="6"/>
        <v/>
      </c>
      <c r="I2118" s="2">
        <f t="shared" si="7"/>
        <v>1426.89</v>
      </c>
      <c r="M2118" s="10">
        <f>IFERROR(__xludf.DUMMYFUNCTION("""COMPUTED_VALUE"""),41050.666666666664)</f>
        <v>41050.66667</v>
      </c>
      <c r="N2118" s="2">
        <f>IFERROR(__xludf.DUMMYFUNCTION("""COMPUTED_VALUE"""),2847.21)</f>
        <v>2847.21</v>
      </c>
    </row>
    <row r="2119">
      <c r="A2119" s="10">
        <f t="shared" si="8"/>
        <v>40101.66667</v>
      </c>
      <c r="B2119" s="2" t="str">
        <f t="shared" si="2"/>
        <v/>
      </c>
      <c r="C2119" s="2" t="str">
        <f t="shared" si="3"/>
        <v>SP500</v>
      </c>
      <c r="D2119" s="2">
        <f t="shared" si="4"/>
        <v>2173.29</v>
      </c>
      <c r="E2119" s="2">
        <f t="shared" si="5"/>
        <v>2173.29</v>
      </c>
      <c r="G2119" s="10">
        <f t="shared" si="9"/>
        <v>40101.64583</v>
      </c>
      <c r="H2119" s="6" t="str">
        <f t="shared" si="6"/>
        <v/>
      </c>
      <c r="I2119" s="2">
        <f t="shared" si="7"/>
        <v>1426.89</v>
      </c>
      <c r="M2119" s="10">
        <f>IFERROR(__xludf.DUMMYFUNCTION("""COMPUTED_VALUE"""),41051.666666666664)</f>
        <v>41051.66667</v>
      </c>
      <c r="N2119" s="2">
        <f>IFERROR(__xludf.DUMMYFUNCTION("""COMPUTED_VALUE"""),2839.08)</f>
        <v>2839.08</v>
      </c>
    </row>
    <row r="2120">
      <c r="A2120" s="10">
        <f t="shared" si="8"/>
        <v>40102.66667</v>
      </c>
      <c r="B2120" s="2" t="str">
        <f t="shared" si="2"/>
        <v/>
      </c>
      <c r="C2120" s="2" t="str">
        <f t="shared" si="3"/>
        <v>SP500</v>
      </c>
      <c r="D2120" s="2">
        <f t="shared" si="4"/>
        <v>2156.8</v>
      </c>
      <c r="E2120" s="2">
        <f t="shared" si="5"/>
        <v>2156.8</v>
      </c>
      <c r="G2120" s="10">
        <f t="shared" si="9"/>
        <v>40102.64583</v>
      </c>
      <c r="H2120" s="6" t="str">
        <f t="shared" si="6"/>
        <v/>
      </c>
      <c r="I2120" s="2">
        <f t="shared" si="7"/>
        <v>1426.89</v>
      </c>
      <c r="M2120" s="10">
        <f>IFERROR(__xludf.DUMMYFUNCTION("""COMPUTED_VALUE"""),41052.666666666664)</f>
        <v>41052.66667</v>
      </c>
      <c r="N2120" s="2">
        <f>IFERROR(__xludf.DUMMYFUNCTION("""COMPUTED_VALUE"""),2850.12)</f>
        <v>2850.12</v>
      </c>
    </row>
    <row r="2121">
      <c r="A2121" s="10">
        <f t="shared" si="8"/>
        <v>40103.66667</v>
      </c>
      <c r="B2121" s="2" t="str">
        <f t="shared" si="2"/>
        <v/>
      </c>
      <c r="C2121" s="2" t="str">
        <f t="shared" si="3"/>
        <v>SP500</v>
      </c>
      <c r="D2121" s="2" t="str">
        <f t="shared" si="4"/>
        <v/>
      </c>
      <c r="E2121" s="2">
        <f t="shared" si="5"/>
        <v>2156.8</v>
      </c>
      <c r="G2121" s="10">
        <f t="shared" si="9"/>
        <v>40103.64583</v>
      </c>
      <c r="H2121" s="6" t="str">
        <f t="shared" si="6"/>
        <v/>
      </c>
      <c r="I2121" s="2">
        <f t="shared" si="7"/>
        <v>1426.89</v>
      </c>
      <c r="M2121" s="10">
        <f>IFERROR(__xludf.DUMMYFUNCTION("""COMPUTED_VALUE"""),41053.666666666664)</f>
        <v>41053.66667</v>
      </c>
      <c r="N2121" s="2">
        <f>IFERROR(__xludf.DUMMYFUNCTION("""COMPUTED_VALUE"""),2839.38)</f>
        <v>2839.38</v>
      </c>
    </row>
    <row r="2122">
      <c r="A2122" s="10">
        <f t="shared" si="8"/>
        <v>40104.66667</v>
      </c>
      <c r="B2122" s="2" t="str">
        <f t="shared" si="2"/>
        <v/>
      </c>
      <c r="C2122" s="2" t="str">
        <f t="shared" si="3"/>
        <v>SP500</v>
      </c>
      <c r="D2122" s="2" t="str">
        <f t="shared" si="4"/>
        <v/>
      </c>
      <c r="E2122" s="2">
        <f t="shared" si="5"/>
        <v>2156.8</v>
      </c>
      <c r="G2122" s="10">
        <f t="shared" si="9"/>
        <v>40104.64583</v>
      </c>
      <c r="H2122" s="6" t="str">
        <f t="shared" si="6"/>
        <v/>
      </c>
      <c r="I2122" s="2">
        <f t="shared" si="7"/>
        <v>1426.89</v>
      </c>
      <c r="M2122" s="10">
        <f>IFERROR(__xludf.DUMMYFUNCTION("""COMPUTED_VALUE"""),41054.666666666664)</f>
        <v>41054.66667</v>
      </c>
      <c r="N2122" s="2">
        <f>IFERROR(__xludf.DUMMYFUNCTION("""COMPUTED_VALUE"""),2837.53)</f>
        <v>2837.53</v>
      </c>
    </row>
    <row r="2123">
      <c r="A2123" s="10">
        <f t="shared" si="8"/>
        <v>40105.66667</v>
      </c>
      <c r="B2123" s="2" t="str">
        <f t="shared" si="2"/>
        <v/>
      </c>
      <c r="C2123" s="2" t="str">
        <f t="shared" si="3"/>
        <v>SP500</v>
      </c>
      <c r="D2123" s="2">
        <f t="shared" si="4"/>
        <v>2176.32</v>
      </c>
      <c r="E2123" s="2">
        <f t="shared" si="5"/>
        <v>2176.32</v>
      </c>
      <c r="G2123" s="10">
        <f t="shared" si="9"/>
        <v>40105.64583</v>
      </c>
      <c r="H2123" s="6" t="str">
        <f t="shared" si="6"/>
        <v/>
      </c>
      <c r="I2123" s="2">
        <f t="shared" si="7"/>
        <v>1426.89</v>
      </c>
      <c r="M2123" s="10">
        <f>IFERROR(__xludf.DUMMYFUNCTION("""COMPUTED_VALUE"""),41058.666666666664)</f>
        <v>41058.66667</v>
      </c>
      <c r="N2123" s="2">
        <f>IFERROR(__xludf.DUMMYFUNCTION("""COMPUTED_VALUE"""),2870.99)</f>
        <v>2870.99</v>
      </c>
    </row>
    <row r="2124">
      <c r="A2124" s="10">
        <f t="shared" si="8"/>
        <v>40106.66667</v>
      </c>
      <c r="B2124" s="2" t="str">
        <f t="shared" si="2"/>
        <v/>
      </c>
      <c r="C2124" s="2" t="str">
        <f t="shared" si="3"/>
        <v>SP500</v>
      </c>
      <c r="D2124" s="2">
        <f t="shared" si="4"/>
        <v>2163.47</v>
      </c>
      <c r="E2124" s="2">
        <f t="shared" si="5"/>
        <v>2163.47</v>
      </c>
      <c r="G2124" s="10">
        <f t="shared" si="9"/>
        <v>40106.64583</v>
      </c>
      <c r="H2124" s="6" t="str">
        <f t="shared" si="6"/>
        <v/>
      </c>
      <c r="I2124" s="2">
        <f t="shared" si="7"/>
        <v>1426.89</v>
      </c>
      <c r="M2124" s="10">
        <f>IFERROR(__xludf.DUMMYFUNCTION("""COMPUTED_VALUE"""),41059.666666666664)</f>
        <v>41059.66667</v>
      </c>
      <c r="N2124" s="2">
        <f>IFERROR(__xludf.DUMMYFUNCTION("""COMPUTED_VALUE"""),2837.36)</f>
        <v>2837.36</v>
      </c>
    </row>
    <row r="2125">
      <c r="A2125" s="10">
        <f t="shared" si="8"/>
        <v>40107.66667</v>
      </c>
      <c r="B2125" s="2" t="str">
        <f t="shared" si="2"/>
        <v/>
      </c>
      <c r="C2125" s="2" t="str">
        <f t="shared" si="3"/>
        <v>SP500</v>
      </c>
      <c r="D2125" s="2">
        <f t="shared" si="4"/>
        <v>2150.73</v>
      </c>
      <c r="E2125" s="2">
        <f t="shared" si="5"/>
        <v>2150.73</v>
      </c>
      <c r="G2125" s="10">
        <f t="shared" si="9"/>
        <v>40107.64583</v>
      </c>
      <c r="H2125" s="6" t="str">
        <f t="shared" si="6"/>
        <v/>
      </c>
      <c r="I2125" s="2">
        <f t="shared" si="7"/>
        <v>1426.89</v>
      </c>
      <c r="M2125" s="10">
        <f>IFERROR(__xludf.DUMMYFUNCTION("""COMPUTED_VALUE"""),41060.666666666664)</f>
        <v>41060.66667</v>
      </c>
      <c r="N2125" s="2">
        <f>IFERROR(__xludf.DUMMYFUNCTION("""COMPUTED_VALUE"""),2827.34)</f>
        <v>2827.34</v>
      </c>
    </row>
    <row r="2126">
      <c r="A2126" s="10">
        <f t="shared" si="8"/>
        <v>40108.66667</v>
      </c>
      <c r="B2126" s="2" t="str">
        <f t="shared" si="2"/>
        <v/>
      </c>
      <c r="C2126" s="2" t="str">
        <f t="shared" si="3"/>
        <v>SP500</v>
      </c>
      <c r="D2126" s="2">
        <f t="shared" si="4"/>
        <v>2165.29</v>
      </c>
      <c r="E2126" s="2">
        <f t="shared" si="5"/>
        <v>2165.29</v>
      </c>
      <c r="G2126" s="10">
        <f t="shared" si="9"/>
        <v>40108.64583</v>
      </c>
      <c r="H2126" s="6" t="str">
        <f t="shared" si="6"/>
        <v/>
      </c>
      <c r="I2126" s="2">
        <f t="shared" si="7"/>
        <v>1426.89</v>
      </c>
      <c r="M2126" s="10">
        <f>IFERROR(__xludf.DUMMYFUNCTION("""COMPUTED_VALUE"""),41061.666666666664)</f>
        <v>41061.66667</v>
      </c>
      <c r="N2126" s="2">
        <f>IFERROR(__xludf.DUMMYFUNCTION("""COMPUTED_VALUE"""),2747.48)</f>
        <v>2747.48</v>
      </c>
    </row>
    <row r="2127">
      <c r="A2127" s="10">
        <f t="shared" si="8"/>
        <v>40109.66667</v>
      </c>
      <c r="B2127" s="2" t="str">
        <f t="shared" si="2"/>
        <v/>
      </c>
      <c r="C2127" s="2" t="str">
        <f t="shared" si="3"/>
        <v>SP500</v>
      </c>
      <c r="D2127" s="2">
        <f t="shared" si="4"/>
        <v>2154.47</v>
      </c>
      <c r="E2127" s="2">
        <f t="shared" si="5"/>
        <v>2154.47</v>
      </c>
      <c r="G2127" s="10">
        <f t="shared" si="9"/>
        <v>40109.64583</v>
      </c>
      <c r="H2127" s="6" t="str">
        <f t="shared" si="6"/>
        <v/>
      </c>
      <c r="I2127" s="2">
        <f t="shared" si="7"/>
        <v>1426.89</v>
      </c>
      <c r="M2127" s="10">
        <f>IFERROR(__xludf.DUMMYFUNCTION("""COMPUTED_VALUE"""),41064.666666666664)</f>
        <v>41064.66667</v>
      </c>
      <c r="N2127" s="2">
        <f>IFERROR(__xludf.DUMMYFUNCTION("""COMPUTED_VALUE"""),2760.01)</f>
        <v>2760.01</v>
      </c>
    </row>
    <row r="2128">
      <c r="A2128" s="10">
        <f t="shared" si="8"/>
        <v>40110.66667</v>
      </c>
      <c r="B2128" s="2" t="str">
        <f t="shared" si="2"/>
        <v/>
      </c>
      <c r="C2128" s="2" t="str">
        <f t="shared" si="3"/>
        <v>SP500</v>
      </c>
      <c r="D2128" s="2" t="str">
        <f t="shared" si="4"/>
        <v/>
      </c>
      <c r="E2128" s="2">
        <f t="shared" si="5"/>
        <v>2154.47</v>
      </c>
      <c r="G2128" s="10">
        <f t="shared" si="9"/>
        <v>40110.64583</v>
      </c>
      <c r="H2128" s="6" t="str">
        <f t="shared" si="6"/>
        <v/>
      </c>
      <c r="I2128" s="2">
        <f t="shared" si="7"/>
        <v>1426.89</v>
      </c>
      <c r="M2128" s="10">
        <f>IFERROR(__xludf.DUMMYFUNCTION("""COMPUTED_VALUE"""),41065.666666666664)</f>
        <v>41065.66667</v>
      </c>
      <c r="N2128" s="2">
        <f>IFERROR(__xludf.DUMMYFUNCTION("""COMPUTED_VALUE"""),2778.11)</f>
        <v>2778.11</v>
      </c>
    </row>
    <row r="2129">
      <c r="A2129" s="10">
        <f t="shared" si="8"/>
        <v>40111.66667</v>
      </c>
      <c r="B2129" s="2" t="str">
        <f t="shared" si="2"/>
        <v/>
      </c>
      <c r="C2129" s="2" t="str">
        <f t="shared" si="3"/>
        <v>SP500</v>
      </c>
      <c r="D2129" s="2" t="str">
        <f t="shared" si="4"/>
        <v/>
      </c>
      <c r="E2129" s="2">
        <f t="shared" si="5"/>
        <v>2154.47</v>
      </c>
      <c r="G2129" s="10">
        <f t="shared" si="9"/>
        <v>40111.64583</v>
      </c>
      <c r="H2129" s="6" t="str">
        <f t="shared" si="6"/>
        <v/>
      </c>
      <c r="I2129" s="2">
        <f t="shared" si="7"/>
        <v>1426.89</v>
      </c>
      <c r="M2129" s="10">
        <f>IFERROR(__xludf.DUMMYFUNCTION("""COMPUTED_VALUE"""),41066.666666666664)</f>
        <v>41066.66667</v>
      </c>
      <c r="N2129" s="2">
        <f>IFERROR(__xludf.DUMMYFUNCTION("""COMPUTED_VALUE"""),2844.72)</f>
        <v>2844.72</v>
      </c>
    </row>
    <row r="2130">
      <c r="A2130" s="10">
        <f t="shared" si="8"/>
        <v>40112.66667</v>
      </c>
      <c r="B2130" s="2" t="str">
        <f t="shared" si="2"/>
        <v/>
      </c>
      <c r="C2130" s="2" t="str">
        <f t="shared" si="3"/>
        <v>SP500</v>
      </c>
      <c r="D2130" s="2">
        <f t="shared" si="4"/>
        <v>2141.85</v>
      </c>
      <c r="E2130" s="2">
        <f t="shared" si="5"/>
        <v>2141.85</v>
      </c>
      <c r="G2130" s="10">
        <f t="shared" si="9"/>
        <v>40112.64583</v>
      </c>
      <c r="H2130" s="6" t="str">
        <f t="shared" si="6"/>
        <v/>
      </c>
      <c r="I2130" s="2">
        <f t="shared" si="7"/>
        <v>1426.89</v>
      </c>
      <c r="M2130" s="10">
        <f>IFERROR(__xludf.DUMMYFUNCTION("""COMPUTED_VALUE"""),41067.666666666664)</f>
        <v>41067.66667</v>
      </c>
      <c r="N2130" s="2">
        <f>IFERROR(__xludf.DUMMYFUNCTION("""COMPUTED_VALUE"""),2831.02)</f>
        <v>2831.02</v>
      </c>
    </row>
    <row r="2131">
      <c r="A2131" s="10">
        <f t="shared" si="8"/>
        <v>40113.66667</v>
      </c>
      <c r="B2131" s="2" t="str">
        <f t="shared" si="2"/>
        <v/>
      </c>
      <c r="C2131" s="2" t="str">
        <f t="shared" si="3"/>
        <v>SP500</v>
      </c>
      <c r="D2131" s="2">
        <f t="shared" si="4"/>
        <v>2116.09</v>
      </c>
      <c r="E2131" s="2">
        <f t="shared" si="5"/>
        <v>2116.09</v>
      </c>
      <c r="G2131" s="10">
        <f t="shared" si="9"/>
        <v>40113.64583</v>
      </c>
      <c r="H2131" s="6" t="str">
        <f t="shared" si="6"/>
        <v/>
      </c>
      <c r="I2131" s="2">
        <f t="shared" si="7"/>
        <v>1426.89</v>
      </c>
      <c r="M2131" s="10">
        <f>IFERROR(__xludf.DUMMYFUNCTION("""COMPUTED_VALUE"""),41068.666666666664)</f>
        <v>41068.66667</v>
      </c>
      <c r="N2131" s="2">
        <f>IFERROR(__xludf.DUMMYFUNCTION("""COMPUTED_VALUE"""),2858.42)</f>
        <v>2858.42</v>
      </c>
    </row>
    <row r="2132">
      <c r="A2132" s="10">
        <f t="shared" si="8"/>
        <v>40114.66667</v>
      </c>
      <c r="B2132" s="2" t="str">
        <f t="shared" si="2"/>
        <v/>
      </c>
      <c r="C2132" s="2" t="str">
        <f t="shared" si="3"/>
        <v>SP500</v>
      </c>
      <c r="D2132" s="2">
        <f t="shared" si="4"/>
        <v>2059.61</v>
      </c>
      <c r="E2132" s="2">
        <f t="shared" si="5"/>
        <v>2059.61</v>
      </c>
      <c r="G2132" s="10">
        <f t="shared" si="9"/>
        <v>40114.64583</v>
      </c>
      <c r="H2132" s="6" t="str">
        <f t="shared" si="6"/>
        <v/>
      </c>
      <c r="I2132" s="2">
        <f t="shared" si="7"/>
        <v>1426.89</v>
      </c>
      <c r="M2132" s="10">
        <f>IFERROR(__xludf.DUMMYFUNCTION("""COMPUTED_VALUE"""),41071.666666666664)</f>
        <v>41071.66667</v>
      </c>
      <c r="N2132" s="2">
        <f>IFERROR(__xludf.DUMMYFUNCTION("""COMPUTED_VALUE"""),2809.73)</f>
        <v>2809.73</v>
      </c>
    </row>
    <row r="2133">
      <c r="A2133" s="10">
        <f t="shared" si="8"/>
        <v>40115.66667</v>
      </c>
      <c r="B2133" s="2" t="str">
        <f t="shared" si="2"/>
        <v/>
      </c>
      <c r="C2133" s="2" t="str">
        <f t="shared" si="3"/>
        <v>SP500</v>
      </c>
      <c r="D2133" s="2">
        <f t="shared" si="4"/>
        <v>2097.55</v>
      </c>
      <c r="E2133" s="2">
        <f t="shared" si="5"/>
        <v>2097.55</v>
      </c>
      <c r="G2133" s="10">
        <f t="shared" si="9"/>
        <v>40115.64583</v>
      </c>
      <c r="H2133" s="6" t="str">
        <f t="shared" si="6"/>
        <v/>
      </c>
      <c r="I2133" s="2">
        <f t="shared" si="7"/>
        <v>1426.89</v>
      </c>
      <c r="M2133" s="10">
        <f>IFERROR(__xludf.DUMMYFUNCTION("""COMPUTED_VALUE"""),41072.666666666664)</f>
        <v>41072.66667</v>
      </c>
      <c r="N2133" s="2">
        <f>IFERROR(__xludf.DUMMYFUNCTION("""COMPUTED_VALUE"""),2843.07)</f>
        <v>2843.07</v>
      </c>
    </row>
    <row r="2134">
      <c r="A2134" s="10">
        <f t="shared" si="8"/>
        <v>40116.66667</v>
      </c>
      <c r="B2134" s="2" t="str">
        <f t="shared" si="2"/>
        <v/>
      </c>
      <c r="C2134" s="2" t="str">
        <f t="shared" si="3"/>
        <v>SP500</v>
      </c>
      <c r="D2134" s="2">
        <f t="shared" si="4"/>
        <v>2045.11</v>
      </c>
      <c r="E2134" s="2">
        <f t="shared" si="5"/>
        <v>2045.11</v>
      </c>
      <c r="G2134" s="10">
        <f t="shared" si="9"/>
        <v>40116.64583</v>
      </c>
      <c r="H2134" s="6" t="str">
        <f t="shared" si="6"/>
        <v/>
      </c>
      <c r="I2134" s="2">
        <f t="shared" si="7"/>
        <v>1426.89</v>
      </c>
      <c r="M2134" s="10">
        <f>IFERROR(__xludf.DUMMYFUNCTION("""COMPUTED_VALUE"""),41073.666666666664)</f>
        <v>41073.66667</v>
      </c>
      <c r="N2134" s="2">
        <f>IFERROR(__xludf.DUMMYFUNCTION("""COMPUTED_VALUE"""),2818.61)</f>
        <v>2818.61</v>
      </c>
    </row>
    <row r="2135">
      <c r="A2135" s="10">
        <f t="shared" si="8"/>
        <v>40117.66667</v>
      </c>
      <c r="B2135" s="2" t="str">
        <f t="shared" si="2"/>
        <v/>
      </c>
      <c r="C2135" s="2" t="str">
        <f t="shared" si="3"/>
        <v>SP500</v>
      </c>
      <c r="D2135" s="2" t="str">
        <f t="shared" si="4"/>
        <v/>
      </c>
      <c r="E2135" s="2">
        <f t="shared" si="5"/>
        <v>2045.11</v>
      </c>
      <c r="G2135" s="10">
        <f t="shared" si="9"/>
        <v>40117.64583</v>
      </c>
      <c r="H2135" s="6" t="str">
        <f t="shared" si="6"/>
        <v/>
      </c>
      <c r="I2135" s="2">
        <f t="shared" si="7"/>
        <v>1426.89</v>
      </c>
      <c r="M2135" s="10">
        <f>IFERROR(__xludf.DUMMYFUNCTION("""COMPUTED_VALUE"""),41074.666666666664)</f>
        <v>41074.66667</v>
      </c>
      <c r="N2135" s="2">
        <f>IFERROR(__xludf.DUMMYFUNCTION("""COMPUTED_VALUE"""),2836.33)</f>
        <v>2836.33</v>
      </c>
    </row>
    <row r="2136">
      <c r="A2136" s="10">
        <f t="shared" si="8"/>
        <v>40118.66667</v>
      </c>
      <c r="B2136" s="2" t="str">
        <f t="shared" si="2"/>
        <v/>
      </c>
      <c r="C2136" s="2" t="str">
        <f t="shared" si="3"/>
        <v>SP500</v>
      </c>
      <c r="D2136" s="2" t="str">
        <f t="shared" si="4"/>
        <v/>
      </c>
      <c r="E2136" s="2">
        <f t="shared" si="5"/>
        <v>2045.11</v>
      </c>
      <c r="G2136" s="10">
        <f t="shared" si="9"/>
        <v>40118.64583</v>
      </c>
      <c r="H2136" s="6" t="str">
        <f t="shared" si="6"/>
        <v/>
      </c>
      <c r="I2136" s="2">
        <f t="shared" si="7"/>
        <v>1426.89</v>
      </c>
      <c r="M2136" s="10">
        <f>IFERROR(__xludf.DUMMYFUNCTION("""COMPUTED_VALUE"""),41075.666666666664)</f>
        <v>41075.66667</v>
      </c>
      <c r="N2136" s="2">
        <f>IFERROR(__xludf.DUMMYFUNCTION("""COMPUTED_VALUE"""),2872.8)</f>
        <v>2872.8</v>
      </c>
    </row>
    <row r="2137">
      <c r="A2137" s="10">
        <f t="shared" si="8"/>
        <v>40119.66667</v>
      </c>
      <c r="B2137" s="2" t="str">
        <f t="shared" si="2"/>
        <v/>
      </c>
      <c r="C2137" s="2" t="str">
        <f t="shared" si="3"/>
        <v>SP500</v>
      </c>
      <c r="D2137" s="2">
        <f t="shared" si="4"/>
        <v>2049.2</v>
      </c>
      <c r="E2137" s="2">
        <f t="shared" si="5"/>
        <v>2049.2</v>
      </c>
      <c r="G2137" s="10">
        <f t="shared" si="9"/>
        <v>40119.64583</v>
      </c>
      <c r="H2137" s="6" t="str">
        <f t="shared" si="6"/>
        <v/>
      </c>
      <c r="I2137" s="2">
        <f t="shared" si="7"/>
        <v>1426.89</v>
      </c>
      <c r="M2137" s="10">
        <f>IFERROR(__xludf.DUMMYFUNCTION("""COMPUTED_VALUE"""),41078.666666666664)</f>
        <v>41078.66667</v>
      </c>
      <c r="N2137" s="2">
        <f>IFERROR(__xludf.DUMMYFUNCTION("""COMPUTED_VALUE"""),2895.33)</f>
        <v>2895.33</v>
      </c>
    </row>
    <row r="2138">
      <c r="A2138" s="10">
        <f t="shared" si="8"/>
        <v>40120.66667</v>
      </c>
      <c r="B2138" s="2" t="str">
        <f t="shared" si="2"/>
        <v/>
      </c>
      <c r="C2138" s="2" t="str">
        <f t="shared" si="3"/>
        <v>SP500</v>
      </c>
      <c r="D2138" s="2">
        <f t="shared" si="4"/>
        <v>2057.32</v>
      </c>
      <c r="E2138" s="2">
        <f t="shared" si="5"/>
        <v>2057.32</v>
      </c>
      <c r="G2138" s="10">
        <f t="shared" si="9"/>
        <v>40120.64583</v>
      </c>
      <c r="H2138" s="6" t="str">
        <f t="shared" si="6"/>
        <v/>
      </c>
      <c r="I2138" s="2">
        <f t="shared" si="7"/>
        <v>1426.89</v>
      </c>
      <c r="M2138" s="10">
        <f>IFERROR(__xludf.DUMMYFUNCTION("""COMPUTED_VALUE"""),41079.666666666664)</f>
        <v>41079.66667</v>
      </c>
      <c r="N2138" s="2">
        <f>IFERROR(__xludf.DUMMYFUNCTION("""COMPUTED_VALUE"""),2929.76)</f>
        <v>2929.76</v>
      </c>
    </row>
    <row r="2139">
      <c r="A2139" s="10">
        <f t="shared" si="8"/>
        <v>40121.66667</v>
      </c>
      <c r="B2139" s="2" t="str">
        <f t="shared" si="2"/>
        <v/>
      </c>
      <c r="C2139" s="2" t="str">
        <f t="shared" si="3"/>
        <v>SP500</v>
      </c>
      <c r="D2139" s="2">
        <f t="shared" si="4"/>
        <v>2055.52</v>
      </c>
      <c r="E2139" s="2">
        <f t="shared" si="5"/>
        <v>2055.52</v>
      </c>
      <c r="G2139" s="10">
        <f t="shared" si="9"/>
        <v>40121.64583</v>
      </c>
      <c r="H2139" s="6" t="str">
        <f t="shared" si="6"/>
        <v/>
      </c>
      <c r="I2139" s="2">
        <f t="shared" si="7"/>
        <v>1426.89</v>
      </c>
      <c r="M2139" s="10">
        <f>IFERROR(__xludf.DUMMYFUNCTION("""COMPUTED_VALUE"""),41080.666666666664)</f>
        <v>41080.66667</v>
      </c>
      <c r="N2139" s="2">
        <f>IFERROR(__xludf.DUMMYFUNCTION("""COMPUTED_VALUE"""),2930.45)</f>
        <v>2930.45</v>
      </c>
    </row>
    <row r="2140">
      <c r="A2140" s="10">
        <f t="shared" si="8"/>
        <v>40122.66667</v>
      </c>
      <c r="B2140" s="2" t="str">
        <f t="shared" si="2"/>
        <v/>
      </c>
      <c r="C2140" s="2" t="str">
        <f t="shared" si="3"/>
        <v>SP500</v>
      </c>
      <c r="D2140" s="2">
        <f t="shared" si="4"/>
        <v>2105.32</v>
      </c>
      <c r="E2140" s="2">
        <f t="shared" si="5"/>
        <v>2105.32</v>
      </c>
      <c r="G2140" s="10">
        <f t="shared" si="9"/>
        <v>40122.64583</v>
      </c>
      <c r="H2140" s="6" t="str">
        <f t="shared" si="6"/>
        <v/>
      </c>
      <c r="I2140" s="2">
        <f t="shared" si="7"/>
        <v>1426.89</v>
      </c>
      <c r="M2140" s="10">
        <f>IFERROR(__xludf.DUMMYFUNCTION("""COMPUTED_VALUE"""),41081.666666666664)</f>
        <v>41081.66667</v>
      </c>
      <c r="N2140" s="2">
        <f>IFERROR(__xludf.DUMMYFUNCTION("""COMPUTED_VALUE"""),2859.09)</f>
        <v>2859.09</v>
      </c>
    </row>
    <row r="2141">
      <c r="A2141" s="10">
        <f t="shared" si="8"/>
        <v>40123.66667</v>
      </c>
      <c r="B2141" s="2" t="str">
        <f t="shared" si="2"/>
        <v/>
      </c>
      <c r="C2141" s="2" t="str">
        <f t="shared" si="3"/>
        <v>SP500</v>
      </c>
      <c r="D2141" s="2">
        <f t="shared" si="4"/>
        <v>2112.44</v>
      </c>
      <c r="E2141" s="2">
        <f t="shared" si="5"/>
        <v>2112.44</v>
      </c>
      <c r="G2141" s="10">
        <f t="shared" si="9"/>
        <v>40123.64583</v>
      </c>
      <c r="H2141" s="6" t="str">
        <f t="shared" si="6"/>
        <v/>
      </c>
      <c r="I2141" s="2">
        <f t="shared" si="7"/>
        <v>1426.89</v>
      </c>
      <c r="M2141" s="10">
        <f>IFERROR(__xludf.DUMMYFUNCTION("""COMPUTED_VALUE"""),41082.666666666664)</f>
        <v>41082.66667</v>
      </c>
      <c r="N2141" s="2">
        <f>IFERROR(__xludf.DUMMYFUNCTION("""COMPUTED_VALUE"""),2892.42)</f>
        <v>2892.42</v>
      </c>
    </row>
    <row r="2142">
      <c r="A2142" s="10">
        <f t="shared" si="8"/>
        <v>40124.66667</v>
      </c>
      <c r="B2142" s="2" t="str">
        <f t="shared" si="2"/>
        <v/>
      </c>
      <c r="C2142" s="2" t="str">
        <f t="shared" si="3"/>
        <v>SP500</v>
      </c>
      <c r="D2142" s="2" t="str">
        <f t="shared" si="4"/>
        <v/>
      </c>
      <c r="E2142" s="2">
        <f t="shared" si="5"/>
        <v>2112.44</v>
      </c>
      <c r="G2142" s="10">
        <f t="shared" si="9"/>
        <v>40124.64583</v>
      </c>
      <c r="H2142" s="6" t="str">
        <f t="shared" si="6"/>
        <v/>
      </c>
      <c r="I2142" s="2">
        <f t="shared" si="7"/>
        <v>1426.89</v>
      </c>
      <c r="M2142" s="10">
        <f>IFERROR(__xludf.DUMMYFUNCTION("""COMPUTED_VALUE"""),41085.666666666664)</f>
        <v>41085.66667</v>
      </c>
      <c r="N2142" s="2">
        <f>IFERROR(__xludf.DUMMYFUNCTION("""COMPUTED_VALUE"""),2836.16)</f>
        <v>2836.16</v>
      </c>
    </row>
    <row r="2143">
      <c r="A2143" s="10">
        <f t="shared" si="8"/>
        <v>40125.66667</v>
      </c>
      <c r="B2143" s="2" t="str">
        <f t="shared" si="2"/>
        <v/>
      </c>
      <c r="C2143" s="2" t="str">
        <f t="shared" si="3"/>
        <v>SP500</v>
      </c>
      <c r="D2143" s="2" t="str">
        <f t="shared" si="4"/>
        <v/>
      </c>
      <c r="E2143" s="2">
        <f t="shared" si="5"/>
        <v>2112.44</v>
      </c>
      <c r="G2143" s="10">
        <f t="shared" si="9"/>
        <v>40125.64583</v>
      </c>
      <c r="H2143" s="6" t="str">
        <f t="shared" si="6"/>
        <v/>
      </c>
      <c r="I2143" s="2">
        <f t="shared" si="7"/>
        <v>1426.89</v>
      </c>
      <c r="M2143" s="10">
        <f>IFERROR(__xludf.DUMMYFUNCTION("""COMPUTED_VALUE"""),41086.666666666664)</f>
        <v>41086.66667</v>
      </c>
      <c r="N2143" s="2">
        <f>IFERROR(__xludf.DUMMYFUNCTION("""COMPUTED_VALUE"""),2854.06)</f>
        <v>2854.06</v>
      </c>
    </row>
    <row r="2144">
      <c r="A2144" s="10">
        <f t="shared" si="8"/>
        <v>40126.66667</v>
      </c>
      <c r="B2144" s="2" t="str">
        <f t="shared" si="2"/>
        <v/>
      </c>
      <c r="C2144" s="2" t="str">
        <f t="shared" si="3"/>
        <v>SP500</v>
      </c>
      <c r="D2144" s="2">
        <f t="shared" si="4"/>
        <v>2154.06</v>
      </c>
      <c r="E2144" s="2">
        <f t="shared" si="5"/>
        <v>2154.06</v>
      </c>
      <c r="G2144" s="10">
        <f t="shared" si="9"/>
        <v>40126.64583</v>
      </c>
      <c r="H2144" s="6" t="str">
        <f t="shared" si="6"/>
        <v/>
      </c>
      <c r="I2144" s="2">
        <f t="shared" si="7"/>
        <v>1426.89</v>
      </c>
      <c r="M2144" s="10">
        <f>IFERROR(__xludf.DUMMYFUNCTION("""COMPUTED_VALUE"""),41087.666666666664)</f>
        <v>41087.66667</v>
      </c>
      <c r="N2144" s="2">
        <f>IFERROR(__xludf.DUMMYFUNCTION("""COMPUTED_VALUE"""),2875.32)</f>
        <v>2875.32</v>
      </c>
    </row>
    <row r="2145">
      <c r="A2145" s="10">
        <f t="shared" si="8"/>
        <v>40127.66667</v>
      </c>
      <c r="B2145" s="2" t="str">
        <f t="shared" si="2"/>
        <v/>
      </c>
      <c r="C2145" s="2" t="str">
        <f t="shared" si="3"/>
        <v>SP500</v>
      </c>
      <c r="D2145" s="2">
        <f t="shared" si="4"/>
        <v>2151.08</v>
      </c>
      <c r="E2145" s="2">
        <f t="shared" si="5"/>
        <v>2151.08</v>
      </c>
      <c r="G2145" s="10">
        <f t="shared" si="9"/>
        <v>40127.64583</v>
      </c>
      <c r="H2145" s="6" t="str">
        <f t="shared" si="6"/>
        <v/>
      </c>
      <c r="I2145" s="2">
        <f t="shared" si="7"/>
        <v>1426.89</v>
      </c>
      <c r="M2145" s="10">
        <f>IFERROR(__xludf.DUMMYFUNCTION("""COMPUTED_VALUE"""),41088.666666666664)</f>
        <v>41088.66667</v>
      </c>
      <c r="N2145" s="2">
        <f>IFERROR(__xludf.DUMMYFUNCTION("""COMPUTED_VALUE"""),2849.49)</f>
        <v>2849.49</v>
      </c>
    </row>
    <row r="2146">
      <c r="A2146" s="10">
        <f t="shared" si="8"/>
        <v>40128.66667</v>
      </c>
      <c r="B2146" s="2" t="str">
        <f t="shared" si="2"/>
        <v/>
      </c>
      <c r="C2146" s="2" t="str">
        <f t="shared" si="3"/>
        <v>SP500</v>
      </c>
      <c r="D2146" s="2">
        <f t="shared" si="4"/>
        <v>2166.9</v>
      </c>
      <c r="E2146" s="2">
        <f t="shared" si="5"/>
        <v>2166.9</v>
      </c>
      <c r="G2146" s="10">
        <f t="shared" si="9"/>
        <v>40128.64583</v>
      </c>
      <c r="H2146" s="6" t="str">
        <f t="shared" si="6"/>
        <v/>
      </c>
      <c r="I2146" s="2">
        <f t="shared" si="7"/>
        <v>1426.89</v>
      </c>
      <c r="M2146" s="10">
        <f>IFERROR(__xludf.DUMMYFUNCTION("""COMPUTED_VALUE"""),41089.666666666664)</f>
        <v>41089.66667</v>
      </c>
      <c r="N2146" s="2">
        <f>IFERROR(__xludf.DUMMYFUNCTION("""COMPUTED_VALUE"""),2935.05)</f>
        <v>2935.05</v>
      </c>
    </row>
    <row r="2147">
      <c r="A2147" s="10">
        <f t="shared" si="8"/>
        <v>40129.66667</v>
      </c>
      <c r="B2147" s="2" t="str">
        <f t="shared" si="2"/>
        <v/>
      </c>
      <c r="C2147" s="2" t="str">
        <f t="shared" si="3"/>
        <v>SP500</v>
      </c>
      <c r="D2147" s="2">
        <f t="shared" si="4"/>
        <v>2149.02</v>
      </c>
      <c r="E2147" s="2">
        <f t="shared" si="5"/>
        <v>2149.02</v>
      </c>
      <c r="G2147" s="10">
        <f t="shared" si="9"/>
        <v>40129.64583</v>
      </c>
      <c r="H2147" s="6" t="str">
        <f t="shared" si="6"/>
        <v/>
      </c>
      <c r="I2147" s="2">
        <f t="shared" si="7"/>
        <v>1426.89</v>
      </c>
      <c r="M2147" s="10">
        <f>IFERROR(__xludf.DUMMYFUNCTION("""COMPUTED_VALUE"""),41092.666666666664)</f>
        <v>41092.66667</v>
      </c>
      <c r="N2147" s="2">
        <f>IFERROR(__xludf.DUMMYFUNCTION("""COMPUTED_VALUE"""),2951.23)</f>
        <v>2951.23</v>
      </c>
    </row>
    <row r="2148">
      <c r="A2148" s="10">
        <f t="shared" si="8"/>
        <v>40130.66667</v>
      </c>
      <c r="B2148" s="2" t="str">
        <f t="shared" si="2"/>
        <v/>
      </c>
      <c r="C2148" s="2" t="str">
        <f t="shared" si="3"/>
        <v>SP500</v>
      </c>
      <c r="D2148" s="2">
        <f t="shared" si="4"/>
        <v>2167.88</v>
      </c>
      <c r="E2148" s="2">
        <f t="shared" si="5"/>
        <v>2167.88</v>
      </c>
      <c r="G2148" s="10">
        <f t="shared" si="9"/>
        <v>40130.64583</v>
      </c>
      <c r="H2148" s="6" t="str">
        <f t="shared" si="6"/>
        <v/>
      </c>
      <c r="I2148" s="2">
        <f t="shared" si="7"/>
        <v>1426.89</v>
      </c>
      <c r="M2148" s="10">
        <f>IFERROR(__xludf.DUMMYFUNCTION("""COMPUTED_VALUE"""),41093.666666666664)</f>
        <v>41093.66667</v>
      </c>
      <c r="N2148" s="2">
        <f>IFERROR(__xludf.DUMMYFUNCTION("""COMPUTED_VALUE"""),2976.08)</f>
        <v>2976.08</v>
      </c>
    </row>
    <row r="2149">
      <c r="A2149" s="10">
        <f t="shared" si="8"/>
        <v>40131.66667</v>
      </c>
      <c r="B2149" s="2" t="str">
        <f t="shared" si="2"/>
        <v/>
      </c>
      <c r="C2149" s="2" t="str">
        <f t="shared" si="3"/>
        <v>SP500</v>
      </c>
      <c r="D2149" s="2" t="str">
        <f t="shared" si="4"/>
        <v/>
      </c>
      <c r="E2149" s="2">
        <f t="shared" si="5"/>
        <v>2167.88</v>
      </c>
      <c r="G2149" s="10">
        <f t="shared" si="9"/>
        <v>40131.64583</v>
      </c>
      <c r="H2149" s="6" t="str">
        <f t="shared" si="6"/>
        <v/>
      </c>
      <c r="I2149" s="2">
        <f t="shared" si="7"/>
        <v>1426.89</v>
      </c>
      <c r="M2149" s="10">
        <f>IFERROR(__xludf.DUMMYFUNCTION("""COMPUTED_VALUE"""),41095.666666666664)</f>
        <v>41095.66667</v>
      </c>
      <c r="N2149" s="2">
        <f>IFERROR(__xludf.DUMMYFUNCTION("""COMPUTED_VALUE"""),2976.12)</f>
        <v>2976.12</v>
      </c>
    </row>
    <row r="2150">
      <c r="A2150" s="10">
        <f t="shared" si="8"/>
        <v>40132.66667</v>
      </c>
      <c r="B2150" s="2" t="str">
        <f t="shared" si="2"/>
        <v/>
      </c>
      <c r="C2150" s="2" t="str">
        <f t="shared" si="3"/>
        <v>SP500</v>
      </c>
      <c r="D2150" s="2" t="str">
        <f t="shared" si="4"/>
        <v/>
      </c>
      <c r="E2150" s="2">
        <f t="shared" si="5"/>
        <v>2167.88</v>
      </c>
      <c r="G2150" s="10">
        <f t="shared" si="9"/>
        <v>40132.64583</v>
      </c>
      <c r="H2150" s="6" t="str">
        <f t="shared" si="6"/>
        <v/>
      </c>
      <c r="I2150" s="2">
        <f t="shared" si="7"/>
        <v>1426.89</v>
      </c>
      <c r="M2150" s="10">
        <f>IFERROR(__xludf.DUMMYFUNCTION("""COMPUTED_VALUE"""),41096.666666666664)</f>
        <v>41096.66667</v>
      </c>
      <c r="N2150" s="2">
        <f>IFERROR(__xludf.DUMMYFUNCTION("""COMPUTED_VALUE"""),2937.33)</f>
        <v>2937.33</v>
      </c>
    </row>
    <row r="2151">
      <c r="A2151" s="10">
        <f t="shared" si="8"/>
        <v>40133.66667</v>
      </c>
      <c r="B2151" s="2" t="str">
        <f t="shared" si="2"/>
        <v/>
      </c>
      <c r="C2151" s="2" t="str">
        <f t="shared" si="3"/>
        <v>SP500</v>
      </c>
      <c r="D2151" s="2">
        <f t="shared" si="4"/>
        <v>2197.85</v>
      </c>
      <c r="E2151" s="2">
        <f t="shared" si="5"/>
        <v>2197.85</v>
      </c>
      <c r="G2151" s="10">
        <f t="shared" si="9"/>
        <v>40133.64583</v>
      </c>
      <c r="H2151" s="6" t="str">
        <f t="shared" si="6"/>
        <v/>
      </c>
      <c r="I2151" s="2">
        <f t="shared" si="7"/>
        <v>1426.89</v>
      </c>
      <c r="M2151" s="10">
        <f>IFERROR(__xludf.DUMMYFUNCTION("""COMPUTED_VALUE"""),41099.666666666664)</f>
        <v>41099.66667</v>
      </c>
      <c r="N2151" s="2">
        <f>IFERROR(__xludf.DUMMYFUNCTION("""COMPUTED_VALUE"""),2931.77)</f>
        <v>2931.77</v>
      </c>
    </row>
    <row r="2152">
      <c r="A2152" s="10">
        <f t="shared" si="8"/>
        <v>40134.66667</v>
      </c>
      <c r="B2152" s="2" t="str">
        <f t="shared" si="2"/>
        <v/>
      </c>
      <c r="C2152" s="2" t="str">
        <f t="shared" si="3"/>
        <v>SP500</v>
      </c>
      <c r="D2152" s="2">
        <f t="shared" si="4"/>
        <v>2203.78</v>
      </c>
      <c r="E2152" s="2">
        <f t="shared" si="5"/>
        <v>2203.78</v>
      </c>
      <c r="G2152" s="10">
        <f t="shared" si="9"/>
        <v>40134.64583</v>
      </c>
      <c r="H2152" s="6" t="str">
        <f t="shared" si="6"/>
        <v/>
      </c>
      <c r="I2152" s="2">
        <f t="shared" si="7"/>
        <v>1426.89</v>
      </c>
      <c r="M2152" s="10">
        <f>IFERROR(__xludf.DUMMYFUNCTION("""COMPUTED_VALUE"""),41100.666666666664)</f>
        <v>41100.66667</v>
      </c>
      <c r="N2152" s="2">
        <f>IFERROR(__xludf.DUMMYFUNCTION("""COMPUTED_VALUE"""),2902.33)</f>
        <v>2902.33</v>
      </c>
    </row>
    <row r="2153">
      <c r="A2153" s="10">
        <f t="shared" si="8"/>
        <v>40135.66667</v>
      </c>
      <c r="B2153" s="2" t="str">
        <f t="shared" si="2"/>
        <v/>
      </c>
      <c r="C2153" s="2" t="str">
        <f t="shared" si="3"/>
        <v>SP500</v>
      </c>
      <c r="D2153" s="2">
        <f t="shared" si="4"/>
        <v>2193.14</v>
      </c>
      <c r="E2153" s="2">
        <f t="shared" si="5"/>
        <v>2193.14</v>
      </c>
      <c r="G2153" s="10">
        <f t="shared" si="9"/>
        <v>40135.64583</v>
      </c>
      <c r="H2153" s="6" t="str">
        <f t="shared" si="6"/>
        <v/>
      </c>
      <c r="I2153" s="2">
        <f t="shared" si="7"/>
        <v>1426.89</v>
      </c>
      <c r="M2153" s="10">
        <f>IFERROR(__xludf.DUMMYFUNCTION("""COMPUTED_VALUE"""),41101.666666666664)</f>
        <v>41101.66667</v>
      </c>
      <c r="N2153" s="2">
        <f>IFERROR(__xludf.DUMMYFUNCTION("""COMPUTED_VALUE"""),2887.98)</f>
        <v>2887.98</v>
      </c>
    </row>
    <row r="2154">
      <c r="A2154" s="10">
        <f t="shared" si="8"/>
        <v>40136.66667</v>
      </c>
      <c r="B2154" s="2" t="str">
        <f t="shared" si="2"/>
        <v/>
      </c>
      <c r="C2154" s="2" t="str">
        <f t="shared" si="3"/>
        <v>SP500</v>
      </c>
      <c r="D2154" s="2">
        <f t="shared" si="4"/>
        <v>2156.82</v>
      </c>
      <c r="E2154" s="2">
        <f t="shared" si="5"/>
        <v>2156.82</v>
      </c>
      <c r="G2154" s="10">
        <f t="shared" si="9"/>
        <v>40136.64583</v>
      </c>
      <c r="H2154" s="6" t="str">
        <f t="shared" si="6"/>
        <v/>
      </c>
      <c r="I2154" s="2">
        <f t="shared" si="7"/>
        <v>1426.89</v>
      </c>
      <c r="M2154" s="10">
        <f>IFERROR(__xludf.DUMMYFUNCTION("""COMPUTED_VALUE"""),41102.666666666664)</f>
        <v>41102.66667</v>
      </c>
      <c r="N2154" s="2">
        <f>IFERROR(__xludf.DUMMYFUNCTION("""COMPUTED_VALUE"""),2866.19)</f>
        <v>2866.19</v>
      </c>
    </row>
    <row r="2155">
      <c r="A2155" s="10">
        <f t="shared" si="8"/>
        <v>40137.66667</v>
      </c>
      <c r="B2155" s="2" t="str">
        <f t="shared" si="2"/>
        <v/>
      </c>
      <c r="C2155" s="2" t="str">
        <f t="shared" si="3"/>
        <v>SP500</v>
      </c>
      <c r="D2155" s="2">
        <f t="shared" si="4"/>
        <v>2146.04</v>
      </c>
      <c r="E2155" s="2">
        <f t="shared" si="5"/>
        <v>2146.04</v>
      </c>
      <c r="G2155" s="10">
        <f t="shared" si="9"/>
        <v>40137.64583</v>
      </c>
      <c r="H2155" s="6" t="str">
        <f t="shared" si="6"/>
        <v/>
      </c>
      <c r="I2155" s="2">
        <f t="shared" si="7"/>
        <v>1426.89</v>
      </c>
      <c r="M2155" s="10">
        <f>IFERROR(__xludf.DUMMYFUNCTION("""COMPUTED_VALUE"""),41103.666666666664)</f>
        <v>41103.66667</v>
      </c>
      <c r="N2155" s="2">
        <f>IFERROR(__xludf.DUMMYFUNCTION("""COMPUTED_VALUE"""),2908.47)</f>
        <v>2908.47</v>
      </c>
    </row>
    <row r="2156">
      <c r="A2156" s="10">
        <f t="shared" si="8"/>
        <v>40138.66667</v>
      </c>
      <c r="B2156" s="2" t="str">
        <f t="shared" si="2"/>
        <v/>
      </c>
      <c r="C2156" s="2" t="str">
        <f t="shared" si="3"/>
        <v>SP500</v>
      </c>
      <c r="D2156" s="2" t="str">
        <f t="shared" si="4"/>
        <v/>
      </c>
      <c r="E2156" s="2">
        <f t="shared" si="5"/>
        <v>2146.04</v>
      </c>
      <c r="G2156" s="10">
        <f t="shared" si="9"/>
        <v>40138.64583</v>
      </c>
      <c r="H2156" s="6" t="str">
        <f t="shared" si="6"/>
        <v/>
      </c>
      <c r="I2156" s="2">
        <f t="shared" si="7"/>
        <v>1426.89</v>
      </c>
      <c r="M2156" s="10">
        <f>IFERROR(__xludf.DUMMYFUNCTION("""COMPUTED_VALUE"""),41106.666666666664)</f>
        <v>41106.66667</v>
      </c>
      <c r="N2156" s="2">
        <f>IFERROR(__xludf.DUMMYFUNCTION("""COMPUTED_VALUE"""),2896.94)</f>
        <v>2896.94</v>
      </c>
    </row>
    <row r="2157">
      <c r="A2157" s="10">
        <f t="shared" si="8"/>
        <v>40139.66667</v>
      </c>
      <c r="B2157" s="2" t="str">
        <f t="shared" si="2"/>
        <v/>
      </c>
      <c r="C2157" s="2" t="str">
        <f t="shared" si="3"/>
        <v>SP500</v>
      </c>
      <c r="D2157" s="2" t="str">
        <f t="shared" si="4"/>
        <v/>
      </c>
      <c r="E2157" s="2">
        <f t="shared" si="5"/>
        <v>2146.04</v>
      </c>
      <c r="G2157" s="10">
        <f t="shared" si="9"/>
        <v>40139.64583</v>
      </c>
      <c r="H2157" s="6" t="str">
        <f t="shared" si="6"/>
        <v/>
      </c>
      <c r="I2157" s="2">
        <f t="shared" si="7"/>
        <v>1426.89</v>
      </c>
      <c r="M2157" s="10">
        <f>IFERROR(__xludf.DUMMYFUNCTION("""COMPUTED_VALUE"""),41107.666666666664)</f>
        <v>41107.66667</v>
      </c>
      <c r="N2157" s="2">
        <f>IFERROR(__xludf.DUMMYFUNCTION("""COMPUTED_VALUE"""),2910.04)</f>
        <v>2910.04</v>
      </c>
    </row>
    <row r="2158">
      <c r="A2158" s="10">
        <f t="shared" si="8"/>
        <v>40140.66667</v>
      </c>
      <c r="B2158" s="2" t="str">
        <f t="shared" si="2"/>
        <v/>
      </c>
      <c r="C2158" s="2" t="str">
        <f t="shared" si="3"/>
        <v>SP500</v>
      </c>
      <c r="D2158" s="2">
        <f t="shared" si="4"/>
        <v>2176.01</v>
      </c>
      <c r="E2158" s="2">
        <f t="shared" si="5"/>
        <v>2176.01</v>
      </c>
      <c r="G2158" s="10">
        <f t="shared" si="9"/>
        <v>40140.64583</v>
      </c>
      <c r="H2158" s="6" t="str">
        <f t="shared" si="6"/>
        <v/>
      </c>
      <c r="I2158" s="2">
        <f t="shared" si="7"/>
        <v>1426.89</v>
      </c>
      <c r="M2158" s="10">
        <f>IFERROR(__xludf.DUMMYFUNCTION("""COMPUTED_VALUE"""),41108.666666666664)</f>
        <v>41108.66667</v>
      </c>
      <c r="N2158" s="2">
        <f>IFERROR(__xludf.DUMMYFUNCTION("""COMPUTED_VALUE"""),2942.6)</f>
        <v>2942.6</v>
      </c>
    </row>
    <row r="2159">
      <c r="A2159" s="10">
        <f t="shared" si="8"/>
        <v>40141.66667</v>
      </c>
      <c r="B2159" s="2" t="str">
        <f t="shared" si="2"/>
        <v/>
      </c>
      <c r="C2159" s="2" t="str">
        <f t="shared" si="3"/>
        <v>SP500</v>
      </c>
      <c r="D2159" s="2">
        <f t="shared" si="4"/>
        <v>2169.18</v>
      </c>
      <c r="E2159" s="2">
        <f t="shared" si="5"/>
        <v>2169.18</v>
      </c>
      <c r="G2159" s="10">
        <f t="shared" si="9"/>
        <v>40141.64583</v>
      </c>
      <c r="H2159" s="6" t="str">
        <f t="shared" si="6"/>
        <v/>
      </c>
      <c r="I2159" s="2">
        <f t="shared" si="7"/>
        <v>1426.89</v>
      </c>
      <c r="M2159" s="10">
        <f>IFERROR(__xludf.DUMMYFUNCTION("""COMPUTED_VALUE"""),41109.666666666664)</f>
        <v>41109.66667</v>
      </c>
      <c r="N2159" s="2">
        <f>IFERROR(__xludf.DUMMYFUNCTION("""COMPUTED_VALUE"""),2965.9)</f>
        <v>2965.9</v>
      </c>
    </row>
    <row r="2160">
      <c r="A2160" s="10">
        <f t="shared" si="8"/>
        <v>40142.66667</v>
      </c>
      <c r="B2160" s="2" t="str">
        <f t="shared" si="2"/>
        <v/>
      </c>
      <c r="C2160" s="2" t="str">
        <f t="shared" si="3"/>
        <v>SP500</v>
      </c>
      <c r="D2160" s="2">
        <f t="shared" si="4"/>
        <v>2176.05</v>
      </c>
      <c r="E2160" s="2">
        <f t="shared" si="5"/>
        <v>2176.05</v>
      </c>
      <c r="G2160" s="10">
        <f t="shared" si="9"/>
        <v>40142.64583</v>
      </c>
      <c r="H2160" s="6" t="str">
        <f t="shared" si="6"/>
        <v/>
      </c>
      <c r="I2160" s="2">
        <f t="shared" si="7"/>
        <v>1426.89</v>
      </c>
      <c r="M2160" s="10">
        <f>IFERROR(__xludf.DUMMYFUNCTION("""COMPUTED_VALUE"""),41110.666666666664)</f>
        <v>41110.66667</v>
      </c>
      <c r="N2160" s="2">
        <f>IFERROR(__xludf.DUMMYFUNCTION("""COMPUTED_VALUE"""),2925.3)</f>
        <v>2925.3</v>
      </c>
    </row>
    <row r="2161">
      <c r="A2161" s="10">
        <f t="shared" si="8"/>
        <v>40143.66667</v>
      </c>
      <c r="B2161" s="2" t="str">
        <f t="shared" si="2"/>
        <v/>
      </c>
      <c r="C2161" s="2" t="str">
        <f t="shared" si="3"/>
        <v>SP500</v>
      </c>
      <c r="D2161" s="2" t="str">
        <f t="shared" si="4"/>
        <v/>
      </c>
      <c r="E2161" s="2">
        <f t="shared" si="5"/>
        <v>2176.05</v>
      </c>
      <c r="G2161" s="10">
        <f t="shared" si="9"/>
        <v>40143.64583</v>
      </c>
      <c r="H2161" s="6" t="str">
        <f t="shared" si="6"/>
        <v/>
      </c>
      <c r="I2161" s="2">
        <f t="shared" si="7"/>
        <v>1426.89</v>
      </c>
      <c r="M2161" s="10">
        <f>IFERROR(__xludf.DUMMYFUNCTION("""COMPUTED_VALUE"""),41113.666666666664)</f>
        <v>41113.66667</v>
      </c>
      <c r="N2161" s="2">
        <f>IFERROR(__xludf.DUMMYFUNCTION("""COMPUTED_VALUE"""),2890.15)</f>
        <v>2890.15</v>
      </c>
    </row>
    <row r="2162">
      <c r="A2162" s="10">
        <f t="shared" si="8"/>
        <v>40144.66667</v>
      </c>
      <c r="B2162" s="2" t="str">
        <f t="shared" si="2"/>
        <v/>
      </c>
      <c r="C2162" s="2" t="str">
        <f t="shared" si="3"/>
        <v>SP500</v>
      </c>
      <c r="D2162" s="2">
        <f t="shared" si="4"/>
        <v>2138.44</v>
      </c>
      <c r="E2162" s="2">
        <f t="shared" si="5"/>
        <v>2138.44</v>
      </c>
      <c r="G2162" s="10">
        <f t="shared" si="9"/>
        <v>40144.64583</v>
      </c>
      <c r="H2162" s="6" t="str">
        <f t="shared" si="6"/>
        <v/>
      </c>
      <c r="I2162" s="2">
        <f t="shared" si="7"/>
        <v>1426.89</v>
      </c>
      <c r="M2162" s="10">
        <f>IFERROR(__xludf.DUMMYFUNCTION("""COMPUTED_VALUE"""),41114.666666666664)</f>
        <v>41114.66667</v>
      </c>
      <c r="N2162" s="2">
        <f>IFERROR(__xludf.DUMMYFUNCTION("""COMPUTED_VALUE"""),2862.99)</f>
        <v>2862.99</v>
      </c>
    </row>
    <row r="2163">
      <c r="A2163" s="10">
        <f t="shared" si="8"/>
        <v>40145.66667</v>
      </c>
      <c r="B2163" s="2" t="str">
        <f t="shared" si="2"/>
        <v/>
      </c>
      <c r="C2163" s="2" t="str">
        <f t="shared" si="3"/>
        <v>SP500</v>
      </c>
      <c r="D2163" s="2" t="str">
        <f t="shared" si="4"/>
        <v/>
      </c>
      <c r="E2163" s="2">
        <f t="shared" si="5"/>
        <v>2138.44</v>
      </c>
      <c r="G2163" s="10">
        <f t="shared" si="9"/>
        <v>40145.64583</v>
      </c>
      <c r="H2163" s="6" t="str">
        <f t="shared" si="6"/>
        <v/>
      </c>
      <c r="I2163" s="2">
        <f t="shared" si="7"/>
        <v>1426.89</v>
      </c>
      <c r="M2163" s="10">
        <f>IFERROR(__xludf.DUMMYFUNCTION("""COMPUTED_VALUE"""),41115.666666666664)</f>
        <v>41115.66667</v>
      </c>
      <c r="N2163" s="2">
        <f>IFERROR(__xludf.DUMMYFUNCTION("""COMPUTED_VALUE"""),2854.24)</f>
        <v>2854.24</v>
      </c>
    </row>
    <row r="2164">
      <c r="A2164" s="10">
        <f t="shared" si="8"/>
        <v>40146.66667</v>
      </c>
      <c r="B2164" s="2" t="str">
        <f t="shared" si="2"/>
        <v/>
      </c>
      <c r="C2164" s="2" t="str">
        <f t="shared" si="3"/>
        <v>SP500</v>
      </c>
      <c r="D2164" s="2" t="str">
        <f t="shared" si="4"/>
        <v/>
      </c>
      <c r="E2164" s="2">
        <f t="shared" si="5"/>
        <v>2138.44</v>
      </c>
      <c r="G2164" s="10">
        <f t="shared" si="9"/>
        <v>40146.64583</v>
      </c>
      <c r="H2164" s="6" t="str">
        <f t="shared" si="6"/>
        <v/>
      </c>
      <c r="I2164" s="2">
        <f t="shared" si="7"/>
        <v>1426.89</v>
      </c>
      <c r="M2164" s="10">
        <f>IFERROR(__xludf.DUMMYFUNCTION("""COMPUTED_VALUE"""),41116.666666666664)</f>
        <v>41116.66667</v>
      </c>
      <c r="N2164" s="2">
        <f>IFERROR(__xludf.DUMMYFUNCTION("""COMPUTED_VALUE"""),2893.25)</f>
        <v>2893.25</v>
      </c>
    </row>
    <row r="2165">
      <c r="A2165" s="10">
        <f t="shared" si="8"/>
        <v>40147.66667</v>
      </c>
      <c r="B2165" s="2" t="str">
        <f t="shared" si="2"/>
        <v/>
      </c>
      <c r="C2165" s="2" t="str">
        <f t="shared" si="3"/>
        <v>SP500</v>
      </c>
      <c r="D2165" s="2">
        <f t="shared" si="4"/>
        <v>2144.6</v>
      </c>
      <c r="E2165" s="2">
        <f t="shared" si="5"/>
        <v>2144.6</v>
      </c>
      <c r="G2165" s="10">
        <f t="shared" si="9"/>
        <v>40147.64583</v>
      </c>
      <c r="H2165" s="6" t="str">
        <f t="shared" si="6"/>
        <v/>
      </c>
      <c r="I2165" s="2">
        <f t="shared" si="7"/>
        <v>1426.89</v>
      </c>
      <c r="M2165" s="10">
        <f>IFERROR(__xludf.DUMMYFUNCTION("""COMPUTED_VALUE"""),41117.666666666664)</f>
        <v>41117.66667</v>
      </c>
      <c r="N2165" s="2">
        <f>IFERROR(__xludf.DUMMYFUNCTION("""COMPUTED_VALUE"""),2958.09)</f>
        <v>2958.09</v>
      </c>
    </row>
    <row r="2166">
      <c r="A2166" s="10">
        <f t="shared" si="8"/>
        <v>40148.66667</v>
      </c>
      <c r="B2166" s="2" t="str">
        <f t="shared" si="2"/>
        <v/>
      </c>
      <c r="C2166" s="2" t="str">
        <f t="shared" si="3"/>
        <v>SP500</v>
      </c>
      <c r="D2166" s="2">
        <f t="shared" si="4"/>
        <v>2175.81</v>
      </c>
      <c r="E2166" s="2">
        <f t="shared" si="5"/>
        <v>2175.81</v>
      </c>
      <c r="G2166" s="10">
        <f t="shared" si="9"/>
        <v>40148.64583</v>
      </c>
      <c r="H2166" s="6" t="str">
        <f t="shared" si="6"/>
        <v/>
      </c>
      <c r="I2166" s="2">
        <f t="shared" si="7"/>
        <v>1426.89</v>
      </c>
      <c r="M2166" s="10">
        <f>IFERROR(__xludf.DUMMYFUNCTION("""COMPUTED_VALUE"""),41120.666666666664)</f>
        <v>41120.66667</v>
      </c>
      <c r="N2166" s="2">
        <f>IFERROR(__xludf.DUMMYFUNCTION("""COMPUTED_VALUE"""),2945.84)</f>
        <v>2945.84</v>
      </c>
    </row>
    <row r="2167">
      <c r="A2167" s="10">
        <f t="shared" si="8"/>
        <v>40149.66667</v>
      </c>
      <c r="B2167" s="2" t="str">
        <f t="shared" si="2"/>
        <v/>
      </c>
      <c r="C2167" s="2" t="str">
        <f t="shared" si="3"/>
        <v>SP500</v>
      </c>
      <c r="D2167" s="2">
        <f t="shared" si="4"/>
        <v>2185.03</v>
      </c>
      <c r="E2167" s="2">
        <f t="shared" si="5"/>
        <v>2185.03</v>
      </c>
      <c r="G2167" s="10">
        <f t="shared" si="9"/>
        <v>40149.64583</v>
      </c>
      <c r="H2167" s="6" t="str">
        <f t="shared" si="6"/>
        <v/>
      </c>
      <c r="I2167" s="2">
        <f t="shared" si="7"/>
        <v>1426.89</v>
      </c>
      <c r="M2167" s="10">
        <f>IFERROR(__xludf.DUMMYFUNCTION("""COMPUTED_VALUE"""),41121.666666666664)</f>
        <v>41121.66667</v>
      </c>
      <c r="N2167" s="2">
        <f>IFERROR(__xludf.DUMMYFUNCTION("""COMPUTED_VALUE"""),2939.52)</f>
        <v>2939.52</v>
      </c>
    </row>
    <row r="2168">
      <c r="A2168" s="10">
        <f t="shared" si="8"/>
        <v>40150.66667</v>
      </c>
      <c r="B2168" s="2" t="str">
        <f t="shared" si="2"/>
        <v/>
      </c>
      <c r="C2168" s="2" t="str">
        <f t="shared" si="3"/>
        <v>SP500</v>
      </c>
      <c r="D2168" s="2">
        <f t="shared" si="4"/>
        <v>2173.14</v>
      </c>
      <c r="E2168" s="2">
        <f t="shared" si="5"/>
        <v>2173.14</v>
      </c>
      <c r="G2168" s="10">
        <f t="shared" si="9"/>
        <v>40150.64583</v>
      </c>
      <c r="H2168" s="6" t="str">
        <f t="shared" si="6"/>
        <v/>
      </c>
      <c r="I2168" s="2">
        <f t="shared" si="7"/>
        <v>1426.89</v>
      </c>
      <c r="M2168" s="10">
        <f>IFERROR(__xludf.DUMMYFUNCTION("""COMPUTED_VALUE"""),41122.666666666664)</f>
        <v>41122.66667</v>
      </c>
      <c r="N2168" s="2">
        <f>IFERROR(__xludf.DUMMYFUNCTION("""COMPUTED_VALUE"""),2920.21)</f>
        <v>2920.21</v>
      </c>
    </row>
    <row r="2169">
      <c r="A2169" s="10">
        <f t="shared" si="8"/>
        <v>40151.66667</v>
      </c>
      <c r="B2169" s="2" t="str">
        <f t="shared" si="2"/>
        <v/>
      </c>
      <c r="C2169" s="2" t="str">
        <f t="shared" si="3"/>
        <v>SP500</v>
      </c>
      <c r="D2169" s="2">
        <f t="shared" si="4"/>
        <v>2194.35</v>
      </c>
      <c r="E2169" s="2">
        <f t="shared" si="5"/>
        <v>2194.35</v>
      </c>
      <c r="G2169" s="10">
        <f t="shared" si="9"/>
        <v>40151.64583</v>
      </c>
      <c r="H2169" s="6" t="str">
        <f t="shared" si="6"/>
        <v/>
      </c>
      <c r="I2169" s="2">
        <f t="shared" si="7"/>
        <v>1426.89</v>
      </c>
      <c r="M2169" s="10">
        <f>IFERROR(__xludf.DUMMYFUNCTION("""COMPUTED_VALUE"""),41123.666666666664)</f>
        <v>41123.66667</v>
      </c>
      <c r="N2169" s="2">
        <f>IFERROR(__xludf.DUMMYFUNCTION("""COMPUTED_VALUE"""),2909.77)</f>
        <v>2909.77</v>
      </c>
    </row>
    <row r="2170">
      <c r="A2170" s="10">
        <f t="shared" si="8"/>
        <v>40152.66667</v>
      </c>
      <c r="B2170" s="2" t="str">
        <f t="shared" si="2"/>
        <v/>
      </c>
      <c r="C2170" s="2" t="str">
        <f t="shared" si="3"/>
        <v>SP500</v>
      </c>
      <c r="D2170" s="2" t="str">
        <f t="shared" si="4"/>
        <v/>
      </c>
      <c r="E2170" s="2">
        <f t="shared" si="5"/>
        <v>2194.35</v>
      </c>
      <c r="G2170" s="10">
        <f t="shared" si="9"/>
        <v>40152.64583</v>
      </c>
      <c r="H2170" s="6" t="str">
        <f t="shared" si="6"/>
        <v/>
      </c>
      <c r="I2170" s="2">
        <f t="shared" si="7"/>
        <v>1426.89</v>
      </c>
      <c r="M2170" s="10">
        <f>IFERROR(__xludf.DUMMYFUNCTION("""COMPUTED_VALUE"""),41124.666666666664)</f>
        <v>41124.66667</v>
      </c>
      <c r="N2170" s="2">
        <f>IFERROR(__xludf.DUMMYFUNCTION("""COMPUTED_VALUE"""),2967.9)</f>
        <v>2967.9</v>
      </c>
    </row>
    <row r="2171">
      <c r="A2171" s="10">
        <f t="shared" si="8"/>
        <v>40153.66667</v>
      </c>
      <c r="B2171" s="2" t="str">
        <f t="shared" si="2"/>
        <v/>
      </c>
      <c r="C2171" s="2" t="str">
        <f t="shared" si="3"/>
        <v>SP500</v>
      </c>
      <c r="D2171" s="2" t="str">
        <f t="shared" si="4"/>
        <v/>
      </c>
      <c r="E2171" s="2">
        <f t="shared" si="5"/>
        <v>2194.35</v>
      </c>
      <c r="G2171" s="10">
        <f t="shared" si="9"/>
        <v>40153.64583</v>
      </c>
      <c r="H2171" s="6" t="str">
        <f t="shared" si="6"/>
        <v/>
      </c>
      <c r="I2171" s="2">
        <f t="shared" si="7"/>
        <v>1426.89</v>
      </c>
      <c r="M2171" s="10">
        <f>IFERROR(__xludf.DUMMYFUNCTION("""COMPUTED_VALUE"""),41127.666666666664)</f>
        <v>41127.66667</v>
      </c>
      <c r="N2171" s="2">
        <f>IFERROR(__xludf.DUMMYFUNCTION("""COMPUTED_VALUE"""),2989.91)</f>
        <v>2989.91</v>
      </c>
    </row>
    <row r="2172">
      <c r="A2172" s="10">
        <f t="shared" si="8"/>
        <v>40154.66667</v>
      </c>
      <c r="B2172" s="2" t="str">
        <f t="shared" si="2"/>
        <v/>
      </c>
      <c r="C2172" s="2" t="str">
        <f t="shared" si="3"/>
        <v>SP500</v>
      </c>
      <c r="D2172" s="2">
        <f t="shared" si="4"/>
        <v>2189.61</v>
      </c>
      <c r="E2172" s="2">
        <f t="shared" si="5"/>
        <v>2189.61</v>
      </c>
      <c r="G2172" s="10">
        <f t="shared" si="9"/>
        <v>40154.64583</v>
      </c>
      <c r="H2172" s="6" t="str">
        <f t="shared" si="6"/>
        <v/>
      </c>
      <c r="I2172" s="2">
        <f t="shared" si="7"/>
        <v>1426.89</v>
      </c>
      <c r="M2172" s="10">
        <f>IFERROR(__xludf.DUMMYFUNCTION("""COMPUTED_VALUE"""),41128.666666666664)</f>
        <v>41128.66667</v>
      </c>
      <c r="N2172" s="2">
        <f>IFERROR(__xludf.DUMMYFUNCTION("""COMPUTED_VALUE"""),3015.86)</f>
        <v>3015.86</v>
      </c>
    </row>
    <row r="2173">
      <c r="A2173" s="10">
        <f t="shared" si="8"/>
        <v>40155.66667</v>
      </c>
      <c r="B2173" s="2" t="str">
        <f t="shared" si="2"/>
        <v/>
      </c>
      <c r="C2173" s="2" t="str">
        <f t="shared" si="3"/>
        <v>SP500</v>
      </c>
      <c r="D2173" s="2">
        <f t="shared" si="4"/>
        <v>2172.99</v>
      </c>
      <c r="E2173" s="2">
        <f t="shared" si="5"/>
        <v>2172.99</v>
      </c>
      <c r="G2173" s="10">
        <f t="shared" si="9"/>
        <v>40155.64583</v>
      </c>
      <c r="H2173" s="6" t="str">
        <f t="shared" si="6"/>
        <v/>
      </c>
      <c r="I2173" s="2">
        <f t="shared" si="7"/>
        <v>1426.89</v>
      </c>
      <c r="M2173" s="10">
        <f>IFERROR(__xludf.DUMMYFUNCTION("""COMPUTED_VALUE"""),41129.666666666664)</f>
        <v>41129.66667</v>
      </c>
      <c r="N2173" s="2">
        <f>IFERROR(__xludf.DUMMYFUNCTION("""COMPUTED_VALUE"""),3011.25)</f>
        <v>3011.25</v>
      </c>
    </row>
    <row r="2174">
      <c r="A2174" s="10">
        <f t="shared" si="8"/>
        <v>40156.66667</v>
      </c>
      <c r="B2174" s="2" t="str">
        <f t="shared" si="2"/>
        <v/>
      </c>
      <c r="C2174" s="2" t="str">
        <f t="shared" si="3"/>
        <v>SP500</v>
      </c>
      <c r="D2174" s="2">
        <f t="shared" si="4"/>
        <v>2183.73</v>
      </c>
      <c r="E2174" s="2">
        <f t="shared" si="5"/>
        <v>2183.73</v>
      </c>
      <c r="G2174" s="10">
        <f t="shared" si="9"/>
        <v>40156.64583</v>
      </c>
      <c r="H2174" s="6" t="str">
        <f t="shared" si="6"/>
        <v/>
      </c>
      <c r="I2174" s="2">
        <f t="shared" si="7"/>
        <v>1426.89</v>
      </c>
      <c r="M2174" s="10">
        <f>IFERROR(__xludf.DUMMYFUNCTION("""COMPUTED_VALUE"""),41130.666666666664)</f>
        <v>41130.66667</v>
      </c>
      <c r="N2174" s="2">
        <f>IFERROR(__xludf.DUMMYFUNCTION("""COMPUTED_VALUE"""),3018.64)</f>
        <v>3018.64</v>
      </c>
    </row>
    <row r="2175">
      <c r="A2175" s="10">
        <f t="shared" si="8"/>
        <v>40157.66667</v>
      </c>
      <c r="B2175" s="2" t="str">
        <f t="shared" si="2"/>
        <v/>
      </c>
      <c r="C2175" s="2" t="str">
        <f t="shared" si="3"/>
        <v>SP500</v>
      </c>
      <c r="D2175" s="2">
        <f t="shared" si="4"/>
        <v>2190.86</v>
      </c>
      <c r="E2175" s="2">
        <f t="shared" si="5"/>
        <v>2190.86</v>
      </c>
      <c r="G2175" s="10">
        <f t="shared" si="9"/>
        <v>40157.64583</v>
      </c>
      <c r="H2175" s="6" t="str">
        <f t="shared" si="6"/>
        <v/>
      </c>
      <c r="I2175" s="2">
        <f t="shared" si="7"/>
        <v>1426.89</v>
      </c>
      <c r="M2175" s="10">
        <f>IFERROR(__xludf.DUMMYFUNCTION("""COMPUTED_VALUE"""),41131.666666666664)</f>
        <v>41131.66667</v>
      </c>
      <c r="N2175" s="2">
        <f>IFERROR(__xludf.DUMMYFUNCTION("""COMPUTED_VALUE"""),3020.86)</f>
        <v>3020.86</v>
      </c>
    </row>
    <row r="2176">
      <c r="A2176" s="10">
        <f t="shared" si="8"/>
        <v>40158.66667</v>
      </c>
      <c r="B2176" s="2" t="str">
        <f t="shared" si="2"/>
        <v/>
      </c>
      <c r="C2176" s="2" t="str">
        <f t="shared" si="3"/>
        <v>SP500</v>
      </c>
      <c r="D2176" s="2">
        <f t="shared" si="4"/>
        <v>2190.31</v>
      </c>
      <c r="E2176" s="2">
        <f t="shared" si="5"/>
        <v>2190.31</v>
      </c>
      <c r="G2176" s="10">
        <f t="shared" si="9"/>
        <v>40158.64583</v>
      </c>
      <c r="H2176" s="6" t="str">
        <f t="shared" si="6"/>
        <v/>
      </c>
      <c r="I2176" s="2">
        <f t="shared" si="7"/>
        <v>1426.89</v>
      </c>
      <c r="M2176" s="10">
        <f>IFERROR(__xludf.DUMMYFUNCTION("""COMPUTED_VALUE"""),41134.666666666664)</f>
        <v>41134.66667</v>
      </c>
      <c r="N2176" s="2">
        <f>IFERROR(__xludf.DUMMYFUNCTION("""COMPUTED_VALUE"""),3022.52)</f>
        <v>3022.52</v>
      </c>
    </row>
    <row r="2177">
      <c r="A2177" s="10">
        <f t="shared" si="8"/>
        <v>40159.66667</v>
      </c>
      <c r="B2177" s="2" t="str">
        <f t="shared" si="2"/>
        <v/>
      </c>
      <c r="C2177" s="2" t="str">
        <f t="shared" si="3"/>
        <v>SP500</v>
      </c>
      <c r="D2177" s="2" t="str">
        <f t="shared" si="4"/>
        <v/>
      </c>
      <c r="E2177" s="2">
        <f t="shared" si="5"/>
        <v>2190.31</v>
      </c>
      <c r="G2177" s="10">
        <f t="shared" si="9"/>
        <v>40159.64583</v>
      </c>
      <c r="H2177" s="6" t="str">
        <f t="shared" si="6"/>
        <v/>
      </c>
      <c r="I2177" s="2">
        <f t="shared" si="7"/>
        <v>1426.89</v>
      </c>
      <c r="M2177" s="10">
        <f>IFERROR(__xludf.DUMMYFUNCTION("""COMPUTED_VALUE"""),41135.666666666664)</f>
        <v>41135.66667</v>
      </c>
      <c r="N2177" s="2">
        <f>IFERROR(__xludf.DUMMYFUNCTION("""COMPUTED_VALUE"""),3016.98)</f>
        <v>3016.98</v>
      </c>
    </row>
    <row r="2178">
      <c r="A2178" s="10">
        <f t="shared" si="8"/>
        <v>40160.66667</v>
      </c>
      <c r="B2178" s="2" t="str">
        <f t="shared" si="2"/>
        <v/>
      </c>
      <c r="C2178" s="2" t="str">
        <f t="shared" si="3"/>
        <v>SP500</v>
      </c>
      <c r="D2178" s="2" t="str">
        <f t="shared" si="4"/>
        <v/>
      </c>
      <c r="E2178" s="2">
        <f t="shared" si="5"/>
        <v>2190.31</v>
      </c>
      <c r="G2178" s="10">
        <f t="shared" si="9"/>
        <v>40160.64583</v>
      </c>
      <c r="H2178" s="6" t="str">
        <f t="shared" si="6"/>
        <v/>
      </c>
      <c r="I2178" s="2">
        <f t="shared" si="7"/>
        <v>1426.89</v>
      </c>
      <c r="M2178" s="10">
        <f>IFERROR(__xludf.DUMMYFUNCTION("""COMPUTED_VALUE"""),41136.666666666664)</f>
        <v>41136.66667</v>
      </c>
      <c r="N2178" s="2">
        <f>IFERROR(__xludf.DUMMYFUNCTION("""COMPUTED_VALUE"""),3030.93)</f>
        <v>3030.93</v>
      </c>
    </row>
    <row r="2179">
      <c r="A2179" s="10">
        <f t="shared" si="8"/>
        <v>40161.66667</v>
      </c>
      <c r="B2179" s="2" t="str">
        <f t="shared" si="2"/>
        <v/>
      </c>
      <c r="C2179" s="2" t="str">
        <f t="shared" si="3"/>
        <v>SP500</v>
      </c>
      <c r="D2179" s="2">
        <f t="shared" si="4"/>
        <v>2212.1</v>
      </c>
      <c r="E2179" s="2">
        <f t="shared" si="5"/>
        <v>2212.1</v>
      </c>
      <c r="G2179" s="10">
        <f t="shared" si="9"/>
        <v>40161.64583</v>
      </c>
      <c r="H2179" s="6" t="str">
        <f t="shared" si="6"/>
        <v/>
      </c>
      <c r="I2179" s="2">
        <f t="shared" si="7"/>
        <v>1426.89</v>
      </c>
      <c r="M2179" s="10">
        <f>IFERROR(__xludf.DUMMYFUNCTION("""COMPUTED_VALUE"""),41137.666666666664)</f>
        <v>41137.66667</v>
      </c>
      <c r="N2179" s="2">
        <f>IFERROR(__xludf.DUMMYFUNCTION("""COMPUTED_VALUE"""),3062.39)</f>
        <v>3062.39</v>
      </c>
    </row>
    <row r="2180">
      <c r="A2180" s="10">
        <f t="shared" si="8"/>
        <v>40162.66667</v>
      </c>
      <c r="B2180" s="2" t="str">
        <f t="shared" si="2"/>
        <v/>
      </c>
      <c r="C2180" s="2" t="str">
        <f t="shared" si="3"/>
        <v>SP500</v>
      </c>
      <c r="D2180" s="2">
        <f t="shared" si="4"/>
        <v>2201.05</v>
      </c>
      <c r="E2180" s="2">
        <f t="shared" si="5"/>
        <v>2201.05</v>
      </c>
      <c r="G2180" s="10">
        <f t="shared" si="9"/>
        <v>40162.64583</v>
      </c>
      <c r="H2180" s="6" t="str">
        <f t="shared" si="6"/>
        <v/>
      </c>
      <c r="I2180" s="2">
        <f t="shared" si="7"/>
        <v>1426.89</v>
      </c>
      <c r="M2180" s="10">
        <f>IFERROR(__xludf.DUMMYFUNCTION("""COMPUTED_VALUE"""),41138.666666666664)</f>
        <v>41138.66667</v>
      </c>
      <c r="N2180" s="2">
        <f>IFERROR(__xludf.DUMMYFUNCTION("""COMPUTED_VALUE"""),3076.59)</f>
        <v>3076.59</v>
      </c>
    </row>
    <row r="2181">
      <c r="A2181" s="10">
        <f t="shared" si="8"/>
        <v>40163.66667</v>
      </c>
      <c r="B2181" s="2" t="str">
        <f t="shared" si="2"/>
        <v/>
      </c>
      <c r="C2181" s="2" t="str">
        <f t="shared" si="3"/>
        <v>SP500</v>
      </c>
      <c r="D2181" s="2">
        <f t="shared" si="4"/>
        <v>2206.91</v>
      </c>
      <c r="E2181" s="2">
        <f t="shared" si="5"/>
        <v>2206.91</v>
      </c>
      <c r="G2181" s="10">
        <f t="shared" si="9"/>
        <v>40163.64583</v>
      </c>
      <c r="H2181" s="6" t="str">
        <f t="shared" si="6"/>
        <v/>
      </c>
      <c r="I2181" s="2">
        <f t="shared" si="7"/>
        <v>1426.89</v>
      </c>
      <c r="M2181" s="10">
        <f>IFERROR(__xludf.DUMMYFUNCTION("""COMPUTED_VALUE"""),41141.666666666664)</f>
        <v>41141.66667</v>
      </c>
      <c r="N2181" s="2">
        <f>IFERROR(__xludf.DUMMYFUNCTION("""COMPUTED_VALUE"""),3076.21)</f>
        <v>3076.21</v>
      </c>
    </row>
    <row r="2182">
      <c r="A2182" s="10">
        <f t="shared" si="8"/>
        <v>40164.66667</v>
      </c>
      <c r="B2182" s="2" t="str">
        <f t="shared" si="2"/>
        <v/>
      </c>
      <c r="C2182" s="2" t="str">
        <f t="shared" si="3"/>
        <v>SP500</v>
      </c>
      <c r="D2182" s="2">
        <f t="shared" si="4"/>
        <v>2180.05</v>
      </c>
      <c r="E2182" s="2">
        <f t="shared" si="5"/>
        <v>2180.05</v>
      </c>
      <c r="G2182" s="10">
        <f t="shared" si="9"/>
        <v>40164.64583</v>
      </c>
      <c r="H2182" s="6" t="str">
        <f t="shared" si="6"/>
        <v/>
      </c>
      <c r="I2182" s="2">
        <f t="shared" si="7"/>
        <v>1426.89</v>
      </c>
      <c r="M2182" s="10">
        <f>IFERROR(__xludf.DUMMYFUNCTION("""COMPUTED_VALUE"""),41142.666666666664)</f>
        <v>41142.66667</v>
      </c>
      <c r="N2182" s="2">
        <f>IFERROR(__xludf.DUMMYFUNCTION("""COMPUTED_VALUE"""),3067.26)</f>
        <v>3067.26</v>
      </c>
    </row>
    <row r="2183">
      <c r="A2183" s="10">
        <f t="shared" si="8"/>
        <v>40165.66667</v>
      </c>
      <c r="B2183" s="2" t="str">
        <f t="shared" si="2"/>
        <v/>
      </c>
      <c r="C2183" s="2" t="str">
        <f t="shared" si="3"/>
        <v>SP500</v>
      </c>
      <c r="D2183" s="2">
        <f t="shared" si="4"/>
        <v>2211.69</v>
      </c>
      <c r="E2183" s="2">
        <f t="shared" si="5"/>
        <v>2211.69</v>
      </c>
      <c r="G2183" s="10">
        <f t="shared" si="9"/>
        <v>40165.64583</v>
      </c>
      <c r="H2183" s="6" t="str">
        <f t="shared" si="6"/>
        <v/>
      </c>
      <c r="I2183" s="2">
        <f t="shared" si="7"/>
        <v>1426.89</v>
      </c>
      <c r="M2183" s="10">
        <f>IFERROR(__xludf.DUMMYFUNCTION("""COMPUTED_VALUE"""),41143.666666666664)</f>
        <v>41143.66667</v>
      </c>
      <c r="N2183" s="2">
        <f>IFERROR(__xludf.DUMMYFUNCTION("""COMPUTED_VALUE"""),3073.67)</f>
        <v>3073.67</v>
      </c>
    </row>
    <row r="2184">
      <c r="A2184" s="10">
        <f t="shared" si="8"/>
        <v>40166.66667</v>
      </c>
      <c r="B2184" s="2" t="str">
        <f t="shared" si="2"/>
        <v/>
      </c>
      <c r="C2184" s="2" t="str">
        <f t="shared" si="3"/>
        <v>SP500</v>
      </c>
      <c r="D2184" s="2" t="str">
        <f t="shared" si="4"/>
        <v/>
      </c>
      <c r="E2184" s="2">
        <f t="shared" si="5"/>
        <v>2211.69</v>
      </c>
      <c r="G2184" s="10">
        <f t="shared" si="9"/>
        <v>40166.64583</v>
      </c>
      <c r="H2184" s="6" t="str">
        <f t="shared" si="6"/>
        <v/>
      </c>
      <c r="I2184" s="2">
        <f t="shared" si="7"/>
        <v>1426.89</v>
      </c>
      <c r="M2184" s="10">
        <f>IFERROR(__xludf.DUMMYFUNCTION("""COMPUTED_VALUE"""),41144.666666666664)</f>
        <v>41144.66667</v>
      </c>
      <c r="N2184" s="2">
        <f>IFERROR(__xludf.DUMMYFUNCTION("""COMPUTED_VALUE"""),3053.4)</f>
        <v>3053.4</v>
      </c>
    </row>
    <row r="2185">
      <c r="A2185" s="10">
        <f t="shared" si="8"/>
        <v>40167.66667</v>
      </c>
      <c r="B2185" s="2" t="str">
        <f t="shared" si="2"/>
        <v/>
      </c>
      <c r="C2185" s="2" t="str">
        <f t="shared" si="3"/>
        <v>SP500</v>
      </c>
      <c r="D2185" s="2" t="str">
        <f t="shared" si="4"/>
        <v/>
      </c>
      <c r="E2185" s="2">
        <f t="shared" si="5"/>
        <v>2211.69</v>
      </c>
      <c r="G2185" s="10">
        <f t="shared" si="9"/>
        <v>40167.64583</v>
      </c>
      <c r="H2185" s="6" t="str">
        <f t="shared" si="6"/>
        <v/>
      </c>
      <c r="I2185" s="2">
        <f t="shared" si="7"/>
        <v>1426.89</v>
      </c>
      <c r="M2185" s="10">
        <f>IFERROR(__xludf.DUMMYFUNCTION("""COMPUTED_VALUE"""),41145.666666666664)</f>
        <v>41145.66667</v>
      </c>
      <c r="N2185" s="2">
        <f>IFERROR(__xludf.DUMMYFUNCTION("""COMPUTED_VALUE"""),3069.79)</f>
        <v>3069.79</v>
      </c>
    </row>
    <row r="2186">
      <c r="A2186" s="10">
        <f t="shared" si="8"/>
        <v>40168.66667</v>
      </c>
      <c r="B2186" s="2" t="str">
        <f t="shared" si="2"/>
        <v/>
      </c>
      <c r="C2186" s="2" t="str">
        <f t="shared" si="3"/>
        <v>SP500</v>
      </c>
      <c r="D2186" s="2">
        <f t="shared" si="4"/>
        <v>2237.66</v>
      </c>
      <c r="E2186" s="2">
        <f t="shared" si="5"/>
        <v>2237.66</v>
      </c>
      <c r="G2186" s="10">
        <f t="shared" si="9"/>
        <v>40168.64583</v>
      </c>
      <c r="H2186" s="6" t="str">
        <f t="shared" si="6"/>
        <v/>
      </c>
      <c r="I2186" s="2">
        <f t="shared" si="7"/>
        <v>1426.89</v>
      </c>
      <c r="M2186" s="10">
        <f>IFERROR(__xludf.DUMMYFUNCTION("""COMPUTED_VALUE"""),41148.666666666664)</f>
        <v>41148.66667</v>
      </c>
      <c r="N2186" s="2">
        <f>IFERROR(__xludf.DUMMYFUNCTION("""COMPUTED_VALUE"""),3073.19)</f>
        <v>3073.19</v>
      </c>
    </row>
    <row r="2187">
      <c r="A2187" s="10">
        <f t="shared" si="8"/>
        <v>40169.66667</v>
      </c>
      <c r="B2187" s="2" t="str">
        <f t="shared" si="2"/>
        <v/>
      </c>
      <c r="C2187" s="2" t="str">
        <f t="shared" si="3"/>
        <v>SP500</v>
      </c>
      <c r="D2187" s="2">
        <f t="shared" si="4"/>
        <v>2252.67</v>
      </c>
      <c r="E2187" s="2">
        <f t="shared" si="5"/>
        <v>2252.67</v>
      </c>
      <c r="G2187" s="10">
        <f t="shared" si="9"/>
        <v>40169.64583</v>
      </c>
      <c r="H2187" s="6" t="str">
        <f t="shared" si="6"/>
        <v/>
      </c>
      <c r="I2187" s="2">
        <f t="shared" si="7"/>
        <v>1426.89</v>
      </c>
      <c r="M2187" s="10">
        <f>IFERROR(__xludf.DUMMYFUNCTION("""COMPUTED_VALUE"""),41149.666666666664)</f>
        <v>41149.66667</v>
      </c>
      <c r="N2187" s="2">
        <f>IFERROR(__xludf.DUMMYFUNCTION("""COMPUTED_VALUE"""),3077.14)</f>
        <v>3077.14</v>
      </c>
    </row>
    <row r="2188">
      <c r="A2188" s="10">
        <f t="shared" si="8"/>
        <v>40170.66667</v>
      </c>
      <c r="B2188" s="2" t="str">
        <f t="shared" si="2"/>
        <v/>
      </c>
      <c r="C2188" s="2" t="str">
        <f t="shared" si="3"/>
        <v>SP500</v>
      </c>
      <c r="D2188" s="2">
        <f t="shared" si="4"/>
        <v>2269.64</v>
      </c>
      <c r="E2188" s="2">
        <f t="shared" si="5"/>
        <v>2269.64</v>
      </c>
      <c r="G2188" s="10">
        <f t="shared" si="9"/>
        <v>40170.64583</v>
      </c>
      <c r="H2188" s="6" t="str">
        <f t="shared" si="6"/>
        <v/>
      </c>
      <c r="I2188" s="2">
        <f t="shared" si="7"/>
        <v>1426.89</v>
      </c>
      <c r="M2188" s="10">
        <f>IFERROR(__xludf.DUMMYFUNCTION("""COMPUTED_VALUE"""),41150.666666666664)</f>
        <v>41150.66667</v>
      </c>
      <c r="N2188" s="2">
        <f>IFERROR(__xludf.DUMMYFUNCTION("""COMPUTED_VALUE"""),3081.19)</f>
        <v>3081.19</v>
      </c>
    </row>
    <row r="2189">
      <c r="A2189" s="10">
        <f t="shared" si="8"/>
        <v>40171.66667</v>
      </c>
      <c r="B2189" s="2" t="str">
        <f t="shared" si="2"/>
        <v/>
      </c>
      <c r="C2189" s="2" t="str">
        <f t="shared" si="3"/>
        <v>SP500</v>
      </c>
      <c r="D2189" s="2">
        <f t="shared" si="4"/>
        <v>2285.69</v>
      </c>
      <c r="E2189" s="2">
        <f t="shared" si="5"/>
        <v>2285.69</v>
      </c>
      <c r="G2189" s="10">
        <f t="shared" si="9"/>
        <v>40171.64583</v>
      </c>
      <c r="H2189" s="6" t="str">
        <f t="shared" si="6"/>
        <v/>
      </c>
      <c r="I2189" s="2">
        <f t="shared" si="7"/>
        <v>1426.89</v>
      </c>
      <c r="M2189" s="10">
        <f>IFERROR(__xludf.DUMMYFUNCTION("""COMPUTED_VALUE"""),41151.666666666664)</f>
        <v>41151.66667</v>
      </c>
      <c r="N2189" s="2">
        <f>IFERROR(__xludf.DUMMYFUNCTION("""COMPUTED_VALUE"""),3048.71)</f>
        <v>3048.71</v>
      </c>
    </row>
    <row r="2190">
      <c r="A2190" s="10">
        <f t="shared" si="8"/>
        <v>40172.66667</v>
      </c>
      <c r="B2190" s="2" t="str">
        <f t="shared" si="2"/>
        <v/>
      </c>
      <c r="C2190" s="2" t="str">
        <f t="shared" si="3"/>
        <v>SP500</v>
      </c>
      <c r="D2190" s="2" t="str">
        <f t="shared" si="4"/>
        <v/>
      </c>
      <c r="E2190" s="2">
        <f t="shared" si="5"/>
        <v>2285.69</v>
      </c>
      <c r="G2190" s="10">
        <f t="shared" si="9"/>
        <v>40172.64583</v>
      </c>
      <c r="H2190" s="6" t="str">
        <f t="shared" si="6"/>
        <v/>
      </c>
      <c r="I2190" s="2">
        <f t="shared" si="7"/>
        <v>1426.89</v>
      </c>
      <c r="M2190" s="10">
        <f>IFERROR(__xludf.DUMMYFUNCTION("""COMPUTED_VALUE"""),41152.666666666664)</f>
        <v>41152.66667</v>
      </c>
      <c r="N2190" s="2">
        <f>IFERROR(__xludf.DUMMYFUNCTION("""COMPUTED_VALUE"""),3066.96)</f>
        <v>3066.96</v>
      </c>
    </row>
    <row r="2191">
      <c r="A2191" s="10">
        <f t="shared" si="8"/>
        <v>40173.66667</v>
      </c>
      <c r="B2191" s="2" t="str">
        <f t="shared" si="2"/>
        <v/>
      </c>
      <c r="C2191" s="2" t="str">
        <f t="shared" si="3"/>
        <v>SP500</v>
      </c>
      <c r="D2191" s="2" t="str">
        <f t="shared" si="4"/>
        <v/>
      </c>
      <c r="E2191" s="2">
        <f t="shared" si="5"/>
        <v>2285.69</v>
      </c>
      <c r="G2191" s="10">
        <f t="shared" si="9"/>
        <v>40173.64583</v>
      </c>
      <c r="H2191" s="6" t="str">
        <f t="shared" si="6"/>
        <v/>
      </c>
      <c r="I2191" s="2">
        <f t="shared" si="7"/>
        <v>1426.89</v>
      </c>
      <c r="M2191" s="10">
        <f>IFERROR(__xludf.DUMMYFUNCTION("""COMPUTED_VALUE"""),41156.666666666664)</f>
        <v>41156.66667</v>
      </c>
      <c r="N2191" s="2">
        <f>IFERROR(__xludf.DUMMYFUNCTION("""COMPUTED_VALUE"""),3075.06)</f>
        <v>3075.06</v>
      </c>
    </row>
    <row r="2192">
      <c r="A2192" s="10">
        <f t="shared" si="8"/>
        <v>40174.66667</v>
      </c>
      <c r="B2192" s="2" t="str">
        <f t="shared" si="2"/>
        <v/>
      </c>
      <c r="C2192" s="2" t="str">
        <f t="shared" si="3"/>
        <v>SP500</v>
      </c>
      <c r="D2192" s="2" t="str">
        <f t="shared" si="4"/>
        <v/>
      </c>
      <c r="E2192" s="2">
        <f t="shared" si="5"/>
        <v>2285.69</v>
      </c>
      <c r="G2192" s="10">
        <f t="shared" si="9"/>
        <v>40174.64583</v>
      </c>
      <c r="H2192" s="6" t="str">
        <f t="shared" si="6"/>
        <v/>
      </c>
      <c r="I2192" s="2">
        <f t="shared" si="7"/>
        <v>1426.89</v>
      </c>
      <c r="M2192" s="10">
        <f>IFERROR(__xludf.DUMMYFUNCTION("""COMPUTED_VALUE"""),41157.666666666664)</f>
        <v>41157.66667</v>
      </c>
      <c r="N2192" s="2">
        <f>IFERROR(__xludf.DUMMYFUNCTION("""COMPUTED_VALUE"""),3069.27)</f>
        <v>3069.27</v>
      </c>
    </row>
    <row r="2193">
      <c r="A2193" s="10">
        <f t="shared" si="8"/>
        <v>40175.66667</v>
      </c>
      <c r="B2193" s="2" t="str">
        <f t="shared" si="2"/>
        <v/>
      </c>
      <c r="C2193" s="2" t="str">
        <f t="shared" si="3"/>
        <v>SP500</v>
      </c>
      <c r="D2193" s="2">
        <f t="shared" si="4"/>
        <v>2291.08</v>
      </c>
      <c r="E2193" s="2">
        <f t="shared" si="5"/>
        <v>2291.08</v>
      </c>
      <c r="G2193" s="10">
        <f t="shared" si="9"/>
        <v>40175.64583</v>
      </c>
      <c r="H2193" s="6" t="str">
        <f t="shared" si="6"/>
        <v/>
      </c>
      <c r="I2193" s="2">
        <f t="shared" si="7"/>
        <v>1426.89</v>
      </c>
      <c r="M2193" s="10">
        <f>IFERROR(__xludf.DUMMYFUNCTION("""COMPUTED_VALUE"""),41158.666666666664)</f>
        <v>41158.66667</v>
      </c>
      <c r="N2193" s="2">
        <f>IFERROR(__xludf.DUMMYFUNCTION("""COMPUTED_VALUE"""),3135.81)</f>
        <v>3135.81</v>
      </c>
    </row>
    <row r="2194">
      <c r="A2194" s="10">
        <f t="shared" si="8"/>
        <v>40176.66667</v>
      </c>
      <c r="B2194" s="2" t="str">
        <f t="shared" si="2"/>
        <v/>
      </c>
      <c r="C2194" s="2" t="str">
        <f t="shared" si="3"/>
        <v>SP500</v>
      </c>
      <c r="D2194" s="2">
        <f t="shared" si="4"/>
        <v>2288.4</v>
      </c>
      <c r="E2194" s="2">
        <f t="shared" si="5"/>
        <v>2288.4</v>
      </c>
      <c r="G2194" s="10">
        <f t="shared" si="9"/>
        <v>40176.64583</v>
      </c>
      <c r="H2194" s="6" t="str">
        <f t="shared" si="6"/>
        <v/>
      </c>
      <c r="I2194" s="2">
        <f t="shared" si="7"/>
        <v>1426.89</v>
      </c>
      <c r="M2194" s="10">
        <f>IFERROR(__xludf.DUMMYFUNCTION("""COMPUTED_VALUE"""),41159.666666666664)</f>
        <v>41159.66667</v>
      </c>
      <c r="N2194" s="2">
        <f>IFERROR(__xludf.DUMMYFUNCTION("""COMPUTED_VALUE"""),3136.42)</f>
        <v>3136.42</v>
      </c>
    </row>
    <row r="2195">
      <c r="A2195" s="10">
        <f t="shared" si="8"/>
        <v>40177.66667</v>
      </c>
      <c r="B2195" s="2" t="str">
        <f t="shared" si="2"/>
        <v/>
      </c>
      <c r="C2195" s="2" t="str">
        <f t="shared" si="3"/>
        <v>SP500</v>
      </c>
      <c r="D2195" s="2">
        <f t="shared" si="4"/>
        <v>2291.28</v>
      </c>
      <c r="E2195" s="2">
        <f t="shared" si="5"/>
        <v>2291.28</v>
      </c>
      <c r="G2195" s="10">
        <f t="shared" si="9"/>
        <v>40177.64583</v>
      </c>
      <c r="H2195" s="6" t="str">
        <f t="shared" si="6"/>
        <v/>
      </c>
      <c r="I2195" s="2">
        <f t="shared" si="7"/>
        <v>1426.89</v>
      </c>
      <c r="M2195" s="10">
        <f>IFERROR(__xludf.DUMMYFUNCTION("""COMPUTED_VALUE"""),41162.666666666664)</f>
        <v>41162.66667</v>
      </c>
      <c r="N2195" s="2">
        <f>IFERROR(__xludf.DUMMYFUNCTION("""COMPUTED_VALUE"""),3104.02)</f>
        <v>3104.02</v>
      </c>
    </row>
    <row r="2196">
      <c r="A2196" s="10">
        <f t="shared" si="8"/>
        <v>40178.66667</v>
      </c>
      <c r="B2196" s="2" t="str">
        <f t="shared" si="2"/>
        <v/>
      </c>
      <c r="C2196" s="2" t="str">
        <f t="shared" si="3"/>
        <v>SP500</v>
      </c>
      <c r="D2196" s="2">
        <f t="shared" si="4"/>
        <v>2269.15</v>
      </c>
      <c r="E2196" s="2">
        <f t="shared" si="5"/>
        <v>2269.15</v>
      </c>
      <c r="G2196" s="10">
        <f t="shared" si="9"/>
        <v>40178.64583</v>
      </c>
      <c r="H2196" s="6" t="str">
        <f t="shared" si="6"/>
        <v/>
      </c>
      <c r="I2196" s="2">
        <f t="shared" si="7"/>
        <v>1426.89</v>
      </c>
      <c r="M2196" s="10">
        <f>IFERROR(__xludf.DUMMYFUNCTION("""COMPUTED_VALUE"""),41163.666666666664)</f>
        <v>41163.66667</v>
      </c>
      <c r="N2196" s="2">
        <f>IFERROR(__xludf.DUMMYFUNCTION("""COMPUTED_VALUE"""),3104.53)</f>
        <v>3104.53</v>
      </c>
    </row>
    <row r="2197">
      <c r="A2197" s="10">
        <f t="shared" si="8"/>
        <v>40179.66667</v>
      </c>
      <c r="B2197" s="2" t="str">
        <f t="shared" si="2"/>
        <v/>
      </c>
      <c r="C2197" s="2" t="str">
        <f t="shared" si="3"/>
        <v>SP500</v>
      </c>
      <c r="D2197" s="2" t="str">
        <f t="shared" si="4"/>
        <v/>
      </c>
      <c r="E2197" s="2">
        <f t="shared" si="5"/>
        <v>2269.15</v>
      </c>
      <c r="G2197" s="10">
        <f t="shared" si="9"/>
        <v>40179.64583</v>
      </c>
      <c r="H2197" s="6" t="str">
        <f t="shared" si="6"/>
        <v/>
      </c>
      <c r="I2197" s="2">
        <f t="shared" si="7"/>
        <v>1426.89</v>
      </c>
      <c r="M2197" s="10">
        <f>IFERROR(__xludf.DUMMYFUNCTION("""COMPUTED_VALUE"""),41164.666666666664)</f>
        <v>41164.66667</v>
      </c>
      <c r="N2197" s="2">
        <f>IFERROR(__xludf.DUMMYFUNCTION("""COMPUTED_VALUE"""),3114.31)</f>
        <v>3114.31</v>
      </c>
    </row>
    <row r="2198">
      <c r="A2198" s="10">
        <f t="shared" si="8"/>
        <v>40180.66667</v>
      </c>
      <c r="B2198" s="2" t="str">
        <f t="shared" si="2"/>
        <v/>
      </c>
      <c r="C2198" s="2" t="str">
        <f t="shared" si="3"/>
        <v>SP500</v>
      </c>
      <c r="D2198" s="2" t="str">
        <f t="shared" si="4"/>
        <v/>
      </c>
      <c r="E2198" s="2">
        <f t="shared" si="5"/>
        <v>2269.15</v>
      </c>
      <c r="G2198" s="10">
        <f t="shared" si="9"/>
        <v>40180.64583</v>
      </c>
      <c r="H2198" s="6" t="str">
        <f t="shared" si="6"/>
        <v/>
      </c>
      <c r="I2198" s="2">
        <f t="shared" si="7"/>
        <v>1426.89</v>
      </c>
      <c r="M2198" s="10">
        <f>IFERROR(__xludf.DUMMYFUNCTION("""COMPUTED_VALUE"""),41165.666666666664)</f>
        <v>41165.66667</v>
      </c>
      <c r="N2198" s="2">
        <f>IFERROR(__xludf.DUMMYFUNCTION("""COMPUTED_VALUE"""),3155.83)</f>
        <v>3155.83</v>
      </c>
    </row>
    <row r="2199">
      <c r="A2199" s="10">
        <f t="shared" si="8"/>
        <v>40181.66667</v>
      </c>
      <c r="B2199" s="2" t="str">
        <f t="shared" si="2"/>
        <v/>
      </c>
      <c r="C2199" s="2" t="str">
        <f t="shared" si="3"/>
        <v>SP500</v>
      </c>
      <c r="D2199" s="2" t="str">
        <f t="shared" si="4"/>
        <v/>
      </c>
      <c r="E2199" s="2">
        <f t="shared" si="5"/>
        <v>2269.15</v>
      </c>
      <c r="G2199" s="10">
        <f t="shared" si="9"/>
        <v>40181.64583</v>
      </c>
      <c r="H2199" s="6" t="str">
        <f t="shared" si="6"/>
        <v/>
      </c>
      <c r="I2199" s="2">
        <f t="shared" si="7"/>
        <v>1426.89</v>
      </c>
      <c r="M2199" s="10">
        <f>IFERROR(__xludf.DUMMYFUNCTION("""COMPUTED_VALUE"""),41166.666666666664)</f>
        <v>41166.66667</v>
      </c>
      <c r="N2199" s="2">
        <f>IFERROR(__xludf.DUMMYFUNCTION("""COMPUTED_VALUE"""),3183.95)</f>
        <v>3183.95</v>
      </c>
    </row>
    <row r="2200">
      <c r="A2200" s="10">
        <f t="shared" si="8"/>
        <v>40182.66667</v>
      </c>
      <c r="B2200" s="2" t="str">
        <f t="shared" si="2"/>
        <v/>
      </c>
      <c r="C2200" s="2" t="str">
        <f t="shared" si="3"/>
        <v>SP500</v>
      </c>
      <c r="D2200" s="2">
        <f t="shared" si="4"/>
        <v>2308.42</v>
      </c>
      <c r="E2200" s="2">
        <f t="shared" si="5"/>
        <v>2308.42</v>
      </c>
      <c r="G2200" s="10">
        <f t="shared" si="9"/>
        <v>40182.64583</v>
      </c>
      <c r="H2200" s="6" t="str">
        <f t="shared" si="6"/>
        <v/>
      </c>
      <c r="I2200" s="2">
        <f t="shared" si="7"/>
        <v>1426.89</v>
      </c>
      <c r="M2200" s="10">
        <f>IFERROR(__xludf.DUMMYFUNCTION("""COMPUTED_VALUE"""),41169.666666666664)</f>
        <v>41169.66667</v>
      </c>
      <c r="N2200" s="2">
        <f>IFERROR(__xludf.DUMMYFUNCTION("""COMPUTED_VALUE"""),3178.67)</f>
        <v>3178.67</v>
      </c>
    </row>
    <row r="2201">
      <c r="A2201" s="10">
        <f t="shared" si="8"/>
        <v>40183.66667</v>
      </c>
      <c r="B2201" s="2" t="str">
        <f t="shared" si="2"/>
        <v/>
      </c>
      <c r="C2201" s="2" t="str">
        <f t="shared" si="3"/>
        <v>SP500</v>
      </c>
      <c r="D2201" s="2">
        <f t="shared" si="4"/>
        <v>2308.71</v>
      </c>
      <c r="E2201" s="2">
        <f t="shared" si="5"/>
        <v>2308.71</v>
      </c>
      <c r="G2201" s="10">
        <f t="shared" si="9"/>
        <v>40183.64583</v>
      </c>
      <c r="H2201" s="6" t="str">
        <f t="shared" si="6"/>
        <v/>
      </c>
      <c r="I2201" s="2">
        <f t="shared" si="7"/>
        <v>1426.89</v>
      </c>
      <c r="M2201" s="10">
        <f>IFERROR(__xludf.DUMMYFUNCTION("""COMPUTED_VALUE"""),41170.666666666664)</f>
        <v>41170.66667</v>
      </c>
      <c r="N2201" s="2">
        <f>IFERROR(__xludf.DUMMYFUNCTION("""COMPUTED_VALUE"""),3177.8)</f>
        <v>3177.8</v>
      </c>
    </row>
    <row r="2202">
      <c r="A2202" s="10">
        <f t="shared" si="8"/>
        <v>40184.66667</v>
      </c>
      <c r="B2202" s="2" t="str">
        <f t="shared" si="2"/>
        <v/>
      </c>
      <c r="C2202" s="2" t="str">
        <f t="shared" si="3"/>
        <v>SP500</v>
      </c>
      <c r="D2202" s="2">
        <f t="shared" si="4"/>
        <v>2301.09</v>
      </c>
      <c r="E2202" s="2">
        <f t="shared" si="5"/>
        <v>2301.09</v>
      </c>
      <c r="G2202" s="10">
        <f t="shared" si="9"/>
        <v>40184.64583</v>
      </c>
      <c r="H2202" s="6" t="str">
        <f t="shared" si="6"/>
        <v/>
      </c>
      <c r="I2202" s="2">
        <f t="shared" si="7"/>
        <v>1426.89</v>
      </c>
      <c r="M2202" s="10">
        <f>IFERROR(__xludf.DUMMYFUNCTION("""COMPUTED_VALUE"""),41171.666666666664)</f>
        <v>41171.66667</v>
      </c>
      <c r="N2202" s="2">
        <f>IFERROR(__xludf.DUMMYFUNCTION("""COMPUTED_VALUE"""),3182.62)</f>
        <v>3182.62</v>
      </c>
    </row>
    <row r="2203">
      <c r="A2203" s="10">
        <f t="shared" si="8"/>
        <v>40185.66667</v>
      </c>
      <c r="B2203" s="2" t="str">
        <f t="shared" si="2"/>
        <v/>
      </c>
      <c r="C2203" s="2" t="str">
        <f t="shared" si="3"/>
        <v>SP500</v>
      </c>
      <c r="D2203" s="2">
        <f t="shared" si="4"/>
        <v>2300.05</v>
      </c>
      <c r="E2203" s="2">
        <f t="shared" si="5"/>
        <v>2300.05</v>
      </c>
      <c r="G2203" s="10">
        <f t="shared" si="9"/>
        <v>40185.64583</v>
      </c>
      <c r="H2203" s="6" t="str">
        <f t="shared" si="6"/>
        <v/>
      </c>
      <c r="I2203" s="2">
        <f t="shared" si="7"/>
        <v>1426.89</v>
      </c>
      <c r="M2203" s="10">
        <f>IFERROR(__xludf.DUMMYFUNCTION("""COMPUTED_VALUE"""),41172.666666666664)</f>
        <v>41172.66667</v>
      </c>
      <c r="N2203" s="2">
        <f>IFERROR(__xludf.DUMMYFUNCTION("""COMPUTED_VALUE"""),3175.96)</f>
        <v>3175.96</v>
      </c>
    </row>
    <row r="2204">
      <c r="A2204" s="10">
        <f t="shared" si="8"/>
        <v>40186.66667</v>
      </c>
      <c r="B2204" s="2" t="str">
        <f t="shared" si="2"/>
        <v/>
      </c>
      <c r="C2204" s="2" t="str">
        <f t="shared" si="3"/>
        <v>SP500</v>
      </c>
      <c r="D2204" s="2">
        <f t="shared" si="4"/>
        <v>2317.17</v>
      </c>
      <c r="E2204" s="2">
        <f t="shared" si="5"/>
        <v>2317.17</v>
      </c>
      <c r="G2204" s="10">
        <f t="shared" si="9"/>
        <v>40186.64583</v>
      </c>
      <c r="H2204" s="6" t="str">
        <f t="shared" si="6"/>
        <v/>
      </c>
      <c r="I2204" s="2">
        <f t="shared" si="7"/>
        <v>1426.89</v>
      </c>
      <c r="M2204" s="10">
        <f>IFERROR(__xludf.DUMMYFUNCTION("""COMPUTED_VALUE"""),41173.666666666664)</f>
        <v>41173.66667</v>
      </c>
      <c r="N2204" s="2">
        <f>IFERROR(__xludf.DUMMYFUNCTION("""COMPUTED_VALUE"""),3179.96)</f>
        <v>3179.96</v>
      </c>
    </row>
    <row r="2205">
      <c r="A2205" s="10">
        <f t="shared" si="8"/>
        <v>40187.66667</v>
      </c>
      <c r="B2205" s="2" t="str">
        <f t="shared" si="2"/>
        <v/>
      </c>
      <c r="C2205" s="2" t="str">
        <f t="shared" si="3"/>
        <v>SP500</v>
      </c>
      <c r="D2205" s="2" t="str">
        <f t="shared" si="4"/>
        <v/>
      </c>
      <c r="E2205" s="2">
        <f t="shared" si="5"/>
        <v>2317.17</v>
      </c>
      <c r="G2205" s="10">
        <f t="shared" si="9"/>
        <v>40187.64583</v>
      </c>
      <c r="H2205" s="6" t="str">
        <f t="shared" si="6"/>
        <v/>
      </c>
      <c r="I2205" s="2">
        <f t="shared" si="7"/>
        <v>1426.89</v>
      </c>
      <c r="M2205" s="10">
        <f>IFERROR(__xludf.DUMMYFUNCTION("""COMPUTED_VALUE"""),41176.666666666664)</f>
        <v>41176.66667</v>
      </c>
      <c r="N2205" s="2">
        <f>IFERROR(__xludf.DUMMYFUNCTION("""COMPUTED_VALUE"""),3160.78)</f>
        <v>3160.78</v>
      </c>
    </row>
    <row r="2206">
      <c r="A2206" s="10">
        <f t="shared" si="8"/>
        <v>40188.66667</v>
      </c>
      <c r="B2206" s="2" t="str">
        <f t="shared" si="2"/>
        <v/>
      </c>
      <c r="C2206" s="2" t="str">
        <f t="shared" si="3"/>
        <v>SP500</v>
      </c>
      <c r="D2206" s="2" t="str">
        <f t="shared" si="4"/>
        <v/>
      </c>
      <c r="E2206" s="2">
        <f t="shared" si="5"/>
        <v>2317.17</v>
      </c>
      <c r="G2206" s="10">
        <f t="shared" si="9"/>
        <v>40188.64583</v>
      </c>
      <c r="H2206" s="6" t="str">
        <f t="shared" si="6"/>
        <v/>
      </c>
      <c r="I2206" s="2">
        <f t="shared" si="7"/>
        <v>1426.89</v>
      </c>
      <c r="M2206" s="10">
        <f>IFERROR(__xludf.DUMMYFUNCTION("""COMPUTED_VALUE"""),41177.666666666664)</f>
        <v>41177.66667</v>
      </c>
      <c r="N2206" s="2">
        <f>IFERROR(__xludf.DUMMYFUNCTION("""COMPUTED_VALUE"""),3117.73)</f>
        <v>3117.73</v>
      </c>
    </row>
    <row r="2207">
      <c r="A2207" s="10">
        <f t="shared" si="8"/>
        <v>40189.66667</v>
      </c>
      <c r="B2207" s="2" t="str">
        <f t="shared" si="2"/>
        <v/>
      </c>
      <c r="C2207" s="2" t="str">
        <f t="shared" si="3"/>
        <v>SP500</v>
      </c>
      <c r="D2207" s="2">
        <f t="shared" si="4"/>
        <v>2312.41</v>
      </c>
      <c r="E2207" s="2">
        <f t="shared" si="5"/>
        <v>2312.41</v>
      </c>
      <c r="G2207" s="10">
        <f t="shared" si="9"/>
        <v>40189.64583</v>
      </c>
      <c r="H2207" s="6" t="str">
        <f t="shared" si="6"/>
        <v/>
      </c>
      <c r="I2207" s="2">
        <f t="shared" si="7"/>
        <v>1426.89</v>
      </c>
      <c r="M2207" s="10">
        <f>IFERROR(__xludf.DUMMYFUNCTION("""COMPUTED_VALUE"""),41178.666666666664)</f>
        <v>41178.66667</v>
      </c>
      <c r="N2207" s="2">
        <f>IFERROR(__xludf.DUMMYFUNCTION("""COMPUTED_VALUE"""),3093.7)</f>
        <v>3093.7</v>
      </c>
    </row>
    <row r="2208">
      <c r="A2208" s="10">
        <f t="shared" si="8"/>
        <v>40190.66667</v>
      </c>
      <c r="B2208" s="2" t="str">
        <f t="shared" si="2"/>
        <v/>
      </c>
      <c r="C2208" s="2" t="str">
        <f t="shared" si="3"/>
        <v>SP500</v>
      </c>
      <c r="D2208" s="2">
        <f t="shared" si="4"/>
        <v>2282.31</v>
      </c>
      <c r="E2208" s="2">
        <f t="shared" si="5"/>
        <v>2282.31</v>
      </c>
      <c r="G2208" s="10">
        <f t="shared" si="9"/>
        <v>40190.64583</v>
      </c>
      <c r="H2208" s="6" t="str">
        <f t="shared" si="6"/>
        <v/>
      </c>
      <c r="I2208" s="2">
        <f t="shared" si="7"/>
        <v>1426.89</v>
      </c>
      <c r="M2208" s="10">
        <f>IFERROR(__xludf.DUMMYFUNCTION("""COMPUTED_VALUE"""),41179.666666666664)</f>
        <v>41179.66667</v>
      </c>
      <c r="N2208" s="2">
        <f>IFERROR(__xludf.DUMMYFUNCTION("""COMPUTED_VALUE"""),3136.6)</f>
        <v>3136.6</v>
      </c>
    </row>
    <row r="2209">
      <c r="A2209" s="10">
        <f t="shared" si="8"/>
        <v>40191.66667</v>
      </c>
      <c r="B2209" s="2" t="str">
        <f t="shared" si="2"/>
        <v/>
      </c>
      <c r="C2209" s="2" t="str">
        <f t="shared" si="3"/>
        <v>SP500</v>
      </c>
      <c r="D2209" s="2">
        <f t="shared" si="4"/>
        <v>2307.9</v>
      </c>
      <c r="E2209" s="2">
        <f t="shared" si="5"/>
        <v>2307.9</v>
      </c>
      <c r="G2209" s="10">
        <f t="shared" si="9"/>
        <v>40191.64583</v>
      </c>
      <c r="H2209" s="6" t="str">
        <f t="shared" si="6"/>
        <v/>
      </c>
      <c r="I2209" s="2">
        <f t="shared" si="7"/>
        <v>1426.89</v>
      </c>
      <c r="M2209" s="10">
        <f>IFERROR(__xludf.DUMMYFUNCTION("""COMPUTED_VALUE"""),41180.666666666664)</f>
        <v>41180.66667</v>
      </c>
      <c r="N2209" s="2">
        <f>IFERROR(__xludf.DUMMYFUNCTION("""COMPUTED_VALUE"""),3116.23)</f>
        <v>3116.23</v>
      </c>
    </row>
    <row r="2210">
      <c r="A2210" s="10">
        <f t="shared" si="8"/>
        <v>40192.66667</v>
      </c>
      <c r="B2210" s="2" t="str">
        <f t="shared" si="2"/>
        <v/>
      </c>
      <c r="C2210" s="2" t="str">
        <f t="shared" si="3"/>
        <v>SP500</v>
      </c>
      <c r="D2210" s="2">
        <f t="shared" si="4"/>
        <v>2316.74</v>
      </c>
      <c r="E2210" s="2">
        <f t="shared" si="5"/>
        <v>2316.74</v>
      </c>
      <c r="G2210" s="10">
        <f t="shared" si="9"/>
        <v>40192.64583</v>
      </c>
      <c r="H2210" s="6" t="str">
        <f t="shared" si="6"/>
        <v/>
      </c>
      <c r="I2210" s="2">
        <f t="shared" si="7"/>
        <v>1426.89</v>
      </c>
      <c r="M2210" s="10">
        <f>IFERROR(__xludf.DUMMYFUNCTION("""COMPUTED_VALUE"""),41183.666666666664)</f>
        <v>41183.66667</v>
      </c>
      <c r="N2210" s="2">
        <f>IFERROR(__xludf.DUMMYFUNCTION("""COMPUTED_VALUE"""),3113.53)</f>
        <v>3113.53</v>
      </c>
    </row>
    <row r="2211">
      <c r="A2211" s="10">
        <f t="shared" si="8"/>
        <v>40193.66667</v>
      </c>
      <c r="B2211" s="2" t="str">
        <f t="shared" si="2"/>
        <v/>
      </c>
      <c r="C2211" s="2" t="str">
        <f t="shared" si="3"/>
        <v>SP500</v>
      </c>
      <c r="D2211" s="2">
        <f t="shared" si="4"/>
        <v>2287.99</v>
      </c>
      <c r="E2211" s="2">
        <f t="shared" si="5"/>
        <v>2287.99</v>
      </c>
      <c r="G2211" s="10">
        <f t="shared" si="9"/>
        <v>40193.64583</v>
      </c>
      <c r="H2211" s="6" t="str">
        <f t="shared" si="6"/>
        <v/>
      </c>
      <c r="I2211" s="2">
        <f t="shared" si="7"/>
        <v>1426.89</v>
      </c>
      <c r="M2211" s="10">
        <f>IFERROR(__xludf.DUMMYFUNCTION("""COMPUTED_VALUE"""),41184.666666666664)</f>
        <v>41184.66667</v>
      </c>
      <c r="N2211" s="2">
        <f>IFERROR(__xludf.DUMMYFUNCTION("""COMPUTED_VALUE"""),3120.04)</f>
        <v>3120.04</v>
      </c>
    </row>
    <row r="2212">
      <c r="A2212" s="10">
        <f t="shared" si="8"/>
        <v>40194.66667</v>
      </c>
      <c r="B2212" s="2" t="str">
        <f t="shared" si="2"/>
        <v/>
      </c>
      <c r="C2212" s="2" t="str">
        <f t="shared" si="3"/>
        <v>SP500</v>
      </c>
      <c r="D2212" s="2" t="str">
        <f t="shared" si="4"/>
        <v/>
      </c>
      <c r="E2212" s="2">
        <f t="shared" si="5"/>
        <v>2287.99</v>
      </c>
      <c r="G2212" s="10">
        <f t="shared" si="9"/>
        <v>40194.64583</v>
      </c>
      <c r="H2212" s="6" t="str">
        <f t="shared" si="6"/>
        <v/>
      </c>
      <c r="I2212" s="2">
        <f t="shared" si="7"/>
        <v>1426.89</v>
      </c>
      <c r="M2212" s="10">
        <f>IFERROR(__xludf.DUMMYFUNCTION("""COMPUTED_VALUE"""),41185.666666666664)</f>
        <v>41185.66667</v>
      </c>
      <c r="N2212" s="2">
        <f>IFERROR(__xludf.DUMMYFUNCTION("""COMPUTED_VALUE"""),3135.23)</f>
        <v>3135.23</v>
      </c>
    </row>
    <row r="2213">
      <c r="A2213" s="10">
        <f t="shared" si="8"/>
        <v>40195.66667</v>
      </c>
      <c r="B2213" s="2" t="str">
        <f t="shared" si="2"/>
        <v/>
      </c>
      <c r="C2213" s="2" t="str">
        <f t="shared" si="3"/>
        <v>SP500</v>
      </c>
      <c r="D2213" s="2" t="str">
        <f t="shared" si="4"/>
        <v/>
      </c>
      <c r="E2213" s="2">
        <f t="shared" si="5"/>
        <v>2287.99</v>
      </c>
      <c r="G2213" s="10">
        <f t="shared" si="9"/>
        <v>40195.64583</v>
      </c>
      <c r="H2213" s="6" t="str">
        <f t="shared" si="6"/>
        <v/>
      </c>
      <c r="I2213" s="2">
        <f t="shared" si="7"/>
        <v>1426.89</v>
      </c>
      <c r="M2213" s="10">
        <f>IFERROR(__xludf.DUMMYFUNCTION("""COMPUTED_VALUE"""),41186.666666666664)</f>
        <v>41186.66667</v>
      </c>
      <c r="N2213" s="2">
        <f>IFERROR(__xludf.DUMMYFUNCTION("""COMPUTED_VALUE"""),3149.46)</f>
        <v>3149.46</v>
      </c>
    </row>
    <row r="2214">
      <c r="A2214" s="10">
        <f t="shared" si="8"/>
        <v>40196.66667</v>
      </c>
      <c r="B2214" s="2" t="str">
        <f t="shared" si="2"/>
        <v/>
      </c>
      <c r="C2214" s="2" t="str">
        <f t="shared" si="3"/>
        <v>SP500</v>
      </c>
      <c r="D2214" s="2" t="str">
        <f t="shared" si="4"/>
        <v/>
      </c>
      <c r="E2214" s="2">
        <f t="shared" si="5"/>
        <v>2287.99</v>
      </c>
      <c r="G2214" s="10">
        <f t="shared" si="9"/>
        <v>40196.64583</v>
      </c>
      <c r="H2214" s="6" t="str">
        <f t="shared" si="6"/>
        <v/>
      </c>
      <c r="I2214" s="2">
        <f t="shared" si="7"/>
        <v>1426.89</v>
      </c>
      <c r="M2214" s="10">
        <f>IFERROR(__xludf.DUMMYFUNCTION("""COMPUTED_VALUE"""),41187.666666666664)</f>
        <v>41187.66667</v>
      </c>
      <c r="N2214" s="2">
        <f>IFERROR(__xludf.DUMMYFUNCTION("""COMPUTED_VALUE"""),3136.19)</f>
        <v>3136.19</v>
      </c>
    </row>
    <row r="2215">
      <c r="A2215" s="10">
        <f t="shared" si="8"/>
        <v>40197.66667</v>
      </c>
      <c r="B2215" s="2" t="str">
        <f t="shared" si="2"/>
        <v/>
      </c>
      <c r="C2215" s="2" t="str">
        <f t="shared" si="3"/>
        <v>SP500</v>
      </c>
      <c r="D2215" s="2">
        <f t="shared" si="4"/>
        <v>2320.4</v>
      </c>
      <c r="E2215" s="2">
        <f t="shared" si="5"/>
        <v>2320.4</v>
      </c>
      <c r="G2215" s="10">
        <f t="shared" si="9"/>
        <v>40197.64583</v>
      </c>
      <c r="H2215" s="6" t="str">
        <f t="shared" si="6"/>
        <v/>
      </c>
      <c r="I2215" s="2">
        <f t="shared" si="7"/>
        <v>1426.89</v>
      </c>
      <c r="M2215" s="10">
        <f>IFERROR(__xludf.DUMMYFUNCTION("""COMPUTED_VALUE"""),41190.666666666664)</f>
        <v>41190.66667</v>
      </c>
      <c r="N2215" s="2">
        <f>IFERROR(__xludf.DUMMYFUNCTION("""COMPUTED_VALUE"""),3112.35)</f>
        <v>3112.35</v>
      </c>
    </row>
    <row r="2216">
      <c r="A2216" s="10">
        <f t="shared" si="8"/>
        <v>40198.66667</v>
      </c>
      <c r="B2216" s="2" t="str">
        <f t="shared" si="2"/>
        <v/>
      </c>
      <c r="C2216" s="2" t="str">
        <f t="shared" si="3"/>
        <v>SP500</v>
      </c>
      <c r="D2216" s="2">
        <f t="shared" si="4"/>
        <v>2291.25</v>
      </c>
      <c r="E2216" s="2">
        <f t="shared" si="5"/>
        <v>2291.25</v>
      </c>
      <c r="G2216" s="10">
        <f t="shared" si="9"/>
        <v>40198.64583</v>
      </c>
      <c r="H2216" s="6" t="str">
        <f t="shared" si="6"/>
        <v/>
      </c>
      <c r="I2216" s="2">
        <f t="shared" si="7"/>
        <v>1426.89</v>
      </c>
      <c r="M2216" s="10">
        <f>IFERROR(__xludf.DUMMYFUNCTION("""COMPUTED_VALUE"""),41191.666666666664)</f>
        <v>41191.66667</v>
      </c>
      <c r="N2216" s="2">
        <f>IFERROR(__xludf.DUMMYFUNCTION("""COMPUTED_VALUE"""),3065.02)</f>
        <v>3065.02</v>
      </c>
    </row>
    <row r="2217">
      <c r="A2217" s="10">
        <f t="shared" si="8"/>
        <v>40199.66667</v>
      </c>
      <c r="B2217" s="2" t="str">
        <f t="shared" si="2"/>
        <v/>
      </c>
      <c r="C2217" s="2" t="str">
        <f t="shared" si="3"/>
        <v>SP500</v>
      </c>
      <c r="D2217" s="2">
        <f t="shared" si="4"/>
        <v>2265.7</v>
      </c>
      <c r="E2217" s="2">
        <f t="shared" si="5"/>
        <v>2265.7</v>
      </c>
      <c r="G2217" s="10">
        <f t="shared" si="9"/>
        <v>40199.64583</v>
      </c>
      <c r="H2217" s="6" t="str">
        <f t="shared" si="6"/>
        <v/>
      </c>
      <c r="I2217" s="2">
        <f t="shared" si="7"/>
        <v>1426.89</v>
      </c>
      <c r="M2217" s="10">
        <f>IFERROR(__xludf.DUMMYFUNCTION("""COMPUTED_VALUE"""),41192.666666666664)</f>
        <v>41192.66667</v>
      </c>
      <c r="N2217" s="2">
        <f>IFERROR(__xludf.DUMMYFUNCTION("""COMPUTED_VALUE"""),3051.78)</f>
        <v>3051.78</v>
      </c>
    </row>
    <row r="2218">
      <c r="A2218" s="10">
        <f t="shared" si="8"/>
        <v>40200.66667</v>
      </c>
      <c r="B2218" s="2" t="str">
        <f t="shared" si="2"/>
        <v/>
      </c>
      <c r="C2218" s="2" t="str">
        <f t="shared" si="3"/>
        <v>SP500</v>
      </c>
      <c r="D2218" s="2">
        <f t="shared" si="4"/>
        <v>2205.29</v>
      </c>
      <c r="E2218" s="2">
        <f t="shared" si="5"/>
        <v>2205.29</v>
      </c>
      <c r="G2218" s="10">
        <f t="shared" si="9"/>
        <v>40200.64583</v>
      </c>
      <c r="H2218" s="6" t="str">
        <f t="shared" si="6"/>
        <v/>
      </c>
      <c r="I2218" s="2">
        <f t="shared" si="7"/>
        <v>1426.89</v>
      </c>
      <c r="M2218" s="10">
        <f>IFERROR(__xludf.DUMMYFUNCTION("""COMPUTED_VALUE"""),41193.666666666664)</f>
        <v>41193.66667</v>
      </c>
      <c r="N2218" s="2">
        <f>IFERROR(__xludf.DUMMYFUNCTION("""COMPUTED_VALUE"""),3049.41)</f>
        <v>3049.41</v>
      </c>
    </row>
    <row r="2219">
      <c r="A2219" s="10">
        <f t="shared" si="8"/>
        <v>40201.66667</v>
      </c>
      <c r="B2219" s="2" t="str">
        <f t="shared" si="2"/>
        <v/>
      </c>
      <c r="C2219" s="2" t="str">
        <f t="shared" si="3"/>
        <v>SP500</v>
      </c>
      <c r="D2219" s="2" t="str">
        <f t="shared" si="4"/>
        <v/>
      </c>
      <c r="E2219" s="2">
        <f t="shared" si="5"/>
        <v>2205.29</v>
      </c>
      <c r="G2219" s="10">
        <f t="shared" si="9"/>
        <v>40201.64583</v>
      </c>
      <c r="H2219" s="6" t="str">
        <f t="shared" si="6"/>
        <v/>
      </c>
      <c r="I2219" s="2">
        <f t="shared" si="7"/>
        <v>1426.89</v>
      </c>
      <c r="M2219" s="10">
        <f>IFERROR(__xludf.DUMMYFUNCTION("""COMPUTED_VALUE"""),41194.666666666664)</f>
        <v>41194.66667</v>
      </c>
      <c r="N2219" s="2">
        <f>IFERROR(__xludf.DUMMYFUNCTION("""COMPUTED_VALUE"""),3044.11)</f>
        <v>3044.11</v>
      </c>
    </row>
    <row r="2220">
      <c r="A2220" s="10">
        <f t="shared" si="8"/>
        <v>40202.66667</v>
      </c>
      <c r="B2220" s="2" t="str">
        <f t="shared" si="2"/>
        <v/>
      </c>
      <c r="C2220" s="2" t="str">
        <f t="shared" si="3"/>
        <v>SP500</v>
      </c>
      <c r="D2220" s="2" t="str">
        <f t="shared" si="4"/>
        <v/>
      </c>
      <c r="E2220" s="2">
        <f t="shared" si="5"/>
        <v>2205.29</v>
      </c>
      <c r="G2220" s="10">
        <f t="shared" si="9"/>
        <v>40202.64583</v>
      </c>
      <c r="H2220" s="6" t="str">
        <f t="shared" si="6"/>
        <v/>
      </c>
      <c r="I2220" s="2">
        <f t="shared" si="7"/>
        <v>1426.89</v>
      </c>
      <c r="M2220" s="10">
        <f>IFERROR(__xludf.DUMMYFUNCTION("""COMPUTED_VALUE"""),41197.666666666664)</f>
        <v>41197.66667</v>
      </c>
      <c r="N2220" s="2">
        <f>IFERROR(__xludf.DUMMYFUNCTION("""COMPUTED_VALUE"""),3064.18)</f>
        <v>3064.18</v>
      </c>
    </row>
    <row r="2221">
      <c r="A2221" s="10">
        <f t="shared" si="8"/>
        <v>40203.66667</v>
      </c>
      <c r="B2221" s="2" t="str">
        <f t="shared" si="2"/>
        <v/>
      </c>
      <c r="C2221" s="2" t="str">
        <f t="shared" si="3"/>
        <v>SP500</v>
      </c>
      <c r="D2221" s="2">
        <f t="shared" si="4"/>
        <v>2210.8</v>
      </c>
      <c r="E2221" s="2">
        <f t="shared" si="5"/>
        <v>2210.8</v>
      </c>
      <c r="G2221" s="10">
        <f t="shared" si="9"/>
        <v>40203.64583</v>
      </c>
      <c r="H2221" s="6" t="str">
        <f t="shared" si="6"/>
        <v/>
      </c>
      <c r="I2221" s="2">
        <f t="shared" si="7"/>
        <v>1426.89</v>
      </c>
      <c r="M2221" s="10">
        <f>IFERROR(__xludf.DUMMYFUNCTION("""COMPUTED_VALUE"""),41198.666666666664)</f>
        <v>41198.66667</v>
      </c>
      <c r="N2221" s="2">
        <f>IFERROR(__xludf.DUMMYFUNCTION("""COMPUTED_VALUE"""),3101.17)</f>
        <v>3101.17</v>
      </c>
    </row>
    <row r="2222">
      <c r="A2222" s="10">
        <f t="shared" si="8"/>
        <v>40204.66667</v>
      </c>
      <c r="B2222" s="2" t="str">
        <f t="shared" si="2"/>
        <v/>
      </c>
      <c r="C2222" s="2" t="str">
        <f t="shared" si="3"/>
        <v>SP500</v>
      </c>
      <c r="D2222" s="2">
        <f t="shared" si="4"/>
        <v>2203.73</v>
      </c>
      <c r="E2222" s="2">
        <f t="shared" si="5"/>
        <v>2203.73</v>
      </c>
      <c r="G2222" s="10">
        <f t="shared" si="9"/>
        <v>40204.64583</v>
      </c>
      <c r="H2222" s="6" t="str">
        <f t="shared" si="6"/>
        <v/>
      </c>
      <c r="I2222" s="2">
        <f t="shared" si="7"/>
        <v>1426.89</v>
      </c>
      <c r="M2222" s="10">
        <f>IFERROR(__xludf.DUMMYFUNCTION("""COMPUTED_VALUE"""),41199.666666666664)</f>
        <v>41199.66667</v>
      </c>
      <c r="N2222" s="2">
        <f>IFERROR(__xludf.DUMMYFUNCTION("""COMPUTED_VALUE"""),3104.12)</f>
        <v>3104.12</v>
      </c>
    </row>
    <row r="2223">
      <c r="A2223" s="10">
        <f t="shared" si="8"/>
        <v>40205.66667</v>
      </c>
      <c r="B2223" s="2" t="str">
        <f t="shared" si="2"/>
        <v/>
      </c>
      <c r="C2223" s="2" t="str">
        <f t="shared" si="3"/>
        <v>SP500</v>
      </c>
      <c r="D2223" s="2">
        <f t="shared" si="4"/>
        <v>2221.41</v>
      </c>
      <c r="E2223" s="2">
        <f t="shared" si="5"/>
        <v>2221.41</v>
      </c>
      <c r="G2223" s="10">
        <f t="shared" si="9"/>
        <v>40205.64583</v>
      </c>
      <c r="H2223" s="6" t="str">
        <f t="shared" si="6"/>
        <v/>
      </c>
      <c r="I2223" s="2">
        <f t="shared" si="7"/>
        <v>1426.89</v>
      </c>
      <c r="M2223" s="10">
        <f>IFERROR(__xludf.DUMMYFUNCTION("""COMPUTED_VALUE"""),41200.666666666664)</f>
        <v>41200.66667</v>
      </c>
      <c r="N2223" s="2">
        <f>IFERROR(__xludf.DUMMYFUNCTION("""COMPUTED_VALUE"""),3072.87)</f>
        <v>3072.87</v>
      </c>
    </row>
    <row r="2224">
      <c r="A2224" s="10">
        <f t="shared" si="8"/>
        <v>40206.66667</v>
      </c>
      <c r="B2224" s="2" t="str">
        <f t="shared" si="2"/>
        <v/>
      </c>
      <c r="C2224" s="2" t="str">
        <f t="shared" si="3"/>
        <v>SP500</v>
      </c>
      <c r="D2224" s="2">
        <f t="shared" si="4"/>
        <v>2179</v>
      </c>
      <c r="E2224" s="2">
        <f t="shared" si="5"/>
        <v>2179</v>
      </c>
      <c r="G2224" s="10">
        <f t="shared" si="9"/>
        <v>40206.64583</v>
      </c>
      <c r="H2224" s="6" t="str">
        <f t="shared" si="6"/>
        <v/>
      </c>
      <c r="I2224" s="2">
        <f t="shared" si="7"/>
        <v>1426.89</v>
      </c>
      <c r="M2224" s="10">
        <f>IFERROR(__xludf.DUMMYFUNCTION("""COMPUTED_VALUE"""),41201.666666666664)</f>
        <v>41201.66667</v>
      </c>
      <c r="N2224" s="2">
        <f>IFERROR(__xludf.DUMMYFUNCTION("""COMPUTED_VALUE"""),3005.62)</f>
        <v>3005.62</v>
      </c>
    </row>
    <row r="2225">
      <c r="A2225" s="10">
        <f t="shared" si="8"/>
        <v>40207.66667</v>
      </c>
      <c r="B2225" s="2" t="str">
        <f t="shared" si="2"/>
        <v/>
      </c>
      <c r="C2225" s="2" t="str">
        <f t="shared" si="3"/>
        <v>SP500</v>
      </c>
      <c r="D2225" s="2">
        <f t="shared" si="4"/>
        <v>2147.35</v>
      </c>
      <c r="E2225" s="2">
        <f t="shared" si="5"/>
        <v>2147.35</v>
      </c>
      <c r="G2225" s="10">
        <f t="shared" si="9"/>
        <v>40207.64583</v>
      </c>
      <c r="H2225" s="6" t="str">
        <f t="shared" si="6"/>
        <v/>
      </c>
      <c r="I2225" s="2">
        <f t="shared" si="7"/>
        <v>1426.89</v>
      </c>
      <c r="M2225" s="10">
        <f>IFERROR(__xludf.DUMMYFUNCTION("""COMPUTED_VALUE"""),41204.666666666664)</f>
        <v>41204.66667</v>
      </c>
      <c r="N2225" s="2">
        <f>IFERROR(__xludf.DUMMYFUNCTION("""COMPUTED_VALUE"""),3016.96)</f>
        <v>3016.96</v>
      </c>
    </row>
    <row r="2226">
      <c r="A2226" s="10">
        <f t="shared" si="8"/>
        <v>40208.66667</v>
      </c>
      <c r="B2226" s="2" t="str">
        <f t="shared" si="2"/>
        <v/>
      </c>
      <c r="C2226" s="2" t="str">
        <f t="shared" si="3"/>
        <v>SP500</v>
      </c>
      <c r="D2226" s="2" t="str">
        <f t="shared" si="4"/>
        <v/>
      </c>
      <c r="E2226" s="2">
        <f t="shared" si="5"/>
        <v>2147.35</v>
      </c>
      <c r="G2226" s="10">
        <f t="shared" si="9"/>
        <v>40208.64583</v>
      </c>
      <c r="H2226" s="6" t="str">
        <f t="shared" si="6"/>
        <v/>
      </c>
      <c r="I2226" s="2">
        <f t="shared" si="7"/>
        <v>1426.89</v>
      </c>
      <c r="M2226" s="10">
        <f>IFERROR(__xludf.DUMMYFUNCTION("""COMPUTED_VALUE"""),41205.666666666664)</f>
        <v>41205.66667</v>
      </c>
      <c r="N2226" s="2">
        <f>IFERROR(__xludf.DUMMYFUNCTION("""COMPUTED_VALUE"""),2990.46)</f>
        <v>2990.46</v>
      </c>
    </row>
    <row r="2227">
      <c r="A2227" s="10">
        <f t="shared" si="8"/>
        <v>40209.66667</v>
      </c>
      <c r="B2227" s="2" t="str">
        <f t="shared" si="2"/>
        <v/>
      </c>
      <c r="C2227" s="2" t="str">
        <f t="shared" si="3"/>
        <v>SP500</v>
      </c>
      <c r="D2227" s="2" t="str">
        <f t="shared" si="4"/>
        <v/>
      </c>
      <c r="E2227" s="2">
        <f t="shared" si="5"/>
        <v>2147.35</v>
      </c>
      <c r="G2227" s="10">
        <f t="shared" si="9"/>
        <v>40209.64583</v>
      </c>
      <c r="H2227" s="6" t="str">
        <f t="shared" si="6"/>
        <v/>
      </c>
      <c r="I2227" s="2">
        <f t="shared" si="7"/>
        <v>1426.89</v>
      </c>
      <c r="M2227" s="10">
        <f>IFERROR(__xludf.DUMMYFUNCTION("""COMPUTED_VALUE"""),41206.666666666664)</f>
        <v>41206.66667</v>
      </c>
      <c r="N2227" s="2">
        <f>IFERROR(__xludf.DUMMYFUNCTION("""COMPUTED_VALUE"""),2981.7)</f>
        <v>2981.7</v>
      </c>
    </row>
    <row r="2228">
      <c r="A2228" s="10">
        <f t="shared" si="8"/>
        <v>40210.66667</v>
      </c>
      <c r="B2228" s="2" t="str">
        <f t="shared" si="2"/>
        <v/>
      </c>
      <c r="C2228" s="2" t="str">
        <f t="shared" si="3"/>
        <v>SP500</v>
      </c>
      <c r="D2228" s="2">
        <f t="shared" si="4"/>
        <v>2171.2</v>
      </c>
      <c r="E2228" s="2">
        <f t="shared" si="5"/>
        <v>2171.2</v>
      </c>
      <c r="G2228" s="10">
        <f t="shared" si="9"/>
        <v>40210.64583</v>
      </c>
      <c r="H2228" s="6" t="str">
        <f t="shared" si="6"/>
        <v/>
      </c>
      <c r="I2228" s="2">
        <f t="shared" si="7"/>
        <v>1426.89</v>
      </c>
      <c r="M2228" s="10">
        <f>IFERROR(__xludf.DUMMYFUNCTION("""COMPUTED_VALUE"""),41207.666666666664)</f>
        <v>41207.66667</v>
      </c>
      <c r="N2228" s="2">
        <f>IFERROR(__xludf.DUMMYFUNCTION("""COMPUTED_VALUE"""),2986.12)</f>
        <v>2986.12</v>
      </c>
    </row>
    <row r="2229">
      <c r="A2229" s="10">
        <f t="shared" si="8"/>
        <v>40211.66667</v>
      </c>
      <c r="B2229" s="2" t="str">
        <f t="shared" si="2"/>
        <v/>
      </c>
      <c r="C2229" s="2" t="str">
        <f t="shared" si="3"/>
        <v>SP500</v>
      </c>
      <c r="D2229" s="2">
        <f t="shared" si="4"/>
        <v>2190.06</v>
      </c>
      <c r="E2229" s="2">
        <f t="shared" si="5"/>
        <v>2190.06</v>
      </c>
      <c r="G2229" s="10">
        <f t="shared" si="9"/>
        <v>40211.64583</v>
      </c>
      <c r="H2229" s="6" t="str">
        <f t="shared" si="6"/>
        <v/>
      </c>
      <c r="I2229" s="2">
        <f t="shared" si="7"/>
        <v>1426.89</v>
      </c>
      <c r="M2229" s="10">
        <f>IFERROR(__xludf.DUMMYFUNCTION("""COMPUTED_VALUE"""),41208.666666666664)</f>
        <v>41208.66667</v>
      </c>
      <c r="N2229" s="2">
        <f>IFERROR(__xludf.DUMMYFUNCTION("""COMPUTED_VALUE"""),2987.95)</f>
        <v>2987.95</v>
      </c>
    </row>
    <row r="2230">
      <c r="A2230" s="10">
        <f t="shared" si="8"/>
        <v>40212.66667</v>
      </c>
      <c r="B2230" s="2" t="str">
        <f t="shared" si="2"/>
        <v/>
      </c>
      <c r="C2230" s="2" t="str">
        <f t="shared" si="3"/>
        <v>SP500</v>
      </c>
      <c r="D2230" s="2">
        <f t="shared" si="4"/>
        <v>2190.91</v>
      </c>
      <c r="E2230" s="2">
        <f t="shared" si="5"/>
        <v>2190.91</v>
      </c>
      <c r="G2230" s="10">
        <f t="shared" si="9"/>
        <v>40212.64583</v>
      </c>
      <c r="H2230" s="6" t="str">
        <f t="shared" si="6"/>
        <v/>
      </c>
      <c r="I2230" s="2">
        <f t="shared" si="7"/>
        <v>1426.89</v>
      </c>
      <c r="M2230" s="10">
        <f>IFERROR(__xludf.DUMMYFUNCTION("""COMPUTED_VALUE"""),41213.666666666664)</f>
        <v>41213.66667</v>
      </c>
      <c r="N2230" s="2">
        <f>IFERROR(__xludf.DUMMYFUNCTION("""COMPUTED_VALUE"""),2977.23)</f>
        <v>2977.23</v>
      </c>
    </row>
    <row r="2231">
      <c r="A2231" s="10">
        <f t="shared" si="8"/>
        <v>40213.66667</v>
      </c>
      <c r="B2231" s="2" t="str">
        <f t="shared" si="2"/>
        <v/>
      </c>
      <c r="C2231" s="2" t="str">
        <f t="shared" si="3"/>
        <v>SP500</v>
      </c>
      <c r="D2231" s="2">
        <f t="shared" si="4"/>
        <v>2125.43</v>
      </c>
      <c r="E2231" s="2">
        <f t="shared" si="5"/>
        <v>2125.43</v>
      </c>
      <c r="G2231" s="10">
        <f t="shared" si="9"/>
        <v>40213.64583</v>
      </c>
      <c r="H2231" s="6" t="str">
        <f t="shared" si="6"/>
        <v/>
      </c>
      <c r="I2231" s="2">
        <f t="shared" si="7"/>
        <v>1426.89</v>
      </c>
      <c r="M2231" s="10">
        <f>IFERROR(__xludf.DUMMYFUNCTION("""COMPUTED_VALUE"""),41214.666666666664)</f>
        <v>41214.66667</v>
      </c>
      <c r="N2231" s="2">
        <f>IFERROR(__xludf.DUMMYFUNCTION("""COMPUTED_VALUE"""),3020.06)</f>
        <v>3020.06</v>
      </c>
    </row>
    <row r="2232">
      <c r="A2232" s="10">
        <f t="shared" si="8"/>
        <v>40214.66667</v>
      </c>
      <c r="B2232" s="2" t="str">
        <f t="shared" si="2"/>
        <v/>
      </c>
      <c r="C2232" s="2" t="str">
        <f t="shared" si="3"/>
        <v>SP500</v>
      </c>
      <c r="D2232" s="2">
        <f t="shared" si="4"/>
        <v>2141.12</v>
      </c>
      <c r="E2232" s="2">
        <f t="shared" si="5"/>
        <v>2141.12</v>
      </c>
      <c r="G2232" s="10">
        <f t="shared" si="9"/>
        <v>40214.64583</v>
      </c>
      <c r="H2232" s="6" t="str">
        <f t="shared" si="6"/>
        <v/>
      </c>
      <c r="I2232" s="2">
        <f t="shared" si="7"/>
        <v>1426.89</v>
      </c>
      <c r="M2232" s="10">
        <f>IFERROR(__xludf.DUMMYFUNCTION("""COMPUTED_VALUE"""),41215.666666666664)</f>
        <v>41215.66667</v>
      </c>
      <c r="N2232" s="2">
        <f>IFERROR(__xludf.DUMMYFUNCTION("""COMPUTED_VALUE"""),2982.13)</f>
        <v>2982.13</v>
      </c>
    </row>
    <row r="2233">
      <c r="A2233" s="10">
        <f t="shared" si="8"/>
        <v>40215.66667</v>
      </c>
      <c r="B2233" s="2" t="str">
        <f t="shared" si="2"/>
        <v/>
      </c>
      <c r="C2233" s="2" t="str">
        <f t="shared" si="3"/>
        <v>SP500</v>
      </c>
      <c r="D2233" s="2" t="str">
        <f t="shared" si="4"/>
        <v/>
      </c>
      <c r="E2233" s="2">
        <f t="shared" si="5"/>
        <v>2141.12</v>
      </c>
      <c r="G2233" s="10">
        <f t="shared" si="9"/>
        <v>40215.64583</v>
      </c>
      <c r="H2233" s="6" t="str">
        <f t="shared" si="6"/>
        <v/>
      </c>
      <c r="I2233" s="2">
        <f t="shared" si="7"/>
        <v>1426.89</v>
      </c>
      <c r="M2233" s="10">
        <f>IFERROR(__xludf.DUMMYFUNCTION("""COMPUTED_VALUE"""),41218.666666666664)</f>
        <v>41218.66667</v>
      </c>
      <c r="N2233" s="2">
        <f>IFERROR(__xludf.DUMMYFUNCTION("""COMPUTED_VALUE"""),2999.66)</f>
        <v>2999.66</v>
      </c>
    </row>
    <row r="2234">
      <c r="A2234" s="10">
        <f t="shared" si="8"/>
        <v>40216.66667</v>
      </c>
      <c r="B2234" s="2" t="str">
        <f t="shared" si="2"/>
        <v/>
      </c>
      <c r="C2234" s="2" t="str">
        <f t="shared" si="3"/>
        <v>SP500</v>
      </c>
      <c r="D2234" s="2" t="str">
        <f t="shared" si="4"/>
        <v/>
      </c>
      <c r="E2234" s="2">
        <f t="shared" si="5"/>
        <v>2141.12</v>
      </c>
      <c r="G2234" s="10">
        <f t="shared" si="9"/>
        <v>40216.64583</v>
      </c>
      <c r="H2234" s="6" t="str">
        <f t="shared" si="6"/>
        <v/>
      </c>
      <c r="I2234" s="2">
        <f t="shared" si="7"/>
        <v>1426.89</v>
      </c>
      <c r="M2234" s="10">
        <f>IFERROR(__xludf.DUMMYFUNCTION("""COMPUTED_VALUE"""),41219.666666666664)</f>
        <v>41219.66667</v>
      </c>
      <c r="N2234" s="2">
        <f>IFERROR(__xludf.DUMMYFUNCTION("""COMPUTED_VALUE"""),3011.93)</f>
        <v>3011.93</v>
      </c>
    </row>
    <row r="2235">
      <c r="A2235" s="10">
        <f t="shared" si="8"/>
        <v>40217.66667</v>
      </c>
      <c r="B2235" s="2" t="str">
        <f t="shared" si="2"/>
        <v/>
      </c>
      <c r="C2235" s="2" t="str">
        <f t="shared" si="3"/>
        <v>SP500</v>
      </c>
      <c r="D2235" s="2">
        <f t="shared" si="4"/>
        <v>2126.05</v>
      </c>
      <c r="E2235" s="2">
        <f t="shared" si="5"/>
        <v>2126.05</v>
      </c>
      <c r="G2235" s="10">
        <f t="shared" si="9"/>
        <v>40217.64583</v>
      </c>
      <c r="H2235" s="6" t="str">
        <f t="shared" si="6"/>
        <v/>
      </c>
      <c r="I2235" s="2">
        <f t="shared" si="7"/>
        <v>1426.89</v>
      </c>
      <c r="M2235" s="10">
        <f>IFERROR(__xludf.DUMMYFUNCTION("""COMPUTED_VALUE"""),41220.666666666664)</f>
        <v>41220.66667</v>
      </c>
      <c r="N2235" s="2">
        <f>IFERROR(__xludf.DUMMYFUNCTION("""COMPUTED_VALUE"""),2937.29)</f>
        <v>2937.29</v>
      </c>
    </row>
    <row r="2236">
      <c r="A2236" s="10">
        <f t="shared" si="8"/>
        <v>40218.66667</v>
      </c>
      <c r="B2236" s="2" t="str">
        <f t="shared" si="2"/>
        <v/>
      </c>
      <c r="C2236" s="2" t="str">
        <f t="shared" si="3"/>
        <v>SP500</v>
      </c>
      <c r="D2236" s="2">
        <f t="shared" si="4"/>
        <v>2150.87</v>
      </c>
      <c r="E2236" s="2">
        <f t="shared" si="5"/>
        <v>2150.87</v>
      </c>
      <c r="G2236" s="10">
        <f t="shared" si="9"/>
        <v>40218.64583</v>
      </c>
      <c r="H2236" s="6" t="str">
        <f t="shared" si="6"/>
        <v/>
      </c>
      <c r="I2236" s="2">
        <f t="shared" si="7"/>
        <v>1426.89</v>
      </c>
      <c r="M2236" s="10">
        <f>IFERROR(__xludf.DUMMYFUNCTION("""COMPUTED_VALUE"""),41221.666666666664)</f>
        <v>41221.66667</v>
      </c>
      <c r="N2236" s="2">
        <f>IFERROR(__xludf.DUMMYFUNCTION("""COMPUTED_VALUE"""),2895.58)</f>
        <v>2895.58</v>
      </c>
    </row>
    <row r="2237">
      <c r="A2237" s="10">
        <f t="shared" si="8"/>
        <v>40219.66667</v>
      </c>
      <c r="B2237" s="2" t="str">
        <f t="shared" si="2"/>
        <v/>
      </c>
      <c r="C2237" s="2" t="str">
        <f t="shared" si="3"/>
        <v>SP500</v>
      </c>
      <c r="D2237" s="2">
        <f t="shared" si="4"/>
        <v>2147.87</v>
      </c>
      <c r="E2237" s="2">
        <f t="shared" si="5"/>
        <v>2147.87</v>
      </c>
      <c r="G2237" s="10">
        <f t="shared" si="9"/>
        <v>40219.64583</v>
      </c>
      <c r="H2237" s="6" t="str">
        <f t="shared" si="6"/>
        <v/>
      </c>
      <c r="I2237" s="2">
        <f t="shared" si="7"/>
        <v>1426.89</v>
      </c>
      <c r="M2237" s="10">
        <f>IFERROR(__xludf.DUMMYFUNCTION("""COMPUTED_VALUE"""),41222.666666666664)</f>
        <v>41222.66667</v>
      </c>
      <c r="N2237" s="2">
        <f>IFERROR(__xludf.DUMMYFUNCTION("""COMPUTED_VALUE"""),2904.87)</f>
        <v>2904.87</v>
      </c>
    </row>
    <row r="2238">
      <c r="A2238" s="10">
        <f t="shared" si="8"/>
        <v>40220.66667</v>
      </c>
      <c r="B2238" s="2" t="str">
        <f t="shared" si="2"/>
        <v/>
      </c>
      <c r="C2238" s="2" t="str">
        <f t="shared" si="3"/>
        <v>SP500</v>
      </c>
      <c r="D2238" s="2">
        <f t="shared" si="4"/>
        <v>2177.41</v>
      </c>
      <c r="E2238" s="2">
        <f t="shared" si="5"/>
        <v>2177.41</v>
      </c>
      <c r="G2238" s="10">
        <f t="shared" si="9"/>
        <v>40220.64583</v>
      </c>
      <c r="H2238" s="6" t="str">
        <f t="shared" si="6"/>
        <v/>
      </c>
      <c r="I2238" s="2">
        <f t="shared" si="7"/>
        <v>1426.89</v>
      </c>
      <c r="M2238" s="10">
        <f>IFERROR(__xludf.DUMMYFUNCTION("""COMPUTED_VALUE"""),41225.666666666664)</f>
        <v>41225.66667</v>
      </c>
      <c r="N2238" s="2">
        <f>IFERROR(__xludf.DUMMYFUNCTION("""COMPUTED_VALUE"""),2904.26)</f>
        <v>2904.26</v>
      </c>
    </row>
    <row r="2239">
      <c r="A2239" s="10">
        <f t="shared" si="8"/>
        <v>40221.66667</v>
      </c>
      <c r="B2239" s="2" t="str">
        <f t="shared" si="2"/>
        <v/>
      </c>
      <c r="C2239" s="2" t="str">
        <f t="shared" si="3"/>
        <v>SP500</v>
      </c>
      <c r="D2239" s="2">
        <f t="shared" si="4"/>
        <v>2183.53</v>
      </c>
      <c r="E2239" s="2">
        <f t="shared" si="5"/>
        <v>2183.53</v>
      </c>
      <c r="G2239" s="10">
        <f t="shared" si="9"/>
        <v>40221.64583</v>
      </c>
      <c r="H2239" s="6" t="str">
        <f t="shared" si="6"/>
        <v/>
      </c>
      <c r="I2239" s="2">
        <f t="shared" si="7"/>
        <v>1426.89</v>
      </c>
      <c r="M2239" s="10">
        <f>IFERROR(__xludf.DUMMYFUNCTION("""COMPUTED_VALUE"""),41226.666666666664)</f>
        <v>41226.66667</v>
      </c>
      <c r="N2239" s="2">
        <f>IFERROR(__xludf.DUMMYFUNCTION("""COMPUTED_VALUE"""),2883.89)</f>
        <v>2883.89</v>
      </c>
    </row>
    <row r="2240">
      <c r="A2240" s="10">
        <f t="shared" si="8"/>
        <v>40222.66667</v>
      </c>
      <c r="B2240" s="2" t="str">
        <f t="shared" si="2"/>
        <v/>
      </c>
      <c r="C2240" s="2" t="str">
        <f t="shared" si="3"/>
        <v>SP500</v>
      </c>
      <c r="D2240" s="2" t="str">
        <f t="shared" si="4"/>
        <v/>
      </c>
      <c r="E2240" s="2">
        <f t="shared" si="5"/>
        <v>2183.53</v>
      </c>
      <c r="G2240" s="10">
        <f t="shared" si="9"/>
        <v>40222.64583</v>
      </c>
      <c r="H2240" s="6" t="str">
        <f t="shared" si="6"/>
        <v/>
      </c>
      <c r="I2240" s="2">
        <f t="shared" si="7"/>
        <v>1426.89</v>
      </c>
      <c r="M2240" s="10">
        <f>IFERROR(__xludf.DUMMYFUNCTION("""COMPUTED_VALUE"""),41227.666666666664)</f>
        <v>41227.66667</v>
      </c>
      <c r="N2240" s="2">
        <f>IFERROR(__xludf.DUMMYFUNCTION("""COMPUTED_VALUE"""),2846.81)</f>
        <v>2846.81</v>
      </c>
    </row>
    <row r="2241">
      <c r="A2241" s="10">
        <f t="shared" si="8"/>
        <v>40223.66667</v>
      </c>
      <c r="B2241" s="2" t="str">
        <f t="shared" si="2"/>
        <v/>
      </c>
      <c r="C2241" s="2" t="str">
        <f t="shared" si="3"/>
        <v>SP500</v>
      </c>
      <c r="D2241" s="2" t="str">
        <f t="shared" si="4"/>
        <v/>
      </c>
      <c r="E2241" s="2">
        <f t="shared" si="5"/>
        <v>2183.53</v>
      </c>
      <c r="G2241" s="10">
        <f t="shared" si="9"/>
        <v>40223.64583</v>
      </c>
      <c r="H2241" s="6" t="str">
        <f t="shared" si="6"/>
        <v/>
      </c>
      <c r="I2241" s="2">
        <f t="shared" si="7"/>
        <v>1426.89</v>
      </c>
      <c r="M2241" s="10">
        <f>IFERROR(__xludf.DUMMYFUNCTION("""COMPUTED_VALUE"""),41228.666666666664)</f>
        <v>41228.66667</v>
      </c>
      <c r="N2241" s="2">
        <f>IFERROR(__xludf.DUMMYFUNCTION("""COMPUTED_VALUE"""),2836.94)</f>
        <v>2836.94</v>
      </c>
    </row>
    <row r="2242">
      <c r="A2242" s="10">
        <f t="shared" si="8"/>
        <v>40224.66667</v>
      </c>
      <c r="B2242" s="2" t="str">
        <f t="shared" si="2"/>
        <v/>
      </c>
      <c r="C2242" s="2" t="str">
        <f t="shared" si="3"/>
        <v>SP500</v>
      </c>
      <c r="D2242" s="2" t="str">
        <f t="shared" si="4"/>
        <v/>
      </c>
      <c r="E2242" s="2">
        <f t="shared" si="5"/>
        <v>2183.53</v>
      </c>
      <c r="G2242" s="10">
        <f t="shared" si="9"/>
        <v>40224.64583</v>
      </c>
      <c r="H2242" s="6" t="str">
        <f t="shared" si="6"/>
        <v/>
      </c>
      <c r="I2242" s="2">
        <f t="shared" si="7"/>
        <v>1426.89</v>
      </c>
      <c r="M2242" s="10">
        <f>IFERROR(__xludf.DUMMYFUNCTION("""COMPUTED_VALUE"""),41229.666666666664)</f>
        <v>41229.66667</v>
      </c>
      <c r="N2242" s="2">
        <f>IFERROR(__xludf.DUMMYFUNCTION("""COMPUTED_VALUE"""),2853.13)</f>
        <v>2853.13</v>
      </c>
    </row>
    <row r="2243">
      <c r="A2243" s="10">
        <f t="shared" si="8"/>
        <v>40225.66667</v>
      </c>
      <c r="B2243" s="2" t="str">
        <f t="shared" si="2"/>
        <v/>
      </c>
      <c r="C2243" s="2" t="str">
        <f t="shared" si="3"/>
        <v>SP500</v>
      </c>
      <c r="D2243" s="2">
        <f t="shared" si="4"/>
        <v>2214.19</v>
      </c>
      <c r="E2243" s="2">
        <f t="shared" si="5"/>
        <v>2214.19</v>
      </c>
      <c r="G2243" s="10">
        <f t="shared" si="9"/>
        <v>40225.64583</v>
      </c>
      <c r="H2243" s="6" t="str">
        <f t="shared" si="6"/>
        <v/>
      </c>
      <c r="I2243" s="2">
        <f t="shared" si="7"/>
        <v>1426.89</v>
      </c>
      <c r="M2243" s="10">
        <f>IFERROR(__xludf.DUMMYFUNCTION("""COMPUTED_VALUE"""),41232.666666666664)</f>
        <v>41232.66667</v>
      </c>
      <c r="N2243" s="2">
        <f>IFERROR(__xludf.DUMMYFUNCTION("""COMPUTED_VALUE"""),2916.07)</f>
        <v>2916.07</v>
      </c>
    </row>
    <row r="2244">
      <c r="A2244" s="10">
        <f t="shared" si="8"/>
        <v>40226.66667</v>
      </c>
      <c r="B2244" s="2" t="str">
        <f t="shared" si="2"/>
        <v/>
      </c>
      <c r="C2244" s="2" t="str">
        <f t="shared" si="3"/>
        <v>SP500</v>
      </c>
      <c r="D2244" s="2">
        <f t="shared" si="4"/>
        <v>2226.29</v>
      </c>
      <c r="E2244" s="2">
        <f t="shared" si="5"/>
        <v>2226.29</v>
      </c>
      <c r="G2244" s="10">
        <f t="shared" si="9"/>
        <v>40226.64583</v>
      </c>
      <c r="H2244" s="6" t="str">
        <f t="shared" si="6"/>
        <v/>
      </c>
      <c r="I2244" s="2">
        <f t="shared" si="7"/>
        <v>1426.89</v>
      </c>
      <c r="M2244" s="10">
        <f>IFERROR(__xludf.DUMMYFUNCTION("""COMPUTED_VALUE"""),41233.666666666664)</f>
        <v>41233.66667</v>
      </c>
      <c r="N2244" s="2">
        <f>IFERROR(__xludf.DUMMYFUNCTION("""COMPUTED_VALUE"""),2916.68)</f>
        <v>2916.68</v>
      </c>
    </row>
    <row r="2245">
      <c r="A2245" s="10">
        <f t="shared" si="8"/>
        <v>40227.66667</v>
      </c>
      <c r="B2245" s="2" t="str">
        <f t="shared" si="2"/>
        <v/>
      </c>
      <c r="C2245" s="2" t="str">
        <f t="shared" si="3"/>
        <v>SP500</v>
      </c>
      <c r="D2245" s="2">
        <f t="shared" si="4"/>
        <v>2241.71</v>
      </c>
      <c r="E2245" s="2">
        <f t="shared" si="5"/>
        <v>2241.71</v>
      </c>
      <c r="G2245" s="10">
        <f t="shared" si="9"/>
        <v>40227.64583</v>
      </c>
      <c r="H2245" s="6" t="str">
        <f t="shared" si="6"/>
        <v/>
      </c>
      <c r="I2245" s="2">
        <f t="shared" si="7"/>
        <v>1426.89</v>
      </c>
      <c r="M2245" s="10">
        <f>IFERROR(__xludf.DUMMYFUNCTION("""COMPUTED_VALUE"""),41234.666666666664)</f>
        <v>41234.66667</v>
      </c>
      <c r="N2245" s="2">
        <f>IFERROR(__xludf.DUMMYFUNCTION("""COMPUTED_VALUE"""),2926.55)</f>
        <v>2926.55</v>
      </c>
    </row>
    <row r="2246">
      <c r="A2246" s="10">
        <f t="shared" si="8"/>
        <v>40228.66667</v>
      </c>
      <c r="B2246" s="2" t="str">
        <f t="shared" si="2"/>
        <v/>
      </c>
      <c r="C2246" s="2" t="str">
        <f t="shared" si="3"/>
        <v>SP500</v>
      </c>
      <c r="D2246" s="2">
        <f t="shared" si="4"/>
        <v>2243.87</v>
      </c>
      <c r="E2246" s="2">
        <f t="shared" si="5"/>
        <v>2243.87</v>
      </c>
      <c r="G2246" s="10">
        <f t="shared" si="9"/>
        <v>40228.64583</v>
      </c>
      <c r="H2246" s="6" t="str">
        <f t="shared" si="6"/>
        <v/>
      </c>
      <c r="I2246" s="2">
        <f t="shared" si="7"/>
        <v>1426.89</v>
      </c>
      <c r="M2246" s="10">
        <f>IFERROR(__xludf.DUMMYFUNCTION("""COMPUTED_VALUE"""),41236.666666666664)</f>
        <v>41236.66667</v>
      </c>
      <c r="N2246" s="2">
        <f>IFERROR(__xludf.DUMMYFUNCTION("""COMPUTED_VALUE"""),2966.85)</f>
        <v>2966.85</v>
      </c>
    </row>
    <row r="2247">
      <c r="A2247" s="10">
        <f t="shared" si="8"/>
        <v>40229.66667</v>
      </c>
      <c r="B2247" s="2" t="str">
        <f t="shared" si="2"/>
        <v/>
      </c>
      <c r="C2247" s="2" t="str">
        <f t="shared" si="3"/>
        <v>SP500</v>
      </c>
      <c r="D2247" s="2" t="str">
        <f t="shared" si="4"/>
        <v/>
      </c>
      <c r="E2247" s="2">
        <f t="shared" si="5"/>
        <v>2243.87</v>
      </c>
      <c r="G2247" s="10">
        <f t="shared" si="9"/>
        <v>40229.64583</v>
      </c>
      <c r="H2247" s="6" t="str">
        <f t="shared" si="6"/>
        <v/>
      </c>
      <c r="I2247" s="2">
        <f t="shared" si="7"/>
        <v>1426.89</v>
      </c>
      <c r="M2247" s="10">
        <f>IFERROR(__xludf.DUMMYFUNCTION("""COMPUTED_VALUE"""),41239.666666666664)</f>
        <v>41239.66667</v>
      </c>
      <c r="N2247" s="2">
        <f>IFERROR(__xludf.DUMMYFUNCTION("""COMPUTED_VALUE"""),2976.78)</f>
        <v>2976.78</v>
      </c>
    </row>
    <row r="2248">
      <c r="A2248" s="10">
        <f t="shared" si="8"/>
        <v>40230.66667</v>
      </c>
      <c r="B2248" s="2" t="str">
        <f t="shared" si="2"/>
        <v/>
      </c>
      <c r="C2248" s="2" t="str">
        <f t="shared" si="3"/>
        <v>SP500</v>
      </c>
      <c r="D2248" s="2" t="str">
        <f t="shared" si="4"/>
        <v/>
      </c>
      <c r="E2248" s="2">
        <f t="shared" si="5"/>
        <v>2243.87</v>
      </c>
      <c r="G2248" s="10">
        <f t="shared" si="9"/>
        <v>40230.64583</v>
      </c>
      <c r="H2248" s="6" t="str">
        <f t="shared" si="6"/>
        <v/>
      </c>
      <c r="I2248" s="2">
        <f t="shared" si="7"/>
        <v>1426.89</v>
      </c>
      <c r="M2248" s="10">
        <f>IFERROR(__xludf.DUMMYFUNCTION("""COMPUTED_VALUE"""),41240.666666666664)</f>
        <v>41240.66667</v>
      </c>
      <c r="N2248" s="2">
        <f>IFERROR(__xludf.DUMMYFUNCTION("""COMPUTED_VALUE"""),2967.79)</f>
        <v>2967.79</v>
      </c>
    </row>
    <row r="2249">
      <c r="A2249" s="10">
        <f t="shared" si="8"/>
        <v>40231.66667</v>
      </c>
      <c r="B2249" s="2" t="str">
        <f t="shared" si="2"/>
        <v/>
      </c>
      <c r="C2249" s="2" t="str">
        <f t="shared" si="3"/>
        <v>SP500</v>
      </c>
      <c r="D2249" s="2">
        <f t="shared" si="4"/>
        <v>2242.03</v>
      </c>
      <c r="E2249" s="2">
        <f t="shared" si="5"/>
        <v>2242.03</v>
      </c>
      <c r="G2249" s="10">
        <f t="shared" si="9"/>
        <v>40231.64583</v>
      </c>
      <c r="H2249" s="6" t="str">
        <f t="shared" si="6"/>
        <v/>
      </c>
      <c r="I2249" s="2">
        <f t="shared" si="7"/>
        <v>1426.89</v>
      </c>
      <c r="M2249" s="10">
        <f>IFERROR(__xludf.DUMMYFUNCTION("""COMPUTED_VALUE"""),41241.666666666664)</f>
        <v>41241.66667</v>
      </c>
      <c r="N2249" s="2">
        <f>IFERROR(__xludf.DUMMYFUNCTION("""COMPUTED_VALUE"""),2991.78)</f>
        <v>2991.78</v>
      </c>
    </row>
    <row r="2250">
      <c r="A2250" s="10">
        <f t="shared" si="8"/>
        <v>40232.66667</v>
      </c>
      <c r="B2250" s="2" t="str">
        <f t="shared" si="2"/>
        <v/>
      </c>
      <c r="C2250" s="2" t="str">
        <f t="shared" si="3"/>
        <v>SP500</v>
      </c>
      <c r="D2250" s="2">
        <f t="shared" si="4"/>
        <v>2213.44</v>
      </c>
      <c r="E2250" s="2">
        <f t="shared" si="5"/>
        <v>2213.44</v>
      </c>
      <c r="G2250" s="10">
        <f t="shared" si="9"/>
        <v>40232.64583</v>
      </c>
      <c r="H2250" s="6" t="str">
        <f t="shared" si="6"/>
        <v/>
      </c>
      <c r="I2250" s="2">
        <f t="shared" si="7"/>
        <v>1426.89</v>
      </c>
      <c r="M2250" s="10">
        <f>IFERROR(__xludf.DUMMYFUNCTION("""COMPUTED_VALUE"""),41242.666666666664)</f>
        <v>41242.66667</v>
      </c>
      <c r="N2250" s="2">
        <f>IFERROR(__xludf.DUMMYFUNCTION("""COMPUTED_VALUE"""),3012.03)</f>
        <v>3012.03</v>
      </c>
    </row>
    <row r="2251">
      <c r="A2251" s="10">
        <f t="shared" si="8"/>
        <v>40233.66667</v>
      </c>
      <c r="B2251" s="2" t="str">
        <f t="shared" si="2"/>
        <v/>
      </c>
      <c r="C2251" s="2" t="str">
        <f t="shared" si="3"/>
        <v>SP500</v>
      </c>
      <c r="D2251" s="2">
        <f t="shared" si="4"/>
        <v>2235.9</v>
      </c>
      <c r="E2251" s="2">
        <f t="shared" si="5"/>
        <v>2235.9</v>
      </c>
      <c r="G2251" s="10">
        <f t="shared" si="9"/>
        <v>40233.64583</v>
      </c>
      <c r="H2251" s="6" t="str">
        <f t="shared" si="6"/>
        <v/>
      </c>
      <c r="I2251" s="2">
        <f t="shared" si="7"/>
        <v>1426.89</v>
      </c>
      <c r="M2251" s="10">
        <f>IFERROR(__xludf.DUMMYFUNCTION("""COMPUTED_VALUE"""),41243.666666666664)</f>
        <v>41243.66667</v>
      </c>
      <c r="N2251" s="2">
        <f>IFERROR(__xludf.DUMMYFUNCTION("""COMPUTED_VALUE"""),3010.24)</f>
        <v>3010.24</v>
      </c>
    </row>
    <row r="2252">
      <c r="A2252" s="10">
        <f t="shared" si="8"/>
        <v>40234.66667</v>
      </c>
      <c r="B2252" s="2" t="str">
        <f t="shared" si="2"/>
        <v/>
      </c>
      <c r="C2252" s="2" t="str">
        <f t="shared" si="3"/>
        <v>SP500</v>
      </c>
      <c r="D2252" s="2">
        <f t="shared" si="4"/>
        <v>2234.22</v>
      </c>
      <c r="E2252" s="2">
        <f t="shared" si="5"/>
        <v>2234.22</v>
      </c>
      <c r="G2252" s="10">
        <f t="shared" si="9"/>
        <v>40234.64583</v>
      </c>
      <c r="H2252" s="6" t="str">
        <f t="shared" si="6"/>
        <v/>
      </c>
      <c r="I2252" s="2">
        <f t="shared" si="7"/>
        <v>1426.89</v>
      </c>
      <c r="M2252" s="10">
        <f>IFERROR(__xludf.DUMMYFUNCTION("""COMPUTED_VALUE"""),41246.666666666664)</f>
        <v>41246.66667</v>
      </c>
      <c r="N2252" s="2">
        <f>IFERROR(__xludf.DUMMYFUNCTION("""COMPUTED_VALUE"""),3002.2)</f>
        <v>3002.2</v>
      </c>
    </row>
    <row r="2253">
      <c r="A2253" s="10">
        <f t="shared" si="8"/>
        <v>40235.66667</v>
      </c>
      <c r="B2253" s="2" t="str">
        <f t="shared" si="2"/>
        <v/>
      </c>
      <c r="C2253" s="2" t="str">
        <f t="shared" si="3"/>
        <v>SP500</v>
      </c>
      <c r="D2253" s="2">
        <f t="shared" si="4"/>
        <v>2238.26</v>
      </c>
      <c r="E2253" s="2">
        <f t="shared" si="5"/>
        <v>2238.26</v>
      </c>
      <c r="G2253" s="10">
        <f t="shared" si="9"/>
        <v>40235.64583</v>
      </c>
      <c r="H2253" s="6" t="str">
        <f t="shared" si="6"/>
        <v/>
      </c>
      <c r="I2253" s="2">
        <f t="shared" si="7"/>
        <v>1426.89</v>
      </c>
      <c r="M2253" s="10">
        <f>IFERROR(__xludf.DUMMYFUNCTION("""COMPUTED_VALUE"""),41247.666666666664)</f>
        <v>41247.66667</v>
      </c>
      <c r="N2253" s="2">
        <f>IFERROR(__xludf.DUMMYFUNCTION("""COMPUTED_VALUE"""),2996.69)</f>
        <v>2996.69</v>
      </c>
    </row>
    <row r="2254">
      <c r="A2254" s="10">
        <f t="shared" si="8"/>
        <v>40236.66667</v>
      </c>
      <c r="B2254" s="2" t="str">
        <f t="shared" si="2"/>
        <v/>
      </c>
      <c r="C2254" s="2" t="str">
        <f t="shared" si="3"/>
        <v>SP500</v>
      </c>
      <c r="D2254" s="2" t="str">
        <f t="shared" si="4"/>
        <v/>
      </c>
      <c r="E2254" s="2">
        <f t="shared" si="5"/>
        <v>2238.26</v>
      </c>
      <c r="G2254" s="10">
        <f t="shared" si="9"/>
        <v>40236.64583</v>
      </c>
      <c r="H2254" s="6" t="str">
        <f t="shared" si="6"/>
        <v/>
      </c>
      <c r="I2254" s="2">
        <f t="shared" si="7"/>
        <v>1426.89</v>
      </c>
      <c r="M2254" s="10">
        <f>IFERROR(__xludf.DUMMYFUNCTION("""COMPUTED_VALUE"""),41248.666666666664)</f>
        <v>41248.66667</v>
      </c>
      <c r="N2254" s="2">
        <f>IFERROR(__xludf.DUMMYFUNCTION("""COMPUTED_VALUE"""),2973.7)</f>
        <v>2973.7</v>
      </c>
    </row>
    <row r="2255">
      <c r="A2255" s="10">
        <f t="shared" si="8"/>
        <v>40237.66667</v>
      </c>
      <c r="B2255" s="2" t="str">
        <f t="shared" si="2"/>
        <v/>
      </c>
      <c r="C2255" s="2" t="str">
        <f t="shared" si="3"/>
        <v>SP500</v>
      </c>
      <c r="D2255" s="2" t="str">
        <f t="shared" si="4"/>
        <v/>
      </c>
      <c r="E2255" s="2">
        <f t="shared" si="5"/>
        <v>2238.26</v>
      </c>
      <c r="G2255" s="10">
        <f t="shared" si="9"/>
        <v>40237.64583</v>
      </c>
      <c r="H2255" s="6" t="str">
        <f t="shared" si="6"/>
        <v/>
      </c>
      <c r="I2255" s="2">
        <f t="shared" si="7"/>
        <v>1426.89</v>
      </c>
      <c r="M2255" s="10">
        <f>IFERROR(__xludf.DUMMYFUNCTION("""COMPUTED_VALUE"""),41249.666666666664)</f>
        <v>41249.66667</v>
      </c>
      <c r="N2255" s="2">
        <f>IFERROR(__xludf.DUMMYFUNCTION("""COMPUTED_VALUE"""),2989.27)</f>
        <v>2989.27</v>
      </c>
    </row>
    <row r="2256">
      <c r="A2256" s="10">
        <f t="shared" si="8"/>
        <v>40238.66667</v>
      </c>
      <c r="B2256" s="2" t="str">
        <f t="shared" si="2"/>
        <v/>
      </c>
      <c r="C2256" s="2" t="str">
        <f t="shared" si="3"/>
        <v>SP500</v>
      </c>
      <c r="D2256" s="2">
        <f t="shared" si="4"/>
        <v>2273.57</v>
      </c>
      <c r="E2256" s="2">
        <f t="shared" si="5"/>
        <v>2273.57</v>
      </c>
      <c r="G2256" s="10">
        <f t="shared" si="9"/>
        <v>40238.64583</v>
      </c>
      <c r="H2256" s="6" t="str">
        <f t="shared" si="6"/>
        <v/>
      </c>
      <c r="I2256" s="2">
        <f t="shared" si="7"/>
        <v>1426.89</v>
      </c>
      <c r="M2256" s="10">
        <f>IFERROR(__xludf.DUMMYFUNCTION("""COMPUTED_VALUE"""),41250.666666666664)</f>
        <v>41250.66667</v>
      </c>
      <c r="N2256" s="2">
        <f>IFERROR(__xludf.DUMMYFUNCTION("""COMPUTED_VALUE"""),2978.04)</f>
        <v>2978.04</v>
      </c>
    </row>
    <row r="2257">
      <c r="A2257" s="10">
        <f t="shared" si="8"/>
        <v>40239.66667</v>
      </c>
      <c r="B2257" s="2" t="str">
        <f t="shared" si="2"/>
        <v/>
      </c>
      <c r="C2257" s="2" t="str">
        <f t="shared" si="3"/>
        <v>SP500</v>
      </c>
      <c r="D2257" s="2">
        <f t="shared" si="4"/>
        <v>2280.79</v>
      </c>
      <c r="E2257" s="2">
        <f t="shared" si="5"/>
        <v>2280.79</v>
      </c>
      <c r="G2257" s="10">
        <f t="shared" si="9"/>
        <v>40239.64583</v>
      </c>
      <c r="H2257" s="6" t="str">
        <f t="shared" si="6"/>
        <v/>
      </c>
      <c r="I2257" s="2">
        <f t="shared" si="7"/>
        <v>1426.89</v>
      </c>
      <c r="M2257" s="10">
        <f>IFERROR(__xludf.DUMMYFUNCTION("""COMPUTED_VALUE"""),41253.666666666664)</f>
        <v>41253.66667</v>
      </c>
      <c r="N2257" s="2">
        <f>IFERROR(__xludf.DUMMYFUNCTION("""COMPUTED_VALUE"""),2986.96)</f>
        <v>2986.96</v>
      </c>
    </row>
    <row r="2258">
      <c r="A2258" s="10">
        <f t="shared" si="8"/>
        <v>40240.66667</v>
      </c>
      <c r="B2258" s="2" t="str">
        <f t="shared" si="2"/>
        <v/>
      </c>
      <c r="C2258" s="2" t="str">
        <f t="shared" si="3"/>
        <v>SP500</v>
      </c>
      <c r="D2258" s="2">
        <f t="shared" si="4"/>
        <v>2280.68</v>
      </c>
      <c r="E2258" s="2">
        <f t="shared" si="5"/>
        <v>2280.68</v>
      </c>
      <c r="G2258" s="10">
        <f t="shared" si="9"/>
        <v>40240.64583</v>
      </c>
      <c r="H2258" s="6" t="str">
        <f t="shared" si="6"/>
        <v/>
      </c>
      <c r="I2258" s="2">
        <f t="shared" si="7"/>
        <v>1426.89</v>
      </c>
      <c r="M2258" s="10">
        <f>IFERROR(__xludf.DUMMYFUNCTION("""COMPUTED_VALUE"""),41254.666666666664)</f>
        <v>41254.66667</v>
      </c>
      <c r="N2258" s="2">
        <f>IFERROR(__xludf.DUMMYFUNCTION("""COMPUTED_VALUE"""),3022.3)</f>
        <v>3022.3</v>
      </c>
    </row>
    <row r="2259">
      <c r="A2259" s="10">
        <f t="shared" si="8"/>
        <v>40241.66667</v>
      </c>
      <c r="B2259" s="2" t="str">
        <f t="shared" si="2"/>
        <v/>
      </c>
      <c r="C2259" s="2" t="str">
        <f t="shared" si="3"/>
        <v>SP500</v>
      </c>
      <c r="D2259" s="2">
        <f t="shared" si="4"/>
        <v>2292.31</v>
      </c>
      <c r="E2259" s="2">
        <f t="shared" si="5"/>
        <v>2292.31</v>
      </c>
      <c r="G2259" s="10">
        <f t="shared" si="9"/>
        <v>40241.64583</v>
      </c>
      <c r="H2259" s="6" t="str">
        <f t="shared" si="6"/>
        <v/>
      </c>
      <c r="I2259" s="2">
        <f t="shared" si="7"/>
        <v>1426.89</v>
      </c>
      <c r="M2259" s="10">
        <f>IFERROR(__xludf.DUMMYFUNCTION("""COMPUTED_VALUE"""),41255.666666666664)</f>
        <v>41255.66667</v>
      </c>
      <c r="N2259" s="2">
        <f>IFERROR(__xludf.DUMMYFUNCTION("""COMPUTED_VALUE"""),3013.81)</f>
        <v>3013.81</v>
      </c>
    </row>
    <row r="2260">
      <c r="A2260" s="10">
        <f t="shared" si="8"/>
        <v>40242.66667</v>
      </c>
      <c r="B2260" s="2" t="str">
        <f t="shared" si="2"/>
        <v/>
      </c>
      <c r="C2260" s="2" t="str">
        <f t="shared" si="3"/>
        <v>SP500</v>
      </c>
      <c r="D2260" s="2">
        <f t="shared" si="4"/>
        <v>2326.35</v>
      </c>
      <c r="E2260" s="2">
        <f t="shared" si="5"/>
        <v>2326.35</v>
      </c>
      <c r="G2260" s="10">
        <f t="shared" si="9"/>
        <v>40242.64583</v>
      </c>
      <c r="H2260" s="6" t="str">
        <f t="shared" si="6"/>
        <v/>
      </c>
      <c r="I2260" s="2">
        <f t="shared" si="7"/>
        <v>1426.89</v>
      </c>
      <c r="M2260" s="10">
        <f>IFERROR(__xludf.DUMMYFUNCTION("""COMPUTED_VALUE"""),41256.666666666664)</f>
        <v>41256.66667</v>
      </c>
      <c r="N2260" s="2">
        <f>IFERROR(__xludf.DUMMYFUNCTION("""COMPUTED_VALUE"""),2992.16)</f>
        <v>2992.16</v>
      </c>
    </row>
    <row r="2261">
      <c r="A2261" s="10">
        <f t="shared" si="8"/>
        <v>40243.66667</v>
      </c>
      <c r="B2261" s="2" t="str">
        <f t="shared" si="2"/>
        <v/>
      </c>
      <c r="C2261" s="2" t="str">
        <f t="shared" si="3"/>
        <v>SP500</v>
      </c>
      <c r="D2261" s="2" t="str">
        <f t="shared" si="4"/>
        <v/>
      </c>
      <c r="E2261" s="2">
        <f t="shared" si="5"/>
        <v>2326.35</v>
      </c>
      <c r="G2261" s="10">
        <f t="shared" si="9"/>
        <v>40243.64583</v>
      </c>
      <c r="H2261" s="6" t="str">
        <f t="shared" si="6"/>
        <v/>
      </c>
      <c r="I2261" s="2">
        <f t="shared" si="7"/>
        <v>1426.89</v>
      </c>
      <c r="M2261" s="10">
        <f>IFERROR(__xludf.DUMMYFUNCTION("""COMPUTED_VALUE"""),41257.666666666664)</f>
        <v>41257.66667</v>
      </c>
      <c r="N2261" s="2">
        <f>IFERROR(__xludf.DUMMYFUNCTION("""COMPUTED_VALUE"""),2971.33)</f>
        <v>2971.33</v>
      </c>
    </row>
    <row r="2262">
      <c r="A2262" s="10">
        <f t="shared" si="8"/>
        <v>40244.66667</v>
      </c>
      <c r="B2262" s="2" t="str">
        <f t="shared" si="2"/>
        <v/>
      </c>
      <c r="C2262" s="2" t="str">
        <f t="shared" si="3"/>
        <v>SP500</v>
      </c>
      <c r="D2262" s="2" t="str">
        <f t="shared" si="4"/>
        <v/>
      </c>
      <c r="E2262" s="2">
        <f t="shared" si="5"/>
        <v>2326.35</v>
      </c>
      <c r="G2262" s="10">
        <f t="shared" si="9"/>
        <v>40244.64583</v>
      </c>
      <c r="H2262" s="6" t="str">
        <f t="shared" si="6"/>
        <v/>
      </c>
      <c r="I2262" s="2">
        <f t="shared" si="7"/>
        <v>1426.89</v>
      </c>
      <c r="M2262" s="10">
        <f>IFERROR(__xludf.DUMMYFUNCTION("""COMPUTED_VALUE"""),41260.666666666664)</f>
        <v>41260.66667</v>
      </c>
      <c r="N2262" s="2">
        <f>IFERROR(__xludf.DUMMYFUNCTION("""COMPUTED_VALUE"""),3010.6)</f>
        <v>3010.6</v>
      </c>
    </row>
    <row r="2263">
      <c r="A2263" s="10">
        <f t="shared" si="8"/>
        <v>40245.66667</v>
      </c>
      <c r="B2263" s="2" t="str">
        <f t="shared" si="2"/>
        <v/>
      </c>
      <c r="C2263" s="2" t="str">
        <f t="shared" si="3"/>
        <v>SP500</v>
      </c>
      <c r="D2263" s="2">
        <f t="shared" si="4"/>
        <v>2332.21</v>
      </c>
      <c r="E2263" s="2">
        <f t="shared" si="5"/>
        <v>2332.21</v>
      </c>
      <c r="G2263" s="10">
        <f t="shared" si="9"/>
        <v>40245.64583</v>
      </c>
      <c r="H2263" s="6" t="str">
        <f t="shared" si="6"/>
        <v/>
      </c>
      <c r="I2263" s="2">
        <f t="shared" si="7"/>
        <v>1426.89</v>
      </c>
      <c r="M2263" s="10">
        <f>IFERROR(__xludf.DUMMYFUNCTION("""COMPUTED_VALUE"""),41261.666666666664)</f>
        <v>41261.66667</v>
      </c>
      <c r="N2263" s="2">
        <f>IFERROR(__xludf.DUMMYFUNCTION("""COMPUTED_VALUE"""),3054.53)</f>
        <v>3054.53</v>
      </c>
    </row>
    <row r="2264">
      <c r="A2264" s="10">
        <f t="shared" si="8"/>
        <v>40246.66667</v>
      </c>
      <c r="B2264" s="2" t="str">
        <f t="shared" si="2"/>
        <v/>
      </c>
      <c r="C2264" s="2" t="str">
        <f t="shared" si="3"/>
        <v>SP500</v>
      </c>
      <c r="D2264" s="2">
        <f t="shared" si="4"/>
        <v>2340.68</v>
      </c>
      <c r="E2264" s="2">
        <f t="shared" si="5"/>
        <v>2340.68</v>
      </c>
      <c r="G2264" s="10">
        <f t="shared" si="9"/>
        <v>40246.64583</v>
      </c>
      <c r="H2264" s="6" t="str">
        <f t="shared" si="6"/>
        <v/>
      </c>
      <c r="I2264" s="2">
        <f t="shared" si="7"/>
        <v>1426.89</v>
      </c>
      <c r="M2264" s="10">
        <f>IFERROR(__xludf.DUMMYFUNCTION("""COMPUTED_VALUE"""),41262.666666666664)</f>
        <v>41262.66667</v>
      </c>
      <c r="N2264" s="2">
        <f>IFERROR(__xludf.DUMMYFUNCTION("""COMPUTED_VALUE"""),3044.36)</f>
        <v>3044.36</v>
      </c>
    </row>
    <row r="2265">
      <c r="A2265" s="10">
        <f t="shared" si="8"/>
        <v>40247.66667</v>
      </c>
      <c r="B2265" s="2" t="str">
        <f t="shared" si="2"/>
        <v/>
      </c>
      <c r="C2265" s="2" t="str">
        <f t="shared" si="3"/>
        <v>SP500</v>
      </c>
      <c r="D2265" s="2">
        <f t="shared" si="4"/>
        <v>2358.95</v>
      </c>
      <c r="E2265" s="2">
        <f t="shared" si="5"/>
        <v>2358.95</v>
      </c>
      <c r="G2265" s="10">
        <f t="shared" si="9"/>
        <v>40247.64583</v>
      </c>
      <c r="H2265" s="6" t="str">
        <f t="shared" si="6"/>
        <v/>
      </c>
      <c r="I2265" s="2">
        <f t="shared" si="7"/>
        <v>1426.89</v>
      </c>
      <c r="M2265" s="10">
        <f>IFERROR(__xludf.DUMMYFUNCTION("""COMPUTED_VALUE"""),41263.666666666664)</f>
        <v>41263.66667</v>
      </c>
      <c r="N2265" s="2">
        <f>IFERROR(__xludf.DUMMYFUNCTION("""COMPUTED_VALUE"""),3050.39)</f>
        <v>3050.39</v>
      </c>
    </row>
    <row r="2266">
      <c r="A2266" s="10">
        <f t="shared" si="8"/>
        <v>40248.66667</v>
      </c>
      <c r="B2266" s="2" t="str">
        <f t="shared" si="2"/>
        <v/>
      </c>
      <c r="C2266" s="2" t="str">
        <f t="shared" si="3"/>
        <v>SP500</v>
      </c>
      <c r="D2266" s="2">
        <f t="shared" si="4"/>
        <v>2368.46</v>
      </c>
      <c r="E2266" s="2">
        <f t="shared" si="5"/>
        <v>2368.46</v>
      </c>
      <c r="G2266" s="10">
        <f t="shared" si="9"/>
        <v>40248.64583</v>
      </c>
      <c r="H2266" s="6" t="str">
        <f t="shared" si="6"/>
        <v/>
      </c>
      <c r="I2266" s="2">
        <f t="shared" si="7"/>
        <v>1426.89</v>
      </c>
      <c r="M2266" s="10">
        <f>IFERROR(__xludf.DUMMYFUNCTION("""COMPUTED_VALUE"""),41264.666666666664)</f>
        <v>41264.66667</v>
      </c>
      <c r="N2266" s="2">
        <f>IFERROR(__xludf.DUMMYFUNCTION("""COMPUTED_VALUE"""),3021.01)</f>
        <v>3021.01</v>
      </c>
    </row>
    <row r="2267">
      <c r="A2267" s="10">
        <f t="shared" si="8"/>
        <v>40249.66667</v>
      </c>
      <c r="B2267" s="2" t="str">
        <f t="shared" si="2"/>
        <v/>
      </c>
      <c r="C2267" s="2" t="str">
        <f t="shared" si="3"/>
        <v>SP500</v>
      </c>
      <c r="D2267" s="2">
        <f t="shared" si="4"/>
        <v>2367.66</v>
      </c>
      <c r="E2267" s="2">
        <f t="shared" si="5"/>
        <v>2367.66</v>
      </c>
      <c r="G2267" s="10">
        <f t="shared" si="9"/>
        <v>40249.64583</v>
      </c>
      <c r="H2267" s="6" t="str">
        <f t="shared" si="6"/>
        <v/>
      </c>
      <c r="I2267" s="2">
        <f t="shared" si="7"/>
        <v>1426.89</v>
      </c>
      <c r="M2267" s="10">
        <f>IFERROR(__xludf.DUMMYFUNCTION("""COMPUTED_VALUE"""),41267.666666666664)</f>
        <v>41267.66667</v>
      </c>
      <c r="N2267" s="2">
        <f>IFERROR(__xludf.DUMMYFUNCTION("""COMPUTED_VALUE"""),3012.6)</f>
        <v>3012.6</v>
      </c>
    </row>
    <row r="2268">
      <c r="A2268" s="10">
        <f t="shared" si="8"/>
        <v>40250.66667</v>
      </c>
      <c r="B2268" s="2" t="str">
        <f t="shared" si="2"/>
        <v/>
      </c>
      <c r="C2268" s="2" t="str">
        <f t="shared" si="3"/>
        <v>SP500</v>
      </c>
      <c r="D2268" s="2" t="str">
        <f t="shared" si="4"/>
        <v/>
      </c>
      <c r="E2268" s="2">
        <f t="shared" si="5"/>
        <v>2367.66</v>
      </c>
      <c r="G2268" s="10">
        <f t="shared" si="9"/>
        <v>40250.64583</v>
      </c>
      <c r="H2268" s="6" t="str">
        <f t="shared" si="6"/>
        <v/>
      </c>
      <c r="I2268" s="2">
        <f t="shared" si="7"/>
        <v>1426.89</v>
      </c>
      <c r="M2268" s="10">
        <f>IFERROR(__xludf.DUMMYFUNCTION("""COMPUTED_VALUE"""),41269.666666666664)</f>
        <v>41269.66667</v>
      </c>
      <c r="N2268" s="2">
        <f>IFERROR(__xludf.DUMMYFUNCTION("""COMPUTED_VALUE"""),2990.16)</f>
        <v>2990.16</v>
      </c>
    </row>
    <row r="2269">
      <c r="A2269" s="10">
        <f t="shared" si="8"/>
        <v>40251.66667</v>
      </c>
      <c r="B2269" s="2" t="str">
        <f t="shared" si="2"/>
        <v/>
      </c>
      <c r="C2269" s="2" t="str">
        <f t="shared" si="3"/>
        <v>SP500</v>
      </c>
      <c r="D2269" s="2" t="str">
        <f t="shared" si="4"/>
        <v/>
      </c>
      <c r="E2269" s="2">
        <f t="shared" si="5"/>
        <v>2367.66</v>
      </c>
      <c r="G2269" s="10">
        <f t="shared" si="9"/>
        <v>40251.64583</v>
      </c>
      <c r="H2269" s="6" t="str">
        <f t="shared" si="6"/>
        <v/>
      </c>
      <c r="I2269" s="2">
        <f t="shared" si="7"/>
        <v>1426.89</v>
      </c>
      <c r="M2269" s="10">
        <f>IFERROR(__xludf.DUMMYFUNCTION("""COMPUTED_VALUE"""),41270.666666666664)</f>
        <v>41270.66667</v>
      </c>
      <c r="N2269" s="2">
        <f>IFERROR(__xludf.DUMMYFUNCTION("""COMPUTED_VALUE"""),2985.91)</f>
        <v>2985.91</v>
      </c>
    </row>
    <row r="2270">
      <c r="A2270" s="10">
        <f t="shared" si="8"/>
        <v>40252.66667</v>
      </c>
      <c r="B2270" s="2" t="str">
        <f t="shared" si="2"/>
        <v/>
      </c>
      <c r="C2270" s="2" t="str">
        <f t="shared" si="3"/>
        <v>SP500</v>
      </c>
      <c r="D2270" s="2">
        <f t="shared" si="4"/>
        <v>2362.21</v>
      </c>
      <c r="E2270" s="2">
        <f t="shared" si="5"/>
        <v>2362.21</v>
      </c>
      <c r="G2270" s="10">
        <f t="shared" si="9"/>
        <v>40252.64583</v>
      </c>
      <c r="H2270" s="6" t="str">
        <f t="shared" si="6"/>
        <v/>
      </c>
      <c r="I2270" s="2">
        <f t="shared" si="7"/>
        <v>1426.89</v>
      </c>
      <c r="M2270" s="10">
        <f>IFERROR(__xludf.DUMMYFUNCTION("""COMPUTED_VALUE"""),41271.666666666664)</f>
        <v>41271.66667</v>
      </c>
      <c r="N2270" s="2">
        <f>IFERROR(__xludf.DUMMYFUNCTION("""COMPUTED_VALUE"""),2960.31)</f>
        <v>2960.31</v>
      </c>
    </row>
    <row r="2271">
      <c r="A2271" s="10">
        <f t="shared" si="8"/>
        <v>40253.66667</v>
      </c>
      <c r="B2271" s="2" t="str">
        <f t="shared" si="2"/>
        <v/>
      </c>
      <c r="C2271" s="2" t="str">
        <f t="shared" si="3"/>
        <v>SP500</v>
      </c>
      <c r="D2271" s="2">
        <f t="shared" si="4"/>
        <v>2378.01</v>
      </c>
      <c r="E2271" s="2">
        <f t="shared" si="5"/>
        <v>2378.01</v>
      </c>
      <c r="G2271" s="10">
        <f t="shared" si="9"/>
        <v>40253.64583</v>
      </c>
      <c r="H2271" s="6" t="str">
        <f t="shared" si="6"/>
        <v/>
      </c>
      <c r="I2271" s="2">
        <f t="shared" si="7"/>
        <v>1426.89</v>
      </c>
      <c r="M2271" s="10">
        <f>IFERROR(__xludf.DUMMYFUNCTION("""COMPUTED_VALUE"""),41274.666666666664)</f>
        <v>41274.66667</v>
      </c>
      <c r="N2271" s="2">
        <f>IFERROR(__xludf.DUMMYFUNCTION("""COMPUTED_VALUE"""),3019.51)</f>
        <v>3019.51</v>
      </c>
    </row>
    <row r="2272">
      <c r="A2272" s="10">
        <f t="shared" si="8"/>
        <v>40254.66667</v>
      </c>
      <c r="B2272" s="2" t="str">
        <f t="shared" si="2"/>
        <v/>
      </c>
      <c r="C2272" s="2" t="str">
        <f t="shared" si="3"/>
        <v>SP500</v>
      </c>
      <c r="D2272" s="2">
        <f t="shared" si="4"/>
        <v>2389.09</v>
      </c>
      <c r="E2272" s="2">
        <f t="shared" si="5"/>
        <v>2389.09</v>
      </c>
      <c r="G2272" s="10">
        <f t="shared" si="9"/>
        <v>40254.64583</v>
      </c>
      <c r="H2272" s="6" t="str">
        <f t="shared" si="6"/>
        <v/>
      </c>
      <c r="I2272" s="2">
        <f t="shared" si="7"/>
        <v>1426.89</v>
      </c>
      <c r="M2272" s="10">
        <f>IFERROR(__xludf.DUMMYFUNCTION("""COMPUTED_VALUE"""),41276.666666666664)</f>
        <v>41276.66667</v>
      </c>
      <c r="N2272" s="2">
        <f>IFERROR(__xludf.DUMMYFUNCTION("""COMPUTED_VALUE"""),3112.26)</f>
        <v>3112.26</v>
      </c>
    </row>
    <row r="2273">
      <c r="A2273" s="10">
        <f t="shared" si="8"/>
        <v>40255.66667</v>
      </c>
      <c r="B2273" s="2" t="str">
        <f t="shared" si="2"/>
        <v/>
      </c>
      <c r="C2273" s="2" t="str">
        <f t="shared" si="3"/>
        <v>SP500</v>
      </c>
      <c r="D2273" s="2">
        <f t="shared" si="4"/>
        <v>2391.28</v>
      </c>
      <c r="E2273" s="2">
        <f t="shared" si="5"/>
        <v>2391.28</v>
      </c>
      <c r="G2273" s="10">
        <f t="shared" si="9"/>
        <v>40255.64583</v>
      </c>
      <c r="H2273" s="6" t="str">
        <f t="shared" si="6"/>
        <v/>
      </c>
      <c r="I2273" s="2">
        <f t="shared" si="7"/>
        <v>1426.89</v>
      </c>
      <c r="M2273" s="10">
        <f>IFERROR(__xludf.DUMMYFUNCTION("""COMPUTED_VALUE"""),41277.666666666664)</f>
        <v>41277.66667</v>
      </c>
      <c r="N2273" s="2">
        <f>IFERROR(__xludf.DUMMYFUNCTION("""COMPUTED_VALUE"""),3100.57)</f>
        <v>3100.57</v>
      </c>
    </row>
    <row r="2274">
      <c r="A2274" s="10">
        <f t="shared" si="8"/>
        <v>40256.66667</v>
      </c>
      <c r="B2274" s="2" t="str">
        <f t="shared" si="2"/>
        <v/>
      </c>
      <c r="C2274" s="2" t="str">
        <f t="shared" si="3"/>
        <v>SP500</v>
      </c>
      <c r="D2274" s="2">
        <f t="shared" si="4"/>
        <v>2374.41</v>
      </c>
      <c r="E2274" s="2">
        <f t="shared" si="5"/>
        <v>2374.41</v>
      </c>
      <c r="G2274" s="10">
        <f t="shared" si="9"/>
        <v>40256.64583</v>
      </c>
      <c r="H2274" s="6" t="str">
        <f t="shared" si="6"/>
        <v/>
      </c>
      <c r="I2274" s="2">
        <f t="shared" si="7"/>
        <v>1426.89</v>
      </c>
      <c r="M2274" s="10">
        <f>IFERROR(__xludf.DUMMYFUNCTION("""COMPUTED_VALUE"""),41278.666666666664)</f>
        <v>41278.66667</v>
      </c>
      <c r="N2274" s="2">
        <f>IFERROR(__xludf.DUMMYFUNCTION("""COMPUTED_VALUE"""),3101.66)</f>
        <v>3101.66</v>
      </c>
    </row>
    <row r="2275">
      <c r="A2275" s="10">
        <f t="shared" si="8"/>
        <v>40257.66667</v>
      </c>
      <c r="B2275" s="2" t="str">
        <f t="shared" si="2"/>
        <v/>
      </c>
      <c r="C2275" s="2" t="str">
        <f t="shared" si="3"/>
        <v>SP500</v>
      </c>
      <c r="D2275" s="2" t="str">
        <f t="shared" si="4"/>
        <v/>
      </c>
      <c r="E2275" s="2">
        <f t="shared" si="5"/>
        <v>2374.41</v>
      </c>
      <c r="G2275" s="10">
        <f t="shared" si="9"/>
        <v>40257.64583</v>
      </c>
      <c r="H2275" s="6" t="str">
        <f t="shared" si="6"/>
        <v/>
      </c>
      <c r="I2275" s="2">
        <f t="shared" si="7"/>
        <v>1426.89</v>
      </c>
      <c r="M2275" s="10">
        <f>IFERROR(__xludf.DUMMYFUNCTION("""COMPUTED_VALUE"""),41281.666666666664)</f>
        <v>41281.66667</v>
      </c>
      <c r="N2275" s="2">
        <f>IFERROR(__xludf.DUMMYFUNCTION("""COMPUTED_VALUE"""),3098.81)</f>
        <v>3098.81</v>
      </c>
    </row>
    <row r="2276">
      <c r="A2276" s="10">
        <f t="shared" si="8"/>
        <v>40258.66667</v>
      </c>
      <c r="B2276" s="2" t="str">
        <f t="shared" si="2"/>
        <v/>
      </c>
      <c r="C2276" s="2" t="str">
        <f t="shared" si="3"/>
        <v>SP500</v>
      </c>
      <c r="D2276" s="2" t="str">
        <f t="shared" si="4"/>
        <v/>
      </c>
      <c r="E2276" s="2">
        <f t="shared" si="5"/>
        <v>2374.41</v>
      </c>
      <c r="G2276" s="10">
        <f t="shared" si="9"/>
        <v>40258.64583</v>
      </c>
      <c r="H2276" s="6" t="str">
        <f t="shared" si="6"/>
        <v/>
      </c>
      <c r="I2276" s="2">
        <f t="shared" si="7"/>
        <v>1426.89</v>
      </c>
      <c r="M2276" s="10">
        <f>IFERROR(__xludf.DUMMYFUNCTION("""COMPUTED_VALUE"""),41282.666666666664)</f>
        <v>41282.66667</v>
      </c>
      <c r="N2276" s="2">
        <f>IFERROR(__xludf.DUMMYFUNCTION("""COMPUTED_VALUE"""),3091.81)</f>
        <v>3091.81</v>
      </c>
    </row>
    <row r="2277">
      <c r="A2277" s="10">
        <f t="shared" si="8"/>
        <v>40259.66667</v>
      </c>
      <c r="B2277" s="2" t="str">
        <f t="shared" si="2"/>
        <v/>
      </c>
      <c r="C2277" s="2" t="str">
        <f t="shared" si="3"/>
        <v>SP500</v>
      </c>
      <c r="D2277" s="2">
        <f t="shared" si="4"/>
        <v>2395.4</v>
      </c>
      <c r="E2277" s="2">
        <f t="shared" si="5"/>
        <v>2395.4</v>
      </c>
      <c r="G2277" s="10">
        <f t="shared" si="9"/>
        <v>40259.64583</v>
      </c>
      <c r="H2277" s="6" t="str">
        <f t="shared" si="6"/>
        <v/>
      </c>
      <c r="I2277" s="2">
        <f t="shared" si="7"/>
        <v>1426.89</v>
      </c>
      <c r="M2277" s="10">
        <f>IFERROR(__xludf.DUMMYFUNCTION("""COMPUTED_VALUE"""),41283.666666666664)</f>
        <v>41283.66667</v>
      </c>
      <c r="N2277" s="2">
        <f>IFERROR(__xludf.DUMMYFUNCTION("""COMPUTED_VALUE"""),3105.81)</f>
        <v>3105.81</v>
      </c>
    </row>
    <row r="2278">
      <c r="A2278" s="10">
        <f t="shared" si="8"/>
        <v>40260.66667</v>
      </c>
      <c r="B2278" s="2" t="str">
        <f t="shared" si="2"/>
        <v/>
      </c>
      <c r="C2278" s="2" t="str">
        <f t="shared" si="3"/>
        <v>SP500</v>
      </c>
      <c r="D2278" s="2">
        <f t="shared" si="4"/>
        <v>2415.24</v>
      </c>
      <c r="E2278" s="2">
        <f t="shared" si="5"/>
        <v>2415.24</v>
      </c>
      <c r="G2278" s="10">
        <f t="shared" si="9"/>
        <v>40260.64583</v>
      </c>
      <c r="H2278" s="6" t="str">
        <f t="shared" si="6"/>
        <v/>
      </c>
      <c r="I2278" s="2">
        <f t="shared" si="7"/>
        <v>1426.89</v>
      </c>
      <c r="M2278" s="10">
        <f>IFERROR(__xludf.DUMMYFUNCTION("""COMPUTED_VALUE"""),41284.666666666664)</f>
        <v>41284.66667</v>
      </c>
      <c r="N2278" s="2">
        <f>IFERROR(__xludf.DUMMYFUNCTION("""COMPUTED_VALUE"""),3121.76)</f>
        <v>3121.76</v>
      </c>
    </row>
    <row r="2279">
      <c r="A2279" s="10">
        <f t="shared" si="8"/>
        <v>40261.66667</v>
      </c>
      <c r="B2279" s="2" t="str">
        <f t="shared" si="2"/>
        <v/>
      </c>
      <c r="C2279" s="2" t="str">
        <f t="shared" si="3"/>
        <v>SP500</v>
      </c>
      <c r="D2279" s="2">
        <f t="shared" si="4"/>
        <v>2398.76</v>
      </c>
      <c r="E2279" s="2">
        <f t="shared" si="5"/>
        <v>2398.76</v>
      </c>
      <c r="G2279" s="10">
        <f t="shared" si="9"/>
        <v>40261.64583</v>
      </c>
      <c r="H2279" s="6" t="str">
        <f t="shared" si="6"/>
        <v/>
      </c>
      <c r="I2279" s="2">
        <f t="shared" si="7"/>
        <v>1426.89</v>
      </c>
      <c r="M2279" s="10">
        <f>IFERROR(__xludf.DUMMYFUNCTION("""COMPUTED_VALUE"""),41285.666666666664)</f>
        <v>41285.66667</v>
      </c>
      <c r="N2279" s="2">
        <f>IFERROR(__xludf.DUMMYFUNCTION("""COMPUTED_VALUE"""),3125.63)</f>
        <v>3125.63</v>
      </c>
    </row>
    <row r="2280">
      <c r="A2280" s="10">
        <f t="shared" si="8"/>
        <v>40262.66667</v>
      </c>
      <c r="B2280" s="2" t="str">
        <f t="shared" si="2"/>
        <v/>
      </c>
      <c r="C2280" s="2" t="str">
        <f t="shared" si="3"/>
        <v>SP500</v>
      </c>
      <c r="D2280" s="2">
        <f t="shared" si="4"/>
        <v>2397.41</v>
      </c>
      <c r="E2280" s="2">
        <f t="shared" si="5"/>
        <v>2397.41</v>
      </c>
      <c r="G2280" s="10">
        <f t="shared" si="9"/>
        <v>40262.64583</v>
      </c>
      <c r="H2280" s="6" t="str">
        <f t="shared" si="6"/>
        <v/>
      </c>
      <c r="I2280" s="2">
        <f t="shared" si="7"/>
        <v>1426.89</v>
      </c>
      <c r="M2280" s="10">
        <f>IFERROR(__xludf.DUMMYFUNCTION("""COMPUTED_VALUE"""),41288.666666666664)</f>
        <v>41288.66667</v>
      </c>
      <c r="N2280" s="2">
        <f>IFERROR(__xludf.DUMMYFUNCTION("""COMPUTED_VALUE"""),3117.5)</f>
        <v>3117.5</v>
      </c>
    </row>
    <row r="2281">
      <c r="A2281" s="10">
        <f t="shared" si="8"/>
        <v>40263.66667</v>
      </c>
      <c r="B2281" s="2" t="str">
        <f t="shared" si="2"/>
        <v/>
      </c>
      <c r="C2281" s="2" t="str">
        <f t="shared" si="3"/>
        <v>SP500</v>
      </c>
      <c r="D2281" s="2">
        <f t="shared" si="4"/>
        <v>2395.13</v>
      </c>
      <c r="E2281" s="2">
        <f t="shared" si="5"/>
        <v>2395.13</v>
      </c>
      <c r="G2281" s="10">
        <f t="shared" si="9"/>
        <v>40263.64583</v>
      </c>
      <c r="H2281" s="6" t="str">
        <f t="shared" si="6"/>
        <v/>
      </c>
      <c r="I2281" s="2">
        <f t="shared" si="7"/>
        <v>1426.89</v>
      </c>
      <c r="M2281" s="10">
        <f>IFERROR(__xludf.DUMMYFUNCTION("""COMPUTED_VALUE"""),41289.666666666664)</f>
        <v>41289.66667</v>
      </c>
      <c r="N2281" s="2">
        <f>IFERROR(__xludf.DUMMYFUNCTION("""COMPUTED_VALUE"""),3110.78)</f>
        <v>3110.78</v>
      </c>
    </row>
    <row r="2282">
      <c r="A2282" s="10">
        <f t="shared" si="8"/>
        <v>40264.66667</v>
      </c>
      <c r="B2282" s="2" t="str">
        <f t="shared" si="2"/>
        <v/>
      </c>
      <c r="C2282" s="2" t="str">
        <f t="shared" si="3"/>
        <v>SP500</v>
      </c>
      <c r="D2282" s="2" t="str">
        <f t="shared" si="4"/>
        <v/>
      </c>
      <c r="E2282" s="2">
        <f t="shared" si="5"/>
        <v>2395.13</v>
      </c>
      <c r="G2282" s="10">
        <f t="shared" si="9"/>
        <v>40264.64583</v>
      </c>
      <c r="H2282" s="6" t="str">
        <f t="shared" si="6"/>
        <v/>
      </c>
      <c r="I2282" s="2">
        <f t="shared" si="7"/>
        <v>1426.89</v>
      </c>
      <c r="M2282" s="10">
        <f>IFERROR(__xludf.DUMMYFUNCTION("""COMPUTED_VALUE"""),41290.666666666664)</f>
        <v>41290.66667</v>
      </c>
      <c r="N2282" s="2">
        <f>IFERROR(__xludf.DUMMYFUNCTION("""COMPUTED_VALUE"""),3117.54)</f>
        <v>3117.54</v>
      </c>
    </row>
    <row r="2283">
      <c r="A2283" s="10">
        <f t="shared" si="8"/>
        <v>40265.66667</v>
      </c>
      <c r="B2283" s="2" t="str">
        <f t="shared" si="2"/>
        <v/>
      </c>
      <c r="C2283" s="2" t="str">
        <f t="shared" si="3"/>
        <v>SP500</v>
      </c>
      <c r="D2283" s="2" t="str">
        <f t="shared" si="4"/>
        <v/>
      </c>
      <c r="E2283" s="2">
        <f t="shared" si="5"/>
        <v>2395.13</v>
      </c>
      <c r="G2283" s="10">
        <f t="shared" si="9"/>
        <v>40265.64583</v>
      </c>
      <c r="H2283" s="6" t="str">
        <f t="shared" si="6"/>
        <v/>
      </c>
      <c r="I2283" s="2">
        <f t="shared" si="7"/>
        <v>1426.89</v>
      </c>
      <c r="M2283" s="10">
        <f>IFERROR(__xludf.DUMMYFUNCTION("""COMPUTED_VALUE"""),41291.666666666664)</f>
        <v>41291.66667</v>
      </c>
      <c r="N2283" s="2">
        <f>IFERROR(__xludf.DUMMYFUNCTION("""COMPUTED_VALUE"""),3136.0)</f>
        <v>3136</v>
      </c>
    </row>
    <row r="2284">
      <c r="A2284" s="10">
        <f t="shared" si="8"/>
        <v>40266.66667</v>
      </c>
      <c r="B2284" s="2" t="str">
        <f t="shared" si="2"/>
        <v/>
      </c>
      <c r="C2284" s="2" t="str">
        <f t="shared" si="3"/>
        <v>SP500</v>
      </c>
      <c r="D2284" s="2">
        <f t="shared" si="4"/>
        <v>2404.36</v>
      </c>
      <c r="E2284" s="2">
        <f t="shared" si="5"/>
        <v>2404.36</v>
      </c>
      <c r="G2284" s="10">
        <f t="shared" si="9"/>
        <v>40266.64583</v>
      </c>
      <c r="H2284" s="6" t="str">
        <f t="shared" si="6"/>
        <v/>
      </c>
      <c r="I2284" s="2">
        <f t="shared" si="7"/>
        <v>1426.89</v>
      </c>
      <c r="M2284" s="10">
        <f>IFERROR(__xludf.DUMMYFUNCTION("""COMPUTED_VALUE"""),41292.666666666664)</f>
        <v>41292.66667</v>
      </c>
      <c r="N2284" s="2">
        <f>IFERROR(__xludf.DUMMYFUNCTION("""COMPUTED_VALUE"""),3134.71)</f>
        <v>3134.71</v>
      </c>
    </row>
    <row r="2285">
      <c r="A2285" s="10">
        <f t="shared" si="8"/>
        <v>40267.66667</v>
      </c>
      <c r="B2285" s="2" t="str">
        <f t="shared" si="2"/>
        <v/>
      </c>
      <c r="C2285" s="2" t="str">
        <f t="shared" si="3"/>
        <v>SP500</v>
      </c>
      <c r="D2285" s="2">
        <f t="shared" si="4"/>
        <v>2410.69</v>
      </c>
      <c r="E2285" s="2">
        <f t="shared" si="5"/>
        <v>2410.69</v>
      </c>
      <c r="G2285" s="10">
        <f t="shared" si="9"/>
        <v>40267.64583</v>
      </c>
      <c r="H2285" s="6" t="str">
        <f t="shared" si="6"/>
        <v/>
      </c>
      <c r="I2285" s="2">
        <f t="shared" si="7"/>
        <v>1426.89</v>
      </c>
      <c r="M2285" s="10">
        <f>IFERROR(__xludf.DUMMYFUNCTION("""COMPUTED_VALUE"""),41296.666666666664)</f>
        <v>41296.66667</v>
      </c>
      <c r="N2285" s="2">
        <f>IFERROR(__xludf.DUMMYFUNCTION("""COMPUTED_VALUE"""),3143.18)</f>
        <v>3143.18</v>
      </c>
    </row>
    <row r="2286">
      <c r="A2286" s="10">
        <f t="shared" si="8"/>
        <v>40268.66667</v>
      </c>
      <c r="B2286" s="2" t="str">
        <f t="shared" si="2"/>
        <v/>
      </c>
      <c r="C2286" s="2" t="str">
        <f t="shared" si="3"/>
        <v>SP500</v>
      </c>
      <c r="D2286" s="2">
        <f t="shared" si="4"/>
        <v>2397.96</v>
      </c>
      <c r="E2286" s="2">
        <f t="shared" si="5"/>
        <v>2397.96</v>
      </c>
      <c r="G2286" s="10">
        <f t="shared" si="9"/>
        <v>40268.64583</v>
      </c>
      <c r="H2286" s="6" t="str">
        <f t="shared" si="6"/>
        <v/>
      </c>
      <c r="I2286" s="2">
        <f t="shared" si="7"/>
        <v>1426.89</v>
      </c>
      <c r="M2286" s="10">
        <f>IFERROR(__xludf.DUMMYFUNCTION("""COMPUTED_VALUE"""),41297.666666666664)</f>
        <v>41297.66667</v>
      </c>
      <c r="N2286" s="2">
        <f>IFERROR(__xludf.DUMMYFUNCTION("""COMPUTED_VALUE"""),3153.67)</f>
        <v>3153.67</v>
      </c>
    </row>
    <row r="2287">
      <c r="A2287" s="10">
        <f t="shared" si="8"/>
        <v>40269.66667</v>
      </c>
      <c r="B2287" s="2" t="str">
        <f t="shared" si="2"/>
        <v/>
      </c>
      <c r="C2287" s="2" t="str">
        <f t="shared" si="3"/>
        <v>SP500</v>
      </c>
      <c r="D2287" s="2">
        <f t="shared" si="4"/>
        <v>2402.58</v>
      </c>
      <c r="E2287" s="2">
        <f t="shared" si="5"/>
        <v>2402.58</v>
      </c>
      <c r="G2287" s="10">
        <f t="shared" si="9"/>
        <v>40269.64583</v>
      </c>
      <c r="H2287" s="6" t="str">
        <f t="shared" si="6"/>
        <v/>
      </c>
      <c r="I2287" s="2">
        <f t="shared" si="7"/>
        <v>1426.89</v>
      </c>
      <c r="M2287" s="10">
        <f>IFERROR(__xludf.DUMMYFUNCTION("""COMPUTED_VALUE"""),41298.666666666664)</f>
        <v>41298.66667</v>
      </c>
      <c r="N2287" s="2">
        <f>IFERROR(__xludf.DUMMYFUNCTION("""COMPUTED_VALUE"""),3130.38)</f>
        <v>3130.38</v>
      </c>
    </row>
    <row r="2288">
      <c r="A2288" s="10">
        <f t="shared" si="8"/>
        <v>40270.66667</v>
      </c>
      <c r="B2288" s="2" t="str">
        <f t="shared" si="2"/>
        <v/>
      </c>
      <c r="C2288" s="2" t="str">
        <f t="shared" si="3"/>
        <v>SP500</v>
      </c>
      <c r="D2288" s="2" t="str">
        <f t="shared" si="4"/>
        <v/>
      </c>
      <c r="E2288" s="2">
        <f t="shared" si="5"/>
        <v>2402.58</v>
      </c>
      <c r="G2288" s="10">
        <f t="shared" si="9"/>
        <v>40270.64583</v>
      </c>
      <c r="H2288" s="6" t="str">
        <f t="shared" si="6"/>
        <v/>
      </c>
      <c r="I2288" s="2">
        <f t="shared" si="7"/>
        <v>1426.89</v>
      </c>
      <c r="M2288" s="10">
        <f>IFERROR(__xludf.DUMMYFUNCTION("""COMPUTED_VALUE"""),41299.666666666664)</f>
        <v>41299.66667</v>
      </c>
      <c r="N2288" s="2">
        <f>IFERROR(__xludf.DUMMYFUNCTION("""COMPUTED_VALUE"""),3149.71)</f>
        <v>3149.71</v>
      </c>
    </row>
    <row r="2289">
      <c r="A2289" s="10">
        <f t="shared" si="8"/>
        <v>40271.66667</v>
      </c>
      <c r="B2289" s="2" t="str">
        <f t="shared" si="2"/>
        <v/>
      </c>
      <c r="C2289" s="2" t="str">
        <f t="shared" si="3"/>
        <v>SP500</v>
      </c>
      <c r="D2289" s="2" t="str">
        <f t="shared" si="4"/>
        <v/>
      </c>
      <c r="E2289" s="2">
        <f t="shared" si="5"/>
        <v>2402.58</v>
      </c>
      <c r="G2289" s="10">
        <f t="shared" si="9"/>
        <v>40271.64583</v>
      </c>
      <c r="H2289" s="6" t="str">
        <f t="shared" si="6"/>
        <v/>
      </c>
      <c r="I2289" s="2">
        <f t="shared" si="7"/>
        <v>1426.89</v>
      </c>
      <c r="M2289" s="10">
        <f>IFERROR(__xludf.DUMMYFUNCTION("""COMPUTED_VALUE"""),41302.666666666664)</f>
        <v>41302.66667</v>
      </c>
      <c r="N2289" s="2">
        <f>IFERROR(__xludf.DUMMYFUNCTION("""COMPUTED_VALUE"""),3154.3)</f>
        <v>3154.3</v>
      </c>
    </row>
    <row r="2290">
      <c r="A2290" s="10">
        <f t="shared" si="8"/>
        <v>40272.66667</v>
      </c>
      <c r="B2290" s="2" t="str">
        <f t="shared" si="2"/>
        <v/>
      </c>
      <c r="C2290" s="2" t="str">
        <f t="shared" si="3"/>
        <v>SP500</v>
      </c>
      <c r="D2290" s="2" t="str">
        <f t="shared" si="4"/>
        <v/>
      </c>
      <c r="E2290" s="2">
        <f t="shared" si="5"/>
        <v>2402.58</v>
      </c>
      <c r="G2290" s="10">
        <f t="shared" si="9"/>
        <v>40272.64583</v>
      </c>
      <c r="H2290" s="6" t="str">
        <f t="shared" si="6"/>
        <v/>
      </c>
      <c r="I2290" s="2">
        <f t="shared" si="7"/>
        <v>1426.89</v>
      </c>
      <c r="M2290" s="10">
        <f>IFERROR(__xludf.DUMMYFUNCTION("""COMPUTED_VALUE"""),41303.666666666664)</f>
        <v>41303.66667</v>
      </c>
      <c r="N2290" s="2">
        <f>IFERROR(__xludf.DUMMYFUNCTION("""COMPUTED_VALUE"""),3153.66)</f>
        <v>3153.66</v>
      </c>
    </row>
    <row r="2291">
      <c r="A2291" s="10">
        <f t="shared" si="8"/>
        <v>40273.66667</v>
      </c>
      <c r="B2291" s="2" t="str">
        <f t="shared" si="2"/>
        <v/>
      </c>
      <c r="C2291" s="2" t="str">
        <f t="shared" si="3"/>
        <v>SP500</v>
      </c>
      <c r="D2291" s="2">
        <f t="shared" si="4"/>
        <v>2429.53</v>
      </c>
      <c r="E2291" s="2">
        <f t="shared" si="5"/>
        <v>2429.53</v>
      </c>
      <c r="G2291" s="10">
        <f t="shared" si="9"/>
        <v>40273.64583</v>
      </c>
      <c r="H2291" s="6" t="str">
        <f t="shared" si="6"/>
        <v/>
      </c>
      <c r="I2291" s="2">
        <f t="shared" si="7"/>
        <v>1426.89</v>
      </c>
      <c r="M2291" s="10">
        <f>IFERROR(__xludf.DUMMYFUNCTION("""COMPUTED_VALUE"""),41304.666666666664)</f>
        <v>41304.66667</v>
      </c>
      <c r="N2291" s="2">
        <f>IFERROR(__xludf.DUMMYFUNCTION("""COMPUTED_VALUE"""),3142.31)</f>
        <v>3142.31</v>
      </c>
    </row>
    <row r="2292">
      <c r="A2292" s="10">
        <f t="shared" si="8"/>
        <v>40274.66667</v>
      </c>
      <c r="B2292" s="2" t="str">
        <f t="shared" si="2"/>
        <v/>
      </c>
      <c r="C2292" s="2" t="str">
        <f t="shared" si="3"/>
        <v>SP500</v>
      </c>
      <c r="D2292" s="2">
        <f t="shared" si="4"/>
        <v>2436.81</v>
      </c>
      <c r="E2292" s="2">
        <f t="shared" si="5"/>
        <v>2436.81</v>
      </c>
      <c r="G2292" s="10">
        <f t="shared" si="9"/>
        <v>40274.64583</v>
      </c>
      <c r="H2292" s="6" t="str">
        <f t="shared" si="6"/>
        <v/>
      </c>
      <c r="I2292" s="2">
        <f t="shared" si="7"/>
        <v>1426.89</v>
      </c>
      <c r="M2292" s="10">
        <f>IFERROR(__xludf.DUMMYFUNCTION("""COMPUTED_VALUE"""),41305.666666666664)</f>
        <v>41305.66667</v>
      </c>
      <c r="N2292" s="2">
        <f>IFERROR(__xludf.DUMMYFUNCTION("""COMPUTED_VALUE"""),3142.13)</f>
        <v>3142.13</v>
      </c>
    </row>
    <row r="2293">
      <c r="A2293" s="10">
        <f t="shared" si="8"/>
        <v>40275.66667</v>
      </c>
      <c r="B2293" s="2" t="str">
        <f t="shared" si="2"/>
        <v/>
      </c>
      <c r="C2293" s="2" t="str">
        <f t="shared" si="3"/>
        <v>SP500</v>
      </c>
      <c r="D2293" s="2">
        <f t="shared" si="4"/>
        <v>2431.16</v>
      </c>
      <c r="E2293" s="2">
        <f t="shared" si="5"/>
        <v>2431.16</v>
      </c>
      <c r="G2293" s="10">
        <f t="shared" si="9"/>
        <v>40275.64583</v>
      </c>
      <c r="H2293" s="6" t="str">
        <f t="shared" si="6"/>
        <v/>
      </c>
      <c r="I2293" s="2">
        <f t="shared" si="7"/>
        <v>1426.89</v>
      </c>
      <c r="M2293" s="10">
        <f>IFERROR(__xludf.DUMMYFUNCTION("""COMPUTED_VALUE"""),41306.666666666664)</f>
        <v>41306.66667</v>
      </c>
      <c r="N2293" s="2">
        <f>IFERROR(__xludf.DUMMYFUNCTION("""COMPUTED_VALUE"""),3179.1)</f>
        <v>3179.1</v>
      </c>
    </row>
    <row r="2294">
      <c r="A2294" s="10">
        <f t="shared" si="8"/>
        <v>40276.66667</v>
      </c>
      <c r="B2294" s="2" t="str">
        <f t="shared" si="2"/>
        <v/>
      </c>
      <c r="C2294" s="2" t="str">
        <f t="shared" si="3"/>
        <v>SP500</v>
      </c>
      <c r="D2294" s="2">
        <f t="shared" si="4"/>
        <v>2436.81</v>
      </c>
      <c r="E2294" s="2">
        <f t="shared" si="5"/>
        <v>2436.81</v>
      </c>
      <c r="G2294" s="10">
        <f t="shared" si="9"/>
        <v>40276.64583</v>
      </c>
      <c r="H2294" s="6" t="str">
        <f t="shared" si="6"/>
        <v/>
      </c>
      <c r="I2294" s="2">
        <f t="shared" si="7"/>
        <v>1426.89</v>
      </c>
      <c r="M2294" s="10">
        <f>IFERROR(__xludf.DUMMYFUNCTION("""COMPUTED_VALUE"""),41309.666666666664)</f>
        <v>41309.66667</v>
      </c>
      <c r="N2294" s="2">
        <f>IFERROR(__xludf.DUMMYFUNCTION("""COMPUTED_VALUE"""),3131.17)</f>
        <v>3131.17</v>
      </c>
    </row>
    <row r="2295">
      <c r="A2295" s="10">
        <f t="shared" si="8"/>
        <v>40277.66667</v>
      </c>
      <c r="B2295" s="2" t="str">
        <f t="shared" si="2"/>
        <v/>
      </c>
      <c r="C2295" s="2" t="str">
        <f t="shared" si="3"/>
        <v>SP500</v>
      </c>
      <c r="D2295" s="2">
        <f t="shared" si="4"/>
        <v>2454.05</v>
      </c>
      <c r="E2295" s="2">
        <f t="shared" si="5"/>
        <v>2454.05</v>
      </c>
      <c r="G2295" s="10">
        <f t="shared" si="9"/>
        <v>40277.64583</v>
      </c>
      <c r="H2295" s="6" t="str">
        <f t="shared" si="6"/>
        <v/>
      </c>
      <c r="I2295" s="2">
        <f t="shared" si="7"/>
        <v>1426.89</v>
      </c>
      <c r="M2295" s="10">
        <f>IFERROR(__xludf.DUMMYFUNCTION("""COMPUTED_VALUE"""),41310.666666666664)</f>
        <v>41310.66667</v>
      </c>
      <c r="N2295" s="2">
        <f>IFERROR(__xludf.DUMMYFUNCTION("""COMPUTED_VALUE"""),3171.58)</f>
        <v>3171.58</v>
      </c>
    </row>
    <row r="2296">
      <c r="A2296" s="10">
        <f t="shared" si="8"/>
        <v>40278.66667</v>
      </c>
      <c r="B2296" s="2" t="str">
        <f t="shared" si="2"/>
        <v/>
      </c>
      <c r="C2296" s="2" t="str">
        <f t="shared" si="3"/>
        <v>SP500</v>
      </c>
      <c r="D2296" s="2" t="str">
        <f t="shared" si="4"/>
        <v/>
      </c>
      <c r="E2296" s="2">
        <f t="shared" si="5"/>
        <v>2454.05</v>
      </c>
      <c r="G2296" s="10">
        <f t="shared" si="9"/>
        <v>40278.64583</v>
      </c>
      <c r="H2296" s="6" t="str">
        <f t="shared" si="6"/>
        <v/>
      </c>
      <c r="I2296" s="2">
        <f t="shared" si="7"/>
        <v>1426.89</v>
      </c>
      <c r="M2296" s="10">
        <f>IFERROR(__xludf.DUMMYFUNCTION("""COMPUTED_VALUE"""),41311.666666666664)</f>
        <v>41311.66667</v>
      </c>
      <c r="N2296" s="2">
        <f>IFERROR(__xludf.DUMMYFUNCTION("""COMPUTED_VALUE"""),3168.48)</f>
        <v>3168.48</v>
      </c>
    </row>
    <row r="2297">
      <c r="A2297" s="10">
        <f t="shared" si="8"/>
        <v>40279.66667</v>
      </c>
      <c r="B2297" s="2" t="str">
        <f t="shared" si="2"/>
        <v/>
      </c>
      <c r="C2297" s="2" t="str">
        <f t="shared" si="3"/>
        <v>SP500</v>
      </c>
      <c r="D2297" s="2" t="str">
        <f t="shared" si="4"/>
        <v/>
      </c>
      <c r="E2297" s="2">
        <f t="shared" si="5"/>
        <v>2454.05</v>
      </c>
      <c r="G2297" s="10">
        <f t="shared" si="9"/>
        <v>40279.64583</v>
      </c>
      <c r="H2297" s="6" t="str">
        <f t="shared" si="6"/>
        <v/>
      </c>
      <c r="I2297" s="2">
        <f t="shared" si="7"/>
        <v>1426.89</v>
      </c>
      <c r="M2297" s="10">
        <f>IFERROR(__xludf.DUMMYFUNCTION("""COMPUTED_VALUE"""),41312.666666666664)</f>
        <v>41312.66667</v>
      </c>
      <c r="N2297" s="2">
        <f>IFERROR(__xludf.DUMMYFUNCTION("""COMPUTED_VALUE"""),3165.13)</f>
        <v>3165.13</v>
      </c>
    </row>
    <row r="2298">
      <c r="A2298" s="10">
        <f t="shared" si="8"/>
        <v>40280.66667</v>
      </c>
      <c r="B2298" s="2" t="str">
        <f t="shared" si="2"/>
        <v/>
      </c>
      <c r="C2298" s="2" t="str">
        <f t="shared" si="3"/>
        <v>SP500</v>
      </c>
      <c r="D2298" s="2">
        <f t="shared" si="4"/>
        <v>2457.87</v>
      </c>
      <c r="E2298" s="2">
        <f t="shared" si="5"/>
        <v>2457.87</v>
      </c>
      <c r="G2298" s="10">
        <f t="shared" si="9"/>
        <v>40280.64583</v>
      </c>
      <c r="H2298" s="6" t="str">
        <f t="shared" si="6"/>
        <v/>
      </c>
      <c r="I2298" s="2">
        <f t="shared" si="7"/>
        <v>1426.89</v>
      </c>
      <c r="M2298" s="10">
        <f>IFERROR(__xludf.DUMMYFUNCTION("""COMPUTED_VALUE"""),41313.666666666664)</f>
        <v>41313.66667</v>
      </c>
      <c r="N2298" s="2">
        <f>IFERROR(__xludf.DUMMYFUNCTION("""COMPUTED_VALUE"""),3193.87)</f>
        <v>3193.87</v>
      </c>
    </row>
    <row r="2299">
      <c r="A2299" s="10">
        <f t="shared" si="8"/>
        <v>40281.66667</v>
      </c>
      <c r="B2299" s="2" t="str">
        <f t="shared" si="2"/>
        <v/>
      </c>
      <c r="C2299" s="2" t="str">
        <f t="shared" si="3"/>
        <v>SP500</v>
      </c>
      <c r="D2299" s="2">
        <f t="shared" si="4"/>
        <v>2465.99</v>
      </c>
      <c r="E2299" s="2">
        <f t="shared" si="5"/>
        <v>2465.99</v>
      </c>
      <c r="G2299" s="10">
        <f t="shared" si="9"/>
        <v>40281.64583</v>
      </c>
      <c r="H2299" s="6" t="str">
        <f t="shared" si="6"/>
        <v/>
      </c>
      <c r="I2299" s="2">
        <f t="shared" si="7"/>
        <v>1426.89</v>
      </c>
      <c r="M2299" s="10">
        <f>IFERROR(__xludf.DUMMYFUNCTION("""COMPUTED_VALUE"""),41316.666666666664)</f>
        <v>41316.66667</v>
      </c>
      <c r="N2299" s="2">
        <f>IFERROR(__xludf.DUMMYFUNCTION("""COMPUTED_VALUE"""),3192.0)</f>
        <v>3192</v>
      </c>
    </row>
    <row r="2300">
      <c r="A2300" s="10">
        <f t="shared" si="8"/>
        <v>40282.66667</v>
      </c>
      <c r="B2300" s="2" t="str">
        <f t="shared" si="2"/>
        <v/>
      </c>
      <c r="C2300" s="2" t="str">
        <f t="shared" si="3"/>
        <v>SP500</v>
      </c>
      <c r="D2300" s="2">
        <f t="shared" si="4"/>
        <v>2504.86</v>
      </c>
      <c r="E2300" s="2">
        <f t="shared" si="5"/>
        <v>2504.86</v>
      </c>
      <c r="G2300" s="10">
        <f t="shared" si="9"/>
        <v>40282.64583</v>
      </c>
      <c r="H2300" s="6" t="str">
        <f t="shared" si="6"/>
        <v/>
      </c>
      <c r="I2300" s="2">
        <f t="shared" si="7"/>
        <v>1426.89</v>
      </c>
      <c r="M2300" s="10">
        <f>IFERROR(__xludf.DUMMYFUNCTION("""COMPUTED_VALUE"""),41317.666666666664)</f>
        <v>41317.66667</v>
      </c>
      <c r="N2300" s="2">
        <f>IFERROR(__xludf.DUMMYFUNCTION("""COMPUTED_VALUE"""),3186.49)</f>
        <v>3186.49</v>
      </c>
    </row>
    <row r="2301">
      <c r="A2301" s="10">
        <f t="shared" si="8"/>
        <v>40283.66667</v>
      </c>
      <c r="B2301" s="2" t="str">
        <f t="shared" si="2"/>
        <v/>
      </c>
      <c r="C2301" s="2" t="str">
        <f t="shared" si="3"/>
        <v>SP500</v>
      </c>
      <c r="D2301" s="2">
        <f t="shared" si="4"/>
        <v>2515.69</v>
      </c>
      <c r="E2301" s="2">
        <f t="shared" si="5"/>
        <v>2515.69</v>
      </c>
      <c r="G2301" s="10">
        <f t="shared" si="9"/>
        <v>40283.64583</v>
      </c>
      <c r="H2301" s="6" t="str">
        <f t="shared" si="6"/>
        <v/>
      </c>
      <c r="I2301" s="2">
        <f t="shared" si="7"/>
        <v>1426.89</v>
      </c>
      <c r="M2301" s="10">
        <f>IFERROR(__xludf.DUMMYFUNCTION("""COMPUTED_VALUE"""),41318.666666666664)</f>
        <v>41318.66667</v>
      </c>
      <c r="N2301" s="2">
        <f>IFERROR(__xludf.DUMMYFUNCTION("""COMPUTED_VALUE"""),3196.88)</f>
        <v>3196.88</v>
      </c>
    </row>
    <row r="2302">
      <c r="A2302" s="10">
        <f t="shared" si="8"/>
        <v>40284.66667</v>
      </c>
      <c r="B2302" s="2" t="str">
        <f t="shared" si="2"/>
        <v/>
      </c>
      <c r="C2302" s="2" t="str">
        <f t="shared" si="3"/>
        <v>SP500</v>
      </c>
      <c r="D2302" s="2">
        <f t="shared" si="4"/>
        <v>2481.26</v>
      </c>
      <c r="E2302" s="2">
        <f t="shared" si="5"/>
        <v>2481.26</v>
      </c>
      <c r="G2302" s="10">
        <f t="shared" si="9"/>
        <v>40284.64583</v>
      </c>
      <c r="H2302" s="6" t="str">
        <f t="shared" si="6"/>
        <v/>
      </c>
      <c r="I2302" s="2">
        <f t="shared" si="7"/>
        <v>1426.89</v>
      </c>
      <c r="M2302" s="10">
        <f>IFERROR(__xludf.DUMMYFUNCTION("""COMPUTED_VALUE"""),41319.666666666664)</f>
        <v>41319.66667</v>
      </c>
      <c r="N2302" s="2">
        <f>IFERROR(__xludf.DUMMYFUNCTION("""COMPUTED_VALUE"""),3198.66)</f>
        <v>3198.66</v>
      </c>
    </row>
    <row r="2303">
      <c r="A2303" s="10">
        <f t="shared" si="8"/>
        <v>40285.66667</v>
      </c>
      <c r="B2303" s="2" t="str">
        <f t="shared" si="2"/>
        <v/>
      </c>
      <c r="C2303" s="2" t="str">
        <f t="shared" si="3"/>
        <v>SP500</v>
      </c>
      <c r="D2303" s="2" t="str">
        <f t="shared" si="4"/>
        <v/>
      </c>
      <c r="E2303" s="2">
        <f t="shared" si="5"/>
        <v>2481.26</v>
      </c>
      <c r="G2303" s="10">
        <f t="shared" si="9"/>
        <v>40285.64583</v>
      </c>
      <c r="H2303" s="6" t="str">
        <f t="shared" si="6"/>
        <v/>
      </c>
      <c r="I2303" s="2">
        <f t="shared" si="7"/>
        <v>1426.89</v>
      </c>
      <c r="M2303" s="10">
        <f>IFERROR(__xludf.DUMMYFUNCTION("""COMPUTED_VALUE"""),41320.666666666664)</f>
        <v>41320.66667</v>
      </c>
      <c r="N2303" s="2">
        <f>IFERROR(__xludf.DUMMYFUNCTION("""COMPUTED_VALUE"""),3192.03)</f>
        <v>3192.03</v>
      </c>
    </row>
    <row r="2304">
      <c r="A2304" s="10">
        <f t="shared" si="8"/>
        <v>40286.66667</v>
      </c>
      <c r="B2304" s="2" t="str">
        <f t="shared" si="2"/>
        <v/>
      </c>
      <c r="C2304" s="2" t="str">
        <f t="shared" si="3"/>
        <v>SP500</v>
      </c>
      <c r="D2304" s="2" t="str">
        <f t="shared" si="4"/>
        <v/>
      </c>
      <c r="E2304" s="2">
        <f t="shared" si="5"/>
        <v>2481.26</v>
      </c>
      <c r="G2304" s="10">
        <f t="shared" si="9"/>
        <v>40286.64583</v>
      </c>
      <c r="H2304" s="6" t="str">
        <f t="shared" si="6"/>
        <v/>
      </c>
      <c r="I2304" s="2">
        <f t="shared" si="7"/>
        <v>1426.89</v>
      </c>
      <c r="M2304" s="10">
        <f>IFERROR(__xludf.DUMMYFUNCTION("""COMPUTED_VALUE"""),41324.666666666664)</f>
        <v>41324.66667</v>
      </c>
      <c r="N2304" s="2">
        <f>IFERROR(__xludf.DUMMYFUNCTION("""COMPUTED_VALUE"""),3213.6)</f>
        <v>3213.6</v>
      </c>
    </row>
    <row r="2305">
      <c r="A2305" s="10">
        <f t="shared" si="8"/>
        <v>40287.66667</v>
      </c>
      <c r="B2305" s="2" t="str">
        <f t="shared" si="2"/>
        <v/>
      </c>
      <c r="C2305" s="2" t="str">
        <f t="shared" si="3"/>
        <v>SP500</v>
      </c>
      <c r="D2305" s="2">
        <f t="shared" si="4"/>
        <v>2480.11</v>
      </c>
      <c r="E2305" s="2">
        <f t="shared" si="5"/>
        <v>2480.11</v>
      </c>
      <c r="G2305" s="10">
        <f t="shared" si="9"/>
        <v>40287.64583</v>
      </c>
      <c r="H2305" s="6" t="str">
        <f t="shared" si="6"/>
        <v/>
      </c>
      <c r="I2305" s="2">
        <f t="shared" si="7"/>
        <v>1426.89</v>
      </c>
      <c r="M2305" s="10">
        <f>IFERROR(__xludf.DUMMYFUNCTION("""COMPUTED_VALUE"""),41325.666666666664)</f>
        <v>41325.66667</v>
      </c>
      <c r="N2305" s="2">
        <f>IFERROR(__xludf.DUMMYFUNCTION("""COMPUTED_VALUE"""),3164.41)</f>
        <v>3164.41</v>
      </c>
    </row>
    <row r="2306">
      <c r="A2306" s="10">
        <f t="shared" si="8"/>
        <v>40288.66667</v>
      </c>
      <c r="B2306" s="2" t="str">
        <f t="shared" si="2"/>
        <v/>
      </c>
      <c r="C2306" s="2" t="str">
        <f t="shared" si="3"/>
        <v>SP500</v>
      </c>
      <c r="D2306" s="2">
        <f t="shared" si="4"/>
        <v>2500.31</v>
      </c>
      <c r="E2306" s="2">
        <f t="shared" si="5"/>
        <v>2500.31</v>
      </c>
      <c r="G2306" s="10">
        <f t="shared" si="9"/>
        <v>40288.64583</v>
      </c>
      <c r="H2306" s="6" t="str">
        <f t="shared" si="6"/>
        <v/>
      </c>
      <c r="I2306" s="2">
        <f t="shared" si="7"/>
        <v>1426.89</v>
      </c>
      <c r="M2306" s="10">
        <f>IFERROR(__xludf.DUMMYFUNCTION("""COMPUTED_VALUE"""),41326.666666666664)</f>
        <v>41326.66667</v>
      </c>
      <c r="N2306" s="2">
        <f>IFERROR(__xludf.DUMMYFUNCTION("""COMPUTED_VALUE"""),3131.49)</f>
        <v>3131.49</v>
      </c>
    </row>
    <row r="2307">
      <c r="A2307" s="10">
        <f t="shared" si="8"/>
        <v>40289.66667</v>
      </c>
      <c r="B2307" s="2" t="str">
        <f t="shared" si="2"/>
        <v/>
      </c>
      <c r="C2307" s="2" t="str">
        <f t="shared" si="3"/>
        <v>SP500</v>
      </c>
      <c r="D2307" s="2">
        <f t="shared" si="4"/>
        <v>2504.61</v>
      </c>
      <c r="E2307" s="2">
        <f t="shared" si="5"/>
        <v>2504.61</v>
      </c>
      <c r="G2307" s="10">
        <f t="shared" si="9"/>
        <v>40289.64583</v>
      </c>
      <c r="H2307" s="6" t="str">
        <f t="shared" si="6"/>
        <v/>
      </c>
      <c r="I2307" s="2">
        <f t="shared" si="7"/>
        <v>1426.89</v>
      </c>
      <c r="M2307" s="10">
        <f>IFERROR(__xludf.DUMMYFUNCTION("""COMPUTED_VALUE"""),41327.666666666664)</f>
        <v>41327.66667</v>
      </c>
      <c r="N2307" s="2">
        <f>IFERROR(__xludf.DUMMYFUNCTION("""COMPUTED_VALUE"""),3161.82)</f>
        <v>3161.82</v>
      </c>
    </row>
    <row r="2308">
      <c r="A2308" s="10">
        <f t="shared" si="8"/>
        <v>40290.66667</v>
      </c>
      <c r="B2308" s="2" t="str">
        <f t="shared" si="2"/>
        <v/>
      </c>
      <c r="C2308" s="2" t="str">
        <f t="shared" si="3"/>
        <v>SP500</v>
      </c>
      <c r="D2308" s="2">
        <f t="shared" si="4"/>
        <v>2519.07</v>
      </c>
      <c r="E2308" s="2">
        <f t="shared" si="5"/>
        <v>2519.07</v>
      </c>
      <c r="G2308" s="10">
        <f t="shared" si="9"/>
        <v>40290.64583</v>
      </c>
      <c r="H2308" s="6" t="str">
        <f t="shared" si="6"/>
        <v/>
      </c>
      <c r="I2308" s="2">
        <f t="shared" si="7"/>
        <v>1426.89</v>
      </c>
      <c r="M2308" s="10">
        <f>IFERROR(__xludf.DUMMYFUNCTION("""COMPUTED_VALUE"""),41330.666666666664)</f>
        <v>41330.66667</v>
      </c>
      <c r="N2308" s="2">
        <f>IFERROR(__xludf.DUMMYFUNCTION("""COMPUTED_VALUE"""),3116.25)</f>
        <v>3116.25</v>
      </c>
    </row>
    <row r="2309">
      <c r="A2309" s="10">
        <f t="shared" si="8"/>
        <v>40291.66667</v>
      </c>
      <c r="B2309" s="2" t="str">
        <f t="shared" si="2"/>
        <v/>
      </c>
      <c r="C2309" s="2" t="str">
        <f t="shared" si="3"/>
        <v>SP500</v>
      </c>
      <c r="D2309" s="2">
        <f t="shared" si="4"/>
        <v>2530.15</v>
      </c>
      <c r="E2309" s="2">
        <f t="shared" si="5"/>
        <v>2530.15</v>
      </c>
      <c r="G2309" s="10">
        <f t="shared" si="9"/>
        <v>40291.64583</v>
      </c>
      <c r="H2309" s="6" t="str">
        <f t="shared" si="6"/>
        <v/>
      </c>
      <c r="I2309" s="2">
        <f t="shared" si="7"/>
        <v>1426.89</v>
      </c>
      <c r="M2309" s="10">
        <f>IFERROR(__xludf.DUMMYFUNCTION("""COMPUTED_VALUE"""),41331.666666666664)</f>
        <v>41331.66667</v>
      </c>
      <c r="N2309" s="2">
        <f>IFERROR(__xludf.DUMMYFUNCTION("""COMPUTED_VALUE"""),3129.65)</f>
        <v>3129.65</v>
      </c>
    </row>
    <row r="2310">
      <c r="A2310" s="10">
        <f t="shared" si="8"/>
        <v>40292.66667</v>
      </c>
      <c r="B2310" s="2" t="str">
        <f t="shared" si="2"/>
        <v/>
      </c>
      <c r="C2310" s="2" t="str">
        <f t="shared" si="3"/>
        <v>SP500</v>
      </c>
      <c r="D2310" s="2" t="str">
        <f t="shared" si="4"/>
        <v/>
      </c>
      <c r="E2310" s="2">
        <f t="shared" si="5"/>
        <v>2530.15</v>
      </c>
      <c r="G2310" s="10">
        <f t="shared" si="9"/>
        <v>40292.64583</v>
      </c>
      <c r="H2310" s="6" t="str">
        <f t="shared" si="6"/>
        <v/>
      </c>
      <c r="I2310" s="2">
        <f t="shared" si="7"/>
        <v>1426.89</v>
      </c>
      <c r="M2310" s="10">
        <f>IFERROR(__xludf.DUMMYFUNCTION("""COMPUTED_VALUE"""),41332.666666666664)</f>
        <v>41332.66667</v>
      </c>
      <c r="N2310" s="2">
        <f>IFERROR(__xludf.DUMMYFUNCTION("""COMPUTED_VALUE"""),3162.26)</f>
        <v>3162.26</v>
      </c>
    </row>
    <row r="2311">
      <c r="A2311" s="10">
        <f t="shared" si="8"/>
        <v>40293.66667</v>
      </c>
      <c r="B2311" s="2" t="str">
        <f t="shared" si="2"/>
        <v/>
      </c>
      <c r="C2311" s="2" t="str">
        <f t="shared" si="3"/>
        <v>SP500</v>
      </c>
      <c r="D2311" s="2" t="str">
        <f t="shared" si="4"/>
        <v/>
      </c>
      <c r="E2311" s="2">
        <f t="shared" si="5"/>
        <v>2530.15</v>
      </c>
      <c r="G2311" s="10">
        <f t="shared" si="9"/>
        <v>40293.64583</v>
      </c>
      <c r="H2311" s="6" t="str">
        <f t="shared" si="6"/>
        <v/>
      </c>
      <c r="I2311" s="2">
        <f t="shared" si="7"/>
        <v>1426.89</v>
      </c>
      <c r="M2311" s="10">
        <f>IFERROR(__xludf.DUMMYFUNCTION("""COMPUTED_VALUE"""),41333.666666666664)</f>
        <v>41333.66667</v>
      </c>
      <c r="N2311" s="2">
        <f>IFERROR(__xludf.DUMMYFUNCTION("""COMPUTED_VALUE"""),3160.19)</f>
        <v>3160.19</v>
      </c>
    </row>
    <row r="2312">
      <c r="A2312" s="10">
        <f t="shared" si="8"/>
        <v>40294.66667</v>
      </c>
      <c r="B2312" s="2" t="str">
        <f t="shared" si="2"/>
        <v/>
      </c>
      <c r="C2312" s="2" t="str">
        <f t="shared" si="3"/>
        <v>SP500</v>
      </c>
      <c r="D2312" s="2">
        <f t="shared" si="4"/>
        <v>2522.95</v>
      </c>
      <c r="E2312" s="2">
        <f t="shared" si="5"/>
        <v>2522.95</v>
      </c>
      <c r="G2312" s="10">
        <f t="shared" si="9"/>
        <v>40294.64583</v>
      </c>
      <c r="H2312" s="6" t="str">
        <f t="shared" si="6"/>
        <v/>
      </c>
      <c r="I2312" s="2">
        <f t="shared" si="7"/>
        <v>1426.89</v>
      </c>
      <c r="M2312" s="10">
        <f>IFERROR(__xludf.DUMMYFUNCTION("""COMPUTED_VALUE"""),41334.666666666664)</f>
        <v>41334.66667</v>
      </c>
      <c r="N2312" s="2">
        <f>IFERROR(__xludf.DUMMYFUNCTION("""COMPUTED_VALUE"""),3169.74)</f>
        <v>3169.74</v>
      </c>
    </row>
    <row r="2313">
      <c r="A2313" s="10">
        <f t="shared" si="8"/>
        <v>40295.66667</v>
      </c>
      <c r="B2313" s="2" t="str">
        <f t="shared" si="2"/>
        <v/>
      </c>
      <c r="C2313" s="2" t="str">
        <f t="shared" si="3"/>
        <v>SP500</v>
      </c>
      <c r="D2313" s="2">
        <f t="shared" si="4"/>
        <v>2471.47</v>
      </c>
      <c r="E2313" s="2">
        <f t="shared" si="5"/>
        <v>2471.47</v>
      </c>
      <c r="G2313" s="10">
        <f t="shared" si="9"/>
        <v>40295.64583</v>
      </c>
      <c r="H2313" s="6" t="str">
        <f t="shared" si="6"/>
        <v/>
      </c>
      <c r="I2313" s="2">
        <f t="shared" si="7"/>
        <v>1426.89</v>
      </c>
      <c r="M2313" s="10">
        <f>IFERROR(__xludf.DUMMYFUNCTION("""COMPUTED_VALUE"""),41337.666666666664)</f>
        <v>41337.66667</v>
      </c>
      <c r="N2313" s="2">
        <f>IFERROR(__xludf.DUMMYFUNCTION("""COMPUTED_VALUE"""),3182.03)</f>
        <v>3182.03</v>
      </c>
    </row>
    <row r="2314">
      <c r="A2314" s="10">
        <f t="shared" si="8"/>
        <v>40296.66667</v>
      </c>
      <c r="B2314" s="2" t="str">
        <f t="shared" si="2"/>
        <v/>
      </c>
      <c r="C2314" s="2" t="str">
        <f t="shared" si="3"/>
        <v>SP500</v>
      </c>
      <c r="D2314" s="2">
        <f t="shared" si="4"/>
        <v>2471.73</v>
      </c>
      <c r="E2314" s="2">
        <f t="shared" si="5"/>
        <v>2471.73</v>
      </c>
      <c r="G2314" s="10">
        <f t="shared" si="9"/>
        <v>40296.64583</v>
      </c>
      <c r="H2314" s="6" t="str">
        <f t="shared" si="6"/>
        <v/>
      </c>
      <c r="I2314" s="2">
        <f t="shared" si="7"/>
        <v>1426.89</v>
      </c>
      <c r="M2314" s="10">
        <f>IFERROR(__xludf.DUMMYFUNCTION("""COMPUTED_VALUE"""),41338.666666666664)</f>
        <v>41338.66667</v>
      </c>
      <c r="N2314" s="2">
        <f>IFERROR(__xludf.DUMMYFUNCTION("""COMPUTED_VALUE"""),3224.13)</f>
        <v>3224.13</v>
      </c>
    </row>
    <row r="2315">
      <c r="A2315" s="10">
        <f t="shared" si="8"/>
        <v>40297.66667</v>
      </c>
      <c r="B2315" s="2" t="str">
        <f t="shared" si="2"/>
        <v/>
      </c>
      <c r="C2315" s="2" t="str">
        <f t="shared" si="3"/>
        <v>SP500</v>
      </c>
      <c r="D2315" s="2">
        <f t="shared" si="4"/>
        <v>2511.92</v>
      </c>
      <c r="E2315" s="2">
        <f t="shared" si="5"/>
        <v>2511.92</v>
      </c>
      <c r="G2315" s="10">
        <f t="shared" si="9"/>
        <v>40297.64583</v>
      </c>
      <c r="H2315" s="6" t="str">
        <f t="shared" si="6"/>
        <v/>
      </c>
      <c r="I2315" s="2">
        <f t="shared" si="7"/>
        <v>1426.89</v>
      </c>
      <c r="M2315" s="10">
        <f>IFERROR(__xludf.DUMMYFUNCTION("""COMPUTED_VALUE"""),41339.666666666664)</f>
        <v>41339.66667</v>
      </c>
      <c r="N2315" s="2">
        <f>IFERROR(__xludf.DUMMYFUNCTION("""COMPUTED_VALUE"""),3222.37)</f>
        <v>3222.37</v>
      </c>
    </row>
    <row r="2316">
      <c r="A2316" s="10">
        <f t="shared" si="8"/>
        <v>40298.66667</v>
      </c>
      <c r="B2316" s="2" t="str">
        <f t="shared" si="2"/>
        <v/>
      </c>
      <c r="C2316" s="2" t="str">
        <f t="shared" si="3"/>
        <v>SP500</v>
      </c>
      <c r="D2316" s="2">
        <f t="shared" si="4"/>
        <v>2461.19</v>
      </c>
      <c r="E2316" s="2">
        <f t="shared" si="5"/>
        <v>2461.19</v>
      </c>
      <c r="G2316" s="10">
        <f t="shared" si="9"/>
        <v>40298.64583</v>
      </c>
      <c r="H2316" s="6" t="str">
        <f t="shared" si="6"/>
        <v/>
      </c>
      <c r="I2316" s="2">
        <f t="shared" si="7"/>
        <v>1426.89</v>
      </c>
      <c r="M2316" s="10">
        <f>IFERROR(__xludf.DUMMYFUNCTION("""COMPUTED_VALUE"""),41340.666666666664)</f>
        <v>41340.66667</v>
      </c>
      <c r="N2316" s="2">
        <f>IFERROR(__xludf.DUMMYFUNCTION("""COMPUTED_VALUE"""),3232.09)</f>
        <v>3232.09</v>
      </c>
    </row>
    <row r="2317">
      <c r="A2317" s="10">
        <f t="shared" si="8"/>
        <v>40299.66667</v>
      </c>
      <c r="B2317" s="2" t="str">
        <f t="shared" si="2"/>
        <v/>
      </c>
      <c r="C2317" s="2" t="str">
        <f t="shared" si="3"/>
        <v>SP500</v>
      </c>
      <c r="D2317" s="2" t="str">
        <f t="shared" si="4"/>
        <v/>
      </c>
      <c r="E2317" s="2">
        <f t="shared" si="5"/>
        <v>2461.19</v>
      </c>
      <c r="G2317" s="10">
        <f t="shared" si="9"/>
        <v>40299.64583</v>
      </c>
      <c r="H2317" s="6" t="str">
        <f t="shared" si="6"/>
        <v/>
      </c>
      <c r="I2317" s="2">
        <f t="shared" si="7"/>
        <v>1426.89</v>
      </c>
      <c r="M2317" s="10">
        <f>IFERROR(__xludf.DUMMYFUNCTION("""COMPUTED_VALUE"""),41341.666666666664)</f>
        <v>41341.66667</v>
      </c>
      <c r="N2317" s="2">
        <f>IFERROR(__xludf.DUMMYFUNCTION("""COMPUTED_VALUE"""),3244.37)</f>
        <v>3244.37</v>
      </c>
    </row>
    <row r="2318">
      <c r="A2318" s="10">
        <f t="shared" si="8"/>
        <v>40300.66667</v>
      </c>
      <c r="B2318" s="2" t="str">
        <f t="shared" si="2"/>
        <v/>
      </c>
      <c r="C2318" s="2" t="str">
        <f t="shared" si="3"/>
        <v>SP500</v>
      </c>
      <c r="D2318" s="2" t="str">
        <f t="shared" si="4"/>
        <v/>
      </c>
      <c r="E2318" s="2">
        <f t="shared" si="5"/>
        <v>2461.19</v>
      </c>
      <c r="G2318" s="10">
        <f t="shared" si="9"/>
        <v>40300.64583</v>
      </c>
      <c r="H2318" s="6" t="str">
        <f t="shared" si="6"/>
        <v/>
      </c>
      <c r="I2318" s="2">
        <f t="shared" si="7"/>
        <v>1426.89</v>
      </c>
      <c r="M2318" s="10">
        <f>IFERROR(__xludf.DUMMYFUNCTION("""COMPUTED_VALUE"""),41344.666666666664)</f>
        <v>41344.66667</v>
      </c>
      <c r="N2318" s="2">
        <f>IFERROR(__xludf.DUMMYFUNCTION("""COMPUTED_VALUE"""),3252.87)</f>
        <v>3252.87</v>
      </c>
    </row>
    <row r="2319">
      <c r="A2319" s="10">
        <f t="shared" si="8"/>
        <v>40301.66667</v>
      </c>
      <c r="B2319" s="2" t="str">
        <f t="shared" si="2"/>
        <v/>
      </c>
      <c r="C2319" s="2" t="str">
        <f t="shared" si="3"/>
        <v>SP500</v>
      </c>
      <c r="D2319" s="2">
        <f t="shared" si="4"/>
        <v>2498.74</v>
      </c>
      <c r="E2319" s="2">
        <f t="shared" si="5"/>
        <v>2498.74</v>
      </c>
      <c r="G2319" s="10">
        <f t="shared" si="9"/>
        <v>40301.64583</v>
      </c>
      <c r="H2319" s="6" t="str">
        <f t="shared" si="6"/>
        <v/>
      </c>
      <c r="I2319" s="2">
        <f t="shared" si="7"/>
        <v>1426.89</v>
      </c>
      <c r="M2319" s="10">
        <f>IFERROR(__xludf.DUMMYFUNCTION("""COMPUTED_VALUE"""),41345.666666666664)</f>
        <v>41345.66667</v>
      </c>
      <c r="N2319" s="2">
        <f>IFERROR(__xludf.DUMMYFUNCTION("""COMPUTED_VALUE"""),3242.32)</f>
        <v>3242.32</v>
      </c>
    </row>
    <row r="2320">
      <c r="A2320" s="10">
        <f t="shared" si="8"/>
        <v>40302.66667</v>
      </c>
      <c r="B2320" s="2" t="str">
        <f t="shared" si="2"/>
        <v/>
      </c>
      <c r="C2320" s="2" t="str">
        <f t="shared" si="3"/>
        <v>SP500</v>
      </c>
      <c r="D2320" s="2">
        <f t="shared" si="4"/>
        <v>2424.25</v>
      </c>
      <c r="E2320" s="2">
        <f t="shared" si="5"/>
        <v>2424.25</v>
      </c>
      <c r="G2320" s="10">
        <f t="shared" si="9"/>
        <v>40302.64583</v>
      </c>
      <c r="H2320" s="6" t="str">
        <f t="shared" si="6"/>
        <v/>
      </c>
      <c r="I2320" s="2">
        <f t="shared" si="7"/>
        <v>1426.89</v>
      </c>
      <c r="M2320" s="10">
        <f>IFERROR(__xludf.DUMMYFUNCTION("""COMPUTED_VALUE"""),41346.666666666664)</f>
        <v>41346.66667</v>
      </c>
      <c r="N2320" s="2">
        <f>IFERROR(__xludf.DUMMYFUNCTION("""COMPUTED_VALUE"""),3245.12)</f>
        <v>3245.12</v>
      </c>
    </row>
    <row r="2321">
      <c r="A2321" s="10">
        <f t="shared" si="8"/>
        <v>40303.66667</v>
      </c>
      <c r="B2321" s="2" t="str">
        <f t="shared" si="2"/>
        <v/>
      </c>
      <c r="C2321" s="2" t="str">
        <f t="shared" si="3"/>
        <v>SP500</v>
      </c>
      <c r="D2321" s="2">
        <f t="shared" si="4"/>
        <v>2402.29</v>
      </c>
      <c r="E2321" s="2">
        <f t="shared" si="5"/>
        <v>2402.29</v>
      </c>
      <c r="G2321" s="10">
        <f t="shared" si="9"/>
        <v>40303.64583</v>
      </c>
      <c r="H2321" s="6" t="str">
        <f t="shared" si="6"/>
        <v/>
      </c>
      <c r="I2321" s="2">
        <f t="shared" si="7"/>
        <v>1426.89</v>
      </c>
      <c r="M2321" s="10">
        <f>IFERROR(__xludf.DUMMYFUNCTION("""COMPUTED_VALUE"""),41347.666666666664)</f>
        <v>41347.66667</v>
      </c>
      <c r="N2321" s="2">
        <f>IFERROR(__xludf.DUMMYFUNCTION("""COMPUTED_VALUE"""),3258.93)</f>
        <v>3258.93</v>
      </c>
    </row>
    <row r="2322">
      <c r="A2322" s="10">
        <f t="shared" si="8"/>
        <v>40304.66667</v>
      </c>
      <c r="B2322" s="2" t="str">
        <f t="shared" si="2"/>
        <v/>
      </c>
      <c r="C2322" s="2" t="str">
        <f t="shared" si="3"/>
        <v>SP500</v>
      </c>
      <c r="D2322" s="2">
        <f t="shared" si="4"/>
        <v>2319.64</v>
      </c>
      <c r="E2322" s="2">
        <f t="shared" si="5"/>
        <v>2319.64</v>
      </c>
      <c r="G2322" s="10">
        <f t="shared" si="9"/>
        <v>40304.64583</v>
      </c>
      <c r="H2322" s="6" t="str">
        <f t="shared" si="6"/>
        <v/>
      </c>
      <c r="I2322" s="2">
        <f t="shared" si="7"/>
        <v>1426.89</v>
      </c>
      <c r="M2322" s="10">
        <f>IFERROR(__xludf.DUMMYFUNCTION("""COMPUTED_VALUE"""),41348.666666666664)</f>
        <v>41348.66667</v>
      </c>
      <c r="N2322" s="2">
        <f>IFERROR(__xludf.DUMMYFUNCTION("""COMPUTED_VALUE"""),3249.07)</f>
        <v>3249.07</v>
      </c>
    </row>
    <row r="2323">
      <c r="A2323" s="10">
        <f t="shared" si="8"/>
        <v>40305.66667</v>
      </c>
      <c r="B2323" s="2" t="str">
        <f t="shared" si="2"/>
        <v/>
      </c>
      <c r="C2323" s="2" t="str">
        <f t="shared" si="3"/>
        <v>SP500</v>
      </c>
      <c r="D2323" s="2">
        <f t="shared" si="4"/>
        <v>2265.64</v>
      </c>
      <c r="E2323" s="2">
        <f t="shared" si="5"/>
        <v>2265.64</v>
      </c>
      <c r="G2323" s="10">
        <f t="shared" si="9"/>
        <v>40305.64583</v>
      </c>
      <c r="H2323" s="6" t="str">
        <f t="shared" si="6"/>
        <v/>
      </c>
      <c r="I2323" s="2">
        <f t="shared" si="7"/>
        <v>1426.89</v>
      </c>
      <c r="M2323" s="10">
        <f>IFERROR(__xludf.DUMMYFUNCTION("""COMPUTED_VALUE"""),41351.666666666664)</f>
        <v>41351.66667</v>
      </c>
      <c r="N2323" s="2">
        <f>IFERROR(__xludf.DUMMYFUNCTION("""COMPUTED_VALUE"""),3237.59)</f>
        <v>3237.59</v>
      </c>
    </row>
    <row r="2324">
      <c r="A2324" s="10">
        <f t="shared" si="8"/>
        <v>40306.66667</v>
      </c>
      <c r="B2324" s="2" t="str">
        <f t="shared" si="2"/>
        <v/>
      </c>
      <c r="C2324" s="2" t="str">
        <f t="shared" si="3"/>
        <v>SP500</v>
      </c>
      <c r="D2324" s="2" t="str">
        <f t="shared" si="4"/>
        <v/>
      </c>
      <c r="E2324" s="2">
        <f t="shared" si="5"/>
        <v>2265.64</v>
      </c>
      <c r="G2324" s="10">
        <f t="shared" si="9"/>
        <v>40306.64583</v>
      </c>
      <c r="H2324" s="6" t="str">
        <f t="shared" si="6"/>
        <v/>
      </c>
      <c r="I2324" s="2">
        <f t="shared" si="7"/>
        <v>1426.89</v>
      </c>
      <c r="M2324" s="10">
        <f>IFERROR(__xludf.DUMMYFUNCTION("""COMPUTED_VALUE"""),41352.666666666664)</f>
        <v>41352.66667</v>
      </c>
      <c r="N2324" s="2">
        <f>IFERROR(__xludf.DUMMYFUNCTION("""COMPUTED_VALUE"""),3229.1)</f>
        <v>3229.1</v>
      </c>
    </row>
    <row r="2325">
      <c r="A2325" s="10">
        <f t="shared" si="8"/>
        <v>40307.66667</v>
      </c>
      <c r="B2325" s="2" t="str">
        <f t="shared" si="2"/>
        <v/>
      </c>
      <c r="C2325" s="2" t="str">
        <f t="shared" si="3"/>
        <v>SP500</v>
      </c>
      <c r="D2325" s="2" t="str">
        <f t="shared" si="4"/>
        <v/>
      </c>
      <c r="E2325" s="2">
        <f t="shared" si="5"/>
        <v>2265.64</v>
      </c>
      <c r="G2325" s="10">
        <f t="shared" si="9"/>
        <v>40307.64583</v>
      </c>
      <c r="H2325" s="6" t="str">
        <f t="shared" si="6"/>
        <v/>
      </c>
      <c r="I2325" s="2">
        <f t="shared" si="7"/>
        <v>1426.89</v>
      </c>
      <c r="M2325" s="10">
        <f>IFERROR(__xludf.DUMMYFUNCTION("""COMPUTED_VALUE"""),41353.666666666664)</f>
        <v>41353.66667</v>
      </c>
      <c r="N2325" s="2">
        <f>IFERROR(__xludf.DUMMYFUNCTION("""COMPUTED_VALUE"""),3254.19)</f>
        <v>3254.19</v>
      </c>
    </row>
    <row r="2326">
      <c r="A2326" s="10">
        <f t="shared" si="8"/>
        <v>40308.66667</v>
      </c>
      <c r="B2326" s="2" t="str">
        <f t="shared" si="2"/>
        <v/>
      </c>
      <c r="C2326" s="2" t="str">
        <f t="shared" si="3"/>
        <v>SP500</v>
      </c>
      <c r="D2326" s="2">
        <f t="shared" si="4"/>
        <v>2374.67</v>
      </c>
      <c r="E2326" s="2">
        <f t="shared" si="5"/>
        <v>2374.67</v>
      </c>
      <c r="G2326" s="10">
        <f t="shared" si="9"/>
        <v>40308.64583</v>
      </c>
      <c r="H2326" s="6" t="str">
        <f t="shared" si="6"/>
        <v/>
      </c>
      <c r="I2326" s="2">
        <f t="shared" si="7"/>
        <v>1426.89</v>
      </c>
      <c r="M2326" s="10">
        <f>IFERROR(__xludf.DUMMYFUNCTION("""COMPUTED_VALUE"""),41354.666666666664)</f>
        <v>41354.66667</v>
      </c>
      <c r="N2326" s="2">
        <f>IFERROR(__xludf.DUMMYFUNCTION("""COMPUTED_VALUE"""),3222.6)</f>
        <v>3222.6</v>
      </c>
    </row>
    <row r="2327">
      <c r="A2327" s="10">
        <f t="shared" si="8"/>
        <v>40309.66667</v>
      </c>
      <c r="B2327" s="2" t="str">
        <f t="shared" si="2"/>
        <v/>
      </c>
      <c r="C2327" s="2" t="str">
        <f t="shared" si="3"/>
        <v>SP500</v>
      </c>
      <c r="D2327" s="2">
        <f t="shared" si="4"/>
        <v>2375.31</v>
      </c>
      <c r="E2327" s="2">
        <f t="shared" si="5"/>
        <v>2375.31</v>
      </c>
      <c r="G2327" s="10">
        <f t="shared" si="9"/>
        <v>40309.64583</v>
      </c>
      <c r="H2327" s="6" t="str">
        <f t="shared" si="6"/>
        <v/>
      </c>
      <c r="I2327" s="2">
        <f t="shared" si="7"/>
        <v>1426.89</v>
      </c>
      <c r="M2327" s="10">
        <f>IFERROR(__xludf.DUMMYFUNCTION("""COMPUTED_VALUE"""),41355.666666666664)</f>
        <v>41355.66667</v>
      </c>
      <c r="N2327" s="2">
        <f>IFERROR(__xludf.DUMMYFUNCTION("""COMPUTED_VALUE"""),3245.0)</f>
        <v>3245</v>
      </c>
    </row>
    <row r="2328">
      <c r="A2328" s="10">
        <f t="shared" si="8"/>
        <v>40310.66667</v>
      </c>
      <c r="B2328" s="2" t="str">
        <f t="shared" si="2"/>
        <v/>
      </c>
      <c r="C2328" s="2" t="str">
        <f t="shared" si="3"/>
        <v>SP500</v>
      </c>
      <c r="D2328" s="2">
        <f t="shared" si="4"/>
        <v>2425.02</v>
      </c>
      <c r="E2328" s="2">
        <f t="shared" si="5"/>
        <v>2425.02</v>
      </c>
      <c r="G2328" s="10">
        <f t="shared" si="9"/>
        <v>40310.64583</v>
      </c>
      <c r="H2328" s="6" t="str">
        <f t="shared" si="6"/>
        <v/>
      </c>
      <c r="I2328" s="2">
        <f t="shared" si="7"/>
        <v>1426.89</v>
      </c>
      <c r="M2328" s="10">
        <f>IFERROR(__xludf.DUMMYFUNCTION("""COMPUTED_VALUE"""),41358.666666666664)</f>
        <v>41358.66667</v>
      </c>
      <c r="N2328" s="2">
        <f>IFERROR(__xludf.DUMMYFUNCTION("""COMPUTED_VALUE"""),3235.3)</f>
        <v>3235.3</v>
      </c>
    </row>
    <row r="2329">
      <c r="A2329" s="10">
        <f t="shared" si="8"/>
        <v>40311.66667</v>
      </c>
      <c r="B2329" s="2" t="str">
        <f t="shared" si="2"/>
        <v/>
      </c>
      <c r="C2329" s="2" t="str">
        <f t="shared" si="3"/>
        <v>SP500</v>
      </c>
      <c r="D2329" s="2">
        <f t="shared" si="4"/>
        <v>2394.36</v>
      </c>
      <c r="E2329" s="2">
        <f t="shared" si="5"/>
        <v>2394.36</v>
      </c>
      <c r="G2329" s="10">
        <f t="shared" si="9"/>
        <v>40311.64583</v>
      </c>
      <c r="H2329" s="6" t="str">
        <f t="shared" si="6"/>
        <v/>
      </c>
      <c r="I2329" s="2">
        <f t="shared" si="7"/>
        <v>1426.89</v>
      </c>
      <c r="M2329" s="10">
        <f>IFERROR(__xludf.DUMMYFUNCTION("""COMPUTED_VALUE"""),41359.666666666664)</f>
        <v>41359.66667</v>
      </c>
      <c r="N2329" s="2">
        <f>IFERROR(__xludf.DUMMYFUNCTION("""COMPUTED_VALUE"""),3252.48)</f>
        <v>3252.48</v>
      </c>
    </row>
    <row r="2330">
      <c r="A2330" s="10">
        <f t="shared" si="8"/>
        <v>40312.66667</v>
      </c>
      <c r="B2330" s="2" t="str">
        <f t="shared" si="2"/>
        <v/>
      </c>
      <c r="C2330" s="2" t="str">
        <f t="shared" si="3"/>
        <v>SP500</v>
      </c>
      <c r="D2330" s="2">
        <f t="shared" si="4"/>
        <v>2346.85</v>
      </c>
      <c r="E2330" s="2">
        <f t="shared" si="5"/>
        <v>2346.85</v>
      </c>
      <c r="G2330" s="10">
        <f t="shared" si="9"/>
        <v>40312.64583</v>
      </c>
      <c r="H2330" s="6" t="str">
        <f t="shared" si="6"/>
        <v/>
      </c>
      <c r="I2330" s="2">
        <f t="shared" si="7"/>
        <v>1426.89</v>
      </c>
      <c r="M2330" s="10">
        <f>IFERROR(__xludf.DUMMYFUNCTION("""COMPUTED_VALUE"""),41360.666666666664)</f>
        <v>41360.66667</v>
      </c>
      <c r="N2330" s="2">
        <f>IFERROR(__xludf.DUMMYFUNCTION("""COMPUTED_VALUE"""),3256.52)</f>
        <v>3256.52</v>
      </c>
    </row>
    <row r="2331">
      <c r="A2331" s="10">
        <f t="shared" si="8"/>
        <v>40313.66667</v>
      </c>
      <c r="B2331" s="2" t="str">
        <f t="shared" si="2"/>
        <v/>
      </c>
      <c r="C2331" s="2" t="str">
        <f t="shared" si="3"/>
        <v>SP500</v>
      </c>
      <c r="D2331" s="2" t="str">
        <f t="shared" si="4"/>
        <v/>
      </c>
      <c r="E2331" s="2">
        <f t="shared" si="5"/>
        <v>2346.85</v>
      </c>
      <c r="G2331" s="10">
        <f t="shared" si="9"/>
        <v>40313.64583</v>
      </c>
      <c r="H2331" s="6" t="str">
        <f t="shared" si="6"/>
        <v/>
      </c>
      <c r="I2331" s="2">
        <f t="shared" si="7"/>
        <v>1426.89</v>
      </c>
      <c r="M2331" s="10">
        <f>IFERROR(__xludf.DUMMYFUNCTION("""COMPUTED_VALUE"""),41361.666666666664)</f>
        <v>41361.66667</v>
      </c>
      <c r="N2331" s="2">
        <f>IFERROR(__xludf.DUMMYFUNCTION("""COMPUTED_VALUE"""),3267.52)</f>
        <v>3267.52</v>
      </c>
    </row>
    <row r="2332">
      <c r="A2332" s="10">
        <f t="shared" si="8"/>
        <v>40314.66667</v>
      </c>
      <c r="B2332" s="2" t="str">
        <f t="shared" si="2"/>
        <v/>
      </c>
      <c r="C2332" s="2" t="str">
        <f t="shared" si="3"/>
        <v>SP500</v>
      </c>
      <c r="D2332" s="2" t="str">
        <f t="shared" si="4"/>
        <v/>
      </c>
      <c r="E2332" s="2">
        <f t="shared" si="5"/>
        <v>2346.85</v>
      </c>
      <c r="G2332" s="10">
        <f t="shared" si="9"/>
        <v>40314.64583</v>
      </c>
      <c r="H2332" s="6" t="str">
        <f t="shared" si="6"/>
        <v/>
      </c>
      <c r="I2332" s="2">
        <f t="shared" si="7"/>
        <v>1426.89</v>
      </c>
      <c r="M2332" s="10">
        <f>IFERROR(__xludf.DUMMYFUNCTION("""COMPUTED_VALUE"""),41365.666666666664)</f>
        <v>41365.66667</v>
      </c>
      <c r="N2332" s="2">
        <f>IFERROR(__xludf.DUMMYFUNCTION("""COMPUTED_VALUE"""),3239.17)</f>
        <v>3239.17</v>
      </c>
    </row>
    <row r="2333">
      <c r="A2333" s="10">
        <f t="shared" si="8"/>
        <v>40315.66667</v>
      </c>
      <c r="B2333" s="2" t="str">
        <f t="shared" si="2"/>
        <v/>
      </c>
      <c r="C2333" s="2" t="str">
        <f t="shared" si="3"/>
        <v>SP500</v>
      </c>
      <c r="D2333" s="2">
        <f t="shared" si="4"/>
        <v>2354.23</v>
      </c>
      <c r="E2333" s="2">
        <f t="shared" si="5"/>
        <v>2354.23</v>
      </c>
      <c r="G2333" s="10">
        <f t="shared" si="9"/>
        <v>40315.64583</v>
      </c>
      <c r="H2333" s="6" t="str">
        <f t="shared" si="6"/>
        <v/>
      </c>
      <c r="I2333" s="2">
        <f t="shared" si="7"/>
        <v>1426.89</v>
      </c>
      <c r="M2333" s="10">
        <f>IFERROR(__xludf.DUMMYFUNCTION("""COMPUTED_VALUE"""),41366.666666666664)</f>
        <v>41366.66667</v>
      </c>
      <c r="N2333" s="2">
        <f>IFERROR(__xludf.DUMMYFUNCTION("""COMPUTED_VALUE"""),3254.86)</f>
        <v>3254.86</v>
      </c>
    </row>
    <row r="2334">
      <c r="A2334" s="10">
        <f t="shared" si="8"/>
        <v>40316.66667</v>
      </c>
      <c r="B2334" s="2" t="str">
        <f t="shared" si="2"/>
        <v/>
      </c>
      <c r="C2334" s="2" t="str">
        <f t="shared" si="3"/>
        <v>SP500</v>
      </c>
      <c r="D2334" s="2">
        <f t="shared" si="4"/>
        <v>2317.26</v>
      </c>
      <c r="E2334" s="2">
        <f t="shared" si="5"/>
        <v>2317.26</v>
      </c>
      <c r="G2334" s="10">
        <f t="shared" si="9"/>
        <v>40316.64583</v>
      </c>
      <c r="H2334" s="6" t="str">
        <f t="shared" si="6"/>
        <v/>
      </c>
      <c r="I2334" s="2">
        <f t="shared" si="7"/>
        <v>1426.89</v>
      </c>
      <c r="M2334" s="10">
        <f>IFERROR(__xludf.DUMMYFUNCTION("""COMPUTED_VALUE"""),41367.666666666664)</f>
        <v>41367.66667</v>
      </c>
      <c r="N2334" s="2">
        <f>IFERROR(__xludf.DUMMYFUNCTION("""COMPUTED_VALUE"""),3218.6)</f>
        <v>3218.6</v>
      </c>
    </row>
    <row r="2335">
      <c r="A2335" s="10">
        <f t="shared" si="8"/>
        <v>40317.66667</v>
      </c>
      <c r="B2335" s="2" t="str">
        <f t="shared" si="2"/>
        <v/>
      </c>
      <c r="C2335" s="2" t="str">
        <f t="shared" si="3"/>
        <v>SP500</v>
      </c>
      <c r="D2335" s="2">
        <f t="shared" si="4"/>
        <v>2298.37</v>
      </c>
      <c r="E2335" s="2">
        <f t="shared" si="5"/>
        <v>2298.37</v>
      </c>
      <c r="G2335" s="10">
        <f t="shared" si="9"/>
        <v>40317.64583</v>
      </c>
      <c r="H2335" s="6" t="str">
        <f t="shared" si="6"/>
        <v/>
      </c>
      <c r="I2335" s="2">
        <f t="shared" si="7"/>
        <v>1426.89</v>
      </c>
      <c r="M2335" s="10">
        <f>IFERROR(__xludf.DUMMYFUNCTION("""COMPUTED_VALUE"""),41368.666666666664)</f>
        <v>41368.66667</v>
      </c>
      <c r="N2335" s="2">
        <f>IFERROR(__xludf.DUMMYFUNCTION("""COMPUTED_VALUE"""),3224.98)</f>
        <v>3224.98</v>
      </c>
    </row>
    <row r="2336">
      <c r="A2336" s="10">
        <f t="shared" si="8"/>
        <v>40318.66667</v>
      </c>
      <c r="B2336" s="2" t="str">
        <f t="shared" si="2"/>
        <v/>
      </c>
      <c r="C2336" s="2" t="str">
        <f t="shared" si="3"/>
        <v>SP500</v>
      </c>
      <c r="D2336" s="2">
        <f t="shared" si="4"/>
        <v>2204.01</v>
      </c>
      <c r="E2336" s="2">
        <f t="shared" si="5"/>
        <v>2204.01</v>
      </c>
      <c r="G2336" s="10">
        <f t="shared" si="9"/>
        <v>40318.64583</v>
      </c>
      <c r="H2336" s="6" t="str">
        <f t="shared" si="6"/>
        <v/>
      </c>
      <c r="I2336" s="2">
        <f t="shared" si="7"/>
        <v>1426.89</v>
      </c>
      <c r="M2336" s="10">
        <f>IFERROR(__xludf.DUMMYFUNCTION("""COMPUTED_VALUE"""),41369.666666666664)</f>
        <v>41369.66667</v>
      </c>
      <c r="N2336" s="2">
        <f>IFERROR(__xludf.DUMMYFUNCTION("""COMPUTED_VALUE"""),3203.86)</f>
        <v>3203.86</v>
      </c>
    </row>
    <row r="2337">
      <c r="A2337" s="10">
        <f t="shared" si="8"/>
        <v>40319.66667</v>
      </c>
      <c r="B2337" s="2" t="str">
        <f t="shared" si="2"/>
        <v/>
      </c>
      <c r="C2337" s="2" t="str">
        <f t="shared" si="3"/>
        <v>SP500</v>
      </c>
      <c r="D2337" s="2">
        <f t="shared" si="4"/>
        <v>2229.04</v>
      </c>
      <c r="E2337" s="2">
        <f t="shared" si="5"/>
        <v>2229.04</v>
      </c>
      <c r="G2337" s="10">
        <f t="shared" si="9"/>
        <v>40319.64583</v>
      </c>
      <c r="H2337" s="6" t="str">
        <f t="shared" si="6"/>
        <v/>
      </c>
      <c r="I2337" s="2">
        <f t="shared" si="7"/>
        <v>1426.89</v>
      </c>
      <c r="M2337" s="10">
        <f>IFERROR(__xludf.DUMMYFUNCTION("""COMPUTED_VALUE"""),41372.666666666664)</f>
        <v>41372.66667</v>
      </c>
      <c r="N2337" s="2">
        <f>IFERROR(__xludf.DUMMYFUNCTION("""COMPUTED_VALUE"""),3222.25)</f>
        <v>3222.25</v>
      </c>
    </row>
    <row r="2338">
      <c r="A2338" s="10">
        <f t="shared" si="8"/>
        <v>40320.66667</v>
      </c>
      <c r="B2338" s="2" t="str">
        <f t="shared" si="2"/>
        <v/>
      </c>
      <c r="C2338" s="2" t="str">
        <f t="shared" si="3"/>
        <v>SP500</v>
      </c>
      <c r="D2338" s="2" t="str">
        <f t="shared" si="4"/>
        <v/>
      </c>
      <c r="E2338" s="2">
        <f t="shared" si="5"/>
        <v>2229.04</v>
      </c>
      <c r="G2338" s="10">
        <f t="shared" si="9"/>
        <v>40320.64583</v>
      </c>
      <c r="H2338" s="6" t="str">
        <f t="shared" si="6"/>
        <v/>
      </c>
      <c r="I2338" s="2">
        <f t="shared" si="7"/>
        <v>1426.89</v>
      </c>
      <c r="M2338" s="10">
        <f>IFERROR(__xludf.DUMMYFUNCTION("""COMPUTED_VALUE"""),41373.666666666664)</f>
        <v>41373.66667</v>
      </c>
      <c r="N2338" s="2">
        <f>IFERROR(__xludf.DUMMYFUNCTION("""COMPUTED_VALUE"""),3237.86)</f>
        <v>3237.86</v>
      </c>
    </row>
    <row r="2339">
      <c r="A2339" s="10">
        <f t="shared" si="8"/>
        <v>40321.66667</v>
      </c>
      <c r="B2339" s="2" t="str">
        <f t="shared" si="2"/>
        <v/>
      </c>
      <c r="C2339" s="2" t="str">
        <f t="shared" si="3"/>
        <v>SP500</v>
      </c>
      <c r="D2339" s="2" t="str">
        <f t="shared" si="4"/>
        <v/>
      </c>
      <c r="E2339" s="2">
        <f t="shared" si="5"/>
        <v>2229.04</v>
      </c>
      <c r="G2339" s="10">
        <f t="shared" si="9"/>
        <v>40321.64583</v>
      </c>
      <c r="H2339" s="6" t="str">
        <f t="shared" si="6"/>
        <v/>
      </c>
      <c r="I2339" s="2">
        <f t="shared" si="7"/>
        <v>1426.89</v>
      </c>
      <c r="M2339" s="10">
        <f>IFERROR(__xludf.DUMMYFUNCTION("""COMPUTED_VALUE"""),41374.666666666664)</f>
        <v>41374.66667</v>
      </c>
      <c r="N2339" s="2">
        <f>IFERROR(__xludf.DUMMYFUNCTION("""COMPUTED_VALUE"""),3297.25)</f>
        <v>3297.25</v>
      </c>
    </row>
    <row r="2340">
      <c r="A2340" s="10">
        <f t="shared" si="8"/>
        <v>40322.66667</v>
      </c>
      <c r="B2340" s="2" t="str">
        <f t="shared" si="2"/>
        <v/>
      </c>
      <c r="C2340" s="2" t="str">
        <f t="shared" si="3"/>
        <v>SP500</v>
      </c>
      <c r="D2340" s="2">
        <f t="shared" si="4"/>
        <v>2213.55</v>
      </c>
      <c r="E2340" s="2">
        <f t="shared" si="5"/>
        <v>2213.55</v>
      </c>
      <c r="G2340" s="10">
        <f t="shared" si="9"/>
        <v>40322.64583</v>
      </c>
      <c r="H2340" s="6" t="str">
        <f t="shared" si="6"/>
        <v/>
      </c>
      <c r="I2340" s="2">
        <f t="shared" si="7"/>
        <v>1426.89</v>
      </c>
      <c r="M2340" s="10">
        <f>IFERROR(__xludf.DUMMYFUNCTION("""COMPUTED_VALUE"""),41375.666666666664)</f>
        <v>41375.66667</v>
      </c>
      <c r="N2340" s="2">
        <f>IFERROR(__xludf.DUMMYFUNCTION("""COMPUTED_VALUE"""),3300.16)</f>
        <v>3300.16</v>
      </c>
    </row>
    <row r="2341">
      <c r="A2341" s="10">
        <f t="shared" si="8"/>
        <v>40323.66667</v>
      </c>
      <c r="B2341" s="2" t="str">
        <f t="shared" si="2"/>
        <v/>
      </c>
      <c r="C2341" s="2" t="str">
        <f t="shared" si="3"/>
        <v>SP500</v>
      </c>
      <c r="D2341" s="2">
        <f t="shared" si="4"/>
        <v>2210.95</v>
      </c>
      <c r="E2341" s="2">
        <f t="shared" si="5"/>
        <v>2210.95</v>
      </c>
      <c r="G2341" s="10">
        <f t="shared" si="9"/>
        <v>40323.64583</v>
      </c>
      <c r="H2341" s="6" t="str">
        <f t="shared" si="6"/>
        <v/>
      </c>
      <c r="I2341" s="2">
        <f t="shared" si="7"/>
        <v>1426.89</v>
      </c>
      <c r="M2341" s="10">
        <f>IFERROR(__xludf.DUMMYFUNCTION("""COMPUTED_VALUE"""),41376.666666666664)</f>
        <v>41376.66667</v>
      </c>
      <c r="N2341" s="2">
        <f>IFERROR(__xludf.DUMMYFUNCTION("""COMPUTED_VALUE"""),3294.95)</f>
        <v>3294.95</v>
      </c>
    </row>
    <row r="2342">
      <c r="A2342" s="10">
        <f t="shared" si="8"/>
        <v>40324.66667</v>
      </c>
      <c r="B2342" s="2" t="str">
        <f t="shared" si="2"/>
        <v/>
      </c>
      <c r="C2342" s="2" t="str">
        <f t="shared" si="3"/>
        <v>SP500</v>
      </c>
      <c r="D2342" s="2">
        <f t="shared" si="4"/>
        <v>2195.88</v>
      </c>
      <c r="E2342" s="2">
        <f t="shared" si="5"/>
        <v>2195.88</v>
      </c>
      <c r="G2342" s="10">
        <f t="shared" si="9"/>
        <v>40324.64583</v>
      </c>
      <c r="H2342" s="6" t="str">
        <f t="shared" si="6"/>
        <v/>
      </c>
      <c r="I2342" s="2">
        <f t="shared" si="7"/>
        <v>1426.89</v>
      </c>
      <c r="M2342" s="10">
        <f>IFERROR(__xludf.DUMMYFUNCTION("""COMPUTED_VALUE"""),41379.666666666664)</f>
        <v>41379.66667</v>
      </c>
      <c r="N2342" s="2">
        <f>IFERROR(__xludf.DUMMYFUNCTION("""COMPUTED_VALUE"""),3216.49)</f>
        <v>3216.49</v>
      </c>
    </row>
    <row r="2343">
      <c r="A2343" s="10">
        <f t="shared" si="8"/>
        <v>40325.66667</v>
      </c>
      <c r="B2343" s="2" t="str">
        <f t="shared" si="2"/>
        <v/>
      </c>
      <c r="C2343" s="2" t="str">
        <f t="shared" si="3"/>
        <v>SP500</v>
      </c>
      <c r="D2343" s="2">
        <f t="shared" si="4"/>
        <v>2277.68</v>
      </c>
      <c r="E2343" s="2">
        <f t="shared" si="5"/>
        <v>2277.68</v>
      </c>
      <c r="G2343" s="10">
        <f t="shared" si="9"/>
        <v>40325.64583</v>
      </c>
      <c r="H2343" s="6" t="str">
        <f t="shared" si="6"/>
        <v/>
      </c>
      <c r="I2343" s="2">
        <f t="shared" si="7"/>
        <v>1426.89</v>
      </c>
      <c r="M2343" s="10">
        <f>IFERROR(__xludf.DUMMYFUNCTION("""COMPUTED_VALUE"""),41380.666666666664)</f>
        <v>41380.66667</v>
      </c>
      <c r="N2343" s="2">
        <f>IFERROR(__xludf.DUMMYFUNCTION("""COMPUTED_VALUE"""),3264.63)</f>
        <v>3264.63</v>
      </c>
    </row>
    <row r="2344">
      <c r="A2344" s="10">
        <f t="shared" si="8"/>
        <v>40326.66667</v>
      </c>
      <c r="B2344" s="2" t="str">
        <f t="shared" si="2"/>
        <v/>
      </c>
      <c r="C2344" s="2" t="str">
        <f t="shared" si="3"/>
        <v>SP500</v>
      </c>
      <c r="D2344" s="2">
        <f t="shared" si="4"/>
        <v>2257.04</v>
      </c>
      <c r="E2344" s="2">
        <f t="shared" si="5"/>
        <v>2257.04</v>
      </c>
      <c r="G2344" s="10">
        <f t="shared" si="9"/>
        <v>40326.64583</v>
      </c>
      <c r="H2344" s="6" t="str">
        <f t="shared" si="6"/>
        <v/>
      </c>
      <c r="I2344" s="2">
        <f t="shared" si="7"/>
        <v>1426.89</v>
      </c>
      <c r="M2344" s="10">
        <f>IFERROR(__xludf.DUMMYFUNCTION("""COMPUTED_VALUE"""),41381.666666666664)</f>
        <v>41381.66667</v>
      </c>
      <c r="N2344" s="2">
        <f>IFERROR(__xludf.DUMMYFUNCTION("""COMPUTED_VALUE"""),3204.67)</f>
        <v>3204.67</v>
      </c>
    </row>
    <row r="2345">
      <c r="A2345" s="10">
        <f t="shared" si="8"/>
        <v>40327.66667</v>
      </c>
      <c r="B2345" s="2" t="str">
        <f t="shared" si="2"/>
        <v/>
      </c>
      <c r="C2345" s="2" t="str">
        <f t="shared" si="3"/>
        <v>SP500</v>
      </c>
      <c r="D2345" s="2" t="str">
        <f t="shared" si="4"/>
        <v/>
      </c>
      <c r="E2345" s="2">
        <f t="shared" si="5"/>
        <v>2257.04</v>
      </c>
      <c r="G2345" s="10">
        <f t="shared" si="9"/>
        <v>40327.64583</v>
      </c>
      <c r="H2345" s="6" t="str">
        <f t="shared" si="6"/>
        <v/>
      </c>
      <c r="I2345" s="2">
        <f t="shared" si="7"/>
        <v>1426.89</v>
      </c>
      <c r="M2345" s="10">
        <f>IFERROR(__xludf.DUMMYFUNCTION("""COMPUTED_VALUE"""),41382.666666666664)</f>
        <v>41382.66667</v>
      </c>
      <c r="N2345" s="2">
        <f>IFERROR(__xludf.DUMMYFUNCTION("""COMPUTED_VALUE"""),3166.36)</f>
        <v>3166.36</v>
      </c>
    </row>
    <row r="2346">
      <c r="A2346" s="10">
        <f t="shared" si="8"/>
        <v>40328.66667</v>
      </c>
      <c r="B2346" s="2" t="str">
        <f t="shared" si="2"/>
        <v/>
      </c>
      <c r="C2346" s="2" t="str">
        <f t="shared" si="3"/>
        <v>SP500</v>
      </c>
      <c r="D2346" s="2" t="str">
        <f t="shared" si="4"/>
        <v/>
      </c>
      <c r="E2346" s="2">
        <f t="shared" si="5"/>
        <v>2257.04</v>
      </c>
      <c r="G2346" s="10">
        <f t="shared" si="9"/>
        <v>40328.64583</v>
      </c>
      <c r="H2346" s="6" t="str">
        <f t="shared" si="6"/>
        <v/>
      </c>
      <c r="I2346" s="2">
        <f t="shared" si="7"/>
        <v>1426.89</v>
      </c>
      <c r="M2346" s="10">
        <f>IFERROR(__xludf.DUMMYFUNCTION("""COMPUTED_VALUE"""),41383.666666666664)</f>
        <v>41383.66667</v>
      </c>
      <c r="N2346" s="2">
        <f>IFERROR(__xludf.DUMMYFUNCTION("""COMPUTED_VALUE"""),3206.06)</f>
        <v>3206.06</v>
      </c>
    </row>
    <row r="2347">
      <c r="A2347" s="10">
        <f t="shared" si="8"/>
        <v>40329.66667</v>
      </c>
      <c r="B2347" s="2" t="str">
        <f t="shared" si="2"/>
        <v/>
      </c>
      <c r="C2347" s="2" t="str">
        <f t="shared" si="3"/>
        <v>SP500</v>
      </c>
      <c r="D2347" s="2" t="str">
        <f t="shared" si="4"/>
        <v/>
      </c>
      <c r="E2347" s="2">
        <f t="shared" si="5"/>
        <v>2257.04</v>
      </c>
      <c r="G2347" s="10">
        <f t="shared" si="9"/>
        <v>40329.64583</v>
      </c>
      <c r="H2347" s="6" t="str">
        <f t="shared" si="6"/>
        <v/>
      </c>
      <c r="I2347" s="2">
        <f t="shared" si="7"/>
        <v>1426.89</v>
      </c>
      <c r="M2347" s="10">
        <f>IFERROR(__xludf.DUMMYFUNCTION("""COMPUTED_VALUE"""),41386.666666666664)</f>
        <v>41386.66667</v>
      </c>
      <c r="N2347" s="2">
        <f>IFERROR(__xludf.DUMMYFUNCTION("""COMPUTED_VALUE"""),3233.55)</f>
        <v>3233.55</v>
      </c>
    </row>
    <row r="2348">
      <c r="A2348" s="10">
        <f t="shared" si="8"/>
        <v>40330.66667</v>
      </c>
      <c r="B2348" s="2" t="str">
        <f t="shared" si="2"/>
        <v/>
      </c>
      <c r="C2348" s="2" t="str">
        <f t="shared" si="3"/>
        <v>SP500</v>
      </c>
      <c r="D2348" s="2">
        <f t="shared" si="4"/>
        <v>2222.33</v>
      </c>
      <c r="E2348" s="2">
        <f t="shared" si="5"/>
        <v>2222.33</v>
      </c>
      <c r="G2348" s="10">
        <f t="shared" si="9"/>
        <v>40330.64583</v>
      </c>
      <c r="H2348" s="6" t="str">
        <f t="shared" si="6"/>
        <v/>
      </c>
      <c r="I2348" s="2">
        <f t="shared" si="7"/>
        <v>1426.89</v>
      </c>
      <c r="M2348" s="10">
        <f>IFERROR(__xludf.DUMMYFUNCTION("""COMPUTED_VALUE"""),41387.666666666664)</f>
        <v>41387.66667</v>
      </c>
      <c r="N2348" s="2">
        <f>IFERROR(__xludf.DUMMYFUNCTION("""COMPUTED_VALUE"""),3269.33)</f>
        <v>3269.33</v>
      </c>
    </row>
    <row r="2349">
      <c r="A2349" s="10">
        <f t="shared" si="8"/>
        <v>40331.66667</v>
      </c>
      <c r="B2349" s="2" t="str">
        <f t="shared" si="2"/>
        <v/>
      </c>
      <c r="C2349" s="2" t="str">
        <f t="shared" si="3"/>
        <v>SP500</v>
      </c>
      <c r="D2349" s="2">
        <f t="shared" si="4"/>
        <v>2281.07</v>
      </c>
      <c r="E2349" s="2">
        <f t="shared" si="5"/>
        <v>2281.07</v>
      </c>
      <c r="G2349" s="10">
        <f t="shared" si="9"/>
        <v>40331.64583</v>
      </c>
      <c r="H2349" s="6" t="str">
        <f t="shared" si="6"/>
        <v/>
      </c>
      <c r="I2349" s="2">
        <f t="shared" si="7"/>
        <v>1426.89</v>
      </c>
      <c r="M2349" s="10">
        <f>IFERROR(__xludf.DUMMYFUNCTION("""COMPUTED_VALUE"""),41388.666666666664)</f>
        <v>41388.66667</v>
      </c>
      <c r="N2349" s="2">
        <f>IFERROR(__xludf.DUMMYFUNCTION("""COMPUTED_VALUE"""),3269.65)</f>
        <v>3269.65</v>
      </c>
    </row>
    <row r="2350">
      <c r="A2350" s="10">
        <f t="shared" si="8"/>
        <v>40332.66667</v>
      </c>
      <c r="B2350" s="2" t="str">
        <f t="shared" si="2"/>
        <v/>
      </c>
      <c r="C2350" s="2" t="str">
        <f t="shared" si="3"/>
        <v>SP500</v>
      </c>
      <c r="D2350" s="2">
        <f t="shared" si="4"/>
        <v>2303.03</v>
      </c>
      <c r="E2350" s="2">
        <f t="shared" si="5"/>
        <v>2303.03</v>
      </c>
      <c r="G2350" s="10">
        <f t="shared" si="9"/>
        <v>40332.64583</v>
      </c>
      <c r="H2350" s="6" t="str">
        <f t="shared" si="6"/>
        <v/>
      </c>
      <c r="I2350" s="2">
        <f t="shared" si="7"/>
        <v>1426.89</v>
      </c>
      <c r="M2350" s="10">
        <f>IFERROR(__xludf.DUMMYFUNCTION("""COMPUTED_VALUE"""),41389.666666666664)</f>
        <v>41389.66667</v>
      </c>
      <c r="N2350" s="2">
        <f>IFERROR(__xludf.DUMMYFUNCTION("""COMPUTED_VALUE"""),3289.99)</f>
        <v>3289.99</v>
      </c>
    </row>
    <row r="2351">
      <c r="A2351" s="10">
        <f t="shared" si="8"/>
        <v>40333.66667</v>
      </c>
      <c r="B2351" s="2" t="str">
        <f t="shared" si="2"/>
        <v/>
      </c>
      <c r="C2351" s="2" t="str">
        <f t="shared" si="3"/>
        <v>SP500</v>
      </c>
      <c r="D2351" s="2">
        <f t="shared" si="4"/>
        <v>2219.17</v>
      </c>
      <c r="E2351" s="2">
        <f t="shared" si="5"/>
        <v>2219.17</v>
      </c>
      <c r="G2351" s="10">
        <f t="shared" si="9"/>
        <v>40333.64583</v>
      </c>
      <c r="H2351" s="6" t="str">
        <f t="shared" si="6"/>
        <v/>
      </c>
      <c r="I2351" s="2">
        <f t="shared" si="7"/>
        <v>1426.89</v>
      </c>
      <c r="M2351" s="10">
        <f>IFERROR(__xludf.DUMMYFUNCTION("""COMPUTED_VALUE"""),41390.666666666664)</f>
        <v>41390.66667</v>
      </c>
      <c r="N2351" s="2">
        <f>IFERROR(__xludf.DUMMYFUNCTION("""COMPUTED_VALUE"""),3279.26)</f>
        <v>3279.26</v>
      </c>
    </row>
    <row r="2352">
      <c r="A2352" s="10">
        <f t="shared" si="8"/>
        <v>40334.66667</v>
      </c>
      <c r="B2352" s="2" t="str">
        <f t="shared" si="2"/>
        <v/>
      </c>
      <c r="C2352" s="2" t="str">
        <f t="shared" si="3"/>
        <v>SP500</v>
      </c>
      <c r="D2352" s="2" t="str">
        <f t="shared" si="4"/>
        <v/>
      </c>
      <c r="E2352" s="2">
        <f t="shared" si="5"/>
        <v>2219.17</v>
      </c>
      <c r="G2352" s="10">
        <f t="shared" si="9"/>
        <v>40334.64583</v>
      </c>
      <c r="H2352" s="6" t="str">
        <f t="shared" si="6"/>
        <v/>
      </c>
      <c r="I2352" s="2">
        <f t="shared" si="7"/>
        <v>1426.89</v>
      </c>
      <c r="M2352" s="10">
        <f>IFERROR(__xludf.DUMMYFUNCTION("""COMPUTED_VALUE"""),41393.666666666664)</f>
        <v>41393.66667</v>
      </c>
      <c r="N2352" s="2">
        <f>IFERROR(__xludf.DUMMYFUNCTION("""COMPUTED_VALUE"""),3307.02)</f>
        <v>3307.02</v>
      </c>
    </row>
    <row r="2353">
      <c r="A2353" s="10">
        <f t="shared" si="8"/>
        <v>40335.66667</v>
      </c>
      <c r="B2353" s="2" t="str">
        <f t="shared" si="2"/>
        <v/>
      </c>
      <c r="C2353" s="2" t="str">
        <f t="shared" si="3"/>
        <v>SP500</v>
      </c>
      <c r="D2353" s="2" t="str">
        <f t="shared" si="4"/>
        <v/>
      </c>
      <c r="E2353" s="2">
        <f t="shared" si="5"/>
        <v>2219.17</v>
      </c>
      <c r="G2353" s="10">
        <f t="shared" si="9"/>
        <v>40335.64583</v>
      </c>
      <c r="H2353" s="6" t="str">
        <f t="shared" si="6"/>
        <v/>
      </c>
      <c r="I2353" s="2">
        <f t="shared" si="7"/>
        <v>1426.89</v>
      </c>
      <c r="M2353" s="10">
        <f>IFERROR(__xludf.DUMMYFUNCTION("""COMPUTED_VALUE"""),41394.666666666664)</f>
        <v>41394.66667</v>
      </c>
      <c r="N2353" s="2">
        <f>IFERROR(__xludf.DUMMYFUNCTION("""COMPUTED_VALUE"""),3328.79)</f>
        <v>3328.79</v>
      </c>
    </row>
    <row r="2354">
      <c r="A2354" s="10">
        <f t="shared" si="8"/>
        <v>40336.66667</v>
      </c>
      <c r="B2354" s="2" t="str">
        <f t="shared" si="2"/>
        <v/>
      </c>
      <c r="C2354" s="2" t="str">
        <f t="shared" si="3"/>
        <v>SP500</v>
      </c>
      <c r="D2354" s="2">
        <f t="shared" si="4"/>
        <v>2173.9</v>
      </c>
      <c r="E2354" s="2">
        <f t="shared" si="5"/>
        <v>2173.9</v>
      </c>
      <c r="G2354" s="10">
        <f t="shared" si="9"/>
        <v>40336.64583</v>
      </c>
      <c r="H2354" s="6" t="str">
        <f t="shared" si="6"/>
        <v/>
      </c>
      <c r="I2354" s="2">
        <f t="shared" si="7"/>
        <v>1426.89</v>
      </c>
      <c r="M2354" s="10">
        <f>IFERROR(__xludf.DUMMYFUNCTION("""COMPUTED_VALUE"""),41395.666666666664)</f>
        <v>41395.66667</v>
      </c>
      <c r="N2354" s="2">
        <f>IFERROR(__xludf.DUMMYFUNCTION("""COMPUTED_VALUE"""),3299.13)</f>
        <v>3299.13</v>
      </c>
    </row>
    <row r="2355">
      <c r="A2355" s="10">
        <f t="shared" si="8"/>
        <v>40337.66667</v>
      </c>
      <c r="B2355" s="2" t="str">
        <f t="shared" si="2"/>
        <v/>
      </c>
      <c r="C2355" s="2" t="str">
        <f t="shared" si="3"/>
        <v>SP500</v>
      </c>
      <c r="D2355" s="2">
        <f t="shared" si="4"/>
        <v>2170.57</v>
      </c>
      <c r="E2355" s="2">
        <f t="shared" si="5"/>
        <v>2170.57</v>
      </c>
      <c r="G2355" s="10">
        <f t="shared" si="9"/>
        <v>40337.64583</v>
      </c>
      <c r="H2355" s="6" t="str">
        <f t="shared" si="6"/>
        <v/>
      </c>
      <c r="I2355" s="2">
        <f t="shared" si="7"/>
        <v>1426.89</v>
      </c>
      <c r="M2355" s="10">
        <f>IFERROR(__xludf.DUMMYFUNCTION("""COMPUTED_VALUE"""),41396.666666666664)</f>
        <v>41396.66667</v>
      </c>
      <c r="N2355" s="2">
        <f>IFERROR(__xludf.DUMMYFUNCTION("""COMPUTED_VALUE"""),3340.62)</f>
        <v>3340.62</v>
      </c>
    </row>
    <row r="2356">
      <c r="A2356" s="10">
        <f t="shared" si="8"/>
        <v>40338.66667</v>
      </c>
      <c r="B2356" s="2" t="str">
        <f t="shared" si="2"/>
        <v/>
      </c>
      <c r="C2356" s="2" t="str">
        <f t="shared" si="3"/>
        <v>SP500</v>
      </c>
      <c r="D2356" s="2">
        <f t="shared" si="4"/>
        <v>2158.85</v>
      </c>
      <c r="E2356" s="2">
        <f t="shared" si="5"/>
        <v>2158.85</v>
      </c>
      <c r="G2356" s="10">
        <f t="shared" si="9"/>
        <v>40338.64583</v>
      </c>
      <c r="H2356" s="6" t="str">
        <f t="shared" si="6"/>
        <v/>
      </c>
      <c r="I2356" s="2">
        <f t="shared" si="7"/>
        <v>1426.89</v>
      </c>
      <c r="M2356" s="10">
        <f>IFERROR(__xludf.DUMMYFUNCTION("""COMPUTED_VALUE"""),41397.666666666664)</f>
        <v>41397.66667</v>
      </c>
      <c r="N2356" s="2">
        <f>IFERROR(__xludf.DUMMYFUNCTION("""COMPUTED_VALUE"""),3378.63)</f>
        <v>3378.63</v>
      </c>
    </row>
    <row r="2357">
      <c r="A2357" s="10">
        <f t="shared" si="8"/>
        <v>40339.66667</v>
      </c>
      <c r="B2357" s="2" t="str">
        <f t="shared" si="2"/>
        <v/>
      </c>
      <c r="C2357" s="2" t="str">
        <f t="shared" si="3"/>
        <v>SP500</v>
      </c>
      <c r="D2357" s="2">
        <f t="shared" si="4"/>
        <v>2218.71</v>
      </c>
      <c r="E2357" s="2">
        <f t="shared" si="5"/>
        <v>2218.71</v>
      </c>
      <c r="G2357" s="10">
        <f t="shared" si="9"/>
        <v>40339.64583</v>
      </c>
      <c r="H2357" s="6" t="str">
        <f t="shared" si="6"/>
        <v/>
      </c>
      <c r="I2357" s="2">
        <f t="shared" si="7"/>
        <v>1426.89</v>
      </c>
      <c r="M2357" s="10">
        <f>IFERROR(__xludf.DUMMYFUNCTION("""COMPUTED_VALUE"""),41400.666666666664)</f>
        <v>41400.66667</v>
      </c>
      <c r="N2357" s="2">
        <f>IFERROR(__xludf.DUMMYFUNCTION("""COMPUTED_VALUE"""),3392.97)</f>
        <v>3392.97</v>
      </c>
    </row>
    <row r="2358">
      <c r="A2358" s="10">
        <f t="shared" si="8"/>
        <v>40340.66667</v>
      </c>
      <c r="B2358" s="2" t="str">
        <f t="shared" si="2"/>
        <v/>
      </c>
      <c r="C2358" s="2" t="str">
        <f t="shared" si="3"/>
        <v>SP500</v>
      </c>
      <c r="D2358" s="2">
        <f t="shared" si="4"/>
        <v>2243.6</v>
      </c>
      <c r="E2358" s="2">
        <f t="shared" si="5"/>
        <v>2243.6</v>
      </c>
      <c r="G2358" s="10">
        <f t="shared" si="9"/>
        <v>40340.64583</v>
      </c>
      <c r="H2358" s="6" t="str">
        <f t="shared" si="6"/>
        <v/>
      </c>
      <c r="I2358" s="2">
        <f t="shared" si="7"/>
        <v>1426.89</v>
      </c>
      <c r="M2358" s="10">
        <f>IFERROR(__xludf.DUMMYFUNCTION("""COMPUTED_VALUE"""),41401.666666666664)</f>
        <v>41401.66667</v>
      </c>
      <c r="N2358" s="2">
        <f>IFERROR(__xludf.DUMMYFUNCTION("""COMPUTED_VALUE"""),3396.63)</f>
        <v>3396.63</v>
      </c>
    </row>
    <row r="2359">
      <c r="A2359" s="10">
        <f t="shared" si="8"/>
        <v>40341.66667</v>
      </c>
      <c r="B2359" s="2" t="str">
        <f t="shared" si="2"/>
        <v/>
      </c>
      <c r="C2359" s="2" t="str">
        <f t="shared" si="3"/>
        <v>SP500</v>
      </c>
      <c r="D2359" s="2" t="str">
        <f t="shared" si="4"/>
        <v/>
      </c>
      <c r="E2359" s="2">
        <f t="shared" si="5"/>
        <v>2243.6</v>
      </c>
      <c r="G2359" s="10">
        <f t="shared" si="9"/>
        <v>40341.64583</v>
      </c>
      <c r="H2359" s="6" t="str">
        <f t="shared" si="6"/>
        <v/>
      </c>
      <c r="I2359" s="2">
        <f t="shared" si="7"/>
        <v>1426.89</v>
      </c>
      <c r="M2359" s="10">
        <f>IFERROR(__xludf.DUMMYFUNCTION("""COMPUTED_VALUE"""),41402.666666666664)</f>
        <v>41402.66667</v>
      </c>
      <c r="N2359" s="2">
        <f>IFERROR(__xludf.DUMMYFUNCTION("""COMPUTED_VALUE"""),3413.27)</f>
        <v>3413.27</v>
      </c>
    </row>
    <row r="2360">
      <c r="A2360" s="10">
        <f t="shared" si="8"/>
        <v>40342.66667</v>
      </c>
      <c r="B2360" s="2" t="str">
        <f t="shared" si="2"/>
        <v/>
      </c>
      <c r="C2360" s="2" t="str">
        <f t="shared" si="3"/>
        <v>SP500</v>
      </c>
      <c r="D2360" s="2" t="str">
        <f t="shared" si="4"/>
        <v/>
      </c>
      <c r="E2360" s="2">
        <f t="shared" si="5"/>
        <v>2243.6</v>
      </c>
      <c r="G2360" s="10">
        <f t="shared" si="9"/>
        <v>40342.64583</v>
      </c>
      <c r="H2360" s="6" t="str">
        <f t="shared" si="6"/>
        <v/>
      </c>
      <c r="I2360" s="2">
        <f t="shared" si="7"/>
        <v>1426.89</v>
      </c>
      <c r="M2360" s="10">
        <f>IFERROR(__xludf.DUMMYFUNCTION("""COMPUTED_VALUE"""),41403.666666666664)</f>
        <v>41403.66667</v>
      </c>
      <c r="N2360" s="2">
        <f>IFERROR(__xludf.DUMMYFUNCTION("""COMPUTED_VALUE"""),3409.17)</f>
        <v>3409.17</v>
      </c>
    </row>
    <row r="2361">
      <c r="A2361" s="10">
        <f t="shared" si="8"/>
        <v>40343.66667</v>
      </c>
      <c r="B2361" s="2" t="str">
        <f t="shared" si="2"/>
        <v/>
      </c>
      <c r="C2361" s="2" t="str">
        <f t="shared" si="3"/>
        <v>SP500</v>
      </c>
      <c r="D2361" s="2">
        <f t="shared" si="4"/>
        <v>2243.96</v>
      </c>
      <c r="E2361" s="2">
        <f t="shared" si="5"/>
        <v>2243.96</v>
      </c>
      <c r="G2361" s="10">
        <f t="shared" si="9"/>
        <v>40343.64583</v>
      </c>
      <c r="H2361" s="6" t="str">
        <f t="shared" si="6"/>
        <v/>
      </c>
      <c r="I2361" s="2">
        <f t="shared" si="7"/>
        <v>1426.89</v>
      </c>
      <c r="M2361" s="10">
        <f>IFERROR(__xludf.DUMMYFUNCTION("""COMPUTED_VALUE"""),41404.666666666664)</f>
        <v>41404.66667</v>
      </c>
      <c r="N2361" s="2">
        <f>IFERROR(__xludf.DUMMYFUNCTION("""COMPUTED_VALUE"""),3436.58)</f>
        <v>3436.58</v>
      </c>
    </row>
    <row r="2362">
      <c r="A2362" s="10">
        <f t="shared" si="8"/>
        <v>40344.66667</v>
      </c>
      <c r="B2362" s="2" t="str">
        <f t="shared" si="2"/>
        <v/>
      </c>
      <c r="C2362" s="2" t="str">
        <f t="shared" si="3"/>
        <v>SP500</v>
      </c>
      <c r="D2362" s="2">
        <f t="shared" si="4"/>
        <v>2305.88</v>
      </c>
      <c r="E2362" s="2">
        <f t="shared" si="5"/>
        <v>2305.88</v>
      </c>
      <c r="G2362" s="10">
        <f t="shared" si="9"/>
        <v>40344.64583</v>
      </c>
      <c r="H2362" s="6" t="str">
        <f t="shared" si="6"/>
        <v/>
      </c>
      <c r="I2362" s="2">
        <f t="shared" si="7"/>
        <v>1426.89</v>
      </c>
      <c r="M2362" s="10">
        <f>IFERROR(__xludf.DUMMYFUNCTION("""COMPUTED_VALUE"""),41407.666666666664)</f>
        <v>41407.66667</v>
      </c>
      <c r="N2362" s="2">
        <f>IFERROR(__xludf.DUMMYFUNCTION("""COMPUTED_VALUE"""),3438.79)</f>
        <v>3438.79</v>
      </c>
    </row>
    <row r="2363">
      <c r="A2363" s="10">
        <f t="shared" si="8"/>
        <v>40345.66667</v>
      </c>
      <c r="B2363" s="2" t="str">
        <f t="shared" si="2"/>
        <v/>
      </c>
      <c r="C2363" s="2" t="str">
        <f t="shared" si="3"/>
        <v>SP500</v>
      </c>
      <c r="D2363" s="2">
        <f t="shared" si="4"/>
        <v>2305.93</v>
      </c>
      <c r="E2363" s="2">
        <f t="shared" si="5"/>
        <v>2305.93</v>
      </c>
      <c r="G2363" s="10">
        <f t="shared" si="9"/>
        <v>40345.64583</v>
      </c>
      <c r="H2363" s="6" t="str">
        <f t="shared" si="6"/>
        <v/>
      </c>
      <c r="I2363" s="2">
        <f t="shared" si="7"/>
        <v>1426.89</v>
      </c>
      <c r="M2363" s="10">
        <f>IFERROR(__xludf.DUMMYFUNCTION("""COMPUTED_VALUE"""),41408.666666666664)</f>
        <v>41408.66667</v>
      </c>
      <c r="N2363" s="2">
        <f>IFERROR(__xludf.DUMMYFUNCTION("""COMPUTED_VALUE"""),3462.61)</f>
        <v>3462.61</v>
      </c>
    </row>
    <row r="2364">
      <c r="A2364" s="10">
        <f t="shared" si="8"/>
        <v>40346.66667</v>
      </c>
      <c r="B2364" s="2" t="str">
        <f t="shared" si="2"/>
        <v/>
      </c>
      <c r="C2364" s="2" t="str">
        <f t="shared" si="3"/>
        <v>SP500</v>
      </c>
      <c r="D2364" s="2">
        <f t="shared" si="4"/>
        <v>2307.16</v>
      </c>
      <c r="E2364" s="2">
        <f t="shared" si="5"/>
        <v>2307.16</v>
      </c>
      <c r="G2364" s="10">
        <f t="shared" si="9"/>
        <v>40346.64583</v>
      </c>
      <c r="H2364" s="6" t="str">
        <f t="shared" si="6"/>
        <v/>
      </c>
      <c r="I2364" s="2">
        <f t="shared" si="7"/>
        <v>1426.89</v>
      </c>
      <c r="M2364" s="10">
        <f>IFERROR(__xludf.DUMMYFUNCTION("""COMPUTED_VALUE"""),41409.666666666664)</f>
        <v>41409.66667</v>
      </c>
      <c r="N2364" s="2">
        <f>IFERROR(__xludf.DUMMYFUNCTION("""COMPUTED_VALUE"""),3471.62)</f>
        <v>3471.62</v>
      </c>
    </row>
    <row r="2365">
      <c r="A2365" s="10">
        <f t="shared" si="8"/>
        <v>40347.66667</v>
      </c>
      <c r="B2365" s="2" t="str">
        <f t="shared" si="2"/>
        <v/>
      </c>
      <c r="C2365" s="2" t="str">
        <f t="shared" si="3"/>
        <v>SP500</v>
      </c>
      <c r="D2365" s="2">
        <f t="shared" si="4"/>
        <v>2309.8</v>
      </c>
      <c r="E2365" s="2">
        <f t="shared" si="5"/>
        <v>2309.8</v>
      </c>
      <c r="G2365" s="10">
        <f t="shared" si="9"/>
        <v>40347.64583</v>
      </c>
      <c r="H2365" s="6" t="str">
        <f t="shared" si="6"/>
        <v/>
      </c>
      <c r="I2365" s="2">
        <f t="shared" si="7"/>
        <v>1426.89</v>
      </c>
      <c r="M2365" s="10">
        <f>IFERROR(__xludf.DUMMYFUNCTION("""COMPUTED_VALUE"""),41410.666666666664)</f>
        <v>41410.66667</v>
      </c>
      <c r="N2365" s="2">
        <f>IFERROR(__xludf.DUMMYFUNCTION("""COMPUTED_VALUE"""),3465.24)</f>
        <v>3465.24</v>
      </c>
    </row>
    <row r="2366">
      <c r="A2366" s="10">
        <f t="shared" si="8"/>
        <v>40348.66667</v>
      </c>
      <c r="B2366" s="2" t="str">
        <f t="shared" si="2"/>
        <v/>
      </c>
      <c r="C2366" s="2" t="str">
        <f t="shared" si="3"/>
        <v>SP500</v>
      </c>
      <c r="D2366" s="2" t="str">
        <f t="shared" si="4"/>
        <v/>
      </c>
      <c r="E2366" s="2">
        <f t="shared" si="5"/>
        <v>2309.8</v>
      </c>
      <c r="G2366" s="10">
        <f t="shared" si="9"/>
        <v>40348.64583</v>
      </c>
      <c r="H2366" s="6" t="str">
        <f t="shared" si="6"/>
        <v/>
      </c>
      <c r="I2366" s="2">
        <f t="shared" si="7"/>
        <v>1426.89</v>
      </c>
      <c r="M2366" s="10">
        <f>IFERROR(__xludf.DUMMYFUNCTION("""COMPUTED_VALUE"""),41411.666666666664)</f>
        <v>41411.66667</v>
      </c>
      <c r="N2366" s="2">
        <f>IFERROR(__xludf.DUMMYFUNCTION("""COMPUTED_VALUE"""),3498.97)</f>
        <v>3498.97</v>
      </c>
    </row>
    <row r="2367">
      <c r="A2367" s="10">
        <f t="shared" si="8"/>
        <v>40349.66667</v>
      </c>
      <c r="B2367" s="2" t="str">
        <f t="shared" si="2"/>
        <v/>
      </c>
      <c r="C2367" s="2" t="str">
        <f t="shared" si="3"/>
        <v>SP500</v>
      </c>
      <c r="D2367" s="2" t="str">
        <f t="shared" si="4"/>
        <v/>
      </c>
      <c r="E2367" s="2">
        <f t="shared" si="5"/>
        <v>2309.8</v>
      </c>
      <c r="G2367" s="10">
        <f t="shared" si="9"/>
        <v>40349.64583</v>
      </c>
      <c r="H2367" s="6" t="str">
        <f t="shared" si="6"/>
        <v/>
      </c>
      <c r="I2367" s="2">
        <f t="shared" si="7"/>
        <v>1426.89</v>
      </c>
      <c r="M2367" s="10">
        <f>IFERROR(__xludf.DUMMYFUNCTION("""COMPUTED_VALUE"""),41414.666666666664)</f>
        <v>41414.66667</v>
      </c>
      <c r="N2367" s="2">
        <f>IFERROR(__xludf.DUMMYFUNCTION("""COMPUTED_VALUE"""),3496.43)</f>
        <v>3496.43</v>
      </c>
    </row>
    <row r="2368">
      <c r="A2368" s="10">
        <f t="shared" si="8"/>
        <v>40350.66667</v>
      </c>
      <c r="B2368" s="2" t="str">
        <f t="shared" si="2"/>
        <v/>
      </c>
      <c r="C2368" s="2" t="str">
        <f t="shared" si="3"/>
        <v>SP500</v>
      </c>
      <c r="D2368" s="2">
        <f t="shared" si="4"/>
        <v>2289.09</v>
      </c>
      <c r="E2368" s="2">
        <f t="shared" si="5"/>
        <v>2289.09</v>
      </c>
      <c r="G2368" s="10">
        <f t="shared" si="9"/>
        <v>40350.64583</v>
      </c>
      <c r="H2368" s="6" t="str">
        <f t="shared" si="6"/>
        <v/>
      </c>
      <c r="I2368" s="2">
        <f t="shared" si="7"/>
        <v>1426.89</v>
      </c>
      <c r="M2368" s="10">
        <f>IFERROR(__xludf.DUMMYFUNCTION("""COMPUTED_VALUE"""),41415.666666666664)</f>
        <v>41415.66667</v>
      </c>
      <c r="N2368" s="2">
        <f>IFERROR(__xludf.DUMMYFUNCTION("""COMPUTED_VALUE"""),3502.12)</f>
        <v>3502.12</v>
      </c>
    </row>
    <row r="2369">
      <c r="A2369" s="10">
        <f t="shared" si="8"/>
        <v>40351.66667</v>
      </c>
      <c r="B2369" s="2" t="str">
        <f t="shared" si="2"/>
        <v/>
      </c>
      <c r="C2369" s="2" t="str">
        <f t="shared" si="3"/>
        <v>SP500</v>
      </c>
      <c r="D2369" s="2">
        <f t="shared" si="4"/>
        <v>2261.8</v>
      </c>
      <c r="E2369" s="2">
        <f t="shared" si="5"/>
        <v>2261.8</v>
      </c>
      <c r="G2369" s="10">
        <f t="shared" si="9"/>
        <v>40351.64583</v>
      </c>
      <c r="H2369" s="6" t="str">
        <f t="shared" si="6"/>
        <v/>
      </c>
      <c r="I2369" s="2">
        <f t="shared" si="7"/>
        <v>1426.89</v>
      </c>
      <c r="M2369" s="10">
        <f>IFERROR(__xludf.DUMMYFUNCTION("""COMPUTED_VALUE"""),41416.666666666664)</f>
        <v>41416.66667</v>
      </c>
      <c r="N2369" s="2">
        <f>IFERROR(__xludf.DUMMYFUNCTION("""COMPUTED_VALUE"""),3463.3)</f>
        <v>3463.3</v>
      </c>
    </row>
    <row r="2370">
      <c r="A2370" s="10">
        <f t="shared" si="8"/>
        <v>40352.66667</v>
      </c>
      <c r="B2370" s="2" t="str">
        <f t="shared" si="2"/>
        <v/>
      </c>
      <c r="C2370" s="2" t="str">
        <f t="shared" si="3"/>
        <v>SP500</v>
      </c>
      <c r="D2370" s="2">
        <f t="shared" si="4"/>
        <v>2254.23</v>
      </c>
      <c r="E2370" s="2">
        <f t="shared" si="5"/>
        <v>2254.23</v>
      </c>
      <c r="G2370" s="10">
        <f t="shared" si="9"/>
        <v>40352.64583</v>
      </c>
      <c r="H2370" s="6" t="str">
        <f t="shared" si="6"/>
        <v/>
      </c>
      <c r="I2370" s="2">
        <f t="shared" si="7"/>
        <v>1426.89</v>
      </c>
      <c r="M2370" s="10">
        <f>IFERROR(__xludf.DUMMYFUNCTION("""COMPUTED_VALUE"""),41417.666666666664)</f>
        <v>41417.66667</v>
      </c>
      <c r="N2370" s="2">
        <f>IFERROR(__xludf.DUMMYFUNCTION("""COMPUTED_VALUE"""),3459.42)</f>
        <v>3459.42</v>
      </c>
    </row>
    <row r="2371">
      <c r="A2371" s="10">
        <f t="shared" si="8"/>
        <v>40353.66667</v>
      </c>
      <c r="B2371" s="2" t="str">
        <f t="shared" si="2"/>
        <v/>
      </c>
      <c r="C2371" s="2" t="str">
        <f t="shared" si="3"/>
        <v>SP500</v>
      </c>
      <c r="D2371" s="2">
        <f t="shared" si="4"/>
        <v>2217.42</v>
      </c>
      <c r="E2371" s="2">
        <f t="shared" si="5"/>
        <v>2217.42</v>
      </c>
      <c r="G2371" s="10">
        <f t="shared" si="9"/>
        <v>40353.64583</v>
      </c>
      <c r="H2371" s="6" t="str">
        <f t="shared" si="6"/>
        <v/>
      </c>
      <c r="I2371" s="2">
        <f t="shared" si="7"/>
        <v>1426.89</v>
      </c>
      <c r="M2371" s="10">
        <f>IFERROR(__xludf.DUMMYFUNCTION("""COMPUTED_VALUE"""),41418.666666666664)</f>
        <v>41418.66667</v>
      </c>
      <c r="N2371" s="2">
        <f>IFERROR(__xludf.DUMMYFUNCTION("""COMPUTED_VALUE"""),3459.14)</f>
        <v>3459.14</v>
      </c>
    </row>
    <row r="2372">
      <c r="A2372" s="10">
        <f t="shared" si="8"/>
        <v>40354.66667</v>
      </c>
      <c r="B2372" s="2" t="str">
        <f t="shared" si="2"/>
        <v/>
      </c>
      <c r="C2372" s="2" t="str">
        <f t="shared" si="3"/>
        <v>SP500</v>
      </c>
      <c r="D2372" s="2">
        <f t="shared" si="4"/>
        <v>2223.48</v>
      </c>
      <c r="E2372" s="2">
        <f t="shared" si="5"/>
        <v>2223.48</v>
      </c>
      <c r="G2372" s="10">
        <f t="shared" si="9"/>
        <v>40354.64583</v>
      </c>
      <c r="H2372" s="6" t="str">
        <f t="shared" si="6"/>
        <v/>
      </c>
      <c r="I2372" s="2">
        <f t="shared" si="7"/>
        <v>1426.89</v>
      </c>
      <c r="M2372" s="10">
        <f>IFERROR(__xludf.DUMMYFUNCTION("""COMPUTED_VALUE"""),41422.666666666664)</f>
        <v>41422.66667</v>
      </c>
      <c r="N2372" s="2">
        <f>IFERROR(__xludf.DUMMYFUNCTION("""COMPUTED_VALUE"""),3488.89)</f>
        <v>3488.89</v>
      </c>
    </row>
    <row r="2373">
      <c r="A2373" s="10">
        <f t="shared" si="8"/>
        <v>40355.66667</v>
      </c>
      <c r="B2373" s="2" t="str">
        <f t="shared" si="2"/>
        <v/>
      </c>
      <c r="C2373" s="2" t="str">
        <f t="shared" si="3"/>
        <v>SP500</v>
      </c>
      <c r="D2373" s="2" t="str">
        <f t="shared" si="4"/>
        <v/>
      </c>
      <c r="E2373" s="2">
        <f t="shared" si="5"/>
        <v>2223.48</v>
      </c>
      <c r="G2373" s="10">
        <f t="shared" si="9"/>
        <v>40355.64583</v>
      </c>
      <c r="H2373" s="6" t="str">
        <f t="shared" si="6"/>
        <v/>
      </c>
      <c r="I2373" s="2">
        <f t="shared" si="7"/>
        <v>1426.89</v>
      </c>
      <c r="M2373" s="10">
        <f>IFERROR(__xludf.DUMMYFUNCTION("""COMPUTED_VALUE"""),41423.666666666664)</f>
        <v>41423.66667</v>
      </c>
      <c r="N2373" s="2">
        <f>IFERROR(__xludf.DUMMYFUNCTION("""COMPUTED_VALUE"""),3467.52)</f>
        <v>3467.52</v>
      </c>
    </row>
    <row r="2374">
      <c r="A2374" s="10">
        <f t="shared" si="8"/>
        <v>40356.66667</v>
      </c>
      <c r="B2374" s="2" t="str">
        <f t="shared" si="2"/>
        <v/>
      </c>
      <c r="C2374" s="2" t="str">
        <f t="shared" si="3"/>
        <v>SP500</v>
      </c>
      <c r="D2374" s="2" t="str">
        <f t="shared" si="4"/>
        <v/>
      </c>
      <c r="E2374" s="2">
        <f t="shared" si="5"/>
        <v>2223.48</v>
      </c>
      <c r="G2374" s="10">
        <f t="shared" si="9"/>
        <v>40356.64583</v>
      </c>
      <c r="H2374" s="6" t="str">
        <f t="shared" si="6"/>
        <v/>
      </c>
      <c r="I2374" s="2">
        <f t="shared" si="7"/>
        <v>1426.89</v>
      </c>
      <c r="M2374" s="10">
        <f>IFERROR(__xludf.DUMMYFUNCTION("""COMPUTED_VALUE"""),41424.666666666664)</f>
        <v>41424.66667</v>
      </c>
      <c r="N2374" s="2">
        <f>IFERROR(__xludf.DUMMYFUNCTION("""COMPUTED_VALUE"""),3491.3)</f>
        <v>3491.3</v>
      </c>
    </row>
    <row r="2375">
      <c r="A2375" s="10">
        <f t="shared" si="8"/>
        <v>40357.66667</v>
      </c>
      <c r="B2375" s="2" t="str">
        <f t="shared" si="2"/>
        <v/>
      </c>
      <c r="C2375" s="2" t="str">
        <f t="shared" si="3"/>
        <v>SP500</v>
      </c>
      <c r="D2375" s="2">
        <f t="shared" si="4"/>
        <v>2220.65</v>
      </c>
      <c r="E2375" s="2">
        <f t="shared" si="5"/>
        <v>2220.65</v>
      </c>
      <c r="G2375" s="10">
        <f t="shared" si="9"/>
        <v>40357.64583</v>
      </c>
      <c r="H2375" s="6" t="str">
        <f t="shared" si="6"/>
        <v/>
      </c>
      <c r="I2375" s="2">
        <f t="shared" si="7"/>
        <v>1426.89</v>
      </c>
      <c r="M2375" s="10">
        <f>IFERROR(__xludf.DUMMYFUNCTION("""COMPUTED_VALUE"""),41425.666666666664)</f>
        <v>41425.66667</v>
      </c>
      <c r="N2375" s="2">
        <f>IFERROR(__xludf.DUMMYFUNCTION("""COMPUTED_VALUE"""),3455.91)</f>
        <v>3455.91</v>
      </c>
    </row>
    <row r="2376">
      <c r="A2376" s="10">
        <f t="shared" si="8"/>
        <v>40358.66667</v>
      </c>
      <c r="B2376" s="2" t="str">
        <f t="shared" si="2"/>
        <v/>
      </c>
      <c r="C2376" s="2" t="str">
        <f t="shared" si="3"/>
        <v>SP500</v>
      </c>
      <c r="D2376" s="2">
        <f t="shared" si="4"/>
        <v>2135.18</v>
      </c>
      <c r="E2376" s="2">
        <f t="shared" si="5"/>
        <v>2135.18</v>
      </c>
      <c r="G2376" s="10">
        <f t="shared" si="9"/>
        <v>40358.64583</v>
      </c>
      <c r="H2376" s="6" t="str">
        <f t="shared" si="6"/>
        <v/>
      </c>
      <c r="I2376" s="2">
        <f t="shared" si="7"/>
        <v>1426.89</v>
      </c>
      <c r="M2376" s="10">
        <f>IFERROR(__xludf.DUMMYFUNCTION("""COMPUTED_VALUE"""),41428.666666666664)</f>
        <v>41428.66667</v>
      </c>
      <c r="N2376" s="2">
        <f>IFERROR(__xludf.DUMMYFUNCTION("""COMPUTED_VALUE"""),3465.37)</f>
        <v>3465.37</v>
      </c>
    </row>
    <row r="2377">
      <c r="A2377" s="10">
        <f t="shared" si="8"/>
        <v>40359.66667</v>
      </c>
      <c r="B2377" s="2" t="str">
        <f t="shared" si="2"/>
        <v/>
      </c>
      <c r="C2377" s="2" t="str">
        <f t="shared" si="3"/>
        <v>SP500</v>
      </c>
      <c r="D2377" s="2">
        <f t="shared" si="4"/>
        <v>2109.24</v>
      </c>
      <c r="E2377" s="2">
        <f t="shared" si="5"/>
        <v>2109.24</v>
      </c>
      <c r="G2377" s="10">
        <f t="shared" si="9"/>
        <v>40359.64583</v>
      </c>
      <c r="H2377" s="6" t="str">
        <f t="shared" si="6"/>
        <v/>
      </c>
      <c r="I2377" s="2">
        <f t="shared" si="7"/>
        <v>1426.89</v>
      </c>
      <c r="M2377" s="10">
        <f>IFERROR(__xludf.DUMMYFUNCTION("""COMPUTED_VALUE"""),41429.666666666664)</f>
        <v>41429.66667</v>
      </c>
      <c r="N2377" s="2">
        <f>IFERROR(__xludf.DUMMYFUNCTION("""COMPUTED_VALUE"""),3445.26)</f>
        <v>3445.26</v>
      </c>
    </row>
    <row r="2378">
      <c r="A2378" s="10">
        <f t="shared" si="8"/>
        <v>40360.66667</v>
      </c>
      <c r="B2378" s="2" t="str">
        <f t="shared" si="2"/>
        <v/>
      </c>
      <c r="C2378" s="2" t="str">
        <f t="shared" si="3"/>
        <v>SP500</v>
      </c>
      <c r="D2378" s="2">
        <f t="shared" si="4"/>
        <v>2101.36</v>
      </c>
      <c r="E2378" s="2">
        <f t="shared" si="5"/>
        <v>2101.36</v>
      </c>
      <c r="G2378" s="10">
        <f t="shared" si="9"/>
        <v>40360.64583</v>
      </c>
      <c r="H2378" s="6" t="str">
        <f t="shared" si="6"/>
        <v/>
      </c>
      <c r="I2378" s="2">
        <f t="shared" si="7"/>
        <v>1426.89</v>
      </c>
      <c r="M2378" s="10">
        <f>IFERROR(__xludf.DUMMYFUNCTION("""COMPUTED_VALUE"""),41430.666666666664)</f>
        <v>41430.66667</v>
      </c>
      <c r="N2378" s="2">
        <f>IFERROR(__xludf.DUMMYFUNCTION("""COMPUTED_VALUE"""),3401.48)</f>
        <v>3401.48</v>
      </c>
    </row>
    <row r="2379">
      <c r="A2379" s="10">
        <f t="shared" si="8"/>
        <v>40361.66667</v>
      </c>
      <c r="B2379" s="2" t="str">
        <f t="shared" si="2"/>
        <v/>
      </c>
      <c r="C2379" s="2" t="str">
        <f t="shared" si="3"/>
        <v>SP500</v>
      </c>
      <c r="D2379" s="2">
        <f t="shared" si="4"/>
        <v>2091.79</v>
      </c>
      <c r="E2379" s="2">
        <f t="shared" si="5"/>
        <v>2091.79</v>
      </c>
      <c r="G2379" s="10">
        <f t="shared" si="9"/>
        <v>40361.64583</v>
      </c>
      <c r="H2379" s="6" t="str">
        <f t="shared" si="6"/>
        <v/>
      </c>
      <c r="I2379" s="2">
        <f t="shared" si="7"/>
        <v>1426.89</v>
      </c>
      <c r="M2379" s="10">
        <f>IFERROR(__xludf.DUMMYFUNCTION("""COMPUTED_VALUE"""),41431.666666666664)</f>
        <v>41431.66667</v>
      </c>
      <c r="N2379" s="2">
        <f>IFERROR(__xludf.DUMMYFUNCTION("""COMPUTED_VALUE"""),3424.05)</f>
        <v>3424.05</v>
      </c>
    </row>
    <row r="2380">
      <c r="A2380" s="10">
        <f t="shared" si="8"/>
        <v>40362.66667</v>
      </c>
      <c r="B2380" s="2" t="str">
        <f t="shared" si="2"/>
        <v/>
      </c>
      <c r="C2380" s="2" t="str">
        <f t="shared" si="3"/>
        <v>SP500</v>
      </c>
      <c r="D2380" s="2" t="str">
        <f t="shared" si="4"/>
        <v/>
      </c>
      <c r="E2380" s="2">
        <f t="shared" si="5"/>
        <v>2091.79</v>
      </c>
      <c r="G2380" s="10">
        <f t="shared" si="9"/>
        <v>40362.64583</v>
      </c>
      <c r="H2380" s="6" t="str">
        <f t="shared" si="6"/>
        <v/>
      </c>
      <c r="I2380" s="2">
        <f t="shared" si="7"/>
        <v>1426.89</v>
      </c>
      <c r="M2380" s="10">
        <f>IFERROR(__xludf.DUMMYFUNCTION("""COMPUTED_VALUE"""),41432.666666666664)</f>
        <v>41432.66667</v>
      </c>
      <c r="N2380" s="2">
        <f>IFERROR(__xludf.DUMMYFUNCTION("""COMPUTED_VALUE"""),3469.22)</f>
        <v>3469.22</v>
      </c>
    </row>
    <row r="2381">
      <c r="A2381" s="10">
        <f t="shared" si="8"/>
        <v>40363.66667</v>
      </c>
      <c r="B2381" s="2" t="str">
        <f t="shared" si="2"/>
        <v/>
      </c>
      <c r="C2381" s="2" t="str">
        <f t="shared" si="3"/>
        <v>SP500</v>
      </c>
      <c r="D2381" s="2" t="str">
        <f t="shared" si="4"/>
        <v/>
      </c>
      <c r="E2381" s="2">
        <f t="shared" si="5"/>
        <v>2091.79</v>
      </c>
      <c r="G2381" s="10">
        <f t="shared" si="9"/>
        <v>40363.64583</v>
      </c>
      <c r="H2381" s="6" t="str">
        <f t="shared" si="6"/>
        <v/>
      </c>
      <c r="I2381" s="2">
        <f t="shared" si="7"/>
        <v>1426.89</v>
      </c>
      <c r="M2381" s="10">
        <f>IFERROR(__xludf.DUMMYFUNCTION("""COMPUTED_VALUE"""),41435.666666666664)</f>
        <v>41435.66667</v>
      </c>
      <c r="N2381" s="2">
        <f>IFERROR(__xludf.DUMMYFUNCTION("""COMPUTED_VALUE"""),3473.77)</f>
        <v>3473.77</v>
      </c>
    </row>
    <row r="2382">
      <c r="A2382" s="10">
        <f t="shared" si="8"/>
        <v>40364.66667</v>
      </c>
      <c r="B2382" s="2" t="str">
        <f t="shared" si="2"/>
        <v/>
      </c>
      <c r="C2382" s="2" t="str">
        <f t="shared" si="3"/>
        <v>SP500</v>
      </c>
      <c r="D2382" s="2" t="str">
        <f t="shared" si="4"/>
        <v/>
      </c>
      <c r="E2382" s="2">
        <f t="shared" si="5"/>
        <v>2091.79</v>
      </c>
      <c r="G2382" s="10">
        <f t="shared" si="9"/>
        <v>40364.64583</v>
      </c>
      <c r="H2382" s="6" t="str">
        <f t="shared" si="6"/>
        <v/>
      </c>
      <c r="I2382" s="2">
        <f t="shared" si="7"/>
        <v>1426.89</v>
      </c>
      <c r="M2382" s="10">
        <f>IFERROR(__xludf.DUMMYFUNCTION("""COMPUTED_VALUE"""),41436.666666666664)</f>
        <v>41436.66667</v>
      </c>
      <c r="N2382" s="2">
        <f>IFERROR(__xludf.DUMMYFUNCTION("""COMPUTED_VALUE"""),3436.95)</f>
        <v>3436.95</v>
      </c>
    </row>
    <row r="2383">
      <c r="A2383" s="10">
        <f t="shared" si="8"/>
        <v>40365.66667</v>
      </c>
      <c r="B2383" s="2" t="str">
        <f t="shared" si="2"/>
        <v/>
      </c>
      <c r="C2383" s="2" t="str">
        <f t="shared" si="3"/>
        <v>SP500</v>
      </c>
      <c r="D2383" s="2">
        <f t="shared" si="4"/>
        <v>2093.88</v>
      </c>
      <c r="E2383" s="2">
        <f t="shared" si="5"/>
        <v>2093.88</v>
      </c>
      <c r="G2383" s="10">
        <f t="shared" si="9"/>
        <v>40365.64583</v>
      </c>
      <c r="H2383" s="6" t="str">
        <f t="shared" si="6"/>
        <v/>
      </c>
      <c r="I2383" s="2">
        <f t="shared" si="7"/>
        <v>1426.89</v>
      </c>
      <c r="M2383" s="10">
        <f>IFERROR(__xludf.DUMMYFUNCTION("""COMPUTED_VALUE"""),41437.666666666664)</f>
        <v>41437.66667</v>
      </c>
      <c r="N2383" s="2">
        <f>IFERROR(__xludf.DUMMYFUNCTION("""COMPUTED_VALUE"""),3400.43)</f>
        <v>3400.43</v>
      </c>
    </row>
    <row r="2384">
      <c r="A2384" s="10">
        <f t="shared" si="8"/>
        <v>40366.66667</v>
      </c>
      <c r="B2384" s="2" t="str">
        <f t="shared" si="2"/>
        <v/>
      </c>
      <c r="C2384" s="2" t="str">
        <f t="shared" si="3"/>
        <v>SP500</v>
      </c>
      <c r="D2384" s="2">
        <f t="shared" si="4"/>
        <v>2159.47</v>
      </c>
      <c r="E2384" s="2">
        <f t="shared" si="5"/>
        <v>2159.47</v>
      </c>
      <c r="G2384" s="10">
        <f t="shared" si="9"/>
        <v>40366.64583</v>
      </c>
      <c r="H2384" s="6" t="str">
        <f t="shared" si="6"/>
        <v/>
      </c>
      <c r="I2384" s="2">
        <f t="shared" si="7"/>
        <v>1426.89</v>
      </c>
      <c r="M2384" s="10">
        <f>IFERROR(__xludf.DUMMYFUNCTION("""COMPUTED_VALUE"""),41438.666666666664)</f>
        <v>41438.66667</v>
      </c>
      <c r="N2384" s="2">
        <f>IFERROR(__xludf.DUMMYFUNCTION("""COMPUTED_VALUE"""),3445.37)</f>
        <v>3445.37</v>
      </c>
    </row>
    <row r="2385">
      <c r="A2385" s="10">
        <f t="shared" si="8"/>
        <v>40367.66667</v>
      </c>
      <c r="B2385" s="2" t="str">
        <f t="shared" si="2"/>
        <v/>
      </c>
      <c r="C2385" s="2" t="str">
        <f t="shared" si="3"/>
        <v>SP500</v>
      </c>
      <c r="D2385" s="2">
        <f t="shared" si="4"/>
        <v>2175.4</v>
      </c>
      <c r="E2385" s="2">
        <f t="shared" si="5"/>
        <v>2175.4</v>
      </c>
      <c r="G2385" s="10">
        <f t="shared" si="9"/>
        <v>40367.64583</v>
      </c>
      <c r="H2385" s="6" t="str">
        <f t="shared" si="6"/>
        <v/>
      </c>
      <c r="I2385" s="2">
        <f t="shared" si="7"/>
        <v>1426.89</v>
      </c>
      <c r="M2385" s="10">
        <f>IFERROR(__xludf.DUMMYFUNCTION("""COMPUTED_VALUE"""),41439.666666666664)</f>
        <v>41439.66667</v>
      </c>
      <c r="N2385" s="2">
        <f>IFERROR(__xludf.DUMMYFUNCTION("""COMPUTED_VALUE"""),3423.56)</f>
        <v>3423.56</v>
      </c>
    </row>
    <row r="2386">
      <c r="A2386" s="10">
        <f t="shared" si="8"/>
        <v>40368.66667</v>
      </c>
      <c r="B2386" s="2" t="str">
        <f t="shared" si="2"/>
        <v/>
      </c>
      <c r="C2386" s="2" t="str">
        <f t="shared" si="3"/>
        <v>SP500</v>
      </c>
      <c r="D2386" s="2">
        <f t="shared" si="4"/>
        <v>2196.45</v>
      </c>
      <c r="E2386" s="2">
        <f t="shared" si="5"/>
        <v>2196.45</v>
      </c>
      <c r="G2386" s="10">
        <f t="shared" si="9"/>
        <v>40368.64583</v>
      </c>
      <c r="H2386" s="6" t="str">
        <f t="shared" si="6"/>
        <v/>
      </c>
      <c r="I2386" s="2">
        <f t="shared" si="7"/>
        <v>1426.89</v>
      </c>
      <c r="M2386" s="10">
        <f>IFERROR(__xludf.DUMMYFUNCTION("""COMPUTED_VALUE"""),41442.666666666664)</f>
        <v>41442.66667</v>
      </c>
      <c r="N2386" s="2">
        <f>IFERROR(__xludf.DUMMYFUNCTION("""COMPUTED_VALUE"""),3452.13)</f>
        <v>3452.13</v>
      </c>
    </row>
    <row r="2387">
      <c r="A2387" s="10">
        <f t="shared" si="8"/>
        <v>40369.66667</v>
      </c>
      <c r="B2387" s="2" t="str">
        <f t="shared" si="2"/>
        <v/>
      </c>
      <c r="C2387" s="2" t="str">
        <f t="shared" si="3"/>
        <v>SP500</v>
      </c>
      <c r="D2387" s="2" t="str">
        <f t="shared" si="4"/>
        <v/>
      </c>
      <c r="E2387" s="2">
        <f t="shared" si="5"/>
        <v>2196.45</v>
      </c>
      <c r="G2387" s="10">
        <f t="shared" si="9"/>
        <v>40369.64583</v>
      </c>
      <c r="H2387" s="6" t="str">
        <f t="shared" si="6"/>
        <v/>
      </c>
      <c r="I2387" s="2">
        <f t="shared" si="7"/>
        <v>1426.89</v>
      </c>
      <c r="M2387" s="10">
        <f>IFERROR(__xludf.DUMMYFUNCTION("""COMPUTED_VALUE"""),41443.666666666664)</f>
        <v>41443.66667</v>
      </c>
      <c r="N2387" s="2">
        <f>IFERROR(__xludf.DUMMYFUNCTION("""COMPUTED_VALUE"""),3482.18)</f>
        <v>3482.18</v>
      </c>
    </row>
    <row r="2388">
      <c r="A2388" s="10">
        <f t="shared" si="8"/>
        <v>40370.66667</v>
      </c>
      <c r="B2388" s="2" t="str">
        <f t="shared" si="2"/>
        <v/>
      </c>
      <c r="C2388" s="2" t="str">
        <f t="shared" si="3"/>
        <v>SP500</v>
      </c>
      <c r="D2388" s="2" t="str">
        <f t="shared" si="4"/>
        <v/>
      </c>
      <c r="E2388" s="2">
        <f t="shared" si="5"/>
        <v>2196.45</v>
      </c>
      <c r="G2388" s="10">
        <f t="shared" si="9"/>
        <v>40370.64583</v>
      </c>
      <c r="H2388" s="6" t="str">
        <f t="shared" si="6"/>
        <v/>
      </c>
      <c r="I2388" s="2">
        <f t="shared" si="7"/>
        <v>1426.89</v>
      </c>
      <c r="M2388" s="10">
        <f>IFERROR(__xludf.DUMMYFUNCTION("""COMPUTED_VALUE"""),41444.666666666664)</f>
        <v>41444.66667</v>
      </c>
      <c r="N2388" s="2">
        <f>IFERROR(__xludf.DUMMYFUNCTION("""COMPUTED_VALUE"""),3443.2)</f>
        <v>3443.2</v>
      </c>
    </row>
    <row r="2389">
      <c r="A2389" s="10">
        <f t="shared" si="8"/>
        <v>40371.66667</v>
      </c>
      <c r="B2389" s="2" t="str">
        <f t="shared" si="2"/>
        <v/>
      </c>
      <c r="C2389" s="2" t="str">
        <f t="shared" si="3"/>
        <v>SP500</v>
      </c>
      <c r="D2389" s="2">
        <f t="shared" si="4"/>
        <v>2198.36</v>
      </c>
      <c r="E2389" s="2">
        <f t="shared" si="5"/>
        <v>2198.36</v>
      </c>
      <c r="G2389" s="10">
        <f t="shared" si="9"/>
        <v>40371.64583</v>
      </c>
      <c r="H2389" s="6" t="str">
        <f t="shared" si="6"/>
        <v/>
      </c>
      <c r="I2389" s="2">
        <f t="shared" si="7"/>
        <v>1426.89</v>
      </c>
      <c r="M2389" s="10">
        <f>IFERROR(__xludf.DUMMYFUNCTION("""COMPUTED_VALUE"""),41445.666666666664)</f>
        <v>41445.66667</v>
      </c>
      <c r="N2389" s="2">
        <f>IFERROR(__xludf.DUMMYFUNCTION("""COMPUTED_VALUE"""),3364.64)</f>
        <v>3364.64</v>
      </c>
    </row>
    <row r="2390">
      <c r="A2390" s="10">
        <f t="shared" si="8"/>
        <v>40372.66667</v>
      </c>
      <c r="B2390" s="2" t="str">
        <f t="shared" si="2"/>
        <v/>
      </c>
      <c r="C2390" s="2" t="str">
        <f t="shared" si="3"/>
        <v>SP500</v>
      </c>
      <c r="D2390" s="2">
        <f t="shared" si="4"/>
        <v>2242.03</v>
      </c>
      <c r="E2390" s="2">
        <f t="shared" si="5"/>
        <v>2242.03</v>
      </c>
      <c r="G2390" s="10">
        <f t="shared" si="9"/>
        <v>40372.64583</v>
      </c>
      <c r="H2390" s="6" t="str">
        <f t="shared" si="6"/>
        <v/>
      </c>
      <c r="I2390" s="2">
        <f t="shared" si="7"/>
        <v>1426.89</v>
      </c>
      <c r="M2390" s="10">
        <f>IFERROR(__xludf.DUMMYFUNCTION("""COMPUTED_VALUE"""),41446.666666666664)</f>
        <v>41446.66667</v>
      </c>
      <c r="N2390" s="2">
        <f>IFERROR(__xludf.DUMMYFUNCTION("""COMPUTED_VALUE"""),3357.25)</f>
        <v>3357.25</v>
      </c>
    </row>
    <row r="2391">
      <c r="A2391" s="10">
        <f t="shared" si="8"/>
        <v>40373.66667</v>
      </c>
      <c r="B2391" s="2" t="str">
        <f t="shared" si="2"/>
        <v/>
      </c>
      <c r="C2391" s="2" t="str">
        <f t="shared" si="3"/>
        <v>SP500</v>
      </c>
      <c r="D2391" s="2">
        <f t="shared" si="4"/>
        <v>2249.84</v>
      </c>
      <c r="E2391" s="2">
        <f t="shared" si="5"/>
        <v>2249.84</v>
      </c>
      <c r="G2391" s="10">
        <f t="shared" si="9"/>
        <v>40373.64583</v>
      </c>
      <c r="H2391" s="6" t="str">
        <f t="shared" si="6"/>
        <v/>
      </c>
      <c r="I2391" s="2">
        <f t="shared" si="7"/>
        <v>1426.89</v>
      </c>
      <c r="M2391" s="10">
        <f>IFERROR(__xludf.DUMMYFUNCTION("""COMPUTED_VALUE"""),41449.666666666664)</f>
        <v>41449.66667</v>
      </c>
      <c r="N2391" s="2">
        <f>IFERROR(__xludf.DUMMYFUNCTION("""COMPUTED_VALUE"""),3320.76)</f>
        <v>3320.76</v>
      </c>
    </row>
    <row r="2392">
      <c r="A2392" s="10">
        <f t="shared" si="8"/>
        <v>40374.66667</v>
      </c>
      <c r="B2392" s="2" t="str">
        <f t="shared" si="2"/>
        <v/>
      </c>
      <c r="C2392" s="2" t="str">
        <f t="shared" si="3"/>
        <v>SP500</v>
      </c>
      <c r="D2392" s="2">
        <f t="shared" si="4"/>
        <v>2249.08</v>
      </c>
      <c r="E2392" s="2">
        <f t="shared" si="5"/>
        <v>2249.08</v>
      </c>
      <c r="G2392" s="10">
        <f t="shared" si="9"/>
        <v>40374.64583</v>
      </c>
      <c r="H2392" s="6" t="str">
        <f t="shared" si="6"/>
        <v/>
      </c>
      <c r="I2392" s="2">
        <f t="shared" si="7"/>
        <v>1426.89</v>
      </c>
      <c r="M2392" s="10">
        <f>IFERROR(__xludf.DUMMYFUNCTION("""COMPUTED_VALUE"""),41450.666666666664)</f>
        <v>41450.66667</v>
      </c>
      <c r="N2392" s="2">
        <f>IFERROR(__xludf.DUMMYFUNCTION("""COMPUTED_VALUE"""),3347.89)</f>
        <v>3347.89</v>
      </c>
    </row>
    <row r="2393">
      <c r="A2393" s="10">
        <f t="shared" si="8"/>
        <v>40375.66667</v>
      </c>
      <c r="B2393" s="2" t="str">
        <f t="shared" si="2"/>
        <v/>
      </c>
      <c r="C2393" s="2" t="str">
        <f t="shared" si="3"/>
        <v>SP500</v>
      </c>
      <c r="D2393" s="2">
        <f t="shared" si="4"/>
        <v>2179.05</v>
      </c>
      <c r="E2393" s="2">
        <f t="shared" si="5"/>
        <v>2179.05</v>
      </c>
      <c r="G2393" s="10">
        <f t="shared" si="9"/>
        <v>40375.64583</v>
      </c>
      <c r="H2393" s="6" t="str">
        <f t="shared" si="6"/>
        <v/>
      </c>
      <c r="I2393" s="2">
        <f t="shared" si="7"/>
        <v>1426.89</v>
      </c>
      <c r="M2393" s="10">
        <f>IFERROR(__xludf.DUMMYFUNCTION("""COMPUTED_VALUE"""),41451.666666666664)</f>
        <v>41451.66667</v>
      </c>
      <c r="N2393" s="2">
        <f>IFERROR(__xludf.DUMMYFUNCTION("""COMPUTED_VALUE"""),3376.22)</f>
        <v>3376.22</v>
      </c>
    </row>
    <row r="2394">
      <c r="A2394" s="10">
        <f t="shared" si="8"/>
        <v>40376.66667</v>
      </c>
      <c r="B2394" s="2" t="str">
        <f t="shared" si="2"/>
        <v/>
      </c>
      <c r="C2394" s="2" t="str">
        <f t="shared" si="3"/>
        <v>SP500</v>
      </c>
      <c r="D2394" s="2" t="str">
        <f t="shared" si="4"/>
        <v/>
      </c>
      <c r="E2394" s="2">
        <f t="shared" si="5"/>
        <v>2179.05</v>
      </c>
      <c r="G2394" s="10">
        <f t="shared" si="9"/>
        <v>40376.64583</v>
      </c>
      <c r="H2394" s="6" t="str">
        <f t="shared" si="6"/>
        <v/>
      </c>
      <c r="I2394" s="2">
        <f t="shared" si="7"/>
        <v>1426.89</v>
      </c>
      <c r="M2394" s="10">
        <f>IFERROR(__xludf.DUMMYFUNCTION("""COMPUTED_VALUE"""),41452.666666666664)</f>
        <v>41452.66667</v>
      </c>
      <c r="N2394" s="2">
        <f>IFERROR(__xludf.DUMMYFUNCTION("""COMPUTED_VALUE"""),3401.86)</f>
        <v>3401.86</v>
      </c>
    </row>
    <row r="2395">
      <c r="A2395" s="10">
        <f t="shared" si="8"/>
        <v>40377.66667</v>
      </c>
      <c r="B2395" s="2" t="str">
        <f t="shared" si="2"/>
        <v/>
      </c>
      <c r="C2395" s="2" t="str">
        <f t="shared" si="3"/>
        <v>SP500</v>
      </c>
      <c r="D2395" s="2" t="str">
        <f t="shared" si="4"/>
        <v/>
      </c>
      <c r="E2395" s="2">
        <f t="shared" si="5"/>
        <v>2179.05</v>
      </c>
      <c r="G2395" s="10">
        <f t="shared" si="9"/>
        <v>40377.64583</v>
      </c>
      <c r="H2395" s="6" t="str">
        <f t="shared" si="6"/>
        <v/>
      </c>
      <c r="I2395" s="2">
        <f t="shared" si="7"/>
        <v>1426.89</v>
      </c>
      <c r="M2395" s="10">
        <f>IFERROR(__xludf.DUMMYFUNCTION("""COMPUTED_VALUE"""),41453.666666666664)</f>
        <v>41453.66667</v>
      </c>
      <c r="N2395" s="2">
        <f>IFERROR(__xludf.DUMMYFUNCTION("""COMPUTED_VALUE"""),3403.25)</f>
        <v>3403.25</v>
      </c>
    </row>
    <row r="2396">
      <c r="A2396" s="10">
        <f t="shared" si="8"/>
        <v>40378.66667</v>
      </c>
      <c r="B2396" s="2" t="str">
        <f t="shared" si="2"/>
        <v/>
      </c>
      <c r="C2396" s="2" t="str">
        <f t="shared" si="3"/>
        <v>SP500</v>
      </c>
      <c r="D2396" s="2">
        <f t="shared" si="4"/>
        <v>2198.23</v>
      </c>
      <c r="E2396" s="2">
        <f t="shared" si="5"/>
        <v>2198.23</v>
      </c>
      <c r="G2396" s="10">
        <f t="shared" si="9"/>
        <v>40378.64583</v>
      </c>
      <c r="H2396" s="6" t="str">
        <f t="shared" si="6"/>
        <v/>
      </c>
      <c r="I2396" s="2">
        <f t="shared" si="7"/>
        <v>1426.89</v>
      </c>
      <c r="M2396" s="10">
        <f>IFERROR(__xludf.DUMMYFUNCTION("""COMPUTED_VALUE"""),41456.666666666664)</f>
        <v>41456.66667</v>
      </c>
      <c r="N2396" s="2">
        <f>IFERROR(__xludf.DUMMYFUNCTION("""COMPUTED_VALUE"""),3434.49)</f>
        <v>3434.49</v>
      </c>
    </row>
    <row r="2397">
      <c r="A2397" s="10">
        <f t="shared" si="8"/>
        <v>40379.66667</v>
      </c>
      <c r="B2397" s="2" t="str">
        <f t="shared" si="2"/>
        <v/>
      </c>
      <c r="C2397" s="2" t="str">
        <f t="shared" si="3"/>
        <v>SP500</v>
      </c>
      <c r="D2397" s="2">
        <f t="shared" si="4"/>
        <v>2222.49</v>
      </c>
      <c r="E2397" s="2">
        <f t="shared" si="5"/>
        <v>2222.49</v>
      </c>
      <c r="G2397" s="10">
        <f t="shared" si="9"/>
        <v>40379.64583</v>
      </c>
      <c r="H2397" s="6" t="str">
        <f t="shared" si="6"/>
        <v/>
      </c>
      <c r="I2397" s="2">
        <f t="shared" si="7"/>
        <v>1426.89</v>
      </c>
      <c r="M2397" s="10">
        <f>IFERROR(__xludf.DUMMYFUNCTION("""COMPUTED_VALUE"""),41457.666666666664)</f>
        <v>41457.66667</v>
      </c>
      <c r="N2397" s="2">
        <f>IFERROR(__xludf.DUMMYFUNCTION("""COMPUTED_VALUE"""),3433.4)</f>
        <v>3433.4</v>
      </c>
    </row>
    <row r="2398">
      <c r="A2398" s="10">
        <f t="shared" si="8"/>
        <v>40380.66667</v>
      </c>
      <c r="B2398" s="2" t="str">
        <f t="shared" si="2"/>
        <v/>
      </c>
      <c r="C2398" s="2" t="str">
        <f t="shared" si="3"/>
        <v>SP500</v>
      </c>
      <c r="D2398" s="2">
        <f t="shared" si="4"/>
        <v>2187.33</v>
      </c>
      <c r="E2398" s="2">
        <f t="shared" si="5"/>
        <v>2187.33</v>
      </c>
      <c r="G2398" s="10">
        <f t="shared" si="9"/>
        <v>40380.64583</v>
      </c>
      <c r="H2398" s="6" t="str">
        <f t="shared" si="6"/>
        <v/>
      </c>
      <c r="I2398" s="2">
        <f t="shared" si="7"/>
        <v>1426.89</v>
      </c>
      <c r="M2398" s="10">
        <f>IFERROR(__xludf.DUMMYFUNCTION("""COMPUTED_VALUE"""),41458.666666666664)</f>
        <v>41458.66667</v>
      </c>
      <c r="N2398" s="2">
        <f>IFERROR(__xludf.DUMMYFUNCTION("""COMPUTED_VALUE"""),3443.67)</f>
        <v>3443.67</v>
      </c>
    </row>
    <row r="2399">
      <c r="A2399" s="10">
        <f t="shared" si="8"/>
        <v>40381.66667</v>
      </c>
      <c r="B2399" s="2" t="str">
        <f t="shared" si="2"/>
        <v/>
      </c>
      <c r="C2399" s="2" t="str">
        <f t="shared" si="3"/>
        <v>SP500</v>
      </c>
      <c r="D2399" s="2">
        <f t="shared" si="4"/>
        <v>2245.89</v>
      </c>
      <c r="E2399" s="2">
        <f t="shared" si="5"/>
        <v>2245.89</v>
      </c>
      <c r="G2399" s="10">
        <f t="shared" si="9"/>
        <v>40381.64583</v>
      </c>
      <c r="H2399" s="6" t="str">
        <f t="shared" si="6"/>
        <v/>
      </c>
      <c r="I2399" s="2">
        <f t="shared" si="7"/>
        <v>1426.89</v>
      </c>
      <c r="M2399" s="10">
        <f>IFERROR(__xludf.DUMMYFUNCTION("""COMPUTED_VALUE"""),41460.666666666664)</f>
        <v>41460.66667</v>
      </c>
      <c r="N2399" s="2">
        <f>IFERROR(__xludf.DUMMYFUNCTION("""COMPUTED_VALUE"""),3479.38)</f>
        <v>3479.38</v>
      </c>
    </row>
    <row r="2400">
      <c r="A2400" s="10">
        <f t="shared" si="8"/>
        <v>40382.66667</v>
      </c>
      <c r="B2400" s="2" t="str">
        <f t="shared" si="2"/>
        <v/>
      </c>
      <c r="C2400" s="2" t="str">
        <f t="shared" si="3"/>
        <v>SP500</v>
      </c>
      <c r="D2400" s="2">
        <f t="shared" si="4"/>
        <v>2269.47</v>
      </c>
      <c r="E2400" s="2">
        <f t="shared" si="5"/>
        <v>2269.47</v>
      </c>
      <c r="G2400" s="10">
        <f t="shared" si="9"/>
        <v>40382.64583</v>
      </c>
      <c r="H2400" s="6" t="str">
        <f t="shared" si="6"/>
        <v/>
      </c>
      <c r="I2400" s="2">
        <f t="shared" si="7"/>
        <v>1426.89</v>
      </c>
      <c r="M2400" s="10">
        <f>IFERROR(__xludf.DUMMYFUNCTION("""COMPUTED_VALUE"""),41463.666666666664)</f>
        <v>41463.66667</v>
      </c>
      <c r="N2400" s="2">
        <f>IFERROR(__xludf.DUMMYFUNCTION("""COMPUTED_VALUE"""),3484.83)</f>
        <v>3484.83</v>
      </c>
    </row>
    <row r="2401">
      <c r="A2401" s="10">
        <f t="shared" si="8"/>
        <v>40383.66667</v>
      </c>
      <c r="B2401" s="2" t="str">
        <f t="shared" si="2"/>
        <v/>
      </c>
      <c r="C2401" s="2" t="str">
        <f t="shared" si="3"/>
        <v>SP500</v>
      </c>
      <c r="D2401" s="2" t="str">
        <f t="shared" si="4"/>
        <v/>
      </c>
      <c r="E2401" s="2">
        <f t="shared" si="5"/>
        <v>2269.47</v>
      </c>
      <c r="G2401" s="10">
        <f t="shared" si="9"/>
        <v>40383.64583</v>
      </c>
      <c r="H2401" s="6" t="str">
        <f t="shared" si="6"/>
        <v/>
      </c>
      <c r="I2401" s="2">
        <f t="shared" si="7"/>
        <v>1426.89</v>
      </c>
      <c r="M2401" s="10">
        <f>IFERROR(__xludf.DUMMYFUNCTION("""COMPUTED_VALUE"""),41464.666666666664)</f>
        <v>41464.66667</v>
      </c>
      <c r="N2401" s="2">
        <f>IFERROR(__xludf.DUMMYFUNCTION("""COMPUTED_VALUE"""),3504.26)</f>
        <v>3504.26</v>
      </c>
    </row>
    <row r="2402">
      <c r="A2402" s="10">
        <f t="shared" si="8"/>
        <v>40384.66667</v>
      </c>
      <c r="B2402" s="2" t="str">
        <f t="shared" si="2"/>
        <v/>
      </c>
      <c r="C2402" s="2" t="str">
        <f t="shared" si="3"/>
        <v>SP500</v>
      </c>
      <c r="D2402" s="2" t="str">
        <f t="shared" si="4"/>
        <v/>
      </c>
      <c r="E2402" s="2">
        <f t="shared" si="5"/>
        <v>2269.47</v>
      </c>
      <c r="G2402" s="10">
        <f t="shared" si="9"/>
        <v>40384.64583</v>
      </c>
      <c r="H2402" s="6" t="str">
        <f t="shared" si="6"/>
        <v/>
      </c>
      <c r="I2402" s="2">
        <f t="shared" si="7"/>
        <v>1426.89</v>
      </c>
      <c r="M2402" s="10">
        <f>IFERROR(__xludf.DUMMYFUNCTION("""COMPUTED_VALUE"""),41465.666666666664)</f>
        <v>41465.66667</v>
      </c>
      <c r="N2402" s="2">
        <f>IFERROR(__xludf.DUMMYFUNCTION("""COMPUTED_VALUE"""),3520.76)</f>
        <v>3520.76</v>
      </c>
    </row>
    <row r="2403">
      <c r="A2403" s="10">
        <f t="shared" si="8"/>
        <v>40385.66667</v>
      </c>
      <c r="B2403" s="2" t="str">
        <f t="shared" si="2"/>
        <v/>
      </c>
      <c r="C2403" s="2" t="str">
        <f t="shared" si="3"/>
        <v>SP500</v>
      </c>
      <c r="D2403" s="2">
        <f t="shared" si="4"/>
        <v>2296.43</v>
      </c>
      <c r="E2403" s="2">
        <f t="shared" si="5"/>
        <v>2296.43</v>
      </c>
      <c r="G2403" s="10">
        <f t="shared" si="9"/>
        <v>40385.64583</v>
      </c>
      <c r="H2403" s="6" t="str">
        <f t="shared" si="6"/>
        <v/>
      </c>
      <c r="I2403" s="2">
        <f t="shared" si="7"/>
        <v>1426.89</v>
      </c>
      <c r="M2403" s="10">
        <f>IFERROR(__xludf.DUMMYFUNCTION("""COMPUTED_VALUE"""),41466.666666666664)</f>
        <v>41466.66667</v>
      </c>
      <c r="N2403" s="2">
        <f>IFERROR(__xludf.DUMMYFUNCTION("""COMPUTED_VALUE"""),3578.3)</f>
        <v>3578.3</v>
      </c>
    </row>
    <row r="2404">
      <c r="A2404" s="10">
        <f t="shared" si="8"/>
        <v>40386.66667</v>
      </c>
      <c r="B2404" s="2" t="str">
        <f t="shared" si="2"/>
        <v/>
      </c>
      <c r="C2404" s="2" t="str">
        <f t="shared" si="3"/>
        <v>SP500</v>
      </c>
      <c r="D2404" s="2">
        <f t="shared" si="4"/>
        <v>2288.25</v>
      </c>
      <c r="E2404" s="2">
        <f t="shared" si="5"/>
        <v>2288.25</v>
      </c>
      <c r="G2404" s="10">
        <f t="shared" si="9"/>
        <v>40386.64583</v>
      </c>
      <c r="H2404" s="6" t="str">
        <f t="shared" si="6"/>
        <v/>
      </c>
      <c r="I2404" s="2">
        <f t="shared" si="7"/>
        <v>1426.89</v>
      </c>
      <c r="M2404" s="10">
        <f>IFERROR(__xludf.DUMMYFUNCTION("""COMPUTED_VALUE"""),41467.666666666664)</f>
        <v>41467.66667</v>
      </c>
      <c r="N2404" s="2">
        <f>IFERROR(__xludf.DUMMYFUNCTION("""COMPUTED_VALUE"""),3600.08)</f>
        <v>3600.08</v>
      </c>
    </row>
    <row r="2405">
      <c r="A2405" s="10">
        <f t="shared" si="8"/>
        <v>40387.66667</v>
      </c>
      <c r="B2405" s="2" t="str">
        <f t="shared" si="2"/>
        <v/>
      </c>
      <c r="C2405" s="2" t="str">
        <f t="shared" si="3"/>
        <v>SP500</v>
      </c>
      <c r="D2405" s="2">
        <f t="shared" si="4"/>
        <v>2264.56</v>
      </c>
      <c r="E2405" s="2">
        <f t="shared" si="5"/>
        <v>2264.56</v>
      </c>
      <c r="G2405" s="10">
        <f t="shared" si="9"/>
        <v>40387.64583</v>
      </c>
      <c r="H2405" s="6" t="str">
        <f t="shared" si="6"/>
        <v/>
      </c>
      <c r="I2405" s="2">
        <f t="shared" si="7"/>
        <v>1426.89</v>
      </c>
      <c r="M2405" s="10">
        <f>IFERROR(__xludf.DUMMYFUNCTION("""COMPUTED_VALUE"""),41470.666666666664)</f>
        <v>41470.66667</v>
      </c>
      <c r="N2405" s="2">
        <f>IFERROR(__xludf.DUMMYFUNCTION("""COMPUTED_VALUE"""),3607.49)</f>
        <v>3607.49</v>
      </c>
    </row>
    <row r="2406">
      <c r="A2406" s="10">
        <f t="shared" si="8"/>
        <v>40388.66667</v>
      </c>
      <c r="B2406" s="2" t="str">
        <f t="shared" si="2"/>
        <v/>
      </c>
      <c r="C2406" s="2" t="str">
        <f t="shared" si="3"/>
        <v>SP500</v>
      </c>
      <c r="D2406" s="2">
        <f t="shared" si="4"/>
        <v>2251.69</v>
      </c>
      <c r="E2406" s="2">
        <f t="shared" si="5"/>
        <v>2251.69</v>
      </c>
      <c r="G2406" s="10">
        <f t="shared" si="9"/>
        <v>40388.64583</v>
      </c>
      <c r="H2406" s="6" t="str">
        <f t="shared" si="6"/>
        <v/>
      </c>
      <c r="I2406" s="2">
        <f t="shared" si="7"/>
        <v>1426.89</v>
      </c>
      <c r="M2406" s="10">
        <f>IFERROR(__xludf.DUMMYFUNCTION("""COMPUTED_VALUE"""),41471.666666666664)</f>
        <v>41471.66667</v>
      </c>
      <c r="N2406" s="2">
        <f>IFERROR(__xludf.DUMMYFUNCTION("""COMPUTED_VALUE"""),3598.5)</f>
        <v>3598.5</v>
      </c>
    </row>
    <row r="2407">
      <c r="A2407" s="10">
        <f t="shared" si="8"/>
        <v>40389.66667</v>
      </c>
      <c r="B2407" s="2" t="str">
        <f t="shared" si="2"/>
        <v/>
      </c>
      <c r="C2407" s="2" t="str">
        <f t="shared" si="3"/>
        <v>SP500</v>
      </c>
      <c r="D2407" s="2">
        <f t="shared" si="4"/>
        <v>2254.7</v>
      </c>
      <c r="E2407" s="2">
        <f t="shared" si="5"/>
        <v>2254.7</v>
      </c>
      <c r="G2407" s="10">
        <f t="shared" si="9"/>
        <v>40389.64583</v>
      </c>
      <c r="H2407" s="6" t="str">
        <f t="shared" si="6"/>
        <v/>
      </c>
      <c r="I2407" s="2">
        <f t="shared" si="7"/>
        <v>1426.89</v>
      </c>
      <c r="M2407" s="10">
        <f>IFERROR(__xludf.DUMMYFUNCTION("""COMPUTED_VALUE"""),41472.666666666664)</f>
        <v>41472.66667</v>
      </c>
      <c r="N2407" s="2">
        <f>IFERROR(__xludf.DUMMYFUNCTION("""COMPUTED_VALUE"""),3610.0)</f>
        <v>3610</v>
      </c>
    </row>
    <row r="2408">
      <c r="A2408" s="10">
        <f t="shared" si="8"/>
        <v>40390.66667</v>
      </c>
      <c r="B2408" s="2" t="str">
        <f t="shared" si="2"/>
        <v/>
      </c>
      <c r="C2408" s="2" t="str">
        <f t="shared" si="3"/>
        <v>SP500</v>
      </c>
      <c r="D2408" s="2" t="str">
        <f t="shared" si="4"/>
        <v/>
      </c>
      <c r="E2408" s="2">
        <f t="shared" si="5"/>
        <v>2254.7</v>
      </c>
      <c r="G2408" s="10">
        <f t="shared" si="9"/>
        <v>40390.64583</v>
      </c>
      <c r="H2408" s="6" t="str">
        <f t="shared" si="6"/>
        <v/>
      </c>
      <c r="I2408" s="2">
        <f t="shared" si="7"/>
        <v>1426.89</v>
      </c>
      <c r="M2408" s="10">
        <f>IFERROR(__xludf.DUMMYFUNCTION("""COMPUTED_VALUE"""),41473.666666666664)</f>
        <v>41473.66667</v>
      </c>
      <c r="N2408" s="2">
        <f>IFERROR(__xludf.DUMMYFUNCTION("""COMPUTED_VALUE"""),3611.28)</f>
        <v>3611.28</v>
      </c>
    </row>
    <row r="2409">
      <c r="A2409" s="10">
        <f t="shared" si="8"/>
        <v>40391.66667</v>
      </c>
      <c r="B2409" s="2" t="str">
        <f t="shared" si="2"/>
        <v/>
      </c>
      <c r="C2409" s="2" t="str">
        <f t="shared" si="3"/>
        <v>SP500</v>
      </c>
      <c r="D2409" s="2" t="str">
        <f t="shared" si="4"/>
        <v/>
      </c>
      <c r="E2409" s="2">
        <f t="shared" si="5"/>
        <v>2254.7</v>
      </c>
      <c r="G2409" s="10">
        <f t="shared" si="9"/>
        <v>40391.64583</v>
      </c>
      <c r="H2409" s="6" t="str">
        <f t="shared" si="6"/>
        <v/>
      </c>
      <c r="I2409" s="2">
        <f t="shared" si="7"/>
        <v>1426.89</v>
      </c>
      <c r="M2409" s="10">
        <f>IFERROR(__xludf.DUMMYFUNCTION("""COMPUTED_VALUE"""),41474.666666666664)</f>
        <v>41474.66667</v>
      </c>
      <c r="N2409" s="2">
        <f>IFERROR(__xludf.DUMMYFUNCTION("""COMPUTED_VALUE"""),3587.61)</f>
        <v>3587.61</v>
      </c>
    </row>
    <row r="2410">
      <c r="A2410" s="10">
        <f t="shared" si="8"/>
        <v>40392.66667</v>
      </c>
      <c r="B2410" s="2" t="str">
        <f t="shared" si="2"/>
        <v/>
      </c>
      <c r="C2410" s="2" t="str">
        <f t="shared" si="3"/>
        <v>SP500</v>
      </c>
      <c r="D2410" s="2">
        <f t="shared" si="4"/>
        <v>2295.36</v>
      </c>
      <c r="E2410" s="2">
        <f t="shared" si="5"/>
        <v>2295.36</v>
      </c>
      <c r="G2410" s="10">
        <f t="shared" si="9"/>
        <v>40392.64583</v>
      </c>
      <c r="H2410" s="6" t="str">
        <f t="shared" si="6"/>
        <v/>
      </c>
      <c r="I2410" s="2">
        <f t="shared" si="7"/>
        <v>1426.89</v>
      </c>
      <c r="M2410" s="10">
        <f>IFERROR(__xludf.DUMMYFUNCTION("""COMPUTED_VALUE"""),41477.666666666664)</f>
        <v>41477.66667</v>
      </c>
      <c r="N2410" s="2">
        <f>IFERROR(__xludf.DUMMYFUNCTION("""COMPUTED_VALUE"""),3600.39)</f>
        <v>3600.39</v>
      </c>
    </row>
    <row r="2411">
      <c r="A2411" s="10">
        <f t="shared" si="8"/>
        <v>40393.66667</v>
      </c>
      <c r="B2411" s="2" t="str">
        <f t="shared" si="2"/>
        <v/>
      </c>
      <c r="C2411" s="2" t="str">
        <f t="shared" si="3"/>
        <v>SP500</v>
      </c>
      <c r="D2411" s="2">
        <f t="shared" si="4"/>
        <v>2283.52</v>
      </c>
      <c r="E2411" s="2">
        <f t="shared" si="5"/>
        <v>2283.52</v>
      </c>
      <c r="G2411" s="10">
        <f t="shared" si="9"/>
        <v>40393.64583</v>
      </c>
      <c r="H2411" s="6" t="str">
        <f t="shared" si="6"/>
        <v/>
      </c>
      <c r="I2411" s="2">
        <f t="shared" si="7"/>
        <v>1426.89</v>
      </c>
      <c r="M2411" s="10">
        <f>IFERROR(__xludf.DUMMYFUNCTION("""COMPUTED_VALUE"""),41478.666666666664)</f>
        <v>41478.66667</v>
      </c>
      <c r="N2411" s="2">
        <f>IFERROR(__xludf.DUMMYFUNCTION("""COMPUTED_VALUE"""),3579.27)</f>
        <v>3579.27</v>
      </c>
    </row>
    <row r="2412">
      <c r="A2412" s="10">
        <f t="shared" si="8"/>
        <v>40394.66667</v>
      </c>
      <c r="B2412" s="2" t="str">
        <f t="shared" si="2"/>
        <v/>
      </c>
      <c r="C2412" s="2" t="str">
        <f t="shared" si="3"/>
        <v>SP500</v>
      </c>
      <c r="D2412" s="2">
        <f t="shared" si="4"/>
        <v>2303.57</v>
      </c>
      <c r="E2412" s="2">
        <f t="shared" si="5"/>
        <v>2303.57</v>
      </c>
      <c r="G2412" s="10">
        <f t="shared" si="9"/>
        <v>40394.64583</v>
      </c>
      <c r="H2412" s="6" t="str">
        <f t="shared" si="6"/>
        <v/>
      </c>
      <c r="I2412" s="2">
        <f t="shared" si="7"/>
        <v>1426.89</v>
      </c>
      <c r="M2412" s="10">
        <f>IFERROR(__xludf.DUMMYFUNCTION("""COMPUTED_VALUE"""),41479.666666666664)</f>
        <v>41479.66667</v>
      </c>
      <c r="N2412" s="2">
        <f>IFERROR(__xludf.DUMMYFUNCTION("""COMPUTED_VALUE"""),3579.6)</f>
        <v>3579.6</v>
      </c>
    </row>
    <row r="2413">
      <c r="A2413" s="10">
        <f t="shared" si="8"/>
        <v>40395.66667</v>
      </c>
      <c r="B2413" s="2" t="str">
        <f t="shared" si="2"/>
        <v/>
      </c>
      <c r="C2413" s="2" t="str">
        <f t="shared" si="3"/>
        <v>SP500</v>
      </c>
      <c r="D2413" s="2">
        <f t="shared" si="4"/>
        <v>2293.06</v>
      </c>
      <c r="E2413" s="2">
        <f t="shared" si="5"/>
        <v>2293.06</v>
      </c>
      <c r="G2413" s="10">
        <f t="shared" si="9"/>
        <v>40395.64583</v>
      </c>
      <c r="H2413" s="6" t="str">
        <f t="shared" si="6"/>
        <v/>
      </c>
      <c r="I2413" s="2">
        <f t="shared" si="7"/>
        <v>1426.89</v>
      </c>
      <c r="M2413" s="10">
        <f>IFERROR(__xludf.DUMMYFUNCTION("""COMPUTED_VALUE"""),41480.666666666664)</f>
        <v>41480.66667</v>
      </c>
      <c r="N2413" s="2">
        <f>IFERROR(__xludf.DUMMYFUNCTION("""COMPUTED_VALUE"""),3605.19)</f>
        <v>3605.19</v>
      </c>
    </row>
    <row r="2414">
      <c r="A2414" s="10">
        <f t="shared" si="8"/>
        <v>40396.66667</v>
      </c>
      <c r="B2414" s="2" t="str">
        <f t="shared" si="2"/>
        <v/>
      </c>
      <c r="C2414" s="2" t="str">
        <f t="shared" si="3"/>
        <v>SP500</v>
      </c>
      <c r="D2414" s="2">
        <f t="shared" si="4"/>
        <v>2288.47</v>
      </c>
      <c r="E2414" s="2">
        <f t="shared" si="5"/>
        <v>2288.47</v>
      </c>
      <c r="G2414" s="10">
        <f t="shared" si="9"/>
        <v>40396.64583</v>
      </c>
      <c r="H2414" s="6" t="str">
        <f t="shared" si="6"/>
        <v/>
      </c>
      <c r="I2414" s="2">
        <f t="shared" si="7"/>
        <v>1426.89</v>
      </c>
      <c r="M2414" s="10">
        <f>IFERROR(__xludf.DUMMYFUNCTION("""COMPUTED_VALUE"""),41481.666666666664)</f>
        <v>41481.66667</v>
      </c>
      <c r="N2414" s="2">
        <f>IFERROR(__xludf.DUMMYFUNCTION("""COMPUTED_VALUE"""),3613.16)</f>
        <v>3613.16</v>
      </c>
    </row>
    <row r="2415">
      <c r="A2415" s="10">
        <f t="shared" si="8"/>
        <v>40397.66667</v>
      </c>
      <c r="B2415" s="2" t="str">
        <f t="shared" si="2"/>
        <v/>
      </c>
      <c r="C2415" s="2" t="str">
        <f t="shared" si="3"/>
        <v>SP500</v>
      </c>
      <c r="D2415" s="2" t="str">
        <f t="shared" si="4"/>
        <v/>
      </c>
      <c r="E2415" s="2">
        <f t="shared" si="5"/>
        <v>2288.47</v>
      </c>
      <c r="G2415" s="10">
        <f t="shared" si="9"/>
        <v>40397.64583</v>
      </c>
      <c r="H2415" s="6" t="str">
        <f t="shared" si="6"/>
        <v/>
      </c>
      <c r="I2415" s="2">
        <f t="shared" si="7"/>
        <v>1426.89</v>
      </c>
      <c r="M2415" s="10">
        <f>IFERROR(__xludf.DUMMYFUNCTION("""COMPUTED_VALUE"""),41484.666666666664)</f>
        <v>41484.66667</v>
      </c>
      <c r="N2415" s="2">
        <f>IFERROR(__xludf.DUMMYFUNCTION("""COMPUTED_VALUE"""),3599.14)</f>
        <v>3599.14</v>
      </c>
    </row>
    <row r="2416">
      <c r="A2416" s="10">
        <f t="shared" si="8"/>
        <v>40398.66667</v>
      </c>
      <c r="B2416" s="2" t="str">
        <f t="shared" si="2"/>
        <v/>
      </c>
      <c r="C2416" s="2" t="str">
        <f t="shared" si="3"/>
        <v>SP500</v>
      </c>
      <c r="D2416" s="2" t="str">
        <f t="shared" si="4"/>
        <v/>
      </c>
      <c r="E2416" s="2">
        <f t="shared" si="5"/>
        <v>2288.47</v>
      </c>
      <c r="G2416" s="10">
        <f t="shared" si="9"/>
        <v>40398.64583</v>
      </c>
      <c r="H2416" s="6" t="str">
        <f t="shared" si="6"/>
        <v/>
      </c>
      <c r="I2416" s="2">
        <f t="shared" si="7"/>
        <v>1426.89</v>
      </c>
      <c r="M2416" s="10">
        <f>IFERROR(__xludf.DUMMYFUNCTION("""COMPUTED_VALUE"""),41485.666666666664)</f>
        <v>41485.66667</v>
      </c>
      <c r="N2416" s="2">
        <f>IFERROR(__xludf.DUMMYFUNCTION("""COMPUTED_VALUE"""),3616.47)</f>
        <v>3616.47</v>
      </c>
    </row>
    <row r="2417">
      <c r="A2417" s="10">
        <f t="shared" si="8"/>
        <v>40399.66667</v>
      </c>
      <c r="B2417" s="2" t="str">
        <f t="shared" si="2"/>
        <v/>
      </c>
      <c r="C2417" s="2" t="str">
        <f t="shared" si="3"/>
        <v>SP500</v>
      </c>
      <c r="D2417" s="2">
        <f t="shared" si="4"/>
        <v>2305.69</v>
      </c>
      <c r="E2417" s="2">
        <f t="shared" si="5"/>
        <v>2305.69</v>
      </c>
      <c r="G2417" s="10">
        <f t="shared" si="9"/>
        <v>40399.64583</v>
      </c>
      <c r="H2417" s="6" t="str">
        <f t="shared" si="6"/>
        <v/>
      </c>
      <c r="I2417" s="2">
        <f t="shared" si="7"/>
        <v>1426.89</v>
      </c>
      <c r="M2417" s="10">
        <f>IFERROR(__xludf.DUMMYFUNCTION("""COMPUTED_VALUE"""),41486.666666666664)</f>
        <v>41486.66667</v>
      </c>
      <c r="N2417" s="2">
        <f>IFERROR(__xludf.DUMMYFUNCTION("""COMPUTED_VALUE"""),3626.37)</f>
        <v>3626.37</v>
      </c>
    </row>
    <row r="2418">
      <c r="A2418" s="10">
        <f t="shared" si="8"/>
        <v>40400.66667</v>
      </c>
      <c r="B2418" s="2" t="str">
        <f t="shared" si="2"/>
        <v/>
      </c>
      <c r="C2418" s="2" t="str">
        <f t="shared" si="3"/>
        <v>SP500</v>
      </c>
      <c r="D2418" s="2">
        <f t="shared" si="4"/>
        <v>2277.17</v>
      </c>
      <c r="E2418" s="2">
        <f t="shared" si="5"/>
        <v>2277.17</v>
      </c>
      <c r="G2418" s="10">
        <f t="shared" si="9"/>
        <v>40400.64583</v>
      </c>
      <c r="H2418" s="6" t="str">
        <f t="shared" si="6"/>
        <v/>
      </c>
      <c r="I2418" s="2">
        <f t="shared" si="7"/>
        <v>1426.89</v>
      </c>
      <c r="M2418" s="10">
        <f>IFERROR(__xludf.DUMMYFUNCTION("""COMPUTED_VALUE"""),41487.666666666664)</f>
        <v>41487.66667</v>
      </c>
      <c r="N2418" s="2">
        <f>IFERROR(__xludf.DUMMYFUNCTION("""COMPUTED_VALUE"""),3675.74)</f>
        <v>3675.74</v>
      </c>
    </row>
    <row r="2419">
      <c r="A2419" s="10">
        <f t="shared" si="8"/>
        <v>40401.66667</v>
      </c>
      <c r="B2419" s="2" t="str">
        <f t="shared" si="2"/>
        <v/>
      </c>
      <c r="C2419" s="2" t="str">
        <f t="shared" si="3"/>
        <v>SP500</v>
      </c>
      <c r="D2419" s="2">
        <f t="shared" si="4"/>
        <v>2208.63</v>
      </c>
      <c r="E2419" s="2">
        <f t="shared" si="5"/>
        <v>2208.63</v>
      </c>
      <c r="G2419" s="10">
        <f t="shared" si="9"/>
        <v>40401.64583</v>
      </c>
      <c r="H2419" s="6" t="str">
        <f t="shared" si="6"/>
        <v/>
      </c>
      <c r="I2419" s="2">
        <f t="shared" si="7"/>
        <v>1426.89</v>
      </c>
      <c r="M2419" s="10">
        <f>IFERROR(__xludf.DUMMYFUNCTION("""COMPUTED_VALUE"""),41488.666666666664)</f>
        <v>41488.66667</v>
      </c>
      <c r="N2419" s="2">
        <f>IFERROR(__xludf.DUMMYFUNCTION("""COMPUTED_VALUE"""),3689.59)</f>
        <v>3689.59</v>
      </c>
    </row>
    <row r="2420">
      <c r="A2420" s="10">
        <f t="shared" si="8"/>
        <v>40402.66667</v>
      </c>
      <c r="B2420" s="2" t="str">
        <f t="shared" si="2"/>
        <v/>
      </c>
      <c r="C2420" s="2" t="str">
        <f t="shared" si="3"/>
        <v>SP500</v>
      </c>
      <c r="D2420" s="2">
        <f t="shared" si="4"/>
        <v>2190.27</v>
      </c>
      <c r="E2420" s="2">
        <f t="shared" si="5"/>
        <v>2190.27</v>
      </c>
      <c r="G2420" s="10">
        <f t="shared" si="9"/>
        <v>40402.64583</v>
      </c>
      <c r="H2420" s="6" t="str">
        <f t="shared" si="6"/>
        <v/>
      </c>
      <c r="I2420" s="2">
        <f t="shared" si="7"/>
        <v>1426.89</v>
      </c>
      <c r="M2420" s="10">
        <f>IFERROR(__xludf.DUMMYFUNCTION("""COMPUTED_VALUE"""),41491.666666666664)</f>
        <v>41491.66667</v>
      </c>
      <c r="N2420" s="2">
        <f>IFERROR(__xludf.DUMMYFUNCTION("""COMPUTED_VALUE"""),3692.95)</f>
        <v>3692.95</v>
      </c>
    </row>
    <row r="2421">
      <c r="A2421" s="10">
        <f t="shared" si="8"/>
        <v>40403.66667</v>
      </c>
      <c r="B2421" s="2" t="str">
        <f t="shared" si="2"/>
        <v/>
      </c>
      <c r="C2421" s="2" t="str">
        <f t="shared" si="3"/>
        <v>SP500</v>
      </c>
      <c r="D2421" s="2">
        <f t="shared" si="4"/>
        <v>2173.48</v>
      </c>
      <c r="E2421" s="2">
        <f t="shared" si="5"/>
        <v>2173.48</v>
      </c>
      <c r="G2421" s="10">
        <f t="shared" si="9"/>
        <v>40403.64583</v>
      </c>
      <c r="H2421" s="6" t="str">
        <f t="shared" si="6"/>
        <v/>
      </c>
      <c r="I2421" s="2">
        <f t="shared" si="7"/>
        <v>1426.89</v>
      </c>
      <c r="M2421" s="10">
        <f>IFERROR(__xludf.DUMMYFUNCTION("""COMPUTED_VALUE"""),41492.666666666664)</f>
        <v>41492.66667</v>
      </c>
      <c r="N2421" s="2">
        <f>IFERROR(__xludf.DUMMYFUNCTION("""COMPUTED_VALUE"""),3665.77)</f>
        <v>3665.77</v>
      </c>
    </row>
    <row r="2422">
      <c r="A2422" s="10">
        <f t="shared" si="8"/>
        <v>40404.66667</v>
      </c>
      <c r="B2422" s="2" t="str">
        <f t="shared" si="2"/>
        <v/>
      </c>
      <c r="C2422" s="2" t="str">
        <f t="shared" si="3"/>
        <v>SP500</v>
      </c>
      <c r="D2422" s="2" t="str">
        <f t="shared" si="4"/>
        <v/>
      </c>
      <c r="E2422" s="2">
        <f t="shared" si="5"/>
        <v>2173.48</v>
      </c>
      <c r="G2422" s="10">
        <f t="shared" si="9"/>
        <v>40404.64583</v>
      </c>
      <c r="H2422" s="6" t="str">
        <f t="shared" si="6"/>
        <v/>
      </c>
      <c r="I2422" s="2">
        <f t="shared" si="7"/>
        <v>1426.89</v>
      </c>
      <c r="M2422" s="10">
        <f>IFERROR(__xludf.DUMMYFUNCTION("""COMPUTED_VALUE"""),41493.666666666664)</f>
        <v>41493.66667</v>
      </c>
      <c r="N2422" s="2">
        <f>IFERROR(__xludf.DUMMYFUNCTION("""COMPUTED_VALUE"""),3654.01)</f>
        <v>3654.01</v>
      </c>
    </row>
    <row r="2423">
      <c r="A2423" s="10">
        <f t="shared" si="8"/>
        <v>40405.66667</v>
      </c>
      <c r="B2423" s="2" t="str">
        <f t="shared" si="2"/>
        <v/>
      </c>
      <c r="C2423" s="2" t="str">
        <f t="shared" si="3"/>
        <v>SP500</v>
      </c>
      <c r="D2423" s="2" t="str">
        <f t="shared" si="4"/>
        <v/>
      </c>
      <c r="E2423" s="2">
        <f t="shared" si="5"/>
        <v>2173.48</v>
      </c>
      <c r="G2423" s="10">
        <f t="shared" si="9"/>
        <v>40405.64583</v>
      </c>
      <c r="H2423" s="6" t="str">
        <f t="shared" si="6"/>
        <v/>
      </c>
      <c r="I2423" s="2">
        <f t="shared" si="7"/>
        <v>1426.89</v>
      </c>
      <c r="M2423" s="10">
        <f>IFERROR(__xludf.DUMMYFUNCTION("""COMPUTED_VALUE"""),41494.666666666664)</f>
        <v>41494.66667</v>
      </c>
      <c r="N2423" s="2">
        <f>IFERROR(__xludf.DUMMYFUNCTION("""COMPUTED_VALUE"""),3669.12)</f>
        <v>3669.12</v>
      </c>
    </row>
    <row r="2424">
      <c r="A2424" s="10">
        <f t="shared" si="8"/>
        <v>40406.66667</v>
      </c>
      <c r="B2424" s="2" t="str">
        <f t="shared" si="2"/>
        <v/>
      </c>
      <c r="C2424" s="2" t="str">
        <f t="shared" si="3"/>
        <v>SP500</v>
      </c>
      <c r="D2424" s="2">
        <f t="shared" si="4"/>
        <v>2181.87</v>
      </c>
      <c r="E2424" s="2">
        <f t="shared" si="5"/>
        <v>2181.87</v>
      </c>
      <c r="G2424" s="10">
        <f t="shared" si="9"/>
        <v>40406.64583</v>
      </c>
      <c r="H2424" s="6" t="str">
        <f t="shared" si="6"/>
        <v/>
      </c>
      <c r="I2424" s="2">
        <f t="shared" si="7"/>
        <v>1426.89</v>
      </c>
      <c r="M2424" s="10">
        <f>IFERROR(__xludf.DUMMYFUNCTION("""COMPUTED_VALUE"""),41495.666666666664)</f>
        <v>41495.66667</v>
      </c>
      <c r="N2424" s="2">
        <f>IFERROR(__xludf.DUMMYFUNCTION("""COMPUTED_VALUE"""),3660.11)</f>
        <v>3660.11</v>
      </c>
    </row>
    <row r="2425">
      <c r="A2425" s="10">
        <f t="shared" si="8"/>
        <v>40407.66667</v>
      </c>
      <c r="B2425" s="2" t="str">
        <f t="shared" si="2"/>
        <v/>
      </c>
      <c r="C2425" s="2" t="str">
        <f t="shared" si="3"/>
        <v>SP500</v>
      </c>
      <c r="D2425" s="2">
        <f t="shared" si="4"/>
        <v>2209.44</v>
      </c>
      <c r="E2425" s="2">
        <f t="shared" si="5"/>
        <v>2209.44</v>
      </c>
      <c r="G2425" s="10">
        <f t="shared" si="9"/>
        <v>40407.64583</v>
      </c>
      <c r="H2425" s="6" t="str">
        <f t="shared" si="6"/>
        <v/>
      </c>
      <c r="I2425" s="2">
        <f t="shared" si="7"/>
        <v>1426.89</v>
      </c>
      <c r="M2425" s="10">
        <f>IFERROR(__xludf.DUMMYFUNCTION("""COMPUTED_VALUE"""),41498.666666666664)</f>
        <v>41498.66667</v>
      </c>
      <c r="N2425" s="2">
        <f>IFERROR(__xludf.DUMMYFUNCTION("""COMPUTED_VALUE"""),3669.95)</f>
        <v>3669.95</v>
      </c>
    </row>
    <row r="2426">
      <c r="A2426" s="10">
        <f t="shared" si="8"/>
        <v>40408.66667</v>
      </c>
      <c r="B2426" s="2" t="str">
        <f t="shared" si="2"/>
        <v/>
      </c>
      <c r="C2426" s="2" t="str">
        <f t="shared" si="3"/>
        <v>SP500</v>
      </c>
      <c r="D2426" s="2">
        <f t="shared" si="4"/>
        <v>2215.7</v>
      </c>
      <c r="E2426" s="2">
        <f t="shared" si="5"/>
        <v>2215.7</v>
      </c>
      <c r="G2426" s="10">
        <f t="shared" si="9"/>
        <v>40408.64583</v>
      </c>
      <c r="H2426" s="6" t="str">
        <f t="shared" si="6"/>
        <v/>
      </c>
      <c r="I2426" s="2">
        <f t="shared" si="7"/>
        <v>1426.89</v>
      </c>
      <c r="M2426" s="10">
        <f>IFERROR(__xludf.DUMMYFUNCTION("""COMPUTED_VALUE"""),41499.666666666664)</f>
        <v>41499.66667</v>
      </c>
      <c r="N2426" s="2">
        <f>IFERROR(__xludf.DUMMYFUNCTION("""COMPUTED_VALUE"""),3684.44)</f>
        <v>3684.44</v>
      </c>
    </row>
    <row r="2427">
      <c r="A2427" s="10">
        <f t="shared" si="8"/>
        <v>40409.66667</v>
      </c>
      <c r="B2427" s="2" t="str">
        <f t="shared" si="2"/>
        <v/>
      </c>
      <c r="C2427" s="2" t="str">
        <f t="shared" si="3"/>
        <v>SP500</v>
      </c>
      <c r="D2427" s="2">
        <f t="shared" si="4"/>
        <v>2178.95</v>
      </c>
      <c r="E2427" s="2">
        <f t="shared" si="5"/>
        <v>2178.95</v>
      </c>
      <c r="G2427" s="10">
        <f t="shared" si="9"/>
        <v>40409.64583</v>
      </c>
      <c r="H2427" s="6" t="str">
        <f t="shared" si="6"/>
        <v/>
      </c>
      <c r="I2427" s="2">
        <f t="shared" si="7"/>
        <v>1426.89</v>
      </c>
      <c r="M2427" s="10">
        <f>IFERROR(__xludf.DUMMYFUNCTION("""COMPUTED_VALUE"""),41500.666666666664)</f>
        <v>41500.66667</v>
      </c>
      <c r="N2427" s="2">
        <f>IFERROR(__xludf.DUMMYFUNCTION("""COMPUTED_VALUE"""),3669.27)</f>
        <v>3669.27</v>
      </c>
    </row>
    <row r="2428">
      <c r="A2428" s="10">
        <f t="shared" si="8"/>
        <v>40410.66667</v>
      </c>
      <c r="B2428" s="2" t="str">
        <f t="shared" si="2"/>
        <v/>
      </c>
      <c r="C2428" s="2" t="str">
        <f t="shared" si="3"/>
        <v>SP500</v>
      </c>
      <c r="D2428" s="2">
        <f t="shared" si="4"/>
        <v>2179.76</v>
      </c>
      <c r="E2428" s="2">
        <f t="shared" si="5"/>
        <v>2179.76</v>
      </c>
      <c r="G2428" s="10">
        <f t="shared" si="9"/>
        <v>40410.64583</v>
      </c>
      <c r="H2428" s="6" t="str">
        <f t="shared" si="6"/>
        <v/>
      </c>
      <c r="I2428" s="2">
        <f t="shared" si="7"/>
        <v>1426.89</v>
      </c>
      <c r="M2428" s="10">
        <f>IFERROR(__xludf.DUMMYFUNCTION("""COMPUTED_VALUE"""),41501.666666666664)</f>
        <v>41501.66667</v>
      </c>
      <c r="N2428" s="2">
        <f>IFERROR(__xludf.DUMMYFUNCTION("""COMPUTED_VALUE"""),3606.12)</f>
        <v>3606.12</v>
      </c>
    </row>
    <row r="2429">
      <c r="A2429" s="10">
        <f t="shared" si="8"/>
        <v>40411.66667</v>
      </c>
      <c r="B2429" s="2" t="str">
        <f t="shared" si="2"/>
        <v/>
      </c>
      <c r="C2429" s="2" t="str">
        <f t="shared" si="3"/>
        <v>SP500</v>
      </c>
      <c r="D2429" s="2" t="str">
        <f t="shared" si="4"/>
        <v/>
      </c>
      <c r="E2429" s="2">
        <f t="shared" si="5"/>
        <v>2179.76</v>
      </c>
      <c r="G2429" s="10">
        <f t="shared" si="9"/>
        <v>40411.64583</v>
      </c>
      <c r="H2429" s="6" t="str">
        <f t="shared" si="6"/>
        <v/>
      </c>
      <c r="I2429" s="2">
        <f t="shared" si="7"/>
        <v>1426.89</v>
      </c>
      <c r="M2429" s="10">
        <f>IFERROR(__xludf.DUMMYFUNCTION("""COMPUTED_VALUE"""),41502.666666666664)</f>
        <v>41502.66667</v>
      </c>
      <c r="N2429" s="2">
        <f>IFERROR(__xludf.DUMMYFUNCTION("""COMPUTED_VALUE"""),3602.78)</f>
        <v>3602.78</v>
      </c>
    </row>
    <row r="2430">
      <c r="A2430" s="10">
        <f t="shared" si="8"/>
        <v>40412.66667</v>
      </c>
      <c r="B2430" s="2" t="str">
        <f t="shared" si="2"/>
        <v/>
      </c>
      <c r="C2430" s="2" t="str">
        <f t="shared" si="3"/>
        <v>SP500</v>
      </c>
      <c r="D2430" s="2" t="str">
        <f t="shared" si="4"/>
        <v/>
      </c>
      <c r="E2430" s="2">
        <f t="shared" si="5"/>
        <v>2179.76</v>
      </c>
      <c r="G2430" s="10">
        <f t="shared" si="9"/>
        <v>40412.64583</v>
      </c>
      <c r="H2430" s="6" t="str">
        <f t="shared" si="6"/>
        <v/>
      </c>
      <c r="I2430" s="2">
        <f t="shared" si="7"/>
        <v>1426.89</v>
      </c>
      <c r="M2430" s="10">
        <f>IFERROR(__xludf.DUMMYFUNCTION("""COMPUTED_VALUE"""),41505.666666666664)</f>
        <v>41505.66667</v>
      </c>
      <c r="N2430" s="2">
        <f>IFERROR(__xludf.DUMMYFUNCTION("""COMPUTED_VALUE"""),3589.09)</f>
        <v>3589.09</v>
      </c>
    </row>
    <row r="2431">
      <c r="A2431" s="10">
        <f t="shared" si="8"/>
        <v>40413.66667</v>
      </c>
      <c r="B2431" s="2" t="str">
        <f t="shared" si="2"/>
        <v/>
      </c>
      <c r="C2431" s="2" t="str">
        <f t="shared" si="3"/>
        <v>SP500</v>
      </c>
      <c r="D2431" s="2">
        <f t="shared" si="4"/>
        <v>2159.63</v>
      </c>
      <c r="E2431" s="2">
        <f t="shared" si="5"/>
        <v>2159.63</v>
      </c>
      <c r="G2431" s="10">
        <f t="shared" si="9"/>
        <v>40413.64583</v>
      </c>
      <c r="H2431" s="6" t="str">
        <f t="shared" si="6"/>
        <v/>
      </c>
      <c r="I2431" s="2">
        <f t="shared" si="7"/>
        <v>1426.89</v>
      </c>
      <c r="M2431" s="10">
        <f>IFERROR(__xludf.DUMMYFUNCTION("""COMPUTED_VALUE"""),41506.666666666664)</f>
        <v>41506.66667</v>
      </c>
      <c r="N2431" s="2">
        <f>IFERROR(__xludf.DUMMYFUNCTION("""COMPUTED_VALUE"""),3613.59)</f>
        <v>3613.59</v>
      </c>
    </row>
    <row r="2432">
      <c r="A2432" s="10">
        <f t="shared" si="8"/>
        <v>40414.66667</v>
      </c>
      <c r="B2432" s="2" t="str">
        <f t="shared" si="2"/>
        <v/>
      </c>
      <c r="C2432" s="2" t="str">
        <f t="shared" si="3"/>
        <v>SP500</v>
      </c>
      <c r="D2432" s="2">
        <f t="shared" si="4"/>
        <v>2123.76</v>
      </c>
      <c r="E2432" s="2">
        <f t="shared" si="5"/>
        <v>2123.76</v>
      </c>
      <c r="G2432" s="10">
        <f t="shared" si="9"/>
        <v>40414.64583</v>
      </c>
      <c r="H2432" s="6" t="str">
        <f t="shared" si="6"/>
        <v/>
      </c>
      <c r="I2432" s="2">
        <f t="shared" si="7"/>
        <v>1426.89</v>
      </c>
      <c r="M2432" s="10">
        <f>IFERROR(__xludf.DUMMYFUNCTION("""COMPUTED_VALUE"""),41507.666666666664)</f>
        <v>41507.66667</v>
      </c>
      <c r="N2432" s="2">
        <f>IFERROR(__xludf.DUMMYFUNCTION("""COMPUTED_VALUE"""),3599.79)</f>
        <v>3599.79</v>
      </c>
    </row>
    <row r="2433">
      <c r="A2433" s="10">
        <f t="shared" si="8"/>
        <v>40415.66667</v>
      </c>
      <c r="B2433" s="2" t="str">
        <f t="shared" si="2"/>
        <v/>
      </c>
      <c r="C2433" s="2" t="str">
        <f t="shared" si="3"/>
        <v>SP500</v>
      </c>
      <c r="D2433" s="2">
        <f t="shared" si="4"/>
        <v>2141.54</v>
      </c>
      <c r="E2433" s="2">
        <f t="shared" si="5"/>
        <v>2141.54</v>
      </c>
      <c r="G2433" s="10">
        <f t="shared" si="9"/>
        <v>40415.64583</v>
      </c>
      <c r="H2433" s="6" t="str">
        <f t="shared" si="6"/>
        <v/>
      </c>
      <c r="I2433" s="2">
        <f t="shared" si="7"/>
        <v>1426.89</v>
      </c>
      <c r="M2433" s="10">
        <f>IFERROR(__xludf.DUMMYFUNCTION("""COMPUTED_VALUE"""),41508.666666666664)</f>
        <v>41508.66667</v>
      </c>
      <c r="N2433" s="2">
        <f>IFERROR(__xludf.DUMMYFUNCTION("""COMPUTED_VALUE"""),3638.71)</f>
        <v>3638.71</v>
      </c>
    </row>
    <row r="2434">
      <c r="A2434" s="10">
        <f t="shared" si="8"/>
        <v>40416.66667</v>
      </c>
      <c r="B2434" s="2" t="str">
        <f t="shared" si="2"/>
        <v/>
      </c>
      <c r="C2434" s="2" t="str">
        <f t="shared" si="3"/>
        <v>SP500</v>
      </c>
      <c r="D2434" s="2">
        <f t="shared" si="4"/>
        <v>2118.69</v>
      </c>
      <c r="E2434" s="2">
        <f t="shared" si="5"/>
        <v>2118.69</v>
      </c>
      <c r="G2434" s="10">
        <f t="shared" si="9"/>
        <v>40416.64583</v>
      </c>
      <c r="H2434" s="6" t="str">
        <f t="shared" si="6"/>
        <v/>
      </c>
      <c r="I2434" s="2">
        <f t="shared" si="7"/>
        <v>1426.89</v>
      </c>
      <c r="M2434" s="10">
        <f>IFERROR(__xludf.DUMMYFUNCTION("""COMPUTED_VALUE"""),41509.666666666664)</f>
        <v>41509.66667</v>
      </c>
      <c r="N2434" s="2">
        <f>IFERROR(__xludf.DUMMYFUNCTION("""COMPUTED_VALUE"""),3657.79)</f>
        <v>3657.79</v>
      </c>
    </row>
    <row r="2435">
      <c r="A2435" s="10">
        <f t="shared" si="8"/>
        <v>40417.66667</v>
      </c>
      <c r="B2435" s="2" t="str">
        <f t="shared" si="2"/>
        <v/>
      </c>
      <c r="C2435" s="2" t="str">
        <f t="shared" si="3"/>
        <v>SP500</v>
      </c>
      <c r="D2435" s="2">
        <f t="shared" si="4"/>
        <v>2153.63</v>
      </c>
      <c r="E2435" s="2">
        <f t="shared" si="5"/>
        <v>2153.63</v>
      </c>
      <c r="G2435" s="10">
        <f t="shared" si="9"/>
        <v>40417.64583</v>
      </c>
      <c r="H2435" s="6" t="str">
        <f t="shared" si="6"/>
        <v/>
      </c>
      <c r="I2435" s="2">
        <f t="shared" si="7"/>
        <v>1426.89</v>
      </c>
      <c r="M2435" s="10">
        <f>IFERROR(__xludf.DUMMYFUNCTION("""COMPUTED_VALUE"""),41512.666666666664)</f>
        <v>41512.66667</v>
      </c>
      <c r="N2435" s="2">
        <f>IFERROR(__xludf.DUMMYFUNCTION("""COMPUTED_VALUE"""),3657.57)</f>
        <v>3657.57</v>
      </c>
    </row>
    <row r="2436">
      <c r="A2436" s="10">
        <f t="shared" si="8"/>
        <v>40418.66667</v>
      </c>
      <c r="B2436" s="2" t="str">
        <f t="shared" si="2"/>
        <v/>
      </c>
      <c r="C2436" s="2" t="str">
        <f t="shared" si="3"/>
        <v>SP500</v>
      </c>
      <c r="D2436" s="2" t="str">
        <f t="shared" si="4"/>
        <v/>
      </c>
      <c r="E2436" s="2">
        <f t="shared" si="5"/>
        <v>2153.63</v>
      </c>
      <c r="G2436" s="10">
        <f t="shared" si="9"/>
        <v>40418.64583</v>
      </c>
      <c r="H2436" s="6" t="str">
        <f t="shared" si="6"/>
        <v/>
      </c>
      <c r="I2436" s="2">
        <f t="shared" si="7"/>
        <v>1426.89</v>
      </c>
      <c r="M2436" s="10">
        <f>IFERROR(__xludf.DUMMYFUNCTION("""COMPUTED_VALUE"""),41513.666666666664)</f>
        <v>41513.66667</v>
      </c>
      <c r="N2436" s="2">
        <f>IFERROR(__xludf.DUMMYFUNCTION("""COMPUTED_VALUE"""),3578.52)</f>
        <v>3578.52</v>
      </c>
    </row>
    <row r="2437">
      <c r="A2437" s="10">
        <f t="shared" si="8"/>
        <v>40419.66667</v>
      </c>
      <c r="B2437" s="2" t="str">
        <f t="shared" si="2"/>
        <v/>
      </c>
      <c r="C2437" s="2" t="str">
        <f t="shared" si="3"/>
        <v>SP500</v>
      </c>
      <c r="D2437" s="2" t="str">
        <f t="shared" si="4"/>
        <v/>
      </c>
      <c r="E2437" s="2">
        <f t="shared" si="5"/>
        <v>2153.63</v>
      </c>
      <c r="G2437" s="10">
        <f t="shared" si="9"/>
        <v>40419.64583</v>
      </c>
      <c r="H2437" s="6" t="str">
        <f t="shared" si="6"/>
        <v/>
      </c>
      <c r="I2437" s="2">
        <f t="shared" si="7"/>
        <v>1426.89</v>
      </c>
      <c r="M2437" s="10">
        <f>IFERROR(__xludf.DUMMYFUNCTION("""COMPUTED_VALUE"""),41514.666666666664)</f>
        <v>41514.66667</v>
      </c>
      <c r="N2437" s="2">
        <f>IFERROR(__xludf.DUMMYFUNCTION("""COMPUTED_VALUE"""),3593.35)</f>
        <v>3593.35</v>
      </c>
    </row>
    <row r="2438">
      <c r="A2438" s="10">
        <f t="shared" si="8"/>
        <v>40420.66667</v>
      </c>
      <c r="B2438" s="2" t="str">
        <f t="shared" si="2"/>
        <v/>
      </c>
      <c r="C2438" s="2" t="str">
        <f t="shared" si="3"/>
        <v>SP500</v>
      </c>
      <c r="D2438" s="2">
        <f t="shared" si="4"/>
        <v>2119.97</v>
      </c>
      <c r="E2438" s="2">
        <f t="shared" si="5"/>
        <v>2119.97</v>
      </c>
      <c r="G2438" s="10">
        <f t="shared" si="9"/>
        <v>40420.64583</v>
      </c>
      <c r="H2438" s="6" t="str">
        <f t="shared" si="6"/>
        <v/>
      </c>
      <c r="I2438" s="2">
        <f t="shared" si="7"/>
        <v>1426.89</v>
      </c>
      <c r="M2438" s="10">
        <f>IFERROR(__xludf.DUMMYFUNCTION("""COMPUTED_VALUE"""),41515.666666666664)</f>
        <v>41515.66667</v>
      </c>
      <c r="N2438" s="2">
        <f>IFERROR(__xludf.DUMMYFUNCTION("""COMPUTED_VALUE"""),3620.3)</f>
        <v>3620.3</v>
      </c>
    </row>
    <row r="2439">
      <c r="A2439" s="10">
        <f t="shared" si="8"/>
        <v>40421.66667</v>
      </c>
      <c r="B2439" s="2" t="str">
        <f t="shared" si="2"/>
        <v/>
      </c>
      <c r="C2439" s="2" t="str">
        <f t="shared" si="3"/>
        <v>SP500</v>
      </c>
      <c r="D2439" s="2">
        <f t="shared" si="4"/>
        <v>2114.03</v>
      </c>
      <c r="E2439" s="2">
        <f t="shared" si="5"/>
        <v>2114.03</v>
      </c>
      <c r="G2439" s="10">
        <f t="shared" si="9"/>
        <v>40421.64583</v>
      </c>
      <c r="H2439" s="6" t="str">
        <f t="shared" si="6"/>
        <v/>
      </c>
      <c r="I2439" s="2">
        <f t="shared" si="7"/>
        <v>1426.89</v>
      </c>
      <c r="M2439" s="10">
        <f>IFERROR(__xludf.DUMMYFUNCTION("""COMPUTED_VALUE"""),41516.666666666664)</f>
        <v>41516.66667</v>
      </c>
      <c r="N2439" s="2">
        <f>IFERROR(__xludf.DUMMYFUNCTION("""COMPUTED_VALUE"""),3589.87)</f>
        <v>3589.87</v>
      </c>
    </row>
    <row r="2440">
      <c r="A2440" s="10">
        <f t="shared" si="8"/>
        <v>40422.66667</v>
      </c>
      <c r="B2440" s="2" t="str">
        <f t="shared" si="2"/>
        <v/>
      </c>
      <c r="C2440" s="2" t="str">
        <f t="shared" si="3"/>
        <v>SP500</v>
      </c>
      <c r="D2440" s="2">
        <f t="shared" si="4"/>
        <v>2176.84</v>
      </c>
      <c r="E2440" s="2">
        <f t="shared" si="5"/>
        <v>2176.84</v>
      </c>
      <c r="G2440" s="10">
        <f t="shared" si="9"/>
        <v>40422.64583</v>
      </c>
      <c r="H2440" s="6" t="str">
        <f t="shared" si="6"/>
        <v/>
      </c>
      <c r="I2440" s="2">
        <f t="shared" si="7"/>
        <v>1426.89</v>
      </c>
      <c r="M2440" s="10">
        <f>IFERROR(__xludf.DUMMYFUNCTION("""COMPUTED_VALUE"""),41520.666666666664)</f>
        <v>41520.66667</v>
      </c>
      <c r="N2440" s="2">
        <f>IFERROR(__xludf.DUMMYFUNCTION("""COMPUTED_VALUE"""),3612.61)</f>
        <v>3612.61</v>
      </c>
    </row>
    <row r="2441">
      <c r="A2441" s="10">
        <f t="shared" si="8"/>
        <v>40423.66667</v>
      </c>
      <c r="B2441" s="2" t="str">
        <f t="shared" si="2"/>
        <v/>
      </c>
      <c r="C2441" s="2" t="str">
        <f t="shared" si="3"/>
        <v>SP500</v>
      </c>
      <c r="D2441" s="2">
        <f t="shared" si="4"/>
        <v>2200.01</v>
      </c>
      <c r="E2441" s="2">
        <f t="shared" si="5"/>
        <v>2200.01</v>
      </c>
      <c r="G2441" s="10">
        <f t="shared" si="9"/>
        <v>40423.64583</v>
      </c>
      <c r="H2441" s="6" t="str">
        <f t="shared" si="6"/>
        <v/>
      </c>
      <c r="I2441" s="2">
        <f t="shared" si="7"/>
        <v>1426.89</v>
      </c>
      <c r="M2441" s="10">
        <f>IFERROR(__xludf.DUMMYFUNCTION("""COMPUTED_VALUE"""),41521.666666666664)</f>
        <v>41521.66667</v>
      </c>
      <c r="N2441" s="2">
        <f>IFERROR(__xludf.DUMMYFUNCTION("""COMPUTED_VALUE"""),3649.04)</f>
        <v>3649.04</v>
      </c>
    </row>
    <row r="2442">
      <c r="A2442" s="10">
        <f t="shared" si="8"/>
        <v>40424.66667</v>
      </c>
      <c r="B2442" s="2" t="str">
        <f t="shared" si="2"/>
        <v/>
      </c>
      <c r="C2442" s="2" t="str">
        <f t="shared" si="3"/>
        <v>SP500</v>
      </c>
      <c r="D2442" s="2">
        <f t="shared" si="4"/>
        <v>2233.75</v>
      </c>
      <c r="E2442" s="2">
        <f t="shared" si="5"/>
        <v>2233.75</v>
      </c>
      <c r="G2442" s="10">
        <f t="shared" si="9"/>
        <v>40424.64583</v>
      </c>
      <c r="H2442" s="6" t="str">
        <f t="shared" si="6"/>
        <v/>
      </c>
      <c r="I2442" s="2">
        <f t="shared" si="7"/>
        <v>1426.89</v>
      </c>
      <c r="M2442" s="10">
        <f>IFERROR(__xludf.DUMMYFUNCTION("""COMPUTED_VALUE"""),41522.666666666664)</f>
        <v>41522.66667</v>
      </c>
      <c r="N2442" s="2">
        <f>IFERROR(__xludf.DUMMYFUNCTION("""COMPUTED_VALUE"""),3658.78)</f>
        <v>3658.78</v>
      </c>
    </row>
    <row r="2443">
      <c r="A2443" s="10">
        <f t="shared" si="8"/>
        <v>40425.66667</v>
      </c>
      <c r="B2443" s="2" t="str">
        <f t="shared" si="2"/>
        <v/>
      </c>
      <c r="C2443" s="2" t="str">
        <f t="shared" si="3"/>
        <v>SP500</v>
      </c>
      <c r="D2443" s="2" t="str">
        <f t="shared" si="4"/>
        <v/>
      </c>
      <c r="E2443" s="2">
        <f t="shared" si="5"/>
        <v>2233.75</v>
      </c>
      <c r="G2443" s="10">
        <f t="shared" si="9"/>
        <v>40425.64583</v>
      </c>
      <c r="H2443" s="6" t="str">
        <f t="shared" si="6"/>
        <v/>
      </c>
      <c r="I2443" s="2">
        <f t="shared" si="7"/>
        <v>1426.89</v>
      </c>
      <c r="M2443" s="10">
        <f>IFERROR(__xludf.DUMMYFUNCTION("""COMPUTED_VALUE"""),41523.666666666664)</f>
        <v>41523.66667</v>
      </c>
      <c r="N2443" s="2">
        <f>IFERROR(__xludf.DUMMYFUNCTION("""COMPUTED_VALUE"""),3660.01)</f>
        <v>3660.01</v>
      </c>
    </row>
    <row r="2444">
      <c r="A2444" s="10">
        <f t="shared" si="8"/>
        <v>40426.66667</v>
      </c>
      <c r="B2444" s="2" t="str">
        <f t="shared" si="2"/>
        <v/>
      </c>
      <c r="C2444" s="2" t="str">
        <f t="shared" si="3"/>
        <v>SP500</v>
      </c>
      <c r="D2444" s="2" t="str">
        <f t="shared" si="4"/>
        <v/>
      </c>
      <c r="E2444" s="2">
        <f t="shared" si="5"/>
        <v>2233.75</v>
      </c>
      <c r="G2444" s="10">
        <f t="shared" si="9"/>
        <v>40426.64583</v>
      </c>
      <c r="H2444" s="6" t="str">
        <f t="shared" si="6"/>
        <v/>
      </c>
      <c r="I2444" s="2">
        <f t="shared" si="7"/>
        <v>1426.89</v>
      </c>
      <c r="M2444" s="10">
        <f>IFERROR(__xludf.DUMMYFUNCTION("""COMPUTED_VALUE"""),41526.666666666664)</f>
        <v>41526.66667</v>
      </c>
      <c r="N2444" s="2">
        <f>IFERROR(__xludf.DUMMYFUNCTION("""COMPUTED_VALUE"""),3706.18)</f>
        <v>3706.18</v>
      </c>
    </row>
    <row r="2445">
      <c r="A2445" s="10">
        <f t="shared" si="8"/>
        <v>40427.66667</v>
      </c>
      <c r="B2445" s="2" t="str">
        <f t="shared" si="2"/>
        <v/>
      </c>
      <c r="C2445" s="2" t="str">
        <f t="shared" si="3"/>
        <v>SP500</v>
      </c>
      <c r="D2445" s="2" t="str">
        <f t="shared" si="4"/>
        <v/>
      </c>
      <c r="E2445" s="2">
        <f t="shared" si="5"/>
        <v>2233.75</v>
      </c>
      <c r="G2445" s="10">
        <f t="shared" si="9"/>
        <v>40427.64583</v>
      </c>
      <c r="H2445" s="6" t="str">
        <f t="shared" si="6"/>
        <v/>
      </c>
      <c r="I2445" s="2">
        <f t="shared" si="7"/>
        <v>1426.89</v>
      </c>
      <c r="M2445" s="10">
        <f>IFERROR(__xludf.DUMMYFUNCTION("""COMPUTED_VALUE"""),41527.666666666664)</f>
        <v>41527.66667</v>
      </c>
      <c r="N2445" s="2">
        <f>IFERROR(__xludf.DUMMYFUNCTION("""COMPUTED_VALUE"""),3729.02)</f>
        <v>3729.02</v>
      </c>
    </row>
    <row r="2446">
      <c r="A2446" s="10">
        <f t="shared" si="8"/>
        <v>40428.66667</v>
      </c>
      <c r="B2446" s="2" t="str">
        <f t="shared" si="2"/>
        <v/>
      </c>
      <c r="C2446" s="2" t="str">
        <f t="shared" si="3"/>
        <v>SP500</v>
      </c>
      <c r="D2446" s="2">
        <f t="shared" si="4"/>
        <v>2208.89</v>
      </c>
      <c r="E2446" s="2">
        <f t="shared" si="5"/>
        <v>2208.89</v>
      </c>
      <c r="G2446" s="10">
        <f t="shared" si="9"/>
        <v>40428.64583</v>
      </c>
      <c r="H2446" s="6" t="str">
        <f t="shared" si="6"/>
        <v/>
      </c>
      <c r="I2446" s="2">
        <f t="shared" si="7"/>
        <v>1426.89</v>
      </c>
      <c r="M2446" s="10">
        <f>IFERROR(__xludf.DUMMYFUNCTION("""COMPUTED_VALUE"""),41528.666666666664)</f>
        <v>41528.66667</v>
      </c>
      <c r="N2446" s="2">
        <f>IFERROR(__xludf.DUMMYFUNCTION("""COMPUTED_VALUE"""),3725.01)</f>
        <v>3725.01</v>
      </c>
    </row>
    <row r="2447">
      <c r="A2447" s="10">
        <f t="shared" si="8"/>
        <v>40429.66667</v>
      </c>
      <c r="B2447" s="2" t="str">
        <f t="shared" si="2"/>
        <v/>
      </c>
      <c r="C2447" s="2" t="str">
        <f t="shared" si="3"/>
        <v>SP500</v>
      </c>
      <c r="D2447" s="2">
        <f t="shared" si="4"/>
        <v>2228.87</v>
      </c>
      <c r="E2447" s="2">
        <f t="shared" si="5"/>
        <v>2228.87</v>
      </c>
      <c r="G2447" s="10">
        <f t="shared" si="9"/>
        <v>40429.64583</v>
      </c>
      <c r="H2447" s="6" t="str">
        <f t="shared" si="6"/>
        <v/>
      </c>
      <c r="I2447" s="2">
        <f t="shared" si="7"/>
        <v>1426.89</v>
      </c>
      <c r="M2447" s="10">
        <f>IFERROR(__xludf.DUMMYFUNCTION("""COMPUTED_VALUE"""),41529.666666666664)</f>
        <v>41529.66667</v>
      </c>
      <c r="N2447" s="2">
        <f>IFERROR(__xludf.DUMMYFUNCTION("""COMPUTED_VALUE"""),3715.97)</f>
        <v>3715.97</v>
      </c>
    </row>
    <row r="2448">
      <c r="A2448" s="10">
        <f t="shared" si="8"/>
        <v>40430.66667</v>
      </c>
      <c r="B2448" s="2" t="str">
        <f t="shared" si="2"/>
        <v/>
      </c>
      <c r="C2448" s="2" t="str">
        <f t="shared" si="3"/>
        <v>SP500</v>
      </c>
      <c r="D2448" s="2">
        <f t="shared" si="4"/>
        <v>2236.2</v>
      </c>
      <c r="E2448" s="2">
        <f t="shared" si="5"/>
        <v>2236.2</v>
      </c>
      <c r="G2448" s="10">
        <f t="shared" si="9"/>
        <v>40430.64583</v>
      </c>
      <c r="H2448" s="6" t="str">
        <f t="shared" si="6"/>
        <v/>
      </c>
      <c r="I2448" s="2">
        <f t="shared" si="7"/>
        <v>1426.89</v>
      </c>
      <c r="M2448" s="10">
        <f>IFERROR(__xludf.DUMMYFUNCTION("""COMPUTED_VALUE"""),41530.666666666664)</f>
        <v>41530.66667</v>
      </c>
      <c r="N2448" s="2">
        <f>IFERROR(__xludf.DUMMYFUNCTION("""COMPUTED_VALUE"""),3722.18)</f>
        <v>3722.18</v>
      </c>
    </row>
    <row r="2449">
      <c r="A2449" s="10">
        <f t="shared" si="8"/>
        <v>40431.66667</v>
      </c>
      <c r="B2449" s="2" t="str">
        <f t="shared" si="2"/>
        <v/>
      </c>
      <c r="C2449" s="2" t="str">
        <f t="shared" si="3"/>
        <v>SP500</v>
      </c>
      <c r="D2449" s="2">
        <f t="shared" si="4"/>
        <v>2242.48</v>
      </c>
      <c r="E2449" s="2">
        <f t="shared" si="5"/>
        <v>2242.48</v>
      </c>
      <c r="G2449" s="10">
        <f t="shared" si="9"/>
        <v>40431.64583</v>
      </c>
      <c r="H2449" s="6" t="str">
        <f t="shared" si="6"/>
        <v/>
      </c>
      <c r="I2449" s="2">
        <f t="shared" si="7"/>
        <v>1426.89</v>
      </c>
      <c r="M2449" s="10">
        <f>IFERROR(__xludf.DUMMYFUNCTION("""COMPUTED_VALUE"""),41533.666666666664)</f>
        <v>41533.66667</v>
      </c>
      <c r="N2449" s="2">
        <f>IFERROR(__xludf.DUMMYFUNCTION("""COMPUTED_VALUE"""),3717.85)</f>
        <v>3717.85</v>
      </c>
    </row>
    <row r="2450">
      <c r="A2450" s="10">
        <f t="shared" si="8"/>
        <v>40432.66667</v>
      </c>
      <c r="B2450" s="2" t="str">
        <f t="shared" si="2"/>
        <v/>
      </c>
      <c r="C2450" s="2" t="str">
        <f t="shared" si="3"/>
        <v>SP500</v>
      </c>
      <c r="D2450" s="2" t="str">
        <f t="shared" si="4"/>
        <v/>
      </c>
      <c r="E2450" s="2">
        <f t="shared" si="5"/>
        <v>2242.48</v>
      </c>
      <c r="G2450" s="10">
        <f t="shared" si="9"/>
        <v>40432.64583</v>
      </c>
      <c r="H2450" s="6" t="str">
        <f t="shared" si="6"/>
        <v/>
      </c>
      <c r="I2450" s="2">
        <f t="shared" si="7"/>
        <v>1426.89</v>
      </c>
      <c r="M2450" s="10">
        <f>IFERROR(__xludf.DUMMYFUNCTION("""COMPUTED_VALUE"""),41534.666666666664)</f>
        <v>41534.66667</v>
      </c>
      <c r="N2450" s="2">
        <f>IFERROR(__xludf.DUMMYFUNCTION("""COMPUTED_VALUE"""),3745.7)</f>
        <v>3745.7</v>
      </c>
    </row>
    <row r="2451">
      <c r="A2451" s="10">
        <f t="shared" si="8"/>
        <v>40433.66667</v>
      </c>
      <c r="B2451" s="2" t="str">
        <f t="shared" si="2"/>
        <v/>
      </c>
      <c r="C2451" s="2" t="str">
        <f t="shared" si="3"/>
        <v>SP500</v>
      </c>
      <c r="D2451" s="2" t="str">
        <f t="shared" si="4"/>
        <v/>
      </c>
      <c r="E2451" s="2">
        <f t="shared" si="5"/>
        <v>2242.48</v>
      </c>
      <c r="G2451" s="10">
        <f t="shared" si="9"/>
        <v>40433.64583</v>
      </c>
      <c r="H2451" s="6" t="str">
        <f t="shared" si="6"/>
        <v/>
      </c>
      <c r="I2451" s="2">
        <f t="shared" si="7"/>
        <v>1426.89</v>
      </c>
      <c r="M2451" s="10">
        <f>IFERROR(__xludf.DUMMYFUNCTION("""COMPUTED_VALUE"""),41535.666666666664)</f>
        <v>41535.66667</v>
      </c>
      <c r="N2451" s="2">
        <f>IFERROR(__xludf.DUMMYFUNCTION("""COMPUTED_VALUE"""),3783.64)</f>
        <v>3783.64</v>
      </c>
    </row>
    <row r="2452">
      <c r="A2452" s="10">
        <f t="shared" si="8"/>
        <v>40434.66667</v>
      </c>
      <c r="B2452" s="2" t="str">
        <f t="shared" si="2"/>
        <v/>
      </c>
      <c r="C2452" s="2" t="str">
        <f t="shared" si="3"/>
        <v>SP500</v>
      </c>
      <c r="D2452" s="2">
        <f t="shared" si="4"/>
        <v>2285.71</v>
      </c>
      <c r="E2452" s="2">
        <f t="shared" si="5"/>
        <v>2285.71</v>
      </c>
      <c r="G2452" s="10">
        <f t="shared" si="9"/>
        <v>40434.64583</v>
      </c>
      <c r="H2452" s="6" t="str">
        <f t="shared" si="6"/>
        <v/>
      </c>
      <c r="I2452" s="2">
        <f t="shared" si="7"/>
        <v>1426.89</v>
      </c>
      <c r="M2452" s="10">
        <f>IFERROR(__xludf.DUMMYFUNCTION("""COMPUTED_VALUE"""),41536.666666666664)</f>
        <v>41536.66667</v>
      </c>
      <c r="N2452" s="2">
        <f>IFERROR(__xludf.DUMMYFUNCTION("""COMPUTED_VALUE"""),3789.38)</f>
        <v>3789.38</v>
      </c>
    </row>
    <row r="2453">
      <c r="A2453" s="10">
        <f t="shared" si="8"/>
        <v>40435.66667</v>
      </c>
      <c r="B2453" s="2" t="str">
        <f t="shared" si="2"/>
        <v/>
      </c>
      <c r="C2453" s="2" t="str">
        <f t="shared" si="3"/>
        <v>SP500</v>
      </c>
      <c r="D2453" s="2">
        <f t="shared" si="4"/>
        <v>2289.77</v>
      </c>
      <c r="E2453" s="2">
        <f t="shared" si="5"/>
        <v>2289.77</v>
      </c>
      <c r="G2453" s="10">
        <f t="shared" si="9"/>
        <v>40435.64583</v>
      </c>
      <c r="H2453" s="6" t="str">
        <f t="shared" si="6"/>
        <v/>
      </c>
      <c r="I2453" s="2">
        <f t="shared" si="7"/>
        <v>1426.89</v>
      </c>
      <c r="M2453" s="10">
        <f>IFERROR(__xludf.DUMMYFUNCTION("""COMPUTED_VALUE"""),41537.666666666664)</f>
        <v>41537.66667</v>
      </c>
      <c r="N2453" s="2">
        <f>IFERROR(__xludf.DUMMYFUNCTION("""COMPUTED_VALUE"""),3774.73)</f>
        <v>3774.73</v>
      </c>
    </row>
    <row r="2454">
      <c r="A2454" s="10">
        <f t="shared" si="8"/>
        <v>40436.66667</v>
      </c>
      <c r="B2454" s="2" t="str">
        <f t="shared" si="2"/>
        <v/>
      </c>
      <c r="C2454" s="2" t="str">
        <f t="shared" si="3"/>
        <v>SP500</v>
      </c>
      <c r="D2454" s="2">
        <f t="shared" si="4"/>
        <v>2301.32</v>
      </c>
      <c r="E2454" s="2">
        <f t="shared" si="5"/>
        <v>2301.32</v>
      </c>
      <c r="G2454" s="10">
        <f t="shared" si="9"/>
        <v>40436.64583</v>
      </c>
      <c r="H2454" s="6" t="str">
        <f t="shared" si="6"/>
        <v/>
      </c>
      <c r="I2454" s="2">
        <f t="shared" si="7"/>
        <v>1426.89</v>
      </c>
      <c r="M2454" s="10">
        <f>IFERROR(__xludf.DUMMYFUNCTION("""COMPUTED_VALUE"""),41540.666666666664)</f>
        <v>41540.66667</v>
      </c>
      <c r="N2454" s="2">
        <f>IFERROR(__xludf.DUMMYFUNCTION("""COMPUTED_VALUE"""),3765.29)</f>
        <v>3765.29</v>
      </c>
    </row>
    <row r="2455">
      <c r="A2455" s="10">
        <f t="shared" si="8"/>
        <v>40437.66667</v>
      </c>
      <c r="B2455" s="2" t="str">
        <f t="shared" si="2"/>
        <v/>
      </c>
      <c r="C2455" s="2" t="str">
        <f t="shared" si="3"/>
        <v>SP500</v>
      </c>
      <c r="D2455" s="2">
        <f t="shared" si="4"/>
        <v>2303.25</v>
      </c>
      <c r="E2455" s="2">
        <f t="shared" si="5"/>
        <v>2303.25</v>
      </c>
      <c r="G2455" s="10">
        <f t="shared" si="9"/>
        <v>40437.64583</v>
      </c>
      <c r="H2455" s="6" t="str">
        <f t="shared" si="6"/>
        <v/>
      </c>
      <c r="I2455" s="2">
        <f t="shared" si="7"/>
        <v>1426.89</v>
      </c>
      <c r="M2455" s="10">
        <f>IFERROR(__xludf.DUMMYFUNCTION("""COMPUTED_VALUE"""),41541.666666666664)</f>
        <v>41541.66667</v>
      </c>
      <c r="N2455" s="2">
        <f>IFERROR(__xludf.DUMMYFUNCTION("""COMPUTED_VALUE"""),3768.25)</f>
        <v>3768.25</v>
      </c>
    </row>
    <row r="2456">
      <c r="A2456" s="10">
        <f t="shared" si="8"/>
        <v>40438.66667</v>
      </c>
      <c r="B2456" s="2" t="str">
        <f t="shared" si="2"/>
        <v/>
      </c>
      <c r="C2456" s="2" t="str">
        <f t="shared" si="3"/>
        <v>SP500</v>
      </c>
      <c r="D2456" s="2">
        <f t="shared" si="4"/>
        <v>2315.61</v>
      </c>
      <c r="E2456" s="2">
        <f t="shared" si="5"/>
        <v>2315.61</v>
      </c>
      <c r="G2456" s="10">
        <f t="shared" si="9"/>
        <v>40438.64583</v>
      </c>
      <c r="H2456" s="6" t="str">
        <f t="shared" si="6"/>
        <v/>
      </c>
      <c r="I2456" s="2">
        <f t="shared" si="7"/>
        <v>1426.89</v>
      </c>
      <c r="M2456" s="10">
        <f>IFERROR(__xludf.DUMMYFUNCTION("""COMPUTED_VALUE"""),41542.666666666664)</f>
        <v>41542.66667</v>
      </c>
      <c r="N2456" s="2">
        <f>IFERROR(__xludf.DUMMYFUNCTION("""COMPUTED_VALUE"""),3761.1)</f>
        <v>3761.1</v>
      </c>
    </row>
    <row r="2457">
      <c r="A2457" s="10">
        <f t="shared" si="8"/>
        <v>40439.66667</v>
      </c>
      <c r="B2457" s="2" t="str">
        <f t="shared" si="2"/>
        <v/>
      </c>
      <c r="C2457" s="2" t="str">
        <f t="shared" si="3"/>
        <v>SP500</v>
      </c>
      <c r="D2457" s="2" t="str">
        <f t="shared" si="4"/>
        <v/>
      </c>
      <c r="E2457" s="2">
        <f t="shared" si="5"/>
        <v>2315.61</v>
      </c>
      <c r="G2457" s="10">
        <f t="shared" si="9"/>
        <v>40439.64583</v>
      </c>
      <c r="H2457" s="6" t="str">
        <f t="shared" si="6"/>
        <v/>
      </c>
      <c r="I2457" s="2">
        <f t="shared" si="7"/>
        <v>1426.89</v>
      </c>
      <c r="M2457" s="10">
        <f>IFERROR(__xludf.DUMMYFUNCTION("""COMPUTED_VALUE"""),41543.666666666664)</f>
        <v>41543.66667</v>
      </c>
      <c r="N2457" s="2">
        <f>IFERROR(__xludf.DUMMYFUNCTION("""COMPUTED_VALUE"""),3787.43)</f>
        <v>3787.43</v>
      </c>
    </row>
    <row r="2458">
      <c r="A2458" s="10">
        <f t="shared" si="8"/>
        <v>40440.66667</v>
      </c>
      <c r="B2458" s="2" t="str">
        <f t="shared" si="2"/>
        <v/>
      </c>
      <c r="C2458" s="2" t="str">
        <f t="shared" si="3"/>
        <v>SP500</v>
      </c>
      <c r="D2458" s="2" t="str">
        <f t="shared" si="4"/>
        <v/>
      </c>
      <c r="E2458" s="2">
        <f t="shared" si="5"/>
        <v>2315.61</v>
      </c>
      <c r="G2458" s="10">
        <f t="shared" si="9"/>
        <v>40440.64583</v>
      </c>
      <c r="H2458" s="6" t="str">
        <f t="shared" si="6"/>
        <v/>
      </c>
      <c r="I2458" s="2">
        <f t="shared" si="7"/>
        <v>1426.89</v>
      </c>
      <c r="M2458" s="10">
        <f>IFERROR(__xludf.DUMMYFUNCTION("""COMPUTED_VALUE"""),41544.666666666664)</f>
        <v>41544.66667</v>
      </c>
      <c r="N2458" s="2">
        <f>IFERROR(__xludf.DUMMYFUNCTION("""COMPUTED_VALUE"""),3781.59)</f>
        <v>3781.59</v>
      </c>
    </row>
    <row r="2459">
      <c r="A2459" s="10">
        <f t="shared" si="8"/>
        <v>40441.66667</v>
      </c>
      <c r="B2459" s="2" t="str">
        <f t="shared" si="2"/>
        <v/>
      </c>
      <c r="C2459" s="2" t="str">
        <f t="shared" si="3"/>
        <v>SP500</v>
      </c>
      <c r="D2459" s="2">
        <f t="shared" si="4"/>
        <v>2355.83</v>
      </c>
      <c r="E2459" s="2">
        <f t="shared" si="5"/>
        <v>2355.83</v>
      </c>
      <c r="G2459" s="10">
        <f t="shared" si="9"/>
        <v>40441.64583</v>
      </c>
      <c r="H2459" s="6" t="str">
        <f t="shared" si="6"/>
        <v/>
      </c>
      <c r="I2459" s="2">
        <f t="shared" si="7"/>
        <v>1426.89</v>
      </c>
      <c r="M2459" s="10">
        <f>IFERROR(__xludf.DUMMYFUNCTION("""COMPUTED_VALUE"""),41547.666666666664)</f>
        <v>41547.66667</v>
      </c>
      <c r="N2459" s="2">
        <f>IFERROR(__xludf.DUMMYFUNCTION("""COMPUTED_VALUE"""),3771.48)</f>
        <v>3771.48</v>
      </c>
    </row>
    <row r="2460">
      <c r="A2460" s="10">
        <f t="shared" si="8"/>
        <v>40442.66667</v>
      </c>
      <c r="B2460" s="2" t="str">
        <f t="shared" si="2"/>
        <v/>
      </c>
      <c r="C2460" s="2" t="str">
        <f t="shared" si="3"/>
        <v>SP500</v>
      </c>
      <c r="D2460" s="2">
        <f t="shared" si="4"/>
        <v>2349.35</v>
      </c>
      <c r="E2460" s="2">
        <f t="shared" si="5"/>
        <v>2349.35</v>
      </c>
      <c r="G2460" s="10">
        <f t="shared" si="9"/>
        <v>40442.64583</v>
      </c>
      <c r="H2460" s="6" t="str">
        <f t="shared" si="6"/>
        <v/>
      </c>
      <c r="I2460" s="2">
        <f t="shared" si="7"/>
        <v>1426.89</v>
      </c>
      <c r="M2460" s="10">
        <f>IFERROR(__xludf.DUMMYFUNCTION("""COMPUTED_VALUE"""),41548.666666666664)</f>
        <v>41548.66667</v>
      </c>
      <c r="N2460" s="2">
        <f>IFERROR(__xludf.DUMMYFUNCTION("""COMPUTED_VALUE"""),3817.98)</f>
        <v>3817.98</v>
      </c>
    </row>
    <row r="2461">
      <c r="A2461" s="10">
        <f t="shared" si="8"/>
        <v>40443.66667</v>
      </c>
      <c r="B2461" s="2" t="str">
        <f t="shared" si="2"/>
        <v/>
      </c>
      <c r="C2461" s="2" t="str">
        <f t="shared" si="3"/>
        <v>SP500</v>
      </c>
      <c r="D2461" s="2">
        <f t="shared" si="4"/>
        <v>2334.55</v>
      </c>
      <c r="E2461" s="2">
        <f t="shared" si="5"/>
        <v>2334.55</v>
      </c>
      <c r="G2461" s="10">
        <f t="shared" si="9"/>
        <v>40443.64583</v>
      </c>
      <c r="H2461" s="6" t="str">
        <f t="shared" si="6"/>
        <v/>
      </c>
      <c r="I2461" s="2">
        <f t="shared" si="7"/>
        <v>1426.89</v>
      </c>
      <c r="M2461" s="10">
        <f>IFERROR(__xludf.DUMMYFUNCTION("""COMPUTED_VALUE"""),41549.666666666664)</f>
        <v>41549.66667</v>
      </c>
      <c r="N2461" s="2">
        <f>IFERROR(__xludf.DUMMYFUNCTION("""COMPUTED_VALUE"""),3815.02)</f>
        <v>3815.02</v>
      </c>
    </row>
    <row r="2462">
      <c r="A2462" s="10">
        <f t="shared" si="8"/>
        <v>40444.66667</v>
      </c>
      <c r="B2462" s="2" t="str">
        <f t="shared" si="2"/>
        <v/>
      </c>
      <c r="C2462" s="2" t="str">
        <f t="shared" si="3"/>
        <v>SP500</v>
      </c>
      <c r="D2462" s="2">
        <f t="shared" si="4"/>
        <v>2327.08</v>
      </c>
      <c r="E2462" s="2">
        <f t="shared" si="5"/>
        <v>2327.08</v>
      </c>
      <c r="G2462" s="10">
        <f t="shared" si="9"/>
        <v>40444.64583</v>
      </c>
      <c r="H2462" s="6" t="str">
        <f t="shared" si="6"/>
        <v/>
      </c>
      <c r="I2462" s="2">
        <f t="shared" si="7"/>
        <v>1426.89</v>
      </c>
      <c r="M2462" s="10">
        <f>IFERROR(__xludf.DUMMYFUNCTION("""COMPUTED_VALUE"""),41550.666666666664)</f>
        <v>41550.66667</v>
      </c>
      <c r="N2462" s="2">
        <f>IFERROR(__xludf.DUMMYFUNCTION("""COMPUTED_VALUE"""),3774.34)</f>
        <v>3774.34</v>
      </c>
    </row>
    <row r="2463">
      <c r="A2463" s="10">
        <f t="shared" si="8"/>
        <v>40445.66667</v>
      </c>
      <c r="B2463" s="2" t="str">
        <f t="shared" si="2"/>
        <v/>
      </c>
      <c r="C2463" s="2" t="str">
        <f t="shared" si="3"/>
        <v>SP500</v>
      </c>
      <c r="D2463" s="2">
        <f t="shared" si="4"/>
        <v>2381.22</v>
      </c>
      <c r="E2463" s="2">
        <f t="shared" si="5"/>
        <v>2381.22</v>
      </c>
      <c r="G2463" s="10">
        <f t="shared" si="9"/>
        <v>40445.64583</v>
      </c>
      <c r="H2463" s="6" t="str">
        <f t="shared" si="6"/>
        <v/>
      </c>
      <c r="I2463" s="2">
        <f t="shared" si="7"/>
        <v>1426.89</v>
      </c>
      <c r="M2463" s="10">
        <f>IFERROR(__xludf.DUMMYFUNCTION("""COMPUTED_VALUE"""),41551.666666666664)</f>
        <v>41551.66667</v>
      </c>
      <c r="N2463" s="2">
        <f>IFERROR(__xludf.DUMMYFUNCTION("""COMPUTED_VALUE"""),3807.75)</f>
        <v>3807.75</v>
      </c>
    </row>
    <row r="2464">
      <c r="A2464" s="10">
        <f t="shared" si="8"/>
        <v>40446.66667</v>
      </c>
      <c r="B2464" s="2" t="str">
        <f t="shared" si="2"/>
        <v/>
      </c>
      <c r="C2464" s="2" t="str">
        <f t="shared" si="3"/>
        <v>SP500</v>
      </c>
      <c r="D2464" s="2" t="str">
        <f t="shared" si="4"/>
        <v/>
      </c>
      <c r="E2464" s="2">
        <f t="shared" si="5"/>
        <v>2381.22</v>
      </c>
      <c r="G2464" s="10">
        <f t="shared" si="9"/>
        <v>40446.64583</v>
      </c>
      <c r="H2464" s="6" t="str">
        <f t="shared" si="6"/>
        <v/>
      </c>
      <c r="I2464" s="2">
        <f t="shared" si="7"/>
        <v>1426.89</v>
      </c>
      <c r="M2464" s="10">
        <f>IFERROR(__xludf.DUMMYFUNCTION("""COMPUTED_VALUE"""),41554.666666666664)</f>
        <v>41554.66667</v>
      </c>
      <c r="N2464" s="2">
        <f>IFERROR(__xludf.DUMMYFUNCTION("""COMPUTED_VALUE"""),3770.38)</f>
        <v>3770.38</v>
      </c>
    </row>
    <row r="2465">
      <c r="A2465" s="10">
        <f t="shared" si="8"/>
        <v>40447.66667</v>
      </c>
      <c r="B2465" s="2" t="str">
        <f t="shared" si="2"/>
        <v/>
      </c>
      <c r="C2465" s="2" t="str">
        <f t="shared" si="3"/>
        <v>SP500</v>
      </c>
      <c r="D2465" s="2" t="str">
        <f t="shared" si="4"/>
        <v/>
      </c>
      <c r="E2465" s="2">
        <f t="shared" si="5"/>
        <v>2381.22</v>
      </c>
      <c r="G2465" s="10">
        <f t="shared" si="9"/>
        <v>40447.64583</v>
      </c>
      <c r="H2465" s="6" t="str">
        <f t="shared" si="6"/>
        <v/>
      </c>
      <c r="I2465" s="2">
        <f t="shared" si="7"/>
        <v>1426.89</v>
      </c>
      <c r="M2465" s="10">
        <f>IFERROR(__xludf.DUMMYFUNCTION("""COMPUTED_VALUE"""),41555.666666666664)</f>
        <v>41555.66667</v>
      </c>
      <c r="N2465" s="2">
        <f>IFERROR(__xludf.DUMMYFUNCTION("""COMPUTED_VALUE"""),3694.83)</f>
        <v>3694.83</v>
      </c>
    </row>
    <row r="2466">
      <c r="A2466" s="10">
        <f t="shared" si="8"/>
        <v>40448.66667</v>
      </c>
      <c r="B2466" s="2" t="str">
        <f t="shared" si="2"/>
        <v/>
      </c>
      <c r="C2466" s="2" t="str">
        <f t="shared" si="3"/>
        <v>SP500</v>
      </c>
      <c r="D2466" s="2">
        <f t="shared" si="4"/>
        <v>2369.77</v>
      </c>
      <c r="E2466" s="2">
        <f t="shared" si="5"/>
        <v>2369.77</v>
      </c>
      <c r="G2466" s="10">
        <f t="shared" si="9"/>
        <v>40448.64583</v>
      </c>
      <c r="H2466" s="6" t="str">
        <f t="shared" si="6"/>
        <v/>
      </c>
      <c r="I2466" s="2">
        <f t="shared" si="7"/>
        <v>1426.89</v>
      </c>
      <c r="M2466" s="10">
        <f>IFERROR(__xludf.DUMMYFUNCTION("""COMPUTED_VALUE"""),41556.666666666664)</f>
        <v>41556.66667</v>
      </c>
      <c r="N2466" s="2">
        <f>IFERROR(__xludf.DUMMYFUNCTION("""COMPUTED_VALUE"""),3677.78)</f>
        <v>3677.78</v>
      </c>
    </row>
    <row r="2467">
      <c r="A2467" s="10">
        <f t="shared" si="8"/>
        <v>40449.66667</v>
      </c>
      <c r="B2467" s="2" t="str">
        <f t="shared" si="2"/>
        <v/>
      </c>
      <c r="C2467" s="2" t="str">
        <f t="shared" si="3"/>
        <v>SP500</v>
      </c>
      <c r="D2467" s="2">
        <f t="shared" si="4"/>
        <v>2379.59</v>
      </c>
      <c r="E2467" s="2">
        <f t="shared" si="5"/>
        <v>2379.59</v>
      </c>
      <c r="G2467" s="10">
        <f t="shared" si="9"/>
        <v>40449.64583</v>
      </c>
      <c r="H2467" s="6" t="str">
        <f t="shared" si="6"/>
        <v/>
      </c>
      <c r="I2467" s="2">
        <f t="shared" si="7"/>
        <v>1426.89</v>
      </c>
      <c r="M2467" s="10">
        <f>IFERROR(__xludf.DUMMYFUNCTION("""COMPUTED_VALUE"""),41557.666666666664)</f>
        <v>41557.66667</v>
      </c>
      <c r="N2467" s="2">
        <f>IFERROR(__xludf.DUMMYFUNCTION("""COMPUTED_VALUE"""),3760.75)</f>
        <v>3760.75</v>
      </c>
    </row>
    <row r="2468">
      <c r="A2468" s="10">
        <f t="shared" si="8"/>
        <v>40450.66667</v>
      </c>
      <c r="B2468" s="2" t="str">
        <f t="shared" si="2"/>
        <v/>
      </c>
      <c r="C2468" s="2" t="str">
        <f t="shared" si="3"/>
        <v>SP500</v>
      </c>
      <c r="D2468" s="2">
        <f t="shared" si="4"/>
        <v>2376.56</v>
      </c>
      <c r="E2468" s="2">
        <f t="shared" si="5"/>
        <v>2376.56</v>
      </c>
      <c r="G2468" s="10">
        <f t="shared" si="9"/>
        <v>40450.64583</v>
      </c>
      <c r="H2468" s="6" t="str">
        <f t="shared" si="6"/>
        <v/>
      </c>
      <c r="I2468" s="2">
        <f t="shared" si="7"/>
        <v>1426.89</v>
      </c>
      <c r="M2468" s="10">
        <f>IFERROR(__xludf.DUMMYFUNCTION("""COMPUTED_VALUE"""),41558.666666666664)</f>
        <v>41558.66667</v>
      </c>
      <c r="N2468" s="2">
        <f>IFERROR(__xludf.DUMMYFUNCTION("""COMPUTED_VALUE"""),3791.87)</f>
        <v>3791.87</v>
      </c>
    </row>
    <row r="2469">
      <c r="A2469" s="10">
        <f t="shared" si="8"/>
        <v>40451.66667</v>
      </c>
      <c r="B2469" s="2" t="str">
        <f t="shared" si="2"/>
        <v/>
      </c>
      <c r="C2469" s="2" t="str">
        <f t="shared" si="3"/>
        <v>SP500</v>
      </c>
      <c r="D2469" s="2">
        <f t="shared" si="4"/>
        <v>2368.62</v>
      </c>
      <c r="E2469" s="2">
        <f t="shared" si="5"/>
        <v>2368.62</v>
      </c>
      <c r="G2469" s="10">
        <f t="shared" si="9"/>
        <v>40451.64583</v>
      </c>
      <c r="H2469" s="6" t="str">
        <f t="shared" si="6"/>
        <v/>
      </c>
      <c r="I2469" s="2">
        <f t="shared" si="7"/>
        <v>1426.89</v>
      </c>
      <c r="M2469" s="10">
        <f>IFERROR(__xludf.DUMMYFUNCTION("""COMPUTED_VALUE"""),41561.666666666664)</f>
        <v>41561.66667</v>
      </c>
      <c r="N2469" s="2">
        <f>IFERROR(__xludf.DUMMYFUNCTION("""COMPUTED_VALUE"""),3815.27)</f>
        <v>3815.27</v>
      </c>
    </row>
    <row r="2470">
      <c r="A2470" s="10">
        <f t="shared" si="8"/>
        <v>40452.66667</v>
      </c>
      <c r="B2470" s="2" t="str">
        <f t="shared" si="2"/>
        <v/>
      </c>
      <c r="C2470" s="2" t="str">
        <f t="shared" si="3"/>
        <v>SP500</v>
      </c>
      <c r="D2470" s="2">
        <f t="shared" si="4"/>
        <v>2370.75</v>
      </c>
      <c r="E2470" s="2">
        <f t="shared" si="5"/>
        <v>2370.75</v>
      </c>
      <c r="G2470" s="10">
        <f t="shared" si="9"/>
        <v>40452.64583</v>
      </c>
      <c r="H2470" s="6" t="str">
        <f t="shared" si="6"/>
        <v/>
      </c>
      <c r="I2470" s="2">
        <f t="shared" si="7"/>
        <v>1426.89</v>
      </c>
      <c r="M2470" s="10">
        <f>IFERROR(__xludf.DUMMYFUNCTION("""COMPUTED_VALUE"""),41562.666666666664)</f>
        <v>41562.66667</v>
      </c>
      <c r="N2470" s="2">
        <f>IFERROR(__xludf.DUMMYFUNCTION("""COMPUTED_VALUE"""),3794.01)</f>
        <v>3794.01</v>
      </c>
    </row>
    <row r="2471">
      <c r="A2471" s="10">
        <f t="shared" si="8"/>
        <v>40453.66667</v>
      </c>
      <c r="B2471" s="2" t="str">
        <f t="shared" si="2"/>
        <v/>
      </c>
      <c r="C2471" s="2" t="str">
        <f t="shared" si="3"/>
        <v>SP500</v>
      </c>
      <c r="D2471" s="2" t="str">
        <f t="shared" si="4"/>
        <v/>
      </c>
      <c r="E2471" s="2">
        <f t="shared" si="5"/>
        <v>2370.75</v>
      </c>
      <c r="G2471" s="10">
        <f t="shared" si="9"/>
        <v>40453.64583</v>
      </c>
      <c r="H2471" s="6" t="str">
        <f t="shared" si="6"/>
        <v/>
      </c>
      <c r="I2471" s="2">
        <f t="shared" si="7"/>
        <v>1426.89</v>
      </c>
      <c r="M2471" s="10">
        <f>IFERROR(__xludf.DUMMYFUNCTION("""COMPUTED_VALUE"""),41563.666666666664)</f>
        <v>41563.66667</v>
      </c>
      <c r="N2471" s="2">
        <f>IFERROR(__xludf.DUMMYFUNCTION("""COMPUTED_VALUE"""),3839.43)</f>
        <v>3839.43</v>
      </c>
    </row>
    <row r="2472">
      <c r="A2472" s="10">
        <f t="shared" si="8"/>
        <v>40454.66667</v>
      </c>
      <c r="B2472" s="2" t="str">
        <f t="shared" si="2"/>
        <v/>
      </c>
      <c r="C2472" s="2" t="str">
        <f t="shared" si="3"/>
        <v>SP500</v>
      </c>
      <c r="D2472" s="2" t="str">
        <f t="shared" si="4"/>
        <v/>
      </c>
      <c r="E2472" s="2">
        <f t="shared" si="5"/>
        <v>2370.75</v>
      </c>
      <c r="G2472" s="10">
        <f t="shared" si="9"/>
        <v>40454.64583</v>
      </c>
      <c r="H2472" s="6" t="str">
        <f t="shared" si="6"/>
        <v/>
      </c>
      <c r="I2472" s="2">
        <f t="shared" si="7"/>
        <v>1426.89</v>
      </c>
      <c r="M2472" s="10">
        <f>IFERROR(__xludf.DUMMYFUNCTION("""COMPUTED_VALUE"""),41564.666666666664)</f>
        <v>41564.66667</v>
      </c>
      <c r="N2472" s="2">
        <f>IFERROR(__xludf.DUMMYFUNCTION("""COMPUTED_VALUE"""),3863.15)</f>
        <v>3863.15</v>
      </c>
    </row>
    <row r="2473">
      <c r="A2473" s="10">
        <f t="shared" si="8"/>
        <v>40455.66667</v>
      </c>
      <c r="B2473" s="2" t="str">
        <f t="shared" si="2"/>
        <v/>
      </c>
      <c r="C2473" s="2" t="str">
        <f t="shared" si="3"/>
        <v>SP500</v>
      </c>
      <c r="D2473" s="2">
        <f t="shared" si="4"/>
        <v>2344.52</v>
      </c>
      <c r="E2473" s="2">
        <f t="shared" si="5"/>
        <v>2344.52</v>
      </c>
      <c r="G2473" s="10">
        <f t="shared" si="9"/>
        <v>40455.64583</v>
      </c>
      <c r="H2473" s="6" t="str">
        <f t="shared" si="6"/>
        <v/>
      </c>
      <c r="I2473" s="2">
        <f t="shared" si="7"/>
        <v>1426.89</v>
      </c>
      <c r="M2473" s="10">
        <f>IFERROR(__xludf.DUMMYFUNCTION("""COMPUTED_VALUE"""),41565.666666666664)</f>
        <v>41565.66667</v>
      </c>
      <c r="N2473" s="2">
        <f>IFERROR(__xludf.DUMMYFUNCTION("""COMPUTED_VALUE"""),3914.28)</f>
        <v>3914.28</v>
      </c>
    </row>
    <row r="2474">
      <c r="A2474" s="10">
        <f t="shared" si="8"/>
        <v>40456.66667</v>
      </c>
      <c r="B2474" s="2" t="str">
        <f t="shared" si="2"/>
        <v/>
      </c>
      <c r="C2474" s="2" t="str">
        <f t="shared" si="3"/>
        <v>SP500</v>
      </c>
      <c r="D2474" s="2">
        <f t="shared" si="4"/>
        <v>2399.83</v>
      </c>
      <c r="E2474" s="2">
        <f t="shared" si="5"/>
        <v>2399.83</v>
      </c>
      <c r="G2474" s="10">
        <f t="shared" si="9"/>
        <v>40456.64583</v>
      </c>
      <c r="H2474" s="6" t="str">
        <f t="shared" si="6"/>
        <v/>
      </c>
      <c r="I2474" s="2">
        <f t="shared" si="7"/>
        <v>1426.89</v>
      </c>
      <c r="M2474" s="10">
        <f>IFERROR(__xludf.DUMMYFUNCTION("""COMPUTED_VALUE"""),41568.666666666664)</f>
        <v>41568.66667</v>
      </c>
      <c r="N2474" s="2">
        <f>IFERROR(__xludf.DUMMYFUNCTION("""COMPUTED_VALUE"""),3920.05)</f>
        <v>3920.05</v>
      </c>
    </row>
    <row r="2475">
      <c r="A2475" s="10">
        <f t="shared" si="8"/>
        <v>40457.66667</v>
      </c>
      <c r="B2475" s="2" t="str">
        <f t="shared" si="2"/>
        <v/>
      </c>
      <c r="C2475" s="2" t="str">
        <f t="shared" si="3"/>
        <v>SP500</v>
      </c>
      <c r="D2475" s="2">
        <f t="shared" si="4"/>
        <v>2373.81</v>
      </c>
      <c r="E2475" s="2">
        <f t="shared" si="5"/>
        <v>2373.81</v>
      </c>
      <c r="G2475" s="10">
        <f t="shared" si="9"/>
        <v>40457.64583</v>
      </c>
      <c r="H2475" s="6" t="str">
        <f t="shared" si="6"/>
        <v/>
      </c>
      <c r="I2475" s="2">
        <f t="shared" si="7"/>
        <v>1426.89</v>
      </c>
      <c r="M2475" s="10">
        <f>IFERROR(__xludf.DUMMYFUNCTION("""COMPUTED_VALUE"""),41569.666666666664)</f>
        <v>41569.66667</v>
      </c>
      <c r="N2475" s="2">
        <f>IFERROR(__xludf.DUMMYFUNCTION("""COMPUTED_VALUE"""),3929.57)</f>
        <v>3929.57</v>
      </c>
    </row>
    <row r="2476">
      <c r="A2476" s="10">
        <f t="shared" si="8"/>
        <v>40458.66667</v>
      </c>
      <c r="B2476" s="2" t="str">
        <f t="shared" si="2"/>
        <v/>
      </c>
      <c r="C2476" s="2" t="str">
        <f t="shared" si="3"/>
        <v>SP500</v>
      </c>
      <c r="D2476" s="2">
        <f t="shared" si="4"/>
        <v>2383.67</v>
      </c>
      <c r="E2476" s="2">
        <f t="shared" si="5"/>
        <v>2383.67</v>
      </c>
      <c r="G2476" s="10">
        <f t="shared" si="9"/>
        <v>40458.64583</v>
      </c>
      <c r="H2476" s="6" t="str">
        <f t="shared" si="6"/>
        <v/>
      </c>
      <c r="I2476" s="2">
        <f t="shared" si="7"/>
        <v>1426.89</v>
      </c>
      <c r="M2476" s="10">
        <f>IFERROR(__xludf.DUMMYFUNCTION("""COMPUTED_VALUE"""),41570.666666666664)</f>
        <v>41570.66667</v>
      </c>
      <c r="N2476" s="2">
        <f>IFERROR(__xludf.DUMMYFUNCTION("""COMPUTED_VALUE"""),3907.07)</f>
        <v>3907.07</v>
      </c>
    </row>
    <row r="2477">
      <c r="A2477" s="10">
        <f t="shared" si="8"/>
        <v>40459.66667</v>
      </c>
      <c r="B2477" s="2" t="str">
        <f t="shared" si="2"/>
        <v/>
      </c>
      <c r="C2477" s="2" t="str">
        <f t="shared" si="3"/>
        <v>SP500</v>
      </c>
      <c r="D2477" s="2">
        <f t="shared" si="4"/>
        <v>2401.91</v>
      </c>
      <c r="E2477" s="2">
        <f t="shared" si="5"/>
        <v>2401.91</v>
      </c>
      <c r="G2477" s="10">
        <f t="shared" si="9"/>
        <v>40459.64583</v>
      </c>
      <c r="H2477" s="6" t="str">
        <f t="shared" si="6"/>
        <v/>
      </c>
      <c r="I2477" s="2">
        <f t="shared" si="7"/>
        <v>1426.89</v>
      </c>
      <c r="M2477" s="10">
        <f>IFERROR(__xludf.DUMMYFUNCTION("""COMPUTED_VALUE"""),41571.666666666664)</f>
        <v>41571.66667</v>
      </c>
      <c r="N2477" s="2">
        <f>IFERROR(__xludf.DUMMYFUNCTION("""COMPUTED_VALUE"""),3928.96)</f>
        <v>3928.96</v>
      </c>
    </row>
    <row r="2478">
      <c r="A2478" s="10">
        <f t="shared" si="8"/>
        <v>40460.66667</v>
      </c>
      <c r="B2478" s="2" t="str">
        <f t="shared" si="2"/>
        <v/>
      </c>
      <c r="C2478" s="2" t="str">
        <f t="shared" si="3"/>
        <v>SP500</v>
      </c>
      <c r="D2478" s="2" t="str">
        <f t="shared" si="4"/>
        <v/>
      </c>
      <c r="E2478" s="2">
        <f t="shared" si="5"/>
        <v>2401.91</v>
      </c>
      <c r="G2478" s="10">
        <f t="shared" si="9"/>
        <v>40460.64583</v>
      </c>
      <c r="H2478" s="6" t="str">
        <f t="shared" si="6"/>
        <v/>
      </c>
      <c r="I2478" s="2">
        <f t="shared" si="7"/>
        <v>1426.89</v>
      </c>
      <c r="M2478" s="10">
        <f>IFERROR(__xludf.DUMMYFUNCTION("""COMPUTED_VALUE"""),41572.666666666664)</f>
        <v>41572.66667</v>
      </c>
      <c r="N2478" s="2">
        <f>IFERROR(__xludf.DUMMYFUNCTION("""COMPUTED_VALUE"""),3943.36)</f>
        <v>3943.36</v>
      </c>
    </row>
    <row r="2479">
      <c r="A2479" s="10">
        <f t="shared" si="8"/>
        <v>40461.66667</v>
      </c>
      <c r="B2479" s="2" t="str">
        <f t="shared" si="2"/>
        <v/>
      </c>
      <c r="C2479" s="2" t="str">
        <f t="shared" si="3"/>
        <v>SP500</v>
      </c>
      <c r="D2479" s="2" t="str">
        <f t="shared" si="4"/>
        <v/>
      </c>
      <c r="E2479" s="2">
        <f t="shared" si="5"/>
        <v>2401.91</v>
      </c>
      <c r="G2479" s="10">
        <f t="shared" si="9"/>
        <v>40461.64583</v>
      </c>
      <c r="H2479" s="6" t="str">
        <f t="shared" si="6"/>
        <v/>
      </c>
      <c r="I2479" s="2">
        <f t="shared" si="7"/>
        <v>1426.89</v>
      </c>
      <c r="M2479" s="10">
        <f>IFERROR(__xludf.DUMMYFUNCTION("""COMPUTED_VALUE"""),41575.666666666664)</f>
        <v>41575.66667</v>
      </c>
      <c r="N2479" s="2">
        <f>IFERROR(__xludf.DUMMYFUNCTION("""COMPUTED_VALUE"""),3940.13)</f>
        <v>3940.13</v>
      </c>
    </row>
    <row r="2480">
      <c r="A2480" s="10">
        <f t="shared" si="8"/>
        <v>40462.66667</v>
      </c>
      <c r="B2480" s="2" t="str">
        <f t="shared" si="2"/>
        <v/>
      </c>
      <c r="C2480" s="2" t="str">
        <f t="shared" si="3"/>
        <v>SP500</v>
      </c>
      <c r="D2480" s="2">
        <f t="shared" si="4"/>
        <v>2402.33</v>
      </c>
      <c r="E2480" s="2">
        <f t="shared" si="5"/>
        <v>2402.33</v>
      </c>
      <c r="G2480" s="10">
        <f t="shared" si="9"/>
        <v>40462.64583</v>
      </c>
      <c r="H2480" s="6" t="str">
        <f t="shared" si="6"/>
        <v/>
      </c>
      <c r="I2480" s="2">
        <f t="shared" si="7"/>
        <v>1426.89</v>
      </c>
      <c r="M2480" s="10">
        <f>IFERROR(__xludf.DUMMYFUNCTION("""COMPUTED_VALUE"""),41576.666666666664)</f>
        <v>41576.66667</v>
      </c>
      <c r="N2480" s="2">
        <f>IFERROR(__xludf.DUMMYFUNCTION("""COMPUTED_VALUE"""),3952.34)</f>
        <v>3952.34</v>
      </c>
    </row>
    <row r="2481">
      <c r="A2481" s="10">
        <f t="shared" si="8"/>
        <v>40463.66667</v>
      </c>
      <c r="B2481" s="2" t="str">
        <f t="shared" si="2"/>
        <v/>
      </c>
      <c r="C2481" s="2" t="str">
        <f t="shared" si="3"/>
        <v>SP500</v>
      </c>
      <c r="D2481" s="2">
        <f t="shared" si="4"/>
        <v>2417.92</v>
      </c>
      <c r="E2481" s="2">
        <f t="shared" si="5"/>
        <v>2417.92</v>
      </c>
      <c r="G2481" s="10">
        <f t="shared" si="9"/>
        <v>40463.64583</v>
      </c>
      <c r="H2481" s="6" t="str">
        <f t="shared" si="6"/>
        <v/>
      </c>
      <c r="I2481" s="2">
        <f t="shared" si="7"/>
        <v>1426.89</v>
      </c>
      <c r="M2481" s="10">
        <f>IFERROR(__xludf.DUMMYFUNCTION("""COMPUTED_VALUE"""),41577.666666666664)</f>
        <v>41577.66667</v>
      </c>
      <c r="N2481" s="2">
        <f>IFERROR(__xludf.DUMMYFUNCTION("""COMPUTED_VALUE"""),3930.62)</f>
        <v>3930.62</v>
      </c>
    </row>
    <row r="2482">
      <c r="A2482" s="10">
        <f t="shared" si="8"/>
        <v>40464.66667</v>
      </c>
      <c r="B2482" s="2" t="str">
        <f t="shared" si="2"/>
        <v/>
      </c>
      <c r="C2482" s="2" t="str">
        <f t="shared" si="3"/>
        <v>SP500</v>
      </c>
      <c r="D2482" s="2">
        <f t="shared" si="4"/>
        <v>2441.23</v>
      </c>
      <c r="E2482" s="2">
        <f t="shared" si="5"/>
        <v>2441.23</v>
      </c>
      <c r="G2482" s="10">
        <f t="shared" si="9"/>
        <v>40464.64583</v>
      </c>
      <c r="H2482" s="6" t="str">
        <f t="shared" si="6"/>
        <v/>
      </c>
      <c r="I2482" s="2">
        <f t="shared" si="7"/>
        <v>1426.89</v>
      </c>
      <c r="M2482" s="10">
        <f>IFERROR(__xludf.DUMMYFUNCTION("""COMPUTED_VALUE"""),41578.666666666664)</f>
        <v>41578.66667</v>
      </c>
      <c r="N2482" s="2">
        <f>IFERROR(__xludf.DUMMYFUNCTION("""COMPUTED_VALUE"""),3919.71)</f>
        <v>3919.71</v>
      </c>
    </row>
    <row r="2483">
      <c r="A2483" s="10">
        <f t="shared" si="8"/>
        <v>40465.66667</v>
      </c>
      <c r="B2483" s="2" t="str">
        <f t="shared" si="2"/>
        <v/>
      </c>
      <c r="C2483" s="2" t="str">
        <f t="shared" si="3"/>
        <v>SP500</v>
      </c>
      <c r="D2483" s="2">
        <f t="shared" si="4"/>
        <v>2435.38</v>
      </c>
      <c r="E2483" s="2">
        <f t="shared" si="5"/>
        <v>2435.38</v>
      </c>
      <c r="G2483" s="10">
        <f t="shared" si="9"/>
        <v>40465.64583</v>
      </c>
      <c r="H2483" s="6" t="str">
        <f t="shared" si="6"/>
        <v/>
      </c>
      <c r="I2483" s="2">
        <f t="shared" si="7"/>
        <v>1426.89</v>
      </c>
      <c r="M2483" s="10">
        <f>IFERROR(__xludf.DUMMYFUNCTION("""COMPUTED_VALUE"""),41579.666666666664)</f>
        <v>41579.66667</v>
      </c>
      <c r="N2483" s="2">
        <f>IFERROR(__xludf.DUMMYFUNCTION("""COMPUTED_VALUE"""),3922.04)</f>
        <v>3922.04</v>
      </c>
    </row>
    <row r="2484">
      <c r="A2484" s="10">
        <f t="shared" si="8"/>
        <v>40466.66667</v>
      </c>
      <c r="B2484" s="2" t="str">
        <f t="shared" si="2"/>
        <v/>
      </c>
      <c r="C2484" s="2" t="str">
        <f t="shared" si="3"/>
        <v>SP500</v>
      </c>
      <c r="D2484" s="2">
        <f t="shared" si="4"/>
        <v>2468.77</v>
      </c>
      <c r="E2484" s="2">
        <f t="shared" si="5"/>
        <v>2468.77</v>
      </c>
      <c r="G2484" s="10">
        <f t="shared" si="9"/>
        <v>40466.64583</v>
      </c>
      <c r="H2484" s="6" t="str">
        <f t="shared" si="6"/>
        <v/>
      </c>
      <c r="I2484" s="2">
        <f t="shared" si="7"/>
        <v>1426.89</v>
      </c>
      <c r="M2484" s="10">
        <f>IFERROR(__xludf.DUMMYFUNCTION("""COMPUTED_VALUE"""),41582.666666666664)</f>
        <v>41582.66667</v>
      </c>
      <c r="N2484" s="2">
        <f>IFERROR(__xludf.DUMMYFUNCTION("""COMPUTED_VALUE"""),3936.59)</f>
        <v>3936.59</v>
      </c>
    </row>
    <row r="2485">
      <c r="A2485" s="10">
        <f t="shared" si="8"/>
        <v>40467.66667</v>
      </c>
      <c r="B2485" s="2" t="str">
        <f t="shared" si="2"/>
        <v/>
      </c>
      <c r="C2485" s="2" t="str">
        <f t="shared" si="3"/>
        <v>SP500</v>
      </c>
      <c r="D2485" s="2" t="str">
        <f t="shared" si="4"/>
        <v/>
      </c>
      <c r="E2485" s="2">
        <f t="shared" si="5"/>
        <v>2468.77</v>
      </c>
      <c r="G2485" s="10">
        <f t="shared" si="9"/>
        <v>40467.64583</v>
      </c>
      <c r="H2485" s="6" t="str">
        <f t="shared" si="6"/>
        <v/>
      </c>
      <c r="I2485" s="2">
        <f t="shared" si="7"/>
        <v>1426.89</v>
      </c>
      <c r="M2485" s="10">
        <f>IFERROR(__xludf.DUMMYFUNCTION("""COMPUTED_VALUE"""),41583.666666666664)</f>
        <v>41583.66667</v>
      </c>
      <c r="N2485" s="2">
        <f>IFERROR(__xludf.DUMMYFUNCTION("""COMPUTED_VALUE"""),3939.86)</f>
        <v>3939.86</v>
      </c>
    </row>
    <row r="2486">
      <c r="A2486" s="10">
        <f t="shared" si="8"/>
        <v>40468.66667</v>
      </c>
      <c r="B2486" s="2" t="str">
        <f t="shared" si="2"/>
        <v/>
      </c>
      <c r="C2486" s="2" t="str">
        <f t="shared" si="3"/>
        <v>SP500</v>
      </c>
      <c r="D2486" s="2" t="str">
        <f t="shared" si="4"/>
        <v/>
      </c>
      <c r="E2486" s="2">
        <f t="shared" si="5"/>
        <v>2468.77</v>
      </c>
      <c r="G2486" s="10">
        <f t="shared" si="9"/>
        <v>40468.64583</v>
      </c>
      <c r="H2486" s="6" t="str">
        <f t="shared" si="6"/>
        <v/>
      </c>
      <c r="I2486" s="2">
        <f t="shared" si="7"/>
        <v>1426.89</v>
      </c>
      <c r="M2486" s="10">
        <f>IFERROR(__xludf.DUMMYFUNCTION("""COMPUTED_VALUE"""),41584.666666666664)</f>
        <v>41584.66667</v>
      </c>
      <c r="N2486" s="2">
        <f>IFERROR(__xludf.DUMMYFUNCTION("""COMPUTED_VALUE"""),3931.95)</f>
        <v>3931.95</v>
      </c>
    </row>
    <row r="2487">
      <c r="A2487" s="10">
        <f t="shared" si="8"/>
        <v>40469.66667</v>
      </c>
      <c r="B2487" s="2" t="str">
        <f t="shared" si="2"/>
        <v/>
      </c>
      <c r="C2487" s="2" t="str">
        <f t="shared" si="3"/>
        <v>SP500</v>
      </c>
      <c r="D2487" s="2">
        <f t="shared" si="4"/>
        <v>2480.66</v>
      </c>
      <c r="E2487" s="2">
        <f t="shared" si="5"/>
        <v>2480.66</v>
      </c>
      <c r="G2487" s="10">
        <f t="shared" si="9"/>
        <v>40469.64583</v>
      </c>
      <c r="H2487" s="6" t="str">
        <f t="shared" si="6"/>
        <v/>
      </c>
      <c r="I2487" s="2">
        <f t="shared" si="7"/>
        <v>1426.89</v>
      </c>
      <c r="M2487" s="10">
        <f>IFERROR(__xludf.DUMMYFUNCTION("""COMPUTED_VALUE"""),41585.666666666664)</f>
        <v>41585.66667</v>
      </c>
      <c r="N2487" s="2">
        <f>IFERROR(__xludf.DUMMYFUNCTION("""COMPUTED_VALUE"""),3857.33)</f>
        <v>3857.33</v>
      </c>
    </row>
    <row r="2488">
      <c r="A2488" s="10">
        <f t="shared" si="8"/>
        <v>40470.66667</v>
      </c>
      <c r="B2488" s="2" t="str">
        <f t="shared" si="2"/>
        <v/>
      </c>
      <c r="C2488" s="2" t="str">
        <f t="shared" si="3"/>
        <v>SP500</v>
      </c>
      <c r="D2488" s="2">
        <f t="shared" si="4"/>
        <v>2436.95</v>
      </c>
      <c r="E2488" s="2">
        <f t="shared" si="5"/>
        <v>2436.95</v>
      </c>
      <c r="G2488" s="10">
        <f t="shared" si="9"/>
        <v>40470.64583</v>
      </c>
      <c r="H2488" s="6" t="str">
        <f t="shared" si="6"/>
        <v/>
      </c>
      <c r="I2488" s="2">
        <f t="shared" si="7"/>
        <v>1426.89</v>
      </c>
      <c r="M2488" s="10">
        <f>IFERROR(__xludf.DUMMYFUNCTION("""COMPUTED_VALUE"""),41586.666666666664)</f>
        <v>41586.66667</v>
      </c>
      <c r="N2488" s="2">
        <f>IFERROR(__xludf.DUMMYFUNCTION("""COMPUTED_VALUE"""),3919.23)</f>
        <v>3919.23</v>
      </c>
    </row>
    <row r="2489">
      <c r="A2489" s="10">
        <f t="shared" si="8"/>
        <v>40471.66667</v>
      </c>
      <c r="B2489" s="2" t="str">
        <f t="shared" si="2"/>
        <v/>
      </c>
      <c r="C2489" s="2" t="str">
        <f t="shared" si="3"/>
        <v>SP500</v>
      </c>
      <c r="D2489" s="2">
        <f t="shared" si="4"/>
        <v>2457.39</v>
      </c>
      <c r="E2489" s="2">
        <f t="shared" si="5"/>
        <v>2457.39</v>
      </c>
      <c r="G2489" s="10">
        <f t="shared" si="9"/>
        <v>40471.64583</v>
      </c>
      <c r="H2489" s="6" t="str">
        <f t="shared" si="6"/>
        <v/>
      </c>
      <c r="I2489" s="2">
        <f t="shared" si="7"/>
        <v>1426.89</v>
      </c>
      <c r="M2489" s="10">
        <f>IFERROR(__xludf.DUMMYFUNCTION("""COMPUTED_VALUE"""),41589.666666666664)</f>
        <v>41589.66667</v>
      </c>
      <c r="N2489" s="2">
        <f>IFERROR(__xludf.DUMMYFUNCTION("""COMPUTED_VALUE"""),3919.79)</f>
        <v>3919.79</v>
      </c>
    </row>
    <row r="2490">
      <c r="A2490" s="10">
        <f t="shared" si="8"/>
        <v>40472.66667</v>
      </c>
      <c r="B2490" s="2" t="str">
        <f t="shared" si="2"/>
        <v/>
      </c>
      <c r="C2490" s="2" t="str">
        <f t="shared" si="3"/>
        <v>SP500</v>
      </c>
      <c r="D2490" s="2">
        <f t="shared" si="4"/>
        <v>2459.67</v>
      </c>
      <c r="E2490" s="2">
        <f t="shared" si="5"/>
        <v>2459.67</v>
      </c>
      <c r="G2490" s="10">
        <f t="shared" si="9"/>
        <v>40472.64583</v>
      </c>
      <c r="H2490" s="6" t="str">
        <f t="shared" si="6"/>
        <v/>
      </c>
      <c r="I2490" s="2">
        <f t="shared" si="7"/>
        <v>1426.89</v>
      </c>
      <c r="M2490" s="10">
        <f>IFERROR(__xludf.DUMMYFUNCTION("""COMPUTED_VALUE"""),41590.666666666664)</f>
        <v>41590.66667</v>
      </c>
      <c r="N2490" s="2">
        <f>IFERROR(__xludf.DUMMYFUNCTION("""COMPUTED_VALUE"""),3919.92)</f>
        <v>3919.92</v>
      </c>
    </row>
    <row r="2491">
      <c r="A2491" s="10">
        <f t="shared" si="8"/>
        <v>40473.66667</v>
      </c>
      <c r="B2491" s="2" t="str">
        <f t="shared" si="2"/>
        <v/>
      </c>
      <c r="C2491" s="2" t="str">
        <f t="shared" si="3"/>
        <v>SP500</v>
      </c>
      <c r="D2491" s="2">
        <f t="shared" si="4"/>
        <v>2479.39</v>
      </c>
      <c r="E2491" s="2">
        <f t="shared" si="5"/>
        <v>2479.39</v>
      </c>
      <c r="G2491" s="10">
        <f t="shared" si="9"/>
        <v>40473.64583</v>
      </c>
      <c r="H2491" s="6" t="str">
        <f t="shared" si="6"/>
        <v/>
      </c>
      <c r="I2491" s="2">
        <f t="shared" si="7"/>
        <v>1426.89</v>
      </c>
      <c r="M2491" s="10">
        <f>IFERROR(__xludf.DUMMYFUNCTION("""COMPUTED_VALUE"""),41591.666666666664)</f>
        <v>41591.66667</v>
      </c>
      <c r="N2491" s="2">
        <f>IFERROR(__xludf.DUMMYFUNCTION("""COMPUTED_VALUE"""),3965.58)</f>
        <v>3965.58</v>
      </c>
    </row>
    <row r="2492">
      <c r="A2492" s="10">
        <f t="shared" si="8"/>
        <v>40474.66667</v>
      </c>
      <c r="B2492" s="2" t="str">
        <f t="shared" si="2"/>
        <v/>
      </c>
      <c r="C2492" s="2" t="str">
        <f t="shared" si="3"/>
        <v>SP500</v>
      </c>
      <c r="D2492" s="2" t="str">
        <f t="shared" si="4"/>
        <v/>
      </c>
      <c r="E2492" s="2">
        <f t="shared" si="5"/>
        <v>2479.39</v>
      </c>
      <c r="G2492" s="10">
        <f t="shared" si="9"/>
        <v>40474.64583</v>
      </c>
      <c r="H2492" s="6" t="str">
        <f t="shared" si="6"/>
        <v/>
      </c>
      <c r="I2492" s="2">
        <f t="shared" si="7"/>
        <v>1426.89</v>
      </c>
      <c r="M2492" s="10">
        <f>IFERROR(__xludf.DUMMYFUNCTION("""COMPUTED_VALUE"""),41592.666666666664)</f>
        <v>41592.66667</v>
      </c>
      <c r="N2492" s="2">
        <f>IFERROR(__xludf.DUMMYFUNCTION("""COMPUTED_VALUE"""),3972.74)</f>
        <v>3972.74</v>
      </c>
    </row>
    <row r="2493">
      <c r="A2493" s="10">
        <f t="shared" si="8"/>
        <v>40475.66667</v>
      </c>
      <c r="B2493" s="2" t="str">
        <f t="shared" si="2"/>
        <v/>
      </c>
      <c r="C2493" s="2" t="str">
        <f t="shared" si="3"/>
        <v>SP500</v>
      </c>
      <c r="D2493" s="2" t="str">
        <f t="shared" si="4"/>
        <v/>
      </c>
      <c r="E2493" s="2">
        <f t="shared" si="5"/>
        <v>2479.39</v>
      </c>
      <c r="G2493" s="10">
        <f t="shared" si="9"/>
        <v>40475.64583</v>
      </c>
      <c r="H2493" s="6" t="str">
        <f t="shared" si="6"/>
        <v/>
      </c>
      <c r="I2493" s="2">
        <f t="shared" si="7"/>
        <v>1426.89</v>
      </c>
      <c r="M2493" s="10">
        <f>IFERROR(__xludf.DUMMYFUNCTION("""COMPUTED_VALUE"""),41593.666666666664)</f>
        <v>41593.66667</v>
      </c>
      <c r="N2493" s="2">
        <f>IFERROR(__xludf.DUMMYFUNCTION("""COMPUTED_VALUE"""),3985.97)</f>
        <v>3985.97</v>
      </c>
    </row>
    <row r="2494">
      <c r="A2494" s="10">
        <f t="shared" si="8"/>
        <v>40476.66667</v>
      </c>
      <c r="B2494" s="2" t="str">
        <f t="shared" si="2"/>
        <v/>
      </c>
      <c r="C2494" s="2" t="str">
        <f t="shared" si="3"/>
        <v>SP500</v>
      </c>
      <c r="D2494" s="2">
        <f t="shared" si="4"/>
        <v>2490.85</v>
      </c>
      <c r="E2494" s="2">
        <f t="shared" si="5"/>
        <v>2490.85</v>
      </c>
      <c r="G2494" s="10">
        <f t="shared" si="9"/>
        <v>40476.64583</v>
      </c>
      <c r="H2494" s="6" t="str">
        <f t="shared" si="6"/>
        <v/>
      </c>
      <c r="I2494" s="2">
        <f t="shared" si="7"/>
        <v>1426.89</v>
      </c>
      <c r="M2494" s="10">
        <f>IFERROR(__xludf.DUMMYFUNCTION("""COMPUTED_VALUE"""),41596.666666666664)</f>
        <v>41596.66667</v>
      </c>
      <c r="N2494" s="2">
        <f>IFERROR(__xludf.DUMMYFUNCTION("""COMPUTED_VALUE"""),3949.07)</f>
        <v>3949.07</v>
      </c>
    </row>
    <row r="2495">
      <c r="A2495" s="10">
        <f t="shared" si="8"/>
        <v>40477.66667</v>
      </c>
      <c r="B2495" s="2" t="str">
        <f t="shared" si="2"/>
        <v/>
      </c>
      <c r="C2495" s="2" t="str">
        <f t="shared" si="3"/>
        <v>SP500</v>
      </c>
      <c r="D2495" s="2">
        <f t="shared" si="4"/>
        <v>2497.29</v>
      </c>
      <c r="E2495" s="2">
        <f t="shared" si="5"/>
        <v>2497.29</v>
      </c>
      <c r="G2495" s="10">
        <f t="shared" si="9"/>
        <v>40477.64583</v>
      </c>
      <c r="H2495" s="6" t="str">
        <f t="shared" si="6"/>
        <v/>
      </c>
      <c r="I2495" s="2">
        <f t="shared" si="7"/>
        <v>1426.89</v>
      </c>
      <c r="M2495" s="10">
        <f>IFERROR(__xludf.DUMMYFUNCTION("""COMPUTED_VALUE"""),41597.666666666664)</f>
        <v>41597.66667</v>
      </c>
      <c r="N2495" s="2">
        <f>IFERROR(__xludf.DUMMYFUNCTION("""COMPUTED_VALUE"""),3931.55)</f>
        <v>3931.55</v>
      </c>
    </row>
    <row r="2496">
      <c r="A2496" s="10">
        <f t="shared" si="8"/>
        <v>40478.66667</v>
      </c>
      <c r="B2496" s="2" t="str">
        <f t="shared" si="2"/>
        <v/>
      </c>
      <c r="C2496" s="2" t="str">
        <f t="shared" si="3"/>
        <v>SP500</v>
      </c>
      <c r="D2496" s="2">
        <f t="shared" si="4"/>
        <v>2503.26</v>
      </c>
      <c r="E2496" s="2">
        <f t="shared" si="5"/>
        <v>2503.26</v>
      </c>
      <c r="G2496" s="10">
        <f t="shared" si="9"/>
        <v>40478.64583</v>
      </c>
      <c r="H2496" s="6" t="str">
        <f t="shared" si="6"/>
        <v/>
      </c>
      <c r="I2496" s="2">
        <f t="shared" si="7"/>
        <v>1426.89</v>
      </c>
      <c r="M2496" s="10">
        <f>IFERROR(__xludf.DUMMYFUNCTION("""COMPUTED_VALUE"""),41598.666666666664)</f>
        <v>41598.66667</v>
      </c>
      <c r="N2496" s="2">
        <f>IFERROR(__xludf.DUMMYFUNCTION("""COMPUTED_VALUE"""),3921.27)</f>
        <v>3921.27</v>
      </c>
    </row>
    <row r="2497">
      <c r="A2497" s="10">
        <f t="shared" si="8"/>
        <v>40479.66667</v>
      </c>
      <c r="B2497" s="2" t="str">
        <f t="shared" si="2"/>
        <v/>
      </c>
      <c r="C2497" s="2" t="str">
        <f t="shared" si="3"/>
        <v>SP500</v>
      </c>
      <c r="D2497" s="2">
        <f t="shared" si="4"/>
        <v>2507.37</v>
      </c>
      <c r="E2497" s="2">
        <f t="shared" si="5"/>
        <v>2507.37</v>
      </c>
      <c r="G2497" s="10">
        <f t="shared" si="9"/>
        <v>40479.64583</v>
      </c>
      <c r="H2497" s="6" t="str">
        <f t="shared" si="6"/>
        <v/>
      </c>
      <c r="I2497" s="2">
        <f t="shared" si="7"/>
        <v>1426.89</v>
      </c>
      <c r="M2497" s="10">
        <f>IFERROR(__xludf.DUMMYFUNCTION("""COMPUTED_VALUE"""),41599.666666666664)</f>
        <v>41599.66667</v>
      </c>
      <c r="N2497" s="2">
        <f>IFERROR(__xludf.DUMMYFUNCTION("""COMPUTED_VALUE"""),3969.15)</f>
        <v>3969.15</v>
      </c>
    </row>
    <row r="2498">
      <c r="A2498" s="10">
        <f t="shared" si="8"/>
        <v>40480.66667</v>
      </c>
      <c r="B2498" s="2" t="str">
        <f t="shared" si="2"/>
        <v/>
      </c>
      <c r="C2498" s="2" t="str">
        <f t="shared" si="3"/>
        <v>SP500</v>
      </c>
      <c r="D2498" s="2">
        <f t="shared" si="4"/>
        <v>2507.41</v>
      </c>
      <c r="E2498" s="2">
        <f t="shared" si="5"/>
        <v>2507.41</v>
      </c>
      <c r="G2498" s="10">
        <f t="shared" si="9"/>
        <v>40480.64583</v>
      </c>
      <c r="H2498" s="6" t="str">
        <f t="shared" si="6"/>
        <v/>
      </c>
      <c r="I2498" s="2">
        <f t="shared" si="7"/>
        <v>1426.89</v>
      </c>
      <c r="M2498" s="10">
        <f>IFERROR(__xludf.DUMMYFUNCTION("""COMPUTED_VALUE"""),41600.666666666664)</f>
        <v>41600.66667</v>
      </c>
      <c r="N2498" s="2">
        <f>IFERROR(__xludf.DUMMYFUNCTION("""COMPUTED_VALUE"""),3991.65)</f>
        <v>3991.65</v>
      </c>
    </row>
    <row r="2499">
      <c r="A2499" s="10">
        <f t="shared" si="8"/>
        <v>40481.66667</v>
      </c>
      <c r="B2499" s="2" t="str">
        <f t="shared" si="2"/>
        <v/>
      </c>
      <c r="C2499" s="2" t="str">
        <f t="shared" si="3"/>
        <v>SP500</v>
      </c>
      <c r="D2499" s="2" t="str">
        <f t="shared" si="4"/>
        <v/>
      </c>
      <c r="E2499" s="2">
        <f t="shared" si="5"/>
        <v>2507.41</v>
      </c>
      <c r="G2499" s="10">
        <f t="shared" si="9"/>
        <v>40481.64583</v>
      </c>
      <c r="H2499" s="6" t="str">
        <f t="shared" si="6"/>
        <v/>
      </c>
      <c r="I2499" s="2">
        <f t="shared" si="7"/>
        <v>1426.89</v>
      </c>
      <c r="M2499" s="10">
        <f>IFERROR(__xludf.DUMMYFUNCTION("""COMPUTED_VALUE"""),41603.666666666664)</f>
        <v>41603.66667</v>
      </c>
      <c r="N2499" s="2">
        <f>IFERROR(__xludf.DUMMYFUNCTION("""COMPUTED_VALUE"""),3994.57)</f>
        <v>3994.57</v>
      </c>
    </row>
    <row r="2500">
      <c r="A2500" s="10">
        <f t="shared" si="8"/>
        <v>40482.66667</v>
      </c>
      <c r="B2500" s="2" t="str">
        <f t="shared" si="2"/>
        <v/>
      </c>
      <c r="C2500" s="2" t="str">
        <f t="shared" si="3"/>
        <v>SP500</v>
      </c>
      <c r="D2500" s="2" t="str">
        <f t="shared" si="4"/>
        <v/>
      </c>
      <c r="E2500" s="2">
        <f t="shared" si="5"/>
        <v>2507.41</v>
      </c>
      <c r="G2500" s="10">
        <f t="shared" si="9"/>
        <v>40482.64583</v>
      </c>
      <c r="H2500" s="6" t="str">
        <f t="shared" si="6"/>
        <v/>
      </c>
      <c r="I2500" s="2">
        <f t="shared" si="7"/>
        <v>1426.89</v>
      </c>
      <c r="M2500" s="10">
        <f>IFERROR(__xludf.DUMMYFUNCTION("""COMPUTED_VALUE"""),41604.666666666664)</f>
        <v>41604.66667</v>
      </c>
      <c r="N2500" s="2">
        <f>IFERROR(__xludf.DUMMYFUNCTION("""COMPUTED_VALUE"""),4017.75)</f>
        <v>4017.75</v>
      </c>
    </row>
    <row r="2501">
      <c r="A2501" s="10">
        <f t="shared" si="8"/>
        <v>40483.66667</v>
      </c>
      <c r="B2501" s="2" t="str">
        <f t="shared" si="2"/>
        <v/>
      </c>
      <c r="C2501" s="2" t="str">
        <f t="shared" si="3"/>
        <v>SP500</v>
      </c>
      <c r="D2501" s="2">
        <f t="shared" si="4"/>
        <v>2504.84</v>
      </c>
      <c r="E2501" s="2">
        <f t="shared" si="5"/>
        <v>2504.84</v>
      </c>
      <c r="G2501" s="10">
        <f t="shared" si="9"/>
        <v>40483.64583</v>
      </c>
      <c r="H2501" s="6" t="str">
        <f t="shared" si="6"/>
        <v/>
      </c>
      <c r="I2501" s="2">
        <f t="shared" si="7"/>
        <v>1426.89</v>
      </c>
      <c r="M2501" s="10">
        <f>IFERROR(__xludf.DUMMYFUNCTION("""COMPUTED_VALUE"""),41605.666666666664)</f>
        <v>41605.66667</v>
      </c>
      <c r="N2501" s="2">
        <f>IFERROR(__xludf.DUMMYFUNCTION("""COMPUTED_VALUE"""),4044.75)</f>
        <v>4044.75</v>
      </c>
    </row>
    <row r="2502">
      <c r="A2502" s="10">
        <f t="shared" si="8"/>
        <v>40484.66667</v>
      </c>
      <c r="B2502" s="2" t="str">
        <f t="shared" si="2"/>
        <v/>
      </c>
      <c r="C2502" s="2" t="str">
        <f t="shared" si="3"/>
        <v>SP500</v>
      </c>
      <c r="D2502" s="2">
        <f t="shared" si="4"/>
        <v>2533.52</v>
      </c>
      <c r="E2502" s="2">
        <f t="shared" si="5"/>
        <v>2533.52</v>
      </c>
      <c r="G2502" s="10">
        <f t="shared" si="9"/>
        <v>40484.64583</v>
      </c>
      <c r="H2502" s="6" t="str">
        <f t="shared" si="6"/>
        <v/>
      </c>
      <c r="I2502" s="2">
        <f t="shared" si="7"/>
        <v>1426.89</v>
      </c>
      <c r="M2502" s="10">
        <f>IFERROR(__xludf.DUMMYFUNCTION("""COMPUTED_VALUE"""),41607.666666666664)</f>
        <v>41607.66667</v>
      </c>
      <c r="N2502" s="2">
        <f>IFERROR(__xludf.DUMMYFUNCTION("""COMPUTED_VALUE"""),4059.89)</f>
        <v>4059.89</v>
      </c>
    </row>
    <row r="2503">
      <c r="A2503" s="10">
        <f t="shared" si="8"/>
        <v>40485.66667</v>
      </c>
      <c r="B2503" s="2" t="str">
        <f t="shared" si="2"/>
        <v/>
      </c>
      <c r="C2503" s="2" t="str">
        <f t="shared" si="3"/>
        <v>SP500</v>
      </c>
      <c r="D2503" s="2">
        <f t="shared" si="4"/>
        <v>2540.27</v>
      </c>
      <c r="E2503" s="2">
        <f t="shared" si="5"/>
        <v>2540.27</v>
      </c>
      <c r="G2503" s="10">
        <f t="shared" si="9"/>
        <v>40485.64583</v>
      </c>
      <c r="H2503" s="6" t="str">
        <f t="shared" si="6"/>
        <v/>
      </c>
      <c r="I2503" s="2">
        <f t="shared" si="7"/>
        <v>1426.89</v>
      </c>
      <c r="M2503" s="10">
        <f>IFERROR(__xludf.DUMMYFUNCTION("""COMPUTED_VALUE"""),41610.666666666664)</f>
        <v>41610.66667</v>
      </c>
      <c r="N2503" s="2">
        <f>IFERROR(__xludf.DUMMYFUNCTION("""COMPUTED_VALUE"""),4045.26)</f>
        <v>4045.26</v>
      </c>
    </row>
    <row r="2504">
      <c r="A2504" s="10">
        <f t="shared" si="8"/>
        <v>40486.66667</v>
      </c>
      <c r="B2504" s="2" t="str">
        <f t="shared" si="2"/>
        <v/>
      </c>
      <c r="C2504" s="2" t="str">
        <f t="shared" si="3"/>
        <v>SP500</v>
      </c>
      <c r="D2504" s="2">
        <f t="shared" si="4"/>
        <v>2577.34</v>
      </c>
      <c r="E2504" s="2">
        <f t="shared" si="5"/>
        <v>2577.34</v>
      </c>
      <c r="G2504" s="10">
        <f t="shared" si="9"/>
        <v>40486.64583</v>
      </c>
      <c r="H2504" s="6" t="str">
        <f t="shared" si="6"/>
        <v/>
      </c>
      <c r="I2504" s="2">
        <f t="shared" si="7"/>
        <v>1426.89</v>
      </c>
      <c r="M2504" s="10">
        <f>IFERROR(__xludf.DUMMYFUNCTION("""COMPUTED_VALUE"""),41611.666666666664)</f>
        <v>41611.66667</v>
      </c>
      <c r="N2504" s="2">
        <f>IFERROR(__xludf.DUMMYFUNCTION("""COMPUTED_VALUE"""),4037.2)</f>
        <v>4037.2</v>
      </c>
    </row>
    <row r="2505">
      <c r="A2505" s="10">
        <f t="shared" si="8"/>
        <v>40487.66667</v>
      </c>
      <c r="B2505" s="2" t="str">
        <f t="shared" si="2"/>
        <v/>
      </c>
      <c r="C2505" s="2" t="str">
        <f t="shared" si="3"/>
        <v>SP500</v>
      </c>
      <c r="D2505" s="2">
        <f t="shared" si="4"/>
        <v>2578.98</v>
      </c>
      <c r="E2505" s="2">
        <f t="shared" si="5"/>
        <v>2578.98</v>
      </c>
      <c r="G2505" s="10">
        <f t="shared" si="9"/>
        <v>40487.64583</v>
      </c>
      <c r="H2505" s="6" t="str">
        <f t="shared" si="6"/>
        <v/>
      </c>
      <c r="I2505" s="2">
        <f t="shared" si="7"/>
        <v>1426.89</v>
      </c>
      <c r="M2505" s="10">
        <f>IFERROR(__xludf.DUMMYFUNCTION("""COMPUTED_VALUE"""),41612.666666666664)</f>
        <v>41612.66667</v>
      </c>
      <c r="N2505" s="2">
        <f>IFERROR(__xludf.DUMMYFUNCTION("""COMPUTED_VALUE"""),4038.0)</f>
        <v>4038</v>
      </c>
    </row>
    <row r="2506">
      <c r="A2506" s="10">
        <f t="shared" si="8"/>
        <v>40488.66667</v>
      </c>
      <c r="B2506" s="2" t="str">
        <f t="shared" si="2"/>
        <v/>
      </c>
      <c r="C2506" s="2" t="str">
        <f t="shared" si="3"/>
        <v>SP500</v>
      </c>
      <c r="D2506" s="2" t="str">
        <f t="shared" si="4"/>
        <v/>
      </c>
      <c r="E2506" s="2">
        <f t="shared" si="5"/>
        <v>2578.98</v>
      </c>
      <c r="G2506" s="10">
        <f t="shared" si="9"/>
        <v>40488.64583</v>
      </c>
      <c r="H2506" s="6" t="str">
        <f t="shared" si="6"/>
        <v/>
      </c>
      <c r="I2506" s="2">
        <f t="shared" si="7"/>
        <v>1426.89</v>
      </c>
      <c r="M2506" s="10">
        <f>IFERROR(__xludf.DUMMYFUNCTION("""COMPUTED_VALUE"""),41613.666666666664)</f>
        <v>41613.66667</v>
      </c>
      <c r="N2506" s="2">
        <f>IFERROR(__xludf.DUMMYFUNCTION("""COMPUTED_VALUE"""),4033.16)</f>
        <v>4033.16</v>
      </c>
    </row>
    <row r="2507">
      <c r="A2507" s="10">
        <f t="shared" si="8"/>
        <v>40489.66667</v>
      </c>
      <c r="B2507" s="2" t="str">
        <f t="shared" si="2"/>
        <v/>
      </c>
      <c r="C2507" s="2" t="str">
        <f t="shared" si="3"/>
        <v>SP500</v>
      </c>
      <c r="D2507" s="2" t="str">
        <f t="shared" si="4"/>
        <v/>
      </c>
      <c r="E2507" s="2">
        <f t="shared" si="5"/>
        <v>2578.98</v>
      </c>
      <c r="G2507" s="10">
        <f t="shared" si="9"/>
        <v>40489.64583</v>
      </c>
      <c r="H2507" s="6" t="str">
        <f t="shared" si="6"/>
        <v/>
      </c>
      <c r="I2507" s="2">
        <f t="shared" si="7"/>
        <v>1426.89</v>
      </c>
      <c r="M2507" s="10">
        <f>IFERROR(__xludf.DUMMYFUNCTION("""COMPUTED_VALUE"""),41614.666666666664)</f>
        <v>41614.66667</v>
      </c>
      <c r="N2507" s="2">
        <f>IFERROR(__xludf.DUMMYFUNCTION("""COMPUTED_VALUE"""),4062.52)</f>
        <v>4062.52</v>
      </c>
    </row>
    <row r="2508">
      <c r="A2508" s="10">
        <f t="shared" si="8"/>
        <v>40490.66667</v>
      </c>
      <c r="B2508" s="2" t="str">
        <f t="shared" si="2"/>
        <v/>
      </c>
      <c r="C2508" s="2" t="str">
        <f t="shared" si="3"/>
        <v>SP500</v>
      </c>
      <c r="D2508" s="2">
        <f t="shared" si="4"/>
        <v>2580.05</v>
      </c>
      <c r="E2508" s="2">
        <f t="shared" si="5"/>
        <v>2580.05</v>
      </c>
      <c r="G2508" s="10">
        <f t="shared" si="9"/>
        <v>40490.64583</v>
      </c>
      <c r="H2508" s="6" t="str">
        <f t="shared" si="6"/>
        <v/>
      </c>
      <c r="I2508" s="2">
        <f t="shared" si="7"/>
        <v>1426.89</v>
      </c>
      <c r="M2508" s="10">
        <f>IFERROR(__xludf.DUMMYFUNCTION("""COMPUTED_VALUE"""),41617.666666666664)</f>
        <v>41617.66667</v>
      </c>
      <c r="N2508" s="2">
        <f>IFERROR(__xludf.DUMMYFUNCTION("""COMPUTED_VALUE"""),4068.75)</f>
        <v>4068.75</v>
      </c>
    </row>
    <row r="2509">
      <c r="A2509" s="10">
        <f t="shared" si="8"/>
        <v>40491.66667</v>
      </c>
      <c r="B2509" s="2" t="str">
        <f t="shared" si="2"/>
        <v/>
      </c>
      <c r="C2509" s="2" t="str">
        <f t="shared" si="3"/>
        <v>SP500</v>
      </c>
      <c r="D2509" s="2">
        <f t="shared" si="4"/>
        <v>2562.98</v>
      </c>
      <c r="E2509" s="2">
        <f t="shared" si="5"/>
        <v>2562.98</v>
      </c>
      <c r="G2509" s="10">
        <f t="shared" si="9"/>
        <v>40491.64583</v>
      </c>
      <c r="H2509" s="6" t="str">
        <f t="shared" si="6"/>
        <v/>
      </c>
      <c r="I2509" s="2">
        <f t="shared" si="7"/>
        <v>1426.89</v>
      </c>
      <c r="M2509" s="10">
        <f>IFERROR(__xludf.DUMMYFUNCTION("""COMPUTED_VALUE"""),41618.666666666664)</f>
        <v>41618.66667</v>
      </c>
      <c r="N2509" s="2">
        <f>IFERROR(__xludf.DUMMYFUNCTION("""COMPUTED_VALUE"""),4060.49)</f>
        <v>4060.49</v>
      </c>
    </row>
    <row r="2510">
      <c r="A2510" s="10">
        <f t="shared" si="8"/>
        <v>40492.66667</v>
      </c>
      <c r="B2510" s="2" t="str">
        <f t="shared" si="2"/>
        <v/>
      </c>
      <c r="C2510" s="2" t="str">
        <f t="shared" si="3"/>
        <v>SP500</v>
      </c>
      <c r="D2510" s="2">
        <f t="shared" si="4"/>
        <v>2578.78</v>
      </c>
      <c r="E2510" s="2">
        <f t="shared" si="5"/>
        <v>2578.78</v>
      </c>
      <c r="G2510" s="10">
        <f t="shared" si="9"/>
        <v>40492.64583</v>
      </c>
      <c r="H2510" s="6" t="str">
        <f t="shared" si="6"/>
        <v/>
      </c>
      <c r="I2510" s="2">
        <f t="shared" si="7"/>
        <v>1426.89</v>
      </c>
      <c r="M2510" s="10">
        <f>IFERROR(__xludf.DUMMYFUNCTION("""COMPUTED_VALUE"""),41619.666666666664)</f>
        <v>41619.66667</v>
      </c>
      <c r="N2510" s="2">
        <f>IFERROR(__xludf.DUMMYFUNCTION("""COMPUTED_VALUE"""),4003.81)</f>
        <v>4003.81</v>
      </c>
    </row>
    <row r="2511">
      <c r="A2511" s="10">
        <f t="shared" si="8"/>
        <v>40493.66667</v>
      </c>
      <c r="B2511" s="2" t="str">
        <f t="shared" si="2"/>
        <v/>
      </c>
      <c r="C2511" s="2" t="str">
        <f t="shared" si="3"/>
        <v>SP500</v>
      </c>
      <c r="D2511" s="2">
        <f t="shared" si="4"/>
        <v>2555.52</v>
      </c>
      <c r="E2511" s="2">
        <f t="shared" si="5"/>
        <v>2555.52</v>
      </c>
      <c r="G2511" s="10">
        <f t="shared" si="9"/>
        <v>40493.64583</v>
      </c>
      <c r="H2511" s="6" t="str">
        <f t="shared" si="6"/>
        <v/>
      </c>
      <c r="I2511" s="2">
        <f t="shared" si="7"/>
        <v>1426.89</v>
      </c>
      <c r="M2511" s="10">
        <f>IFERROR(__xludf.DUMMYFUNCTION("""COMPUTED_VALUE"""),41620.666666666664)</f>
        <v>41620.66667</v>
      </c>
      <c r="N2511" s="2">
        <f>IFERROR(__xludf.DUMMYFUNCTION("""COMPUTED_VALUE"""),3998.4)</f>
        <v>3998.4</v>
      </c>
    </row>
    <row r="2512">
      <c r="A2512" s="10">
        <f t="shared" si="8"/>
        <v>40494.66667</v>
      </c>
      <c r="B2512" s="2" t="str">
        <f t="shared" si="2"/>
        <v/>
      </c>
      <c r="C2512" s="2" t="str">
        <f t="shared" si="3"/>
        <v>SP500</v>
      </c>
      <c r="D2512" s="2">
        <f t="shared" si="4"/>
        <v>2518.21</v>
      </c>
      <c r="E2512" s="2">
        <f t="shared" si="5"/>
        <v>2518.21</v>
      </c>
      <c r="G2512" s="10">
        <f t="shared" si="9"/>
        <v>40494.64583</v>
      </c>
      <c r="H2512" s="6" t="str">
        <f t="shared" si="6"/>
        <v/>
      </c>
      <c r="I2512" s="2">
        <f t="shared" si="7"/>
        <v>1426.89</v>
      </c>
      <c r="M2512" s="10">
        <f>IFERROR(__xludf.DUMMYFUNCTION("""COMPUTED_VALUE"""),41621.666666666664)</f>
        <v>41621.66667</v>
      </c>
      <c r="N2512" s="2">
        <f>IFERROR(__xludf.DUMMYFUNCTION("""COMPUTED_VALUE"""),4000.98)</f>
        <v>4000.98</v>
      </c>
    </row>
    <row r="2513">
      <c r="A2513" s="10">
        <f t="shared" si="8"/>
        <v>40495.66667</v>
      </c>
      <c r="B2513" s="2" t="str">
        <f t="shared" si="2"/>
        <v/>
      </c>
      <c r="C2513" s="2" t="str">
        <f t="shared" si="3"/>
        <v>SP500</v>
      </c>
      <c r="D2513" s="2" t="str">
        <f t="shared" si="4"/>
        <v/>
      </c>
      <c r="E2513" s="2">
        <f t="shared" si="5"/>
        <v>2518.21</v>
      </c>
      <c r="G2513" s="10">
        <f t="shared" si="9"/>
        <v>40495.64583</v>
      </c>
      <c r="H2513" s="6" t="str">
        <f t="shared" si="6"/>
        <v/>
      </c>
      <c r="I2513" s="2">
        <f t="shared" si="7"/>
        <v>1426.89</v>
      </c>
      <c r="M2513" s="10">
        <f>IFERROR(__xludf.DUMMYFUNCTION("""COMPUTED_VALUE"""),41624.666666666664)</f>
        <v>41624.66667</v>
      </c>
      <c r="N2513" s="2">
        <f>IFERROR(__xludf.DUMMYFUNCTION("""COMPUTED_VALUE"""),4029.52)</f>
        <v>4029.52</v>
      </c>
    </row>
    <row r="2514">
      <c r="A2514" s="10">
        <f t="shared" si="8"/>
        <v>40496.66667</v>
      </c>
      <c r="B2514" s="2" t="str">
        <f t="shared" si="2"/>
        <v/>
      </c>
      <c r="C2514" s="2" t="str">
        <f t="shared" si="3"/>
        <v>SP500</v>
      </c>
      <c r="D2514" s="2" t="str">
        <f t="shared" si="4"/>
        <v/>
      </c>
      <c r="E2514" s="2">
        <f t="shared" si="5"/>
        <v>2518.21</v>
      </c>
      <c r="G2514" s="10">
        <f t="shared" si="9"/>
        <v>40496.64583</v>
      </c>
      <c r="H2514" s="6" t="str">
        <f t="shared" si="6"/>
        <v/>
      </c>
      <c r="I2514" s="2">
        <f t="shared" si="7"/>
        <v>1426.89</v>
      </c>
      <c r="M2514" s="10">
        <f>IFERROR(__xludf.DUMMYFUNCTION("""COMPUTED_VALUE"""),41625.666666666664)</f>
        <v>41625.66667</v>
      </c>
      <c r="N2514" s="2">
        <f>IFERROR(__xludf.DUMMYFUNCTION("""COMPUTED_VALUE"""),4023.68)</f>
        <v>4023.68</v>
      </c>
    </row>
    <row r="2515">
      <c r="A2515" s="10">
        <f t="shared" si="8"/>
        <v>40497.66667</v>
      </c>
      <c r="B2515" s="2" t="str">
        <f t="shared" si="2"/>
        <v/>
      </c>
      <c r="C2515" s="2" t="str">
        <f t="shared" si="3"/>
        <v>SP500</v>
      </c>
      <c r="D2515" s="2">
        <f t="shared" si="4"/>
        <v>2513.82</v>
      </c>
      <c r="E2515" s="2">
        <f t="shared" si="5"/>
        <v>2513.82</v>
      </c>
      <c r="G2515" s="10">
        <f t="shared" si="9"/>
        <v>40497.64583</v>
      </c>
      <c r="H2515" s="6" t="str">
        <f t="shared" si="6"/>
        <v/>
      </c>
      <c r="I2515" s="2">
        <f t="shared" si="7"/>
        <v>1426.89</v>
      </c>
      <c r="M2515" s="10">
        <f>IFERROR(__xludf.DUMMYFUNCTION("""COMPUTED_VALUE"""),41626.666666666664)</f>
        <v>41626.66667</v>
      </c>
      <c r="N2515" s="2">
        <f>IFERROR(__xludf.DUMMYFUNCTION("""COMPUTED_VALUE"""),4070.06)</f>
        <v>4070.06</v>
      </c>
    </row>
    <row r="2516">
      <c r="A2516" s="10">
        <f t="shared" si="8"/>
        <v>40498.66667</v>
      </c>
      <c r="B2516" s="2" t="str">
        <f t="shared" si="2"/>
        <v/>
      </c>
      <c r="C2516" s="2" t="str">
        <f t="shared" si="3"/>
        <v>SP500</v>
      </c>
      <c r="D2516" s="2">
        <f t="shared" si="4"/>
        <v>2469.84</v>
      </c>
      <c r="E2516" s="2">
        <f t="shared" si="5"/>
        <v>2469.84</v>
      </c>
      <c r="G2516" s="10">
        <f t="shared" si="9"/>
        <v>40498.64583</v>
      </c>
      <c r="H2516" s="6" t="str">
        <f t="shared" si="6"/>
        <v/>
      </c>
      <c r="I2516" s="2">
        <f t="shared" si="7"/>
        <v>1426.89</v>
      </c>
      <c r="M2516" s="10">
        <f>IFERROR(__xludf.DUMMYFUNCTION("""COMPUTED_VALUE"""),41627.666666666664)</f>
        <v>41627.66667</v>
      </c>
      <c r="N2516" s="2">
        <f>IFERROR(__xludf.DUMMYFUNCTION("""COMPUTED_VALUE"""),4058.13)</f>
        <v>4058.13</v>
      </c>
    </row>
    <row r="2517">
      <c r="A2517" s="10">
        <f t="shared" si="8"/>
        <v>40499.66667</v>
      </c>
      <c r="B2517" s="2" t="str">
        <f t="shared" si="2"/>
        <v/>
      </c>
      <c r="C2517" s="2" t="str">
        <f t="shared" si="3"/>
        <v>SP500</v>
      </c>
      <c r="D2517" s="2">
        <f t="shared" si="4"/>
        <v>2476.01</v>
      </c>
      <c r="E2517" s="2">
        <f t="shared" si="5"/>
        <v>2476.01</v>
      </c>
      <c r="G2517" s="10">
        <f t="shared" si="9"/>
        <v>40499.64583</v>
      </c>
      <c r="H2517" s="6" t="str">
        <f t="shared" si="6"/>
        <v/>
      </c>
      <c r="I2517" s="2">
        <f t="shared" si="7"/>
        <v>1426.89</v>
      </c>
      <c r="M2517" s="10">
        <f>IFERROR(__xludf.DUMMYFUNCTION("""COMPUTED_VALUE"""),41628.666666666664)</f>
        <v>41628.66667</v>
      </c>
      <c r="N2517" s="2">
        <f>IFERROR(__xludf.DUMMYFUNCTION("""COMPUTED_VALUE"""),4104.74)</f>
        <v>4104.74</v>
      </c>
    </row>
    <row r="2518">
      <c r="A2518" s="10">
        <f t="shared" si="8"/>
        <v>40500.66667</v>
      </c>
      <c r="B2518" s="2" t="str">
        <f t="shared" si="2"/>
        <v/>
      </c>
      <c r="C2518" s="2" t="str">
        <f t="shared" si="3"/>
        <v>SP500</v>
      </c>
      <c r="D2518" s="2">
        <f t="shared" si="4"/>
        <v>2514.4</v>
      </c>
      <c r="E2518" s="2">
        <f t="shared" si="5"/>
        <v>2514.4</v>
      </c>
      <c r="G2518" s="10">
        <f t="shared" si="9"/>
        <v>40500.64583</v>
      </c>
      <c r="H2518" s="6" t="str">
        <f t="shared" si="6"/>
        <v/>
      </c>
      <c r="I2518" s="2">
        <f t="shared" si="7"/>
        <v>1426.89</v>
      </c>
      <c r="M2518" s="10">
        <f>IFERROR(__xludf.DUMMYFUNCTION("""COMPUTED_VALUE"""),41631.666666666664)</f>
        <v>41631.66667</v>
      </c>
      <c r="N2518" s="2">
        <f>IFERROR(__xludf.DUMMYFUNCTION("""COMPUTED_VALUE"""),4148.9)</f>
        <v>4148.9</v>
      </c>
    </row>
    <row r="2519">
      <c r="A2519" s="10">
        <f t="shared" si="8"/>
        <v>40501.66667</v>
      </c>
      <c r="B2519" s="2" t="str">
        <f t="shared" si="2"/>
        <v/>
      </c>
      <c r="C2519" s="2" t="str">
        <f t="shared" si="3"/>
        <v>SP500</v>
      </c>
      <c r="D2519" s="2">
        <f t="shared" si="4"/>
        <v>2518.12</v>
      </c>
      <c r="E2519" s="2">
        <f t="shared" si="5"/>
        <v>2518.12</v>
      </c>
      <c r="G2519" s="10">
        <f t="shared" si="9"/>
        <v>40501.64583</v>
      </c>
      <c r="H2519" s="6" t="str">
        <f t="shared" si="6"/>
        <v/>
      </c>
      <c r="I2519" s="2">
        <f t="shared" si="7"/>
        <v>1426.89</v>
      </c>
      <c r="M2519" s="10">
        <f>IFERROR(__xludf.DUMMYFUNCTION("""COMPUTED_VALUE"""),41632.666666666664)</f>
        <v>41632.66667</v>
      </c>
      <c r="N2519" s="2">
        <f>IFERROR(__xludf.DUMMYFUNCTION("""COMPUTED_VALUE"""),4155.42)</f>
        <v>4155.42</v>
      </c>
    </row>
    <row r="2520">
      <c r="A2520" s="10">
        <f t="shared" si="8"/>
        <v>40502.66667</v>
      </c>
      <c r="B2520" s="2" t="str">
        <f t="shared" si="2"/>
        <v/>
      </c>
      <c r="C2520" s="2" t="str">
        <f t="shared" si="3"/>
        <v>SP500</v>
      </c>
      <c r="D2520" s="2" t="str">
        <f t="shared" si="4"/>
        <v/>
      </c>
      <c r="E2520" s="2">
        <f t="shared" si="5"/>
        <v>2518.12</v>
      </c>
      <c r="G2520" s="10">
        <f t="shared" si="9"/>
        <v>40502.64583</v>
      </c>
      <c r="H2520" s="6" t="str">
        <f t="shared" si="6"/>
        <v/>
      </c>
      <c r="I2520" s="2">
        <f t="shared" si="7"/>
        <v>1426.89</v>
      </c>
      <c r="M2520" s="10">
        <f>IFERROR(__xludf.DUMMYFUNCTION("""COMPUTED_VALUE"""),41634.666666666664)</f>
        <v>41634.66667</v>
      </c>
      <c r="N2520" s="2">
        <f>IFERROR(__xludf.DUMMYFUNCTION("""COMPUTED_VALUE"""),4167.18)</f>
        <v>4167.18</v>
      </c>
    </row>
    <row r="2521">
      <c r="A2521" s="10">
        <f t="shared" si="8"/>
        <v>40503.66667</v>
      </c>
      <c r="B2521" s="2" t="str">
        <f t="shared" si="2"/>
        <v/>
      </c>
      <c r="C2521" s="2" t="str">
        <f t="shared" si="3"/>
        <v>SP500</v>
      </c>
      <c r="D2521" s="2" t="str">
        <f t="shared" si="4"/>
        <v/>
      </c>
      <c r="E2521" s="2">
        <f t="shared" si="5"/>
        <v>2518.12</v>
      </c>
      <c r="G2521" s="10">
        <f t="shared" si="9"/>
        <v>40503.64583</v>
      </c>
      <c r="H2521" s="6" t="str">
        <f t="shared" si="6"/>
        <v/>
      </c>
      <c r="I2521" s="2">
        <f t="shared" si="7"/>
        <v>1426.89</v>
      </c>
      <c r="M2521" s="10">
        <f>IFERROR(__xludf.DUMMYFUNCTION("""COMPUTED_VALUE"""),41635.666666666664)</f>
        <v>41635.66667</v>
      </c>
      <c r="N2521" s="2">
        <f>IFERROR(__xludf.DUMMYFUNCTION("""COMPUTED_VALUE"""),4156.59)</f>
        <v>4156.59</v>
      </c>
    </row>
    <row r="2522">
      <c r="A2522" s="10">
        <f t="shared" si="8"/>
        <v>40504.66667</v>
      </c>
      <c r="B2522" s="2" t="str">
        <f t="shared" si="2"/>
        <v/>
      </c>
      <c r="C2522" s="2" t="str">
        <f t="shared" si="3"/>
        <v>SP500</v>
      </c>
      <c r="D2522" s="2">
        <f t="shared" si="4"/>
        <v>2532.02</v>
      </c>
      <c r="E2522" s="2">
        <f t="shared" si="5"/>
        <v>2532.02</v>
      </c>
      <c r="G2522" s="10">
        <f t="shared" si="9"/>
        <v>40504.64583</v>
      </c>
      <c r="H2522" s="6" t="str">
        <f t="shared" si="6"/>
        <v/>
      </c>
      <c r="I2522" s="2">
        <f t="shared" si="7"/>
        <v>1426.89</v>
      </c>
      <c r="M2522" s="10">
        <f>IFERROR(__xludf.DUMMYFUNCTION("""COMPUTED_VALUE"""),41638.666666666664)</f>
        <v>41638.66667</v>
      </c>
      <c r="N2522" s="2">
        <f>IFERROR(__xludf.DUMMYFUNCTION("""COMPUTED_VALUE"""),4154.2)</f>
        <v>4154.2</v>
      </c>
    </row>
    <row r="2523">
      <c r="A2523" s="10">
        <f t="shared" si="8"/>
        <v>40505.66667</v>
      </c>
      <c r="B2523" s="2" t="str">
        <f t="shared" si="2"/>
        <v/>
      </c>
      <c r="C2523" s="2" t="str">
        <f t="shared" si="3"/>
        <v>SP500</v>
      </c>
      <c r="D2523" s="2">
        <f t="shared" si="4"/>
        <v>2494.95</v>
      </c>
      <c r="E2523" s="2">
        <f t="shared" si="5"/>
        <v>2494.95</v>
      </c>
      <c r="G2523" s="10">
        <f t="shared" si="9"/>
        <v>40505.64583</v>
      </c>
      <c r="H2523" s="6" t="str">
        <f t="shared" si="6"/>
        <v/>
      </c>
      <c r="I2523" s="2">
        <f t="shared" si="7"/>
        <v>1426.89</v>
      </c>
      <c r="M2523" s="10">
        <f>IFERROR(__xludf.DUMMYFUNCTION("""COMPUTED_VALUE"""),41639.666666666664)</f>
        <v>41639.66667</v>
      </c>
      <c r="N2523" s="2">
        <f>IFERROR(__xludf.DUMMYFUNCTION("""COMPUTED_VALUE"""),4176.59)</f>
        <v>4176.59</v>
      </c>
    </row>
    <row r="2524">
      <c r="A2524" s="10">
        <f t="shared" si="8"/>
        <v>40506.66667</v>
      </c>
      <c r="B2524" s="2" t="str">
        <f t="shared" si="2"/>
        <v/>
      </c>
      <c r="C2524" s="2" t="str">
        <f t="shared" si="3"/>
        <v>SP500</v>
      </c>
      <c r="D2524" s="2">
        <f t="shared" si="4"/>
        <v>2543.12</v>
      </c>
      <c r="E2524" s="2">
        <f t="shared" si="5"/>
        <v>2543.12</v>
      </c>
      <c r="G2524" s="10">
        <f t="shared" si="9"/>
        <v>40506.64583</v>
      </c>
      <c r="H2524" s="6" t="str">
        <f t="shared" si="6"/>
        <v/>
      </c>
      <c r="I2524" s="2">
        <f t="shared" si="7"/>
        <v>1426.89</v>
      </c>
      <c r="M2524" s="10">
        <f>IFERROR(__xludf.DUMMYFUNCTION("""COMPUTED_VALUE"""),41641.666666666664)</f>
        <v>41641.66667</v>
      </c>
      <c r="N2524" s="2">
        <f>IFERROR(__xludf.DUMMYFUNCTION("""COMPUTED_VALUE"""),4143.07)</f>
        <v>4143.07</v>
      </c>
    </row>
    <row r="2525">
      <c r="A2525" s="10">
        <f t="shared" si="8"/>
        <v>40507.66667</v>
      </c>
      <c r="B2525" s="2" t="str">
        <f t="shared" si="2"/>
        <v/>
      </c>
      <c r="C2525" s="2" t="str">
        <f t="shared" si="3"/>
        <v>SP500</v>
      </c>
      <c r="D2525" s="2" t="str">
        <f t="shared" si="4"/>
        <v/>
      </c>
      <c r="E2525" s="2">
        <f t="shared" si="5"/>
        <v>2543.12</v>
      </c>
      <c r="G2525" s="10">
        <f t="shared" si="9"/>
        <v>40507.64583</v>
      </c>
      <c r="H2525" s="6" t="str">
        <f t="shared" si="6"/>
        <v/>
      </c>
      <c r="I2525" s="2">
        <f t="shared" si="7"/>
        <v>1426.89</v>
      </c>
      <c r="M2525" s="10">
        <f>IFERROR(__xludf.DUMMYFUNCTION("""COMPUTED_VALUE"""),41642.666666666664)</f>
        <v>41642.66667</v>
      </c>
      <c r="N2525" s="2">
        <f>IFERROR(__xludf.DUMMYFUNCTION("""COMPUTED_VALUE"""),4131.91)</f>
        <v>4131.91</v>
      </c>
    </row>
    <row r="2526">
      <c r="A2526" s="10">
        <f t="shared" si="8"/>
        <v>40508.66667</v>
      </c>
      <c r="B2526" s="2" t="str">
        <f t="shared" si="2"/>
        <v/>
      </c>
      <c r="C2526" s="2" t="str">
        <f t="shared" si="3"/>
        <v>SP500</v>
      </c>
      <c r="D2526" s="2">
        <f t="shared" si="4"/>
        <v>2534.56</v>
      </c>
      <c r="E2526" s="2">
        <f t="shared" si="5"/>
        <v>2534.56</v>
      </c>
      <c r="G2526" s="10">
        <f t="shared" si="9"/>
        <v>40508.64583</v>
      </c>
      <c r="H2526" s="6" t="str">
        <f t="shared" si="6"/>
        <v/>
      </c>
      <c r="I2526" s="2">
        <f t="shared" si="7"/>
        <v>1426.89</v>
      </c>
      <c r="M2526" s="10">
        <f>IFERROR(__xludf.DUMMYFUNCTION("""COMPUTED_VALUE"""),41645.666666666664)</f>
        <v>41645.66667</v>
      </c>
      <c r="N2526" s="2">
        <f>IFERROR(__xludf.DUMMYFUNCTION("""COMPUTED_VALUE"""),4113.68)</f>
        <v>4113.68</v>
      </c>
    </row>
    <row r="2527">
      <c r="A2527" s="10">
        <f t="shared" si="8"/>
        <v>40509.66667</v>
      </c>
      <c r="B2527" s="2" t="str">
        <f t="shared" si="2"/>
        <v/>
      </c>
      <c r="C2527" s="2" t="str">
        <f t="shared" si="3"/>
        <v>SP500</v>
      </c>
      <c r="D2527" s="2" t="str">
        <f t="shared" si="4"/>
        <v/>
      </c>
      <c r="E2527" s="2">
        <f t="shared" si="5"/>
        <v>2534.56</v>
      </c>
      <c r="G2527" s="10">
        <f t="shared" si="9"/>
        <v>40509.64583</v>
      </c>
      <c r="H2527" s="6" t="str">
        <f t="shared" si="6"/>
        <v/>
      </c>
      <c r="I2527" s="2">
        <f t="shared" si="7"/>
        <v>1426.89</v>
      </c>
      <c r="M2527" s="10">
        <f>IFERROR(__xludf.DUMMYFUNCTION("""COMPUTED_VALUE"""),41646.666666666664)</f>
        <v>41646.66667</v>
      </c>
      <c r="N2527" s="2">
        <f>IFERROR(__xludf.DUMMYFUNCTION("""COMPUTED_VALUE"""),4153.18)</f>
        <v>4153.18</v>
      </c>
    </row>
    <row r="2528">
      <c r="A2528" s="10">
        <f t="shared" si="8"/>
        <v>40510.66667</v>
      </c>
      <c r="B2528" s="2" t="str">
        <f t="shared" si="2"/>
        <v/>
      </c>
      <c r="C2528" s="2" t="str">
        <f t="shared" si="3"/>
        <v>SP500</v>
      </c>
      <c r="D2528" s="2" t="str">
        <f t="shared" si="4"/>
        <v/>
      </c>
      <c r="E2528" s="2">
        <f t="shared" si="5"/>
        <v>2534.56</v>
      </c>
      <c r="G2528" s="10">
        <f t="shared" si="9"/>
        <v>40510.64583</v>
      </c>
      <c r="H2528" s="6" t="str">
        <f t="shared" si="6"/>
        <v/>
      </c>
      <c r="I2528" s="2">
        <f t="shared" si="7"/>
        <v>1426.89</v>
      </c>
      <c r="M2528" s="10">
        <f>IFERROR(__xludf.DUMMYFUNCTION("""COMPUTED_VALUE"""),41647.666666666664)</f>
        <v>41647.66667</v>
      </c>
      <c r="N2528" s="2">
        <f>IFERROR(__xludf.DUMMYFUNCTION("""COMPUTED_VALUE"""),4165.61)</f>
        <v>4165.61</v>
      </c>
    </row>
    <row r="2529">
      <c r="A2529" s="10">
        <f t="shared" si="8"/>
        <v>40511.66667</v>
      </c>
      <c r="B2529" s="2" t="str">
        <f t="shared" si="2"/>
        <v/>
      </c>
      <c r="C2529" s="2" t="str">
        <f t="shared" si="3"/>
        <v>SP500</v>
      </c>
      <c r="D2529" s="2">
        <f t="shared" si="4"/>
        <v>2525.22</v>
      </c>
      <c r="E2529" s="2">
        <f t="shared" si="5"/>
        <v>2525.22</v>
      </c>
      <c r="G2529" s="10">
        <f t="shared" si="9"/>
        <v>40511.64583</v>
      </c>
      <c r="H2529" s="6" t="str">
        <f t="shared" si="6"/>
        <v/>
      </c>
      <c r="I2529" s="2">
        <f t="shared" si="7"/>
        <v>1426.89</v>
      </c>
      <c r="M2529" s="10">
        <f>IFERROR(__xludf.DUMMYFUNCTION("""COMPUTED_VALUE"""),41648.666666666664)</f>
        <v>41648.66667</v>
      </c>
      <c r="N2529" s="2">
        <f>IFERROR(__xludf.DUMMYFUNCTION("""COMPUTED_VALUE"""),4156.19)</f>
        <v>4156.19</v>
      </c>
    </row>
    <row r="2530">
      <c r="A2530" s="10">
        <f t="shared" si="8"/>
        <v>40512.66667</v>
      </c>
      <c r="B2530" s="2" t="str">
        <f t="shared" si="2"/>
        <v/>
      </c>
      <c r="C2530" s="2" t="str">
        <f t="shared" si="3"/>
        <v>SP500</v>
      </c>
      <c r="D2530" s="2">
        <f t="shared" si="4"/>
        <v>2498.23</v>
      </c>
      <c r="E2530" s="2">
        <f t="shared" si="5"/>
        <v>2498.23</v>
      </c>
      <c r="G2530" s="10">
        <f t="shared" si="9"/>
        <v>40512.64583</v>
      </c>
      <c r="H2530" s="6" t="str">
        <f t="shared" si="6"/>
        <v/>
      </c>
      <c r="I2530" s="2">
        <f t="shared" si="7"/>
        <v>1426.89</v>
      </c>
      <c r="M2530" s="10">
        <f>IFERROR(__xludf.DUMMYFUNCTION("""COMPUTED_VALUE"""),41649.666666666664)</f>
        <v>41649.66667</v>
      </c>
      <c r="N2530" s="2">
        <f>IFERROR(__xludf.DUMMYFUNCTION("""COMPUTED_VALUE"""),4174.66)</f>
        <v>4174.66</v>
      </c>
    </row>
    <row r="2531">
      <c r="A2531" s="10">
        <f t="shared" si="8"/>
        <v>40513.66667</v>
      </c>
      <c r="B2531" s="2" t="str">
        <f t="shared" si="2"/>
        <v/>
      </c>
      <c r="C2531" s="2" t="str">
        <f t="shared" si="3"/>
        <v>SP500</v>
      </c>
      <c r="D2531" s="2">
        <f t="shared" si="4"/>
        <v>2549.43</v>
      </c>
      <c r="E2531" s="2">
        <f t="shared" si="5"/>
        <v>2549.43</v>
      </c>
      <c r="G2531" s="10">
        <f t="shared" si="9"/>
        <v>40513.64583</v>
      </c>
      <c r="H2531" s="6" t="str">
        <f t="shared" si="6"/>
        <v/>
      </c>
      <c r="I2531" s="2">
        <f t="shared" si="7"/>
        <v>1426.89</v>
      </c>
      <c r="M2531" s="10">
        <f>IFERROR(__xludf.DUMMYFUNCTION("""COMPUTED_VALUE"""),41652.666666666664)</f>
        <v>41652.66667</v>
      </c>
      <c r="N2531" s="2">
        <f>IFERROR(__xludf.DUMMYFUNCTION("""COMPUTED_VALUE"""),4113.3)</f>
        <v>4113.3</v>
      </c>
    </row>
    <row r="2532">
      <c r="A2532" s="10">
        <f t="shared" si="8"/>
        <v>40514.66667</v>
      </c>
      <c r="B2532" s="2" t="str">
        <f t="shared" si="2"/>
        <v/>
      </c>
      <c r="C2532" s="2" t="str">
        <f t="shared" si="3"/>
        <v>SP500</v>
      </c>
      <c r="D2532" s="2">
        <f t="shared" si="4"/>
        <v>2579.35</v>
      </c>
      <c r="E2532" s="2">
        <f t="shared" si="5"/>
        <v>2579.35</v>
      </c>
      <c r="G2532" s="10">
        <f t="shared" si="9"/>
        <v>40514.64583</v>
      </c>
      <c r="H2532" s="6" t="str">
        <f t="shared" si="6"/>
        <v/>
      </c>
      <c r="I2532" s="2">
        <f t="shared" si="7"/>
        <v>1426.89</v>
      </c>
      <c r="M2532" s="10">
        <f>IFERROR(__xludf.DUMMYFUNCTION("""COMPUTED_VALUE"""),41653.666666666664)</f>
        <v>41653.66667</v>
      </c>
      <c r="N2532" s="2">
        <f>IFERROR(__xludf.DUMMYFUNCTION("""COMPUTED_VALUE"""),4183.02)</f>
        <v>4183.02</v>
      </c>
    </row>
    <row r="2533">
      <c r="A2533" s="10">
        <f t="shared" si="8"/>
        <v>40515.66667</v>
      </c>
      <c r="B2533" s="2" t="str">
        <f t="shared" si="2"/>
        <v/>
      </c>
      <c r="C2533" s="2" t="str">
        <f t="shared" si="3"/>
        <v>SP500</v>
      </c>
      <c r="D2533" s="2">
        <f t="shared" si="4"/>
        <v>2591.46</v>
      </c>
      <c r="E2533" s="2">
        <f t="shared" si="5"/>
        <v>2591.46</v>
      </c>
      <c r="G2533" s="10">
        <f t="shared" si="9"/>
        <v>40515.64583</v>
      </c>
      <c r="H2533" s="6" t="str">
        <f t="shared" si="6"/>
        <v/>
      </c>
      <c r="I2533" s="2">
        <f t="shared" si="7"/>
        <v>1426.89</v>
      </c>
      <c r="M2533" s="10">
        <f>IFERROR(__xludf.DUMMYFUNCTION("""COMPUTED_VALUE"""),41654.666666666664)</f>
        <v>41654.66667</v>
      </c>
      <c r="N2533" s="2">
        <f>IFERROR(__xludf.DUMMYFUNCTION("""COMPUTED_VALUE"""),4214.88)</f>
        <v>4214.88</v>
      </c>
    </row>
    <row r="2534">
      <c r="A2534" s="10">
        <f t="shared" si="8"/>
        <v>40516.66667</v>
      </c>
      <c r="B2534" s="2" t="str">
        <f t="shared" si="2"/>
        <v/>
      </c>
      <c r="C2534" s="2" t="str">
        <f t="shared" si="3"/>
        <v>SP500</v>
      </c>
      <c r="D2534" s="2" t="str">
        <f t="shared" si="4"/>
        <v/>
      </c>
      <c r="E2534" s="2">
        <f t="shared" si="5"/>
        <v>2591.46</v>
      </c>
      <c r="G2534" s="10">
        <f t="shared" si="9"/>
        <v>40516.64583</v>
      </c>
      <c r="H2534" s="6" t="str">
        <f t="shared" si="6"/>
        <v/>
      </c>
      <c r="I2534" s="2">
        <f t="shared" si="7"/>
        <v>1426.89</v>
      </c>
      <c r="M2534" s="10">
        <f>IFERROR(__xludf.DUMMYFUNCTION("""COMPUTED_VALUE"""),41655.666666666664)</f>
        <v>41655.66667</v>
      </c>
      <c r="N2534" s="2">
        <f>IFERROR(__xludf.DUMMYFUNCTION("""COMPUTED_VALUE"""),4218.69)</f>
        <v>4218.69</v>
      </c>
    </row>
    <row r="2535">
      <c r="A2535" s="10">
        <f t="shared" si="8"/>
        <v>40517.66667</v>
      </c>
      <c r="B2535" s="2" t="str">
        <f t="shared" si="2"/>
        <v/>
      </c>
      <c r="C2535" s="2" t="str">
        <f t="shared" si="3"/>
        <v>SP500</v>
      </c>
      <c r="D2535" s="2" t="str">
        <f t="shared" si="4"/>
        <v/>
      </c>
      <c r="E2535" s="2">
        <f t="shared" si="5"/>
        <v>2591.46</v>
      </c>
      <c r="G2535" s="10">
        <f t="shared" si="9"/>
        <v>40517.64583</v>
      </c>
      <c r="H2535" s="6" t="str">
        <f t="shared" si="6"/>
        <v/>
      </c>
      <c r="I2535" s="2">
        <f t="shared" si="7"/>
        <v>1426.89</v>
      </c>
      <c r="M2535" s="10">
        <f>IFERROR(__xludf.DUMMYFUNCTION("""COMPUTED_VALUE"""),41656.666666666664)</f>
        <v>41656.66667</v>
      </c>
      <c r="N2535" s="2">
        <f>IFERROR(__xludf.DUMMYFUNCTION("""COMPUTED_VALUE"""),4197.58)</f>
        <v>4197.58</v>
      </c>
    </row>
    <row r="2536">
      <c r="A2536" s="10">
        <f t="shared" si="8"/>
        <v>40518.66667</v>
      </c>
      <c r="B2536" s="2" t="str">
        <f t="shared" si="2"/>
        <v/>
      </c>
      <c r="C2536" s="2" t="str">
        <f t="shared" si="3"/>
        <v>SP500</v>
      </c>
      <c r="D2536" s="2">
        <f t="shared" si="4"/>
        <v>2594.92</v>
      </c>
      <c r="E2536" s="2">
        <f t="shared" si="5"/>
        <v>2594.92</v>
      </c>
      <c r="G2536" s="10">
        <f t="shared" si="9"/>
        <v>40518.64583</v>
      </c>
      <c r="H2536" s="6" t="str">
        <f t="shared" si="6"/>
        <v/>
      </c>
      <c r="I2536" s="2">
        <f t="shared" si="7"/>
        <v>1426.89</v>
      </c>
      <c r="M2536" s="10">
        <f>IFERROR(__xludf.DUMMYFUNCTION("""COMPUTED_VALUE"""),41660.666666666664)</f>
        <v>41660.66667</v>
      </c>
      <c r="N2536" s="2">
        <f>IFERROR(__xludf.DUMMYFUNCTION("""COMPUTED_VALUE"""),4225.76)</f>
        <v>4225.76</v>
      </c>
    </row>
    <row r="2537">
      <c r="A2537" s="10">
        <f t="shared" si="8"/>
        <v>40519.66667</v>
      </c>
      <c r="B2537" s="2" t="str">
        <f t="shared" si="2"/>
        <v/>
      </c>
      <c r="C2537" s="2" t="str">
        <f t="shared" si="3"/>
        <v>SP500</v>
      </c>
      <c r="D2537" s="2">
        <f t="shared" si="4"/>
        <v>2598.49</v>
      </c>
      <c r="E2537" s="2">
        <f t="shared" si="5"/>
        <v>2598.49</v>
      </c>
      <c r="G2537" s="10">
        <f t="shared" si="9"/>
        <v>40519.64583</v>
      </c>
      <c r="H2537" s="6" t="str">
        <f t="shared" si="6"/>
        <v/>
      </c>
      <c r="I2537" s="2">
        <f t="shared" si="7"/>
        <v>1426.89</v>
      </c>
      <c r="M2537" s="10">
        <f>IFERROR(__xludf.DUMMYFUNCTION("""COMPUTED_VALUE"""),41661.666666666664)</f>
        <v>41661.66667</v>
      </c>
      <c r="N2537" s="2">
        <f>IFERROR(__xludf.DUMMYFUNCTION("""COMPUTED_VALUE"""),4243.0)</f>
        <v>4243</v>
      </c>
    </row>
    <row r="2538">
      <c r="A2538" s="10">
        <f t="shared" si="8"/>
        <v>40520.66667</v>
      </c>
      <c r="B2538" s="2" t="str">
        <f t="shared" si="2"/>
        <v/>
      </c>
      <c r="C2538" s="2" t="str">
        <f t="shared" si="3"/>
        <v>SP500</v>
      </c>
      <c r="D2538" s="2">
        <f t="shared" si="4"/>
        <v>2609.16</v>
      </c>
      <c r="E2538" s="2">
        <f t="shared" si="5"/>
        <v>2609.16</v>
      </c>
      <c r="G2538" s="10">
        <f t="shared" si="9"/>
        <v>40520.64583</v>
      </c>
      <c r="H2538" s="6" t="str">
        <f t="shared" si="6"/>
        <v/>
      </c>
      <c r="I2538" s="2">
        <f t="shared" si="7"/>
        <v>1426.89</v>
      </c>
      <c r="M2538" s="10">
        <f>IFERROR(__xludf.DUMMYFUNCTION("""COMPUTED_VALUE"""),41662.666666666664)</f>
        <v>41662.66667</v>
      </c>
      <c r="N2538" s="2">
        <f>IFERROR(__xludf.DUMMYFUNCTION("""COMPUTED_VALUE"""),4218.87)</f>
        <v>4218.87</v>
      </c>
    </row>
    <row r="2539">
      <c r="A2539" s="10">
        <f t="shared" si="8"/>
        <v>40521.66667</v>
      </c>
      <c r="B2539" s="2" t="str">
        <f t="shared" si="2"/>
        <v/>
      </c>
      <c r="C2539" s="2" t="str">
        <f t="shared" si="3"/>
        <v>SP500</v>
      </c>
      <c r="D2539" s="2">
        <f t="shared" si="4"/>
        <v>2616.67</v>
      </c>
      <c r="E2539" s="2">
        <f t="shared" si="5"/>
        <v>2616.67</v>
      </c>
      <c r="G2539" s="10">
        <f t="shared" si="9"/>
        <v>40521.64583</v>
      </c>
      <c r="H2539" s="6" t="str">
        <f t="shared" si="6"/>
        <v/>
      </c>
      <c r="I2539" s="2">
        <f t="shared" si="7"/>
        <v>1426.89</v>
      </c>
      <c r="M2539" s="10">
        <f>IFERROR(__xludf.DUMMYFUNCTION("""COMPUTED_VALUE"""),41663.666666666664)</f>
        <v>41663.66667</v>
      </c>
      <c r="N2539" s="2">
        <f>IFERROR(__xludf.DUMMYFUNCTION("""COMPUTED_VALUE"""),4128.17)</f>
        <v>4128.17</v>
      </c>
    </row>
    <row r="2540">
      <c r="A2540" s="10">
        <f t="shared" si="8"/>
        <v>40522.66667</v>
      </c>
      <c r="B2540" s="2" t="str">
        <f t="shared" si="2"/>
        <v/>
      </c>
      <c r="C2540" s="2" t="str">
        <f t="shared" si="3"/>
        <v>SP500</v>
      </c>
      <c r="D2540" s="2">
        <f t="shared" si="4"/>
        <v>2637.54</v>
      </c>
      <c r="E2540" s="2">
        <f t="shared" si="5"/>
        <v>2637.54</v>
      </c>
      <c r="G2540" s="10">
        <f t="shared" si="9"/>
        <v>40522.64583</v>
      </c>
      <c r="H2540" s="6" t="str">
        <f t="shared" si="6"/>
        <v/>
      </c>
      <c r="I2540" s="2">
        <f t="shared" si="7"/>
        <v>1426.89</v>
      </c>
      <c r="M2540" s="10">
        <f>IFERROR(__xludf.DUMMYFUNCTION("""COMPUTED_VALUE"""),41666.666666666664)</f>
        <v>41666.66667</v>
      </c>
      <c r="N2540" s="2">
        <f>IFERROR(__xludf.DUMMYFUNCTION("""COMPUTED_VALUE"""),4083.61)</f>
        <v>4083.61</v>
      </c>
    </row>
    <row r="2541">
      <c r="A2541" s="10">
        <f t="shared" si="8"/>
        <v>40523.66667</v>
      </c>
      <c r="B2541" s="2" t="str">
        <f t="shared" si="2"/>
        <v/>
      </c>
      <c r="C2541" s="2" t="str">
        <f t="shared" si="3"/>
        <v>SP500</v>
      </c>
      <c r="D2541" s="2" t="str">
        <f t="shared" si="4"/>
        <v/>
      </c>
      <c r="E2541" s="2">
        <f t="shared" si="5"/>
        <v>2637.54</v>
      </c>
      <c r="G2541" s="10">
        <f t="shared" si="9"/>
        <v>40523.64583</v>
      </c>
      <c r="H2541" s="6" t="str">
        <f t="shared" si="6"/>
        <v/>
      </c>
      <c r="I2541" s="2">
        <f t="shared" si="7"/>
        <v>1426.89</v>
      </c>
      <c r="M2541" s="10">
        <f>IFERROR(__xludf.DUMMYFUNCTION("""COMPUTED_VALUE"""),41667.666666666664)</f>
        <v>41667.66667</v>
      </c>
      <c r="N2541" s="2">
        <f>IFERROR(__xludf.DUMMYFUNCTION("""COMPUTED_VALUE"""),4097.96)</f>
        <v>4097.96</v>
      </c>
    </row>
    <row r="2542">
      <c r="A2542" s="10">
        <f t="shared" si="8"/>
        <v>40524.66667</v>
      </c>
      <c r="B2542" s="2" t="str">
        <f t="shared" si="2"/>
        <v/>
      </c>
      <c r="C2542" s="2" t="str">
        <f t="shared" si="3"/>
        <v>SP500</v>
      </c>
      <c r="D2542" s="2" t="str">
        <f t="shared" si="4"/>
        <v/>
      </c>
      <c r="E2542" s="2">
        <f t="shared" si="5"/>
        <v>2637.54</v>
      </c>
      <c r="G2542" s="10">
        <f t="shared" si="9"/>
        <v>40524.64583</v>
      </c>
      <c r="H2542" s="6" t="str">
        <f t="shared" si="6"/>
        <v/>
      </c>
      <c r="I2542" s="2">
        <f t="shared" si="7"/>
        <v>1426.89</v>
      </c>
      <c r="M2542" s="10">
        <f>IFERROR(__xludf.DUMMYFUNCTION("""COMPUTED_VALUE"""),41668.666666666664)</f>
        <v>41668.66667</v>
      </c>
      <c r="N2542" s="2">
        <f>IFERROR(__xludf.DUMMYFUNCTION("""COMPUTED_VALUE"""),4051.43)</f>
        <v>4051.43</v>
      </c>
    </row>
    <row r="2543">
      <c r="A2543" s="10">
        <f t="shared" si="8"/>
        <v>40525.66667</v>
      </c>
      <c r="B2543" s="2" t="str">
        <f t="shared" si="2"/>
        <v/>
      </c>
      <c r="C2543" s="2" t="str">
        <f t="shared" si="3"/>
        <v>SP500</v>
      </c>
      <c r="D2543" s="2">
        <f t="shared" si="4"/>
        <v>2624.91</v>
      </c>
      <c r="E2543" s="2">
        <f t="shared" si="5"/>
        <v>2624.91</v>
      </c>
      <c r="G2543" s="10">
        <f t="shared" si="9"/>
        <v>40525.64583</v>
      </c>
      <c r="H2543" s="6" t="str">
        <f t="shared" si="6"/>
        <v/>
      </c>
      <c r="I2543" s="2">
        <f t="shared" si="7"/>
        <v>1426.89</v>
      </c>
      <c r="M2543" s="10">
        <f>IFERROR(__xludf.DUMMYFUNCTION("""COMPUTED_VALUE"""),41669.666666666664)</f>
        <v>41669.66667</v>
      </c>
      <c r="N2543" s="2">
        <f>IFERROR(__xludf.DUMMYFUNCTION("""COMPUTED_VALUE"""),4123.13)</f>
        <v>4123.13</v>
      </c>
    </row>
    <row r="2544">
      <c r="A2544" s="10">
        <f t="shared" si="8"/>
        <v>40526.66667</v>
      </c>
      <c r="B2544" s="2" t="str">
        <f t="shared" si="2"/>
        <v/>
      </c>
      <c r="C2544" s="2" t="str">
        <f t="shared" si="3"/>
        <v>SP500</v>
      </c>
      <c r="D2544" s="2">
        <f t="shared" si="4"/>
        <v>2627.72</v>
      </c>
      <c r="E2544" s="2">
        <f t="shared" si="5"/>
        <v>2627.72</v>
      </c>
      <c r="G2544" s="10">
        <f t="shared" si="9"/>
        <v>40526.64583</v>
      </c>
      <c r="H2544" s="6" t="str">
        <f t="shared" si="6"/>
        <v/>
      </c>
      <c r="I2544" s="2">
        <f t="shared" si="7"/>
        <v>1426.89</v>
      </c>
      <c r="M2544" s="10">
        <f>IFERROR(__xludf.DUMMYFUNCTION("""COMPUTED_VALUE"""),41670.666666666664)</f>
        <v>41670.66667</v>
      </c>
      <c r="N2544" s="2">
        <f>IFERROR(__xludf.DUMMYFUNCTION("""COMPUTED_VALUE"""),4103.88)</f>
        <v>4103.88</v>
      </c>
    </row>
    <row r="2545">
      <c r="A2545" s="10">
        <f t="shared" si="8"/>
        <v>40527.66667</v>
      </c>
      <c r="B2545" s="2" t="str">
        <f t="shared" si="2"/>
        <v/>
      </c>
      <c r="C2545" s="2" t="str">
        <f t="shared" si="3"/>
        <v>SP500</v>
      </c>
      <c r="D2545" s="2">
        <f t="shared" si="4"/>
        <v>2617.22</v>
      </c>
      <c r="E2545" s="2">
        <f t="shared" si="5"/>
        <v>2617.22</v>
      </c>
      <c r="G2545" s="10">
        <f t="shared" si="9"/>
        <v>40527.64583</v>
      </c>
      <c r="H2545" s="6" t="str">
        <f t="shared" si="6"/>
        <v/>
      </c>
      <c r="I2545" s="2">
        <f t="shared" si="7"/>
        <v>1426.89</v>
      </c>
      <c r="M2545" s="10">
        <f>IFERROR(__xludf.DUMMYFUNCTION("""COMPUTED_VALUE"""),41673.666666666664)</f>
        <v>41673.66667</v>
      </c>
      <c r="N2545" s="2">
        <f>IFERROR(__xludf.DUMMYFUNCTION("""COMPUTED_VALUE"""),3996.96)</f>
        <v>3996.96</v>
      </c>
    </row>
    <row r="2546">
      <c r="A2546" s="10">
        <f t="shared" si="8"/>
        <v>40528.66667</v>
      </c>
      <c r="B2546" s="2" t="str">
        <f t="shared" si="2"/>
        <v/>
      </c>
      <c r="C2546" s="2" t="str">
        <f t="shared" si="3"/>
        <v>SP500</v>
      </c>
      <c r="D2546" s="2">
        <f t="shared" si="4"/>
        <v>2637.31</v>
      </c>
      <c r="E2546" s="2">
        <f t="shared" si="5"/>
        <v>2637.31</v>
      </c>
      <c r="G2546" s="10">
        <f t="shared" si="9"/>
        <v>40528.64583</v>
      </c>
      <c r="H2546" s="6" t="str">
        <f t="shared" si="6"/>
        <v/>
      </c>
      <c r="I2546" s="2">
        <f t="shared" si="7"/>
        <v>1426.89</v>
      </c>
      <c r="M2546" s="10">
        <f>IFERROR(__xludf.DUMMYFUNCTION("""COMPUTED_VALUE"""),41674.666666666664)</f>
        <v>41674.66667</v>
      </c>
      <c r="N2546" s="2">
        <f>IFERROR(__xludf.DUMMYFUNCTION("""COMPUTED_VALUE"""),4031.52)</f>
        <v>4031.52</v>
      </c>
    </row>
    <row r="2547">
      <c r="A2547" s="10">
        <f t="shared" si="8"/>
        <v>40529.66667</v>
      </c>
      <c r="B2547" s="2" t="str">
        <f t="shared" si="2"/>
        <v/>
      </c>
      <c r="C2547" s="2" t="str">
        <f t="shared" si="3"/>
        <v>SP500</v>
      </c>
      <c r="D2547" s="2">
        <f t="shared" si="4"/>
        <v>2642.97</v>
      </c>
      <c r="E2547" s="2">
        <f t="shared" si="5"/>
        <v>2642.97</v>
      </c>
      <c r="G2547" s="10">
        <f t="shared" si="9"/>
        <v>40529.64583</v>
      </c>
      <c r="H2547" s="6" t="str">
        <f t="shared" si="6"/>
        <v/>
      </c>
      <c r="I2547" s="2">
        <f t="shared" si="7"/>
        <v>1426.89</v>
      </c>
      <c r="M2547" s="10">
        <f>IFERROR(__xludf.DUMMYFUNCTION("""COMPUTED_VALUE"""),41675.666666666664)</f>
        <v>41675.66667</v>
      </c>
      <c r="N2547" s="2">
        <f>IFERROR(__xludf.DUMMYFUNCTION("""COMPUTED_VALUE"""),4011.55)</f>
        <v>4011.55</v>
      </c>
    </row>
    <row r="2548">
      <c r="A2548" s="10">
        <f t="shared" si="8"/>
        <v>40530.66667</v>
      </c>
      <c r="B2548" s="2" t="str">
        <f t="shared" si="2"/>
        <v/>
      </c>
      <c r="C2548" s="2" t="str">
        <f t="shared" si="3"/>
        <v>SP500</v>
      </c>
      <c r="D2548" s="2" t="str">
        <f t="shared" si="4"/>
        <v/>
      </c>
      <c r="E2548" s="2">
        <f t="shared" si="5"/>
        <v>2642.97</v>
      </c>
      <c r="G2548" s="10">
        <f t="shared" si="9"/>
        <v>40530.64583</v>
      </c>
      <c r="H2548" s="6" t="str">
        <f t="shared" si="6"/>
        <v/>
      </c>
      <c r="I2548" s="2">
        <f t="shared" si="7"/>
        <v>1426.89</v>
      </c>
      <c r="M2548" s="10">
        <f>IFERROR(__xludf.DUMMYFUNCTION("""COMPUTED_VALUE"""),41676.666666666664)</f>
        <v>41676.66667</v>
      </c>
      <c r="N2548" s="2">
        <f>IFERROR(__xludf.DUMMYFUNCTION("""COMPUTED_VALUE"""),4057.12)</f>
        <v>4057.12</v>
      </c>
    </row>
    <row r="2549">
      <c r="A2549" s="10">
        <f t="shared" si="8"/>
        <v>40531.66667</v>
      </c>
      <c r="B2549" s="2" t="str">
        <f t="shared" si="2"/>
        <v/>
      </c>
      <c r="C2549" s="2" t="str">
        <f t="shared" si="3"/>
        <v>SP500</v>
      </c>
      <c r="D2549" s="2" t="str">
        <f t="shared" si="4"/>
        <v/>
      </c>
      <c r="E2549" s="2">
        <f t="shared" si="5"/>
        <v>2642.97</v>
      </c>
      <c r="G2549" s="10">
        <f t="shared" si="9"/>
        <v>40531.64583</v>
      </c>
      <c r="H2549" s="6" t="str">
        <f t="shared" si="6"/>
        <v/>
      </c>
      <c r="I2549" s="2">
        <f t="shared" si="7"/>
        <v>1426.89</v>
      </c>
      <c r="M2549" s="10">
        <f>IFERROR(__xludf.DUMMYFUNCTION("""COMPUTED_VALUE"""),41677.666666666664)</f>
        <v>41677.66667</v>
      </c>
      <c r="N2549" s="2">
        <f>IFERROR(__xludf.DUMMYFUNCTION("""COMPUTED_VALUE"""),4125.86)</f>
        <v>4125.86</v>
      </c>
    </row>
    <row r="2550">
      <c r="A2550" s="10">
        <f t="shared" si="8"/>
        <v>40532.66667</v>
      </c>
      <c r="B2550" s="2" t="str">
        <f t="shared" si="2"/>
        <v/>
      </c>
      <c r="C2550" s="2" t="str">
        <f t="shared" si="3"/>
        <v>SP500</v>
      </c>
      <c r="D2550" s="2">
        <f t="shared" si="4"/>
        <v>2649.56</v>
      </c>
      <c r="E2550" s="2">
        <f t="shared" si="5"/>
        <v>2649.56</v>
      </c>
      <c r="G2550" s="10">
        <f t="shared" si="9"/>
        <v>40532.64583</v>
      </c>
      <c r="H2550" s="6" t="str">
        <f t="shared" si="6"/>
        <v/>
      </c>
      <c r="I2550" s="2">
        <f t="shared" si="7"/>
        <v>1426.89</v>
      </c>
      <c r="M2550" s="10">
        <f>IFERROR(__xludf.DUMMYFUNCTION("""COMPUTED_VALUE"""),41680.666666666664)</f>
        <v>41680.66667</v>
      </c>
      <c r="N2550" s="2">
        <f>IFERROR(__xludf.DUMMYFUNCTION("""COMPUTED_VALUE"""),4148.17)</f>
        <v>4148.17</v>
      </c>
    </row>
    <row r="2551">
      <c r="A2551" s="10">
        <f t="shared" si="8"/>
        <v>40533.66667</v>
      </c>
      <c r="B2551" s="2" t="str">
        <f t="shared" si="2"/>
        <v/>
      </c>
      <c r="C2551" s="2" t="str">
        <f t="shared" si="3"/>
        <v>SP500</v>
      </c>
      <c r="D2551" s="2">
        <f t="shared" si="4"/>
        <v>2667.61</v>
      </c>
      <c r="E2551" s="2">
        <f t="shared" si="5"/>
        <v>2667.61</v>
      </c>
      <c r="G2551" s="10">
        <f t="shared" si="9"/>
        <v>40533.64583</v>
      </c>
      <c r="H2551" s="6" t="str">
        <f t="shared" si="6"/>
        <v/>
      </c>
      <c r="I2551" s="2">
        <f t="shared" si="7"/>
        <v>1426.89</v>
      </c>
      <c r="M2551" s="10">
        <f>IFERROR(__xludf.DUMMYFUNCTION("""COMPUTED_VALUE"""),41681.666666666664)</f>
        <v>41681.66667</v>
      </c>
      <c r="N2551" s="2">
        <f>IFERROR(__xludf.DUMMYFUNCTION("""COMPUTED_VALUE"""),4191.04)</f>
        <v>4191.04</v>
      </c>
    </row>
    <row r="2552">
      <c r="A2552" s="10">
        <f t="shared" si="8"/>
        <v>40534.66667</v>
      </c>
      <c r="B2552" s="2" t="str">
        <f t="shared" si="2"/>
        <v/>
      </c>
      <c r="C2552" s="2" t="str">
        <f t="shared" si="3"/>
        <v>SP500</v>
      </c>
      <c r="D2552" s="2">
        <f t="shared" si="4"/>
        <v>2671.48</v>
      </c>
      <c r="E2552" s="2">
        <f t="shared" si="5"/>
        <v>2671.48</v>
      </c>
      <c r="G2552" s="10">
        <f t="shared" si="9"/>
        <v>40534.64583</v>
      </c>
      <c r="H2552" s="6" t="str">
        <f t="shared" si="6"/>
        <v/>
      </c>
      <c r="I2552" s="2">
        <f t="shared" si="7"/>
        <v>1426.89</v>
      </c>
      <c r="M2552" s="10">
        <f>IFERROR(__xludf.DUMMYFUNCTION("""COMPUTED_VALUE"""),41682.666666666664)</f>
        <v>41682.66667</v>
      </c>
      <c r="N2552" s="2">
        <f>IFERROR(__xludf.DUMMYFUNCTION("""COMPUTED_VALUE"""),4201.29)</f>
        <v>4201.29</v>
      </c>
    </row>
    <row r="2553">
      <c r="A2553" s="10">
        <f t="shared" si="8"/>
        <v>40535.66667</v>
      </c>
      <c r="B2553" s="2" t="str">
        <f t="shared" si="2"/>
        <v/>
      </c>
      <c r="C2553" s="2" t="str">
        <f t="shared" si="3"/>
        <v>SP500</v>
      </c>
      <c r="D2553" s="2">
        <f t="shared" si="4"/>
        <v>2665.6</v>
      </c>
      <c r="E2553" s="2">
        <f t="shared" si="5"/>
        <v>2665.6</v>
      </c>
      <c r="G2553" s="10">
        <f t="shared" si="9"/>
        <v>40535.64583</v>
      </c>
      <c r="H2553" s="6" t="str">
        <f t="shared" si="6"/>
        <v/>
      </c>
      <c r="I2553" s="2">
        <f t="shared" si="7"/>
        <v>1426.89</v>
      </c>
      <c r="M2553" s="10">
        <f>IFERROR(__xludf.DUMMYFUNCTION("""COMPUTED_VALUE"""),41683.666666666664)</f>
        <v>41683.66667</v>
      </c>
      <c r="N2553" s="2">
        <f>IFERROR(__xludf.DUMMYFUNCTION("""COMPUTED_VALUE"""),4240.67)</f>
        <v>4240.67</v>
      </c>
    </row>
    <row r="2554">
      <c r="A2554" s="10">
        <f t="shared" si="8"/>
        <v>40536.66667</v>
      </c>
      <c r="B2554" s="2" t="str">
        <f t="shared" si="2"/>
        <v/>
      </c>
      <c r="C2554" s="2" t="str">
        <f t="shared" si="3"/>
        <v>SP500</v>
      </c>
      <c r="D2554" s="2" t="str">
        <f t="shared" si="4"/>
        <v/>
      </c>
      <c r="E2554" s="2">
        <f t="shared" si="5"/>
        <v>2665.6</v>
      </c>
      <c r="G2554" s="10">
        <f t="shared" si="9"/>
        <v>40536.64583</v>
      </c>
      <c r="H2554" s="6" t="str">
        <f t="shared" si="6"/>
        <v/>
      </c>
      <c r="I2554" s="2">
        <f t="shared" si="7"/>
        <v>1426.89</v>
      </c>
      <c r="M2554" s="10">
        <f>IFERROR(__xludf.DUMMYFUNCTION("""COMPUTED_VALUE"""),41684.666666666664)</f>
        <v>41684.66667</v>
      </c>
      <c r="N2554" s="2">
        <f>IFERROR(__xludf.DUMMYFUNCTION("""COMPUTED_VALUE"""),4244.03)</f>
        <v>4244.03</v>
      </c>
    </row>
    <row r="2555">
      <c r="A2555" s="10">
        <f t="shared" si="8"/>
        <v>40537.66667</v>
      </c>
      <c r="B2555" s="2" t="str">
        <f t="shared" si="2"/>
        <v/>
      </c>
      <c r="C2555" s="2" t="str">
        <f t="shared" si="3"/>
        <v>SP500</v>
      </c>
      <c r="D2555" s="2" t="str">
        <f t="shared" si="4"/>
        <v/>
      </c>
      <c r="E2555" s="2">
        <f t="shared" si="5"/>
        <v>2665.6</v>
      </c>
      <c r="G2555" s="10">
        <f t="shared" si="9"/>
        <v>40537.64583</v>
      </c>
      <c r="H2555" s="6" t="str">
        <f t="shared" si="6"/>
        <v/>
      </c>
      <c r="I2555" s="2">
        <f t="shared" si="7"/>
        <v>1426.89</v>
      </c>
      <c r="M2555" s="10">
        <f>IFERROR(__xludf.DUMMYFUNCTION("""COMPUTED_VALUE"""),41688.666666666664)</f>
        <v>41688.66667</v>
      </c>
      <c r="N2555" s="2">
        <f>IFERROR(__xludf.DUMMYFUNCTION("""COMPUTED_VALUE"""),4272.78)</f>
        <v>4272.78</v>
      </c>
    </row>
    <row r="2556">
      <c r="A2556" s="10">
        <f t="shared" si="8"/>
        <v>40538.66667</v>
      </c>
      <c r="B2556" s="2" t="str">
        <f t="shared" si="2"/>
        <v/>
      </c>
      <c r="C2556" s="2" t="str">
        <f t="shared" si="3"/>
        <v>SP500</v>
      </c>
      <c r="D2556" s="2" t="str">
        <f t="shared" si="4"/>
        <v/>
      </c>
      <c r="E2556" s="2">
        <f t="shared" si="5"/>
        <v>2665.6</v>
      </c>
      <c r="G2556" s="10">
        <f t="shared" si="9"/>
        <v>40538.64583</v>
      </c>
      <c r="H2556" s="6" t="str">
        <f t="shared" si="6"/>
        <v/>
      </c>
      <c r="I2556" s="2">
        <f t="shared" si="7"/>
        <v>1426.89</v>
      </c>
      <c r="M2556" s="10">
        <f>IFERROR(__xludf.DUMMYFUNCTION("""COMPUTED_VALUE"""),41689.666666666664)</f>
        <v>41689.66667</v>
      </c>
      <c r="N2556" s="2">
        <f>IFERROR(__xludf.DUMMYFUNCTION("""COMPUTED_VALUE"""),4237.95)</f>
        <v>4237.95</v>
      </c>
    </row>
    <row r="2557">
      <c r="A2557" s="10">
        <f t="shared" si="8"/>
        <v>40539.66667</v>
      </c>
      <c r="B2557" s="2" t="str">
        <f t="shared" si="2"/>
        <v/>
      </c>
      <c r="C2557" s="2" t="str">
        <f t="shared" si="3"/>
        <v>SP500</v>
      </c>
      <c r="D2557" s="2">
        <f t="shared" si="4"/>
        <v>2667.27</v>
      </c>
      <c r="E2557" s="2">
        <f t="shared" si="5"/>
        <v>2667.27</v>
      </c>
      <c r="G2557" s="10">
        <f t="shared" si="9"/>
        <v>40539.64583</v>
      </c>
      <c r="H2557" s="6" t="str">
        <f t="shared" si="6"/>
        <v/>
      </c>
      <c r="I2557" s="2">
        <f t="shared" si="7"/>
        <v>1426.89</v>
      </c>
      <c r="M2557" s="10">
        <f>IFERROR(__xludf.DUMMYFUNCTION("""COMPUTED_VALUE"""),41690.666666666664)</f>
        <v>41690.66667</v>
      </c>
      <c r="N2557" s="2">
        <f>IFERROR(__xludf.DUMMYFUNCTION("""COMPUTED_VALUE"""),4267.55)</f>
        <v>4267.55</v>
      </c>
    </row>
    <row r="2558">
      <c r="A2558" s="10">
        <f t="shared" si="8"/>
        <v>40540.66667</v>
      </c>
      <c r="B2558" s="2" t="str">
        <f t="shared" si="2"/>
        <v/>
      </c>
      <c r="C2558" s="2" t="str">
        <f t="shared" si="3"/>
        <v>SP500</v>
      </c>
      <c r="D2558" s="2">
        <f t="shared" si="4"/>
        <v>2662.88</v>
      </c>
      <c r="E2558" s="2">
        <f t="shared" si="5"/>
        <v>2662.88</v>
      </c>
      <c r="G2558" s="10">
        <f t="shared" si="9"/>
        <v>40540.64583</v>
      </c>
      <c r="H2558" s="6" t="str">
        <f t="shared" si="6"/>
        <v/>
      </c>
      <c r="I2558" s="2">
        <f t="shared" si="7"/>
        <v>1426.89</v>
      </c>
      <c r="M2558" s="10">
        <f>IFERROR(__xludf.DUMMYFUNCTION("""COMPUTED_VALUE"""),41691.666666666664)</f>
        <v>41691.66667</v>
      </c>
      <c r="N2558" s="2">
        <f>IFERROR(__xludf.DUMMYFUNCTION("""COMPUTED_VALUE"""),4263.41)</f>
        <v>4263.41</v>
      </c>
    </row>
    <row r="2559">
      <c r="A2559" s="10">
        <f t="shared" si="8"/>
        <v>40541.66667</v>
      </c>
      <c r="B2559" s="2" t="str">
        <f t="shared" si="2"/>
        <v/>
      </c>
      <c r="C2559" s="2" t="str">
        <f t="shared" si="3"/>
        <v>SP500</v>
      </c>
      <c r="D2559" s="2">
        <f t="shared" si="4"/>
        <v>2666.93</v>
      </c>
      <c r="E2559" s="2">
        <f t="shared" si="5"/>
        <v>2666.93</v>
      </c>
      <c r="G2559" s="10">
        <f t="shared" si="9"/>
        <v>40541.64583</v>
      </c>
      <c r="H2559" s="6" t="str">
        <f t="shared" si="6"/>
        <v/>
      </c>
      <c r="I2559" s="2">
        <f t="shared" si="7"/>
        <v>1426.89</v>
      </c>
      <c r="M2559" s="10">
        <f>IFERROR(__xludf.DUMMYFUNCTION("""COMPUTED_VALUE"""),41694.666666666664)</f>
        <v>41694.66667</v>
      </c>
      <c r="N2559" s="2">
        <f>IFERROR(__xludf.DUMMYFUNCTION("""COMPUTED_VALUE"""),4292.97)</f>
        <v>4292.97</v>
      </c>
    </row>
    <row r="2560">
      <c r="A2560" s="10">
        <f t="shared" si="8"/>
        <v>40542.66667</v>
      </c>
      <c r="B2560" s="2" t="str">
        <f t="shared" si="2"/>
        <v/>
      </c>
      <c r="C2560" s="2" t="str">
        <f t="shared" si="3"/>
        <v>SP500</v>
      </c>
      <c r="D2560" s="2">
        <f t="shared" si="4"/>
        <v>2662.98</v>
      </c>
      <c r="E2560" s="2">
        <f t="shared" si="5"/>
        <v>2662.98</v>
      </c>
      <c r="G2560" s="10">
        <f t="shared" si="9"/>
        <v>40542.64583</v>
      </c>
      <c r="H2560" s="6" t="str">
        <f t="shared" si="6"/>
        <v/>
      </c>
      <c r="I2560" s="2">
        <f t="shared" si="7"/>
        <v>1426.89</v>
      </c>
      <c r="M2560" s="10">
        <f>IFERROR(__xludf.DUMMYFUNCTION("""COMPUTED_VALUE"""),41695.666666666664)</f>
        <v>41695.66667</v>
      </c>
      <c r="N2560" s="2">
        <f>IFERROR(__xludf.DUMMYFUNCTION("""COMPUTED_VALUE"""),4287.59)</f>
        <v>4287.59</v>
      </c>
    </row>
    <row r="2561">
      <c r="A2561" s="10">
        <f t="shared" si="8"/>
        <v>40543.66667</v>
      </c>
      <c r="B2561" s="2" t="str">
        <f t="shared" si="2"/>
        <v/>
      </c>
      <c r="C2561" s="2" t="str">
        <f t="shared" si="3"/>
        <v>SP500</v>
      </c>
      <c r="D2561" s="2">
        <f t="shared" si="4"/>
        <v>2652.87</v>
      </c>
      <c r="E2561" s="2">
        <f t="shared" si="5"/>
        <v>2652.87</v>
      </c>
      <c r="G2561" s="10">
        <f t="shared" si="9"/>
        <v>40543.64583</v>
      </c>
      <c r="H2561" s="6" t="str">
        <f t="shared" si="6"/>
        <v/>
      </c>
      <c r="I2561" s="2">
        <f t="shared" si="7"/>
        <v>1426.89</v>
      </c>
      <c r="M2561" s="10">
        <f>IFERROR(__xludf.DUMMYFUNCTION("""COMPUTED_VALUE"""),41696.666666666664)</f>
        <v>41696.66667</v>
      </c>
      <c r="N2561" s="2">
        <f>IFERROR(__xludf.DUMMYFUNCTION("""COMPUTED_VALUE"""),4292.06)</f>
        <v>4292.06</v>
      </c>
    </row>
    <row r="2562">
      <c r="A2562" s="10">
        <f t="shared" si="8"/>
        <v>40544.66667</v>
      </c>
      <c r="B2562" s="2" t="str">
        <f t="shared" si="2"/>
        <v/>
      </c>
      <c r="C2562" s="2" t="str">
        <f t="shared" si="3"/>
        <v>SP500</v>
      </c>
      <c r="D2562" s="2" t="str">
        <f t="shared" si="4"/>
        <v/>
      </c>
      <c r="E2562" s="2">
        <f t="shared" si="5"/>
        <v>2652.87</v>
      </c>
      <c r="G2562" s="10">
        <f t="shared" si="9"/>
        <v>40544.64583</v>
      </c>
      <c r="H2562" s="6" t="str">
        <f t="shared" si="6"/>
        <v/>
      </c>
      <c r="I2562" s="2">
        <f t="shared" si="7"/>
        <v>1426.89</v>
      </c>
      <c r="M2562" s="10">
        <f>IFERROR(__xludf.DUMMYFUNCTION("""COMPUTED_VALUE"""),41697.666666666664)</f>
        <v>41697.66667</v>
      </c>
      <c r="N2562" s="2">
        <f>IFERROR(__xludf.DUMMYFUNCTION("""COMPUTED_VALUE"""),4318.93)</f>
        <v>4318.93</v>
      </c>
    </row>
    <row r="2563">
      <c r="A2563" s="10">
        <f t="shared" si="8"/>
        <v>40545.66667</v>
      </c>
      <c r="B2563" s="2" t="str">
        <f t="shared" si="2"/>
        <v/>
      </c>
      <c r="C2563" s="2" t="str">
        <f t="shared" si="3"/>
        <v>SP500</v>
      </c>
      <c r="D2563" s="2" t="str">
        <f t="shared" si="4"/>
        <v/>
      </c>
      <c r="E2563" s="2">
        <f t="shared" si="5"/>
        <v>2652.87</v>
      </c>
      <c r="G2563" s="10">
        <f t="shared" si="9"/>
        <v>40545.64583</v>
      </c>
      <c r="H2563" s="6" t="str">
        <f t="shared" si="6"/>
        <v/>
      </c>
      <c r="I2563" s="2">
        <f t="shared" si="7"/>
        <v>1426.89</v>
      </c>
      <c r="M2563" s="10">
        <f>IFERROR(__xludf.DUMMYFUNCTION("""COMPUTED_VALUE"""),41698.666666666664)</f>
        <v>41698.66667</v>
      </c>
      <c r="N2563" s="2">
        <f>IFERROR(__xludf.DUMMYFUNCTION("""COMPUTED_VALUE"""),4308.12)</f>
        <v>4308.12</v>
      </c>
    </row>
    <row r="2564">
      <c r="A2564" s="10">
        <f t="shared" si="8"/>
        <v>40546.66667</v>
      </c>
      <c r="B2564" s="2" t="str">
        <f t="shared" si="2"/>
        <v/>
      </c>
      <c r="C2564" s="2" t="str">
        <f t="shared" si="3"/>
        <v>SP500</v>
      </c>
      <c r="D2564" s="2">
        <f t="shared" si="4"/>
        <v>2691.52</v>
      </c>
      <c r="E2564" s="2">
        <f t="shared" si="5"/>
        <v>2691.52</v>
      </c>
      <c r="G2564" s="10">
        <f t="shared" si="9"/>
        <v>40546.64583</v>
      </c>
      <c r="H2564" s="6" t="str">
        <f t="shared" si="6"/>
        <v/>
      </c>
      <c r="I2564" s="2">
        <f t="shared" si="7"/>
        <v>1426.89</v>
      </c>
      <c r="M2564" s="10">
        <f>IFERROR(__xludf.DUMMYFUNCTION("""COMPUTED_VALUE"""),41701.666666666664)</f>
        <v>41701.66667</v>
      </c>
      <c r="N2564" s="2">
        <f>IFERROR(__xludf.DUMMYFUNCTION("""COMPUTED_VALUE"""),4277.3)</f>
        <v>4277.3</v>
      </c>
    </row>
    <row r="2565">
      <c r="A2565" s="10">
        <f t="shared" si="8"/>
        <v>40547.66667</v>
      </c>
      <c r="B2565" s="2" t="str">
        <f t="shared" si="2"/>
        <v/>
      </c>
      <c r="C2565" s="2" t="str">
        <f t="shared" si="3"/>
        <v>SP500</v>
      </c>
      <c r="D2565" s="2">
        <f t="shared" si="4"/>
        <v>2681.25</v>
      </c>
      <c r="E2565" s="2">
        <f t="shared" si="5"/>
        <v>2681.25</v>
      </c>
      <c r="G2565" s="10">
        <f t="shared" si="9"/>
        <v>40547.64583</v>
      </c>
      <c r="H2565" s="6" t="str">
        <f t="shared" si="6"/>
        <v/>
      </c>
      <c r="I2565" s="2">
        <f t="shared" si="7"/>
        <v>1426.89</v>
      </c>
      <c r="M2565" s="10">
        <f>IFERROR(__xludf.DUMMYFUNCTION("""COMPUTED_VALUE"""),41702.666666666664)</f>
        <v>41702.66667</v>
      </c>
      <c r="N2565" s="2">
        <f>IFERROR(__xludf.DUMMYFUNCTION("""COMPUTED_VALUE"""),4351.97)</f>
        <v>4351.97</v>
      </c>
    </row>
    <row r="2566">
      <c r="A2566" s="10">
        <f t="shared" si="8"/>
        <v>40548.66667</v>
      </c>
      <c r="B2566" s="2" t="str">
        <f t="shared" si="2"/>
        <v/>
      </c>
      <c r="C2566" s="2" t="str">
        <f t="shared" si="3"/>
        <v>SP500</v>
      </c>
      <c r="D2566" s="2">
        <f t="shared" si="4"/>
        <v>2702.2</v>
      </c>
      <c r="E2566" s="2">
        <f t="shared" si="5"/>
        <v>2702.2</v>
      </c>
      <c r="G2566" s="10">
        <f t="shared" si="9"/>
        <v>40548.64583</v>
      </c>
      <c r="H2566" s="6" t="str">
        <f t="shared" si="6"/>
        <v/>
      </c>
      <c r="I2566" s="2">
        <f t="shared" si="7"/>
        <v>1426.89</v>
      </c>
      <c r="M2566" s="10">
        <f>IFERROR(__xludf.DUMMYFUNCTION("""COMPUTED_VALUE"""),41703.666666666664)</f>
        <v>41703.66667</v>
      </c>
      <c r="N2566" s="2">
        <f>IFERROR(__xludf.DUMMYFUNCTION("""COMPUTED_VALUE"""),4357.97)</f>
        <v>4357.97</v>
      </c>
    </row>
    <row r="2567">
      <c r="A2567" s="10">
        <f t="shared" si="8"/>
        <v>40549.66667</v>
      </c>
      <c r="B2567" s="2" t="str">
        <f t="shared" si="2"/>
        <v/>
      </c>
      <c r="C2567" s="2" t="str">
        <f t="shared" si="3"/>
        <v>SP500</v>
      </c>
      <c r="D2567" s="2">
        <f t="shared" si="4"/>
        <v>2709.89</v>
      </c>
      <c r="E2567" s="2">
        <f t="shared" si="5"/>
        <v>2709.89</v>
      </c>
      <c r="G2567" s="10">
        <f t="shared" si="9"/>
        <v>40549.64583</v>
      </c>
      <c r="H2567" s="6" t="str">
        <f t="shared" si="6"/>
        <v/>
      </c>
      <c r="I2567" s="2">
        <f t="shared" si="7"/>
        <v>1426.89</v>
      </c>
      <c r="M2567" s="10">
        <f>IFERROR(__xludf.DUMMYFUNCTION("""COMPUTED_VALUE"""),41704.666666666664)</f>
        <v>41704.66667</v>
      </c>
      <c r="N2567" s="2">
        <f>IFERROR(__xludf.DUMMYFUNCTION("""COMPUTED_VALUE"""),4352.13)</f>
        <v>4352.13</v>
      </c>
    </row>
    <row r="2568">
      <c r="A2568" s="10">
        <f t="shared" si="8"/>
        <v>40550.66667</v>
      </c>
      <c r="B2568" s="2" t="str">
        <f t="shared" si="2"/>
        <v/>
      </c>
      <c r="C2568" s="2" t="str">
        <f t="shared" si="3"/>
        <v>SP500</v>
      </c>
      <c r="D2568" s="2">
        <f t="shared" si="4"/>
        <v>2703.17</v>
      </c>
      <c r="E2568" s="2">
        <f t="shared" si="5"/>
        <v>2703.17</v>
      </c>
      <c r="G2568" s="10">
        <f t="shared" si="9"/>
        <v>40550.64583</v>
      </c>
      <c r="H2568" s="6" t="str">
        <f t="shared" si="6"/>
        <v/>
      </c>
      <c r="I2568" s="2">
        <f t="shared" si="7"/>
        <v>1426.89</v>
      </c>
      <c r="M2568" s="10">
        <f>IFERROR(__xludf.DUMMYFUNCTION("""COMPUTED_VALUE"""),41705.666666666664)</f>
        <v>41705.66667</v>
      </c>
      <c r="N2568" s="2">
        <f>IFERROR(__xludf.DUMMYFUNCTION("""COMPUTED_VALUE"""),4336.22)</f>
        <v>4336.22</v>
      </c>
    </row>
    <row r="2569">
      <c r="A2569" s="10">
        <f t="shared" si="8"/>
        <v>40551.66667</v>
      </c>
      <c r="B2569" s="2" t="str">
        <f t="shared" si="2"/>
        <v/>
      </c>
      <c r="C2569" s="2" t="str">
        <f t="shared" si="3"/>
        <v>SP500</v>
      </c>
      <c r="D2569" s="2" t="str">
        <f t="shared" si="4"/>
        <v/>
      </c>
      <c r="E2569" s="2">
        <f t="shared" si="5"/>
        <v>2703.17</v>
      </c>
      <c r="G2569" s="10">
        <f t="shared" si="9"/>
        <v>40551.64583</v>
      </c>
      <c r="H2569" s="6" t="str">
        <f t="shared" si="6"/>
        <v/>
      </c>
      <c r="I2569" s="2">
        <f t="shared" si="7"/>
        <v>1426.89</v>
      </c>
      <c r="M2569" s="10">
        <f>IFERROR(__xludf.DUMMYFUNCTION("""COMPUTED_VALUE"""),41708.666666666664)</f>
        <v>41708.66667</v>
      </c>
      <c r="N2569" s="2">
        <f>IFERROR(__xludf.DUMMYFUNCTION("""COMPUTED_VALUE"""),4334.45)</f>
        <v>4334.45</v>
      </c>
    </row>
    <row r="2570">
      <c r="A2570" s="10">
        <f t="shared" si="8"/>
        <v>40552.66667</v>
      </c>
      <c r="B2570" s="2" t="str">
        <f t="shared" si="2"/>
        <v/>
      </c>
      <c r="C2570" s="2" t="str">
        <f t="shared" si="3"/>
        <v>SP500</v>
      </c>
      <c r="D2570" s="2" t="str">
        <f t="shared" si="4"/>
        <v/>
      </c>
      <c r="E2570" s="2">
        <f t="shared" si="5"/>
        <v>2703.17</v>
      </c>
      <c r="G2570" s="10">
        <f t="shared" si="9"/>
        <v>40552.64583</v>
      </c>
      <c r="H2570" s="6" t="str">
        <f t="shared" si="6"/>
        <v/>
      </c>
      <c r="I2570" s="2">
        <f t="shared" si="7"/>
        <v>1426.89</v>
      </c>
      <c r="M2570" s="10">
        <f>IFERROR(__xludf.DUMMYFUNCTION("""COMPUTED_VALUE"""),41709.666666666664)</f>
        <v>41709.66667</v>
      </c>
      <c r="N2570" s="2">
        <f>IFERROR(__xludf.DUMMYFUNCTION("""COMPUTED_VALUE"""),4307.19)</f>
        <v>4307.19</v>
      </c>
    </row>
    <row r="2571">
      <c r="A2571" s="10">
        <f t="shared" si="8"/>
        <v>40553.66667</v>
      </c>
      <c r="B2571" s="2" t="str">
        <f t="shared" si="2"/>
        <v/>
      </c>
      <c r="C2571" s="2" t="str">
        <f t="shared" si="3"/>
        <v>SP500</v>
      </c>
      <c r="D2571" s="2">
        <f t="shared" si="4"/>
        <v>2707.8</v>
      </c>
      <c r="E2571" s="2">
        <f t="shared" si="5"/>
        <v>2707.8</v>
      </c>
      <c r="G2571" s="10">
        <f t="shared" si="9"/>
        <v>40553.64583</v>
      </c>
      <c r="H2571" s="6" t="str">
        <f t="shared" si="6"/>
        <v/>
      </c>
      <c r="I2571" s="2">
        <f t="shared" si="7"/>
        <v>1426.89</v>
      </c>
      <c r="M2571" s="10">
        <f>IFERROR(__xludf.DUMMYFUNCTION("""COMPUTED_VALUE"""),41710.666666666664)</f>
        <v>41710.66667</v>
      </c>
      <c r="N2571" s="2">
        <f>IFERROR(__xludf.DUMMYFUNCTION("""COMPUTED_VALUE"""),4323.33)</f>
        <v>4323.33</v>
      </c>
    </row>
    <row r="2572">
      <c r="A2572" s="10">
        <f t="shared" si="8"/>
        <v>40554.66667</v>
      </c>
      <c r="B2572" s="2" t="str">
        <f t="shared" si="2"/>
        <v/>
      </c>
      <c r="C2572" s="2" t="str">
        <f t="shared" si="3"/>
        <v>SP500</v>
      </c>
      <c r="D2572" s="2">
        <f t="shared" si="4"/>
        <v>2716.83</v>
      </c>
      <c r="E2572" s="2">
        <f t="shared" si="5"/>
        <v>2716.83</v>
      </c>
      <c r="G2572" s="10">
        <f t="shared" si="9"/>
        <v>40554.64583</v>
      </c>
      <c r="H2572" s="6" t="str">
        <f t="shared" si="6"/>
        <v/>
      </c>
      <c r="I2572" s="2">
        <f t="shared" si="7"/>
        <v>1426.89</v>
      </c>
      <c r="M2572" s="10">
        <f>IFERROR(__xludf.DUMMYFUNCTION("""COMPUTED_VALUE"""),41711.666666666664)</f>
        <v>41711.66667</v>
      </c>
      <c r="N2572" s="2">
        <f>IFERROR(__xludf.DUMMYFUNCTION("""COMPUTED_VALUE"""),4260.42)</f>
        <v>4260.42</v>
      </c>
    </row>
    <row r="2573">
      <c r="A2573" s="10">
        <f t="shared" si="8"/>
        <v>40555.66667</v>
      </c>
      <c r="B2573" s="2" t="str">
        <f t="shared" si="2"/>
        <v/>
      </c>
      <c r="C2573" s="2" t="str">
        <f t="shared" si="3"/>
        <v>SP500</v>
      </c>
      <c r="D2573" s="2">
        <f t="shared" si="4"/>
        <v>2737.33</v>
      </c>
      <c r="E2573" s="2">
        <f t="shared" si="5"/>
        <v>2737.33</v>
      </c>
      <c r="G2573" s="10">
        <f t="shared" si="9"/>
        <v>40555.64583</v>
      </c>
      <c r="H2573" s="6" t="str">
        <f t="shared" si="6"/>
        <v/>
      </c>
      <c r="I2573" s="2">
        <f t="shared" si="7"/>
        <v>1426.89</v>
      </c>
      <c r="M2573" s="10">
        <f>IFERROR(__xludf.DUMMYFUNCTION("""COMPUTED_VALUE"""),41712.666666666664)</f>
        <v>41712.66667</v>
      </c>
      <c r="N2573" s="2">
        <f>IFERROR(__xludf.DUMMYFUNCTION("""COMPUTED_VALUE"""),4245.4)</f>
        <v>4245.4</v>
      </c>
    </row>
    <row r="2574">
      <c r="A2574" s="10">
        <f t="shared" si="8"/>
        <v>40556.66667</v>
      </c>
      <c r="B2574" s="2" t="str">
        <f t="shared" si="2"/>
        <v/>
      </c>
      <c r="C2574" s="2" t="str">
        <f t="shared" si="3"/>
        <v>SP500</v>
      </c>
      <c r="D2574" s="2">
        <f t="shared" si="4"/>
        <v>2735.29</v>
      </c>
      <c r="E2574" s="2">
        <f t="shared" si="5"/>
        <v>2735.29</v>
      </c>
      <c r="G2574" s="10">
        <f t="shared" si="9"/>
        <v>40556.64583</v>
      </c>
      <c r="H2574" s="6" t="str">
        <f t="shared" si="6"/>
        <v/>
      </c>
      <c r="I2574" s="2">
        <f t="shared" si="7"/>
        <v>1426.89</v>
      </c>
      <c r="M2574" s="10">
        <f>IFERROR(__xludf.DUMMYFUNCTION("""COMPUTED_VALUE"""),41715.666666666664)</f>
        <v>41715.66667</v>
      </c>
      <c r="N2574" s="2">
        <f>IFERROR(__xludf.DUMMYFUNCTION("""COMPUTED_VALUE"""),4279.95)</f>
        <v>4279.95</v>
      </c>
    </row>
    <row r="2575">
      <c r="A2575" s="10">
        <f t="shared" si="8"/>
        <v>40557.66667</v>
      </c>
      <c r="B2575" s="2" t="str">
        <f t="shared" si="2"/>
        <v/>
      </c>
      <c r="C2575" s="2" t="str">
        <f t="shared" si="3"/>
        <v>SP500</v>
      </c>
      <c r="D2575" s="2">
        <f t="shared" si="4"/>
        <v>2755.3</v>
      </c>
      <c r="E2575" s="2">
        <f t="shared" si="5"/>
        <v>2755.3</v>
      </c>
      <c r="G2575" s="10">
        <f t="shared" si="9"/>
        <v>40557.64583</v>
      </c>
      <c r="H2575" s="6" t="str">
        <f t="shared" si="6"/>
        <v/>
      </c>
      <c r="I2575" s="2">
        <f t="shared" si="7"/>
        <v>1426.89</v>
      </c>
      <c r="M2575" s="10">
        <f>IFERROR(__xludf.DUMMYFUNCTION("""COMPUTED_VALUE"""),41716.666666666664)</f>
        <v>41716.66667</v>
      </c>
      <c r="N2575" s="2">
        <f>IFERROR(__xludf.DUMMYFUNCTION("""COMPUTED_VALUE"""),4333.31)</f>
        <v>4333.31</v>
      </c>
    </row>
    <row r="2576">
      <c r="A2576" s="10">
        <f t="shared" si="8"/>
        <v>40558.66667</v>
      </c>
      <c r="B2576" s="2" t="str">
        <f t="shared" si="2"/>
        <v/>
      </c>
      <c r="C2576" s="2" t="str">
        <f t="shared" si="3"/>
        <v>SP500</v>
      </c>
      <c r="D2576" s="2" t="str">
        <f t="shared" si="4"/>
        <v/>
      </c>
      <c r="E2576" s="2">
        <f t="shared" si="5"/>
        <v>2755.3</v>
      </c>
      <c r="G2576" s="10">
        <f t="shared" si="9"/>
        <v>40558.64583</v>
      </c>
      <c r="H2576" s="6" t="str">
        <f t="shared" si="6"/>
        <v/>
      </c>
      <c r="I2576" s="2">
        <f t="shared" si="7"/>
        <v>1426.89</v>
      </c>
      <c r="M2576" s="10">
        <f>IFERROR(__xludf.DUMMYFUNCTION("""COMPUTED_VALUE"""),41717.666666666664)</f>
        <v>41717.66667</v>
      </c>
      <c r="N2576" s="2">
        <f>IFERROR(__xludf.DUMMYFUNCTION("""COMPUTED_VALUE"""),4307.6)</f>
        <v>4307.6</v>
      </c>
    </row>
    <row r="2577">
      <c r="A2577" s="10">
        <f t="shared" si="8"/>
        <v>40559.66667</v>
      </c>
      <c r="B2577" s="2" t="str">
        <f t="shared" si="2"/>
        <v/>
      </c>
      <c r="C2577" s="2" t="str">
        <f t="shared" si="3"/>
        <v>SP500</v>
      </c>
      <c r="D2577" s="2" t="str">
        <f t="shared" si="4"/>
        <v/>
      </c>
      <c r="E2577" s="2">
        <f t="shared" si="5"/>
        <v>2755.3</v>
      </c>
      <c r="G2577" s="10">
        <f t="shared" si="9"/>
        <v>40559.64583</v>
      </c>
      <c r="H2577" s="6" t="str">
        <f t="shared" si="6"/>
        <v/>
      </c>
      <c r="I2577" s="2">
        <f t="shared" si="7"/>
        <v>1426.89</v>
      </c>
      <c r="M2577" s="10">
        <f>IFERROR(__xludf.DUMMYFUNCTION("""COMPUTED_VALUE"""),41718.666666666664)</f>
        <v>41718.66667</v>
      </c>
      <c r="N2577" s="2">
        <f>IFERROR(__xludf.DUMMYFUNCTION("""COMPUTED_VALUE"""),4319.29)</f>
        <v>4319.29</v>
      </c>
    </row>
    <row r="2578">
      <c r="A2578" s="10">
        <f t="shared" si="8"/>
        <v>40560.66667</v>
      </c>
      <c r="B2578" s="2" t="str">
        <f t="shared" si="2"/>
        <v/>
      </c>
      <c r="C2578" s="2" t="str">
        <f t="shared" si="3"/>
        <v>SP500</v>
      </c>
      <c r="D2578" s="2" t="str">
        <f t="shared" si="4"/>
        <v/>
      </c>
      <c r="E2578" s="2">
        <f t="shared" si="5"/>
        <v>2755.3</v>
      </c>
      <c r="G2578" s="10">
        <f t="shared" si="9"/>
        <v>40560.64583</v>
      </c>
      <c r="H2578" s="6" t="str">
        <f t="shared" si="6"/>
        <v/>
      </c>
      <c r="I2578" s="2">
        <f t="shared" si="7"/>
        <v>1426.89</v>
      </c>
      <c r="M2578" s="10">
        <f>IFERROR(__xludf.DUMMYFUNCTION("""COMPUTED_VALUE"""),41719.666666666664)</f>
        <v>41719.66667</v>
      </c>
      <c r="N2578" s="2">
        <f>IFERROR(__xludf.DUMMYFUNCTION("""COMPUTED_VALUE"""),4276.79)</f>
        <v>4276.79</v>
      </c>
    </row>
    <row r="2579">
      <c r="A2579" s="10">
        <f t="shared" si="8"/>
        <v>40561.66667</v>
      </c>
      <c r="B2579" s="2" t="str">
        <f t="shared" si="2"/>
        <v/>
      </c>
      <c r="C2579" s="2" t="str">
        <f t="shared" si="3"/>
        <v>SP500</v>
      </c>
      <c r="D2579" s="2">
        <f t="shared" si="4"/>
        <v>2765.85</v>
      </c>
      <c r="E2579" s="2">
        <f t="shared" si="5"/>
        <v>2765.85</v>
      </c>
      <c r="G2579" s="10">
        <f t="shared" si="9"/>
        <v>40561.64583</v>
      </c>
      <c r="H2579" s="6" t="str">
        <f t="shared" si="6"/>
        <v/>
      </c>
      <c r="I2579" s="2">
        <f t="shared" si="7"/>
        <v>1426.89</v>
      </c>
      <c r="M2579" s="10">
        <f>IFERROR(__xludf.DUMMYFUNCTION("""COMPUTED_VALUE"""),41722.666666666664)</f>
        <v>41722.66667</v>
      </c>
      <c r="N2579" s="2">
        <f>IFERROR(__xludf.DUMMYFUNCTION("""COMPUTED_VALUE"""),4226.38)</f>
        <v>4226.38</v>
      </c>
    </row>
    <row r="2580">
      <c r="A2580" s="10">
        <f t="shared" si="8"/>
        <v>40562.66667</v>
      </c>
      <c r="B2580" s="2" t="str">
        <f t="shared" si="2"/>
        <v/>
      </c>
      <c r="C2580" s="2" t="str">
        <f t="shared" si="3"/>
        <v>SP500</v>
      </c>
      <c r="D2580" s="2">
        <f t="shared" si="4"/>
        <v>2725.36</v>
      </c>
      <c r="E2580" s="2">
        <f t="shared" si="5"/>
        <v>2725.36</v>
      </c>
      <c r="G2580" s="10">
        <f t="shared" si="9"/>
        <v>40562.64583</v>
      </c>
      <c r="H2580" s="6" t="str">
        <f t="shared" si="6"/>
        <v/>
      </c>
      <c r="I2580" s="2">
        <f t="shared" si="7"/>
        <v>1426.89</v>
      </c>
      <c r="M2580" s="10">
        <f>IFERROR(__xludf.DUMMYFUNCTION("""COMPUTED_VALUE"""),41723.666666666664)</f>
        <v>41723.66667</v>
      </c>
      <c r="N2580" s="2">
        <f>IFERROR(__xludf.DUMMYFUNCTION("""COMPUTED_VALUE"""),4234.27)</f>
        <v>4234.27</v>
      </c>
    </row>
    <row r="2581">
      <c r="A2581" s="10">
        <f t="shared" si="8"/>
        <v>40563.66667</v>
      </c>
      <c r="B2581" s="2" t="str">
        <f t="shared" si="2"/>
        <v/>
      </c>
      <c r="C2581" s="2" t="str">
        <f t="shared" si="3"/>
        <v>SP500</v>
      </c>
      <c r="D2581" s="2">
        <f t="shared" si="4"/>
        <v>2704.29</v>
      </c>
      <c r="E2581" s="2">
        <f t="shared" si="5"/>
        <v>2704.29</v>
      </c>
      <c r="G2581" s="10">
        <f t="shared" si="9"/>
        <v>40563.64583</v>
      </c>
      <c r="H2581" s="6" t="str">
        <f t="shared" si="6"/>
        <v/>
      </c>
      <c r="I2581" s="2">
        <f t="shared" si="7"/>
        <v>1426.89</v>
      </c>
      <c r="M2581" s="10">
        <f>IFERROR(__xludf.DUMMYFUNCTION("""COMPUTED_VALUE"""),41724.666666666664)</f>
        <v>41724.66667</v>
      </c>
      <c r="N2581" s="2">
        <f>IFERROR(__xludf.DUMMYFUNCTION("""COMPUTED_VALUE"""),4173.58)</f>
        <v>4173.58</v>
      </c>
    </row>
    <row r="2582">
      <c r="A2582" s="10">
        <f t="shared" si="8"/>
        <v>40564.66667</v>
      </c>
      <c r="B2582" s="2" t="str">
        <f t="shared" si="2"/>
        <v/>
      </c>
      <c r="C2582" s="2" t="str">
        <f t="shared" si="3"/>
        <v>SP500</v>
      </c>
      <c r="D2582" s="2">
        <f t="shared" si="4"/>
        <v>2689.54</v>
      </c>
      <c r="E2582" s="2">
        <f t="shared" si="5"/>
        <v>2689.54</v>
      </c>
      <c r="G2582" s="10">
        <f t="shared" si="9"/>
        <v>40564.64583</v>
      </c>
      <c r="H2582" s="6" t="str">
        <f t="shared" si="6"/>
        <v/>
      </c>
      <c r="I2582" s="2">
        <f t="shared" si="7"/>
        <v>1426.89</v>
      </c>
      <c r="M2582" s="10">
        <f>IFERROR(__xludf.DUMMYFUNCTION("""COMPUTED_VALUE"""),41725.666666666664)</f>
        <v>41725.66667</v>
      </c>
      <c r="N2582" s="2">
        <f>IFERROR(__xludf.DUMMYFUNCTION("""COMPUTED_VALUE"""),4151.23)</f>
        <v>4151.23</v>
      </c>
    </row>
    <row r="2583">
      <c r="A2583" s="10">
        <f t="shared" si="8"/>
        <v>40565.66667</v>
      </c>
      <c r="B2583" s="2" t="str">
        <f t="shared" si="2"/>
        <v/>
      </c>
      <c r="C2583" s="2" t="str">
        <f t="shared" si="3"/>
        <v>SP500</v>
      </c>
      <c r="D2583" s="2" t="str">
        <f t="shared" si="4"/>
        <v/>
      </c>
      <c r="E2583" s="2">
        <f t="shared" si="5"/>
        <v>2689.54</v>
      </c>
      <c r="G2583" s="10">
        <f t="shared" si="9"/>
        <v>40565.64583</v>
      </c>
      <c r="H2583" s="6" t="str">
        <f t="shared" si="6"/>
        <v/>
      </c>
      <c r="I2583" s="2">
        <f t="shared" si="7"/>
        <v>1426.89</v>
      </c>
      <c r="M2583" s="10">
        <f>IFERROR(__xludf.DUMMYFUNCTION("""COMPUTED_VALUE"""),41726.666666666664)</f>
        <v>41726.66667</v>
      </c>
      <c r="N2583" s="2">
        <f>IFERROR(__xludf.DUMMYFUNCTION("""COMPUTED_VALUE"""),4155.76)</f>
        <v>4155.76</v>
      </c>
    </row>
    <row r="2584">
      <c r="A2584" s="10">
        <f t="shared" si="8"/>
        <v>40566.66667</v>
      </c>
      <c r="B2584" s="2" t="str">
        <f t="shared" si="2"/>
        <v/>
      </c>
      <c r="C2584" s="2" t="str">
        <f t="shared" si="3"/>
        <v>SP500</v>
      </c>
      <c r="D2584" s="2" t="str">
        <f t="shared" si="4"/>
        <v/>
      </c>
      <c r="E2584" s="2">
        <f t="shared" si="5"/>
        <v>2689.54</v>
      </c>
      <c r="G2584" s="10">
        <f t="shared" si="9"/>
        <v>40566.64583</v>
      </c>
      <c r="H2584" s="6" t="str">
        <f t="shared" si="6"/>
        <v/>
      </c>
      <c r="I2584" s="2">
        <f t="shared" si="7"/>
        <v>1426.89</v>
      </c>
      <c r="M2584" s="10">
        <f>IFERROR(__xludf.DUMMYFUNCTION("""COMPUTED_VALUE"""),41729.666666666664)</f>
        <v>41729.66667</v>
      </c>
      <c r="N2584" s="2">
        <f>IFERROR(__xludf.DUMMYFUNCTION("""COMPUTED_VALUE"""),4198.99)</f>
        <v>4198.99</v>
      </c>
    </row>
    <row r="2585">
      <c r="A2585" s="10">
        <f t="shared" si="8"/>
        <v>40567.66667</v>
      </c>
      <c r="B2585" s="2" t="str">
        <f t="shared" si="2"/>
        <v/>
      </c>
      <c r="C2585" s="2" t="str">
        <f t="shared" si="3"/>
        <v>SP500</v>
      </c>
      <c r="D2585" s="2">
        <f t="shared" si="4"/>
        <v>2717.55</v>
      </c>
      <c r="E2585" s="2">
        <f t="shared" si="5"/>
        <v>2717.55</v>
      </c>
      <c r="G2585" s="10">
        <f t="shared" si="9"/>
        <v>40567.64583</v>
      </c>
      <c r="H2585" s="6" t="str">
        <f t="shared" si="6"/>
        <v/>
      </c>
      <c r="I2585" s="2">
        <f t="shared" si="7"/>
        <v>1426.89</v>
      </c>
      <c r="M2585" s="10">
        <f>IFERROR(__xludf.DUMMYFUNCTION("""COMPUTED_VALUE"""),41730.666666666664)</f>
        <v>41730.66667</v>
      </c>
      <c r="N2585" s="2">
        <f>IFERROR(__xludf.DUMMYFUNCTION("""COMPUTED_VALUE"""),4268.04)</f>
        <v>4268.04</v>
      </c>
    </row>
    <row r="2586">
      <c r="A2586" s="10">
        <f t="shared" si="8"/>
        <v>40568.66667</v>
      </c>
      <c r="B2586" s="2" t="str">
        <f t="shared" si="2"/>
        <v/>
      </c>
      <c r="C2586" s="2" t="str">
        <f t="shared" si="3"/>
        <v>SP500</v>
      </c>
      <c r="D2586" s="2">
        <f t="shared" si="4"/>
        <v>2719.25</v>
      </c>
      <c r="E2586" s="2">
        <f t="shared" si="5"/>
        <v>2719.25</v>
      </c>
      <c r="G2586" s="10">
        <f t="shared" si="9"/>
        <v>40568.64583</v>
      </c>
      <c r="H2586" s="6" t="str">
        <f t="shared" si="6"/>
        <v/>
      </c>
      <c r="I2586" s="2">
        <f t="shared" si="7"/>
        <v>1426.89</v>
      </c>
      <c r="M2586" s="10">
        <f>IFERROR(__xludf.DUMMYFUNCTION("""COMPUTED_VALUE"""),41731.666666666664)</f>
        <v>41731.66667</v>
      </c>
      <c r="N2586" s="2">
        <f>IFERROR(__xludf.DUMMYFUNCTION("""COMPUTED_VALUE"""),4276.46)</f>
        <v>4276.46</v>
      </c>
    </row>
    <row r="2587">
      <c r="A2587" s="10">
        <f t="shared" si="8"/>
        <v>40569.66667</v>
      </c>
      <c r="B2587" s="2" t="str">
        <f t="shared" si="2"/>
        <v/>
      </c>
      <c r="C2587" s="2" t="str">
        <f t="shared" si="3"/>
        <v>SP500</v>
      </c>
      <c r="D2587" s="2">
        <f t="shared" si="4"/>
        <v>2739.5</v>
      </c>
      <c r="E2587" s="2">
        <f t="shared" si="5"/>
        <v>2739.5</v>
      </c>
      <c r="G2587" s="10">
        <f t="shared" si="9"/>
        <v>40569.64583</v>
      </c>
      <c r="H2587" s="6" t="str">
        <f t="shared" si="6"/>
        <v/>
      </c>
      <c r="I2587" s="2">
        <f t="shared" si="7"/>
        <v>1426.89</v>
      </c>
      <c r="M2587" s="10">
        <f>IFERROR(__xludf.DUMMYFUNCTION("""COMPUTED_VALUE"""),41732.666666666664)</f>
        <v>41732.66667</v>
      </c>
      <c r="N2587" s="2">
        <f>IFERROR(__xludf.DUMMYFUNCTION("""COMPUTED_VALUE"""),4237.74)</f>
        <v>4237.74</v>
      </c>
    </row>
    <row r="2588">
      <c r="A2588" s="10">
        <f t="shared" si="8"/>
        <v>40570.66667</v>
      </c>
      <c r="B2588" s="2" t="str">
        <f t="shared" si="2"/>
        <v/>
      </c>
      <c r="C2588" s="2" t="str">
        <f t="shared" si="3"/>
        <v>SP500</v>
      </c>
      <c r="D2588" s="2">
        <f t="shared" si="4"/>
        <v>2755.28</v>
      </c>
      <c r="E2588" s="2">
        <f t="shared" si="5"/>
        <v>2755.28</v>
      </c>
      <c r="G2588" s="10">
        <f t="shared" si="9"/>
        <v>40570.64583</v>
      </c>
      <c r="H2588" s="6" t="str">
        <f t="shared" si="6"/>
        <v/>
      </c>
      <c r="I2588" s="2">
        <f t="shared" si="7"/>
        <v>1426.89</v>
      </c>
      <c r="M2588" s="10">
        <f>IFERROR(__xludf.DUMMYFUNCTION("""COMPUTED_VALUE"""),41733.666666666664)</f>
        <v>41733.66667</v>
      </c>
      <c r="N2588" s="2">
        <f>IFERROR(__xludf.DUMMYFUNCTION("""COMPUTED_VALUE"""),4127.73)</f>
        <v>4127.73</v>
      </c>
    </row>
    <row r="2589">
      <c r="A2589" s="10">
        <f t="shared" si="8"/>
        <v>40571.66667</v>
      </c>
      <c r="B2589" s="2" t="str">
        <f t="shared" si="2"/>
        <v/>
      </c>
      <c r="C2589" s="2" t="str">
        <f t="shared" si="3"/>
        <v>SP500</v>
      </c>
      <c r="D2589" s="2">
        <f t="shared" si="4"/>
        <v>2686.89</v>
      </c>
      <c r="E2589" s="2">
        <f t="shared" si="5"/>
        <v>2686.89</v>
      </c>
      <c r="G2589" s="10">
        <f t="shared" si="9"/>
        <v>40571.64583</v>
      </c>
      <c r="H2589" s="6" t="str">
        <f t="shared" si="6"/>
        <v/>
      </c>
      <c r="I2589" s="2">
        <f t="shared" si="7"/>
        <v>1426.89</v>
      </c>
      <c r="M2589" s="10">
        <f>IFERROR(__xludf.DUMMYFUNCTION("""COMPUTED_VALUE"""),41736.666666666664)</f>
        <v>41736.66667</v>
      </c>
      <c r="N2589" s="2">
        <f>IFERROR(__xludf.DUMMYFUNCTION("""COMPUTED_VALUE"""),4079.75)</f>
        <v>4079.75</v>
      </c>
    </row>
    <row r="2590">
      <c r="A2590" s="10">
        <f t="shared" si="8"/>
        <v>40572.66667</v>
      </c>
      <c r="B2590" s="2" t="str">
        <f t="shared" si="2"/>
        <v/>
      </c>
      <c r="C2590" s="2" t="str">
        <f t="shared" si="3"/>
        <v>SP500</v>
      </c>
      <c r="D2590" s="2" t="str">
        <f t="shared" si="4"/>
        <v/>
      </c>
      <c r="E2590" s="2">
        <f t="shared" si="5"/>
        <v>2686.89</v>
      </c>
      <c r="G2590" s="10">
        <f t="shared" si="9"/>
        <v>40572.64583</v>
      </c>
      <c r="H2590" s="6" t="str">
        <f t="shared" si="6"/>
        <v/>
      </c>
      <c r="I2590" s="2">
        <f t="shared" si="7"/>
        <v>1426.89</v>
      </c>
      <c r="M2590" s="10">
        <f>IFERROR(__xludf.DUMMYFUNCTION("""COMPUTED_VALUE"""),41737.666666666664)</f>
        <v>41737.66667</v>
      </c>
      <c r="N2590" s="2">
        <f>IFERROR(__xludf.DUMMYFUNCTION("""COMPUTED_VALUE"""),4112.99)</f>
        <v>4112.99</v>
      </c>
    </row>
    <row r="2591">
      <c r="A2591" s="10">
        <f t="shared" si="8"/>
        <v>40573.66667</v>
      </c>
      <c r="B2591" s="2" t="str">
        <f t="shared" si="2"/>
        <v/>
      </c>
      <c r="C2591" s="2" t="str">
        <f t="shared" si="3"/>
        <v>SP500</v>
      </c>
      <c r="D2591" s="2" t="str">
        <f t="shared" si="4"/>
        <v/>
      </c>
      <c r="E2591" s="2">
        <f t="shared" si="5"/>
        <v>2686.89</v>
      </c>
      <c r="G2591" s="10">
        <f t="shared" si="9"/>
        <v>40573.64583</v>
      </c>
      <c r="H2591" s="6" t="str">
        <f t="shared" si="6"/>
        <v/>
      </c>
      <c r="I2591" s="2">
        <f t="shared" si="7"/>
        <v>1426.89</v>
      </c>
      <c r="M2591" s="10">
        <f>IFERROR(__xludf.DUMMYFUNCTION("""COMPUTED_VALUE"""),41738.666666666664)</f>
        <v>41738.66667</v>
      </c>
      <c r="N2591" s="2">
        <f>IFERROR(__xludf.DUMMYFUNCTION("""COMPUTED_VALUE"""),4183.9)</f>
        <v>4183.9</v>
      </c>
    </row>
    <row r="2592">
      <c r="A2592" s="10">
        <f t="shared" si="8"/>
        <v>40574.66667</v>
      </c>
      <c r="B2592" s="2" t="str">
        <f t="shared" si="2"/>
        <v/>
      </c>
      <c r="C2592" s="2" t="str">
        <f t="shared" si="3"/>
        <v>SP500</v>
      </c>
      <c r="D2592" s="2">
        <f t="shared" si="4"/>
        <v>2700.08</v>
      </c>
      <c r="E2592" s="2">
        <f t="shared" si="5"/>
        <v>2700.08</v>
      </c>
      <c r="G2592" s="10">
        <f t="shared" si="9"/>
        <v>40574.64583</v>
      </c>
      <c r="H2592" s="6" t="str">
        <f t="shared" si="6"/>
        <v/>
      </c>
      <c r="I2592" s="2">
        <f t="shared" si="7"/>
        <v>1426.89</v>
      </c>
      <c r="M2592" s="10">
        <f>IFERROR(__xludf.DUMMYFUNCTION("""COMPUTED_VALUE"""),41739.666666666664)</f>
        <v>41739.66667</v>
      </c>
      <c r="N2592" s="2">
        <f>IFERROR(__xludf.DUMMYFUNCTION("""COMPUTED_VALUE"""),4054.11)</f>
        <v>4054.11</v>
      </c>
    </row>
    <row r="2593">
      <c r="A2593" s="10">
        <f t="shared" si="8"/>
        <v>40575.66667</v>
      </c>
      <c r="B2593" s="2" t="str">
        <f t="shared" si="2"/>
        <v/>
      </c>
      <c r="C2593" s="2" t="str">
        <f t="shared" si="3"/>
        <v>SP500</v>
      </c>
      <c r="D2593" s="2">
        <f t="shared" si="4"/>
        <v>2751.19</v>
      </c>
      <c r="E2593" s="2">
        <f t="shared" si="5"/>
        <v>2751.19</v>
      </c>
      <c r="G2593" s="10">
        <f t="shared" si="9"/>
        <v>40575.64583</v>
      </c>
      <c r="H2593" s="6" t="str">
        <f t="shared" si="6"/>
        <v/>
      </c>
      <c r="I2593" s="2">
        <f t="shared" si="7"/>
        <v>1426.89</v>
      </c>
      <c r="M2593" s="10">
        <f>IFERROR(__xludf.DUMMYFUNCTION("""COMPUTED_VALUE"""),41740.666666666664)</f>
        <v>41740.66667</v>
      </c>
      <c r="N2593" s="2">
        <f>IFERROR(__xludf.DUMMYFUNCTION("""COMPUTED_VALUE"""),3999.73)</f>
        <v>3999.73</v>
      </c>
    </row>
    <row r="2594">
      <c r="A2594" s="10">
        <f t="shared" si="8"/>
        <v>40576.66667</v>
      </c>
      <c r="B2594" s="2" t="str">
        <f t="shared" si="2"/>
        <v/>
      </c>
      <c r="C2594" s="2" t="str">
        <f t="shared" si="3"/>
        <v>SP500</v>
      </c>
      <c r="D2594" s="2">
        <f t="shared" si="4"/>
        <v>2749.56</v>
      </c>
      <c r="E2594" s="2">
        <f t="shared" si="5"/>
        <v>2749.56</v>
      </c>
      <c r="G2594" s="10">
        <f t="shared" si="9"/>
        <v>40576.64583</v>
      </c>
      <c r="H2594" s="6" t="str">
        <f t="shared" si="6"/>
        <v/>
      </c>
      <c r="I2594" s="2">
        <f t="shared" si="7"/>
        <v>1426.89</v>
      </c>
      <c r="M2594" s="10">
        <f>IFERROR(__xludf.DUMMYFUNCTION("""COMPUTED_VALUE"""),41743.666666666664)</f>
        <v>41743.66667</v>
      </c>
      <c r="N2594" s="2">
        <f>IFERROR(__xludf.DUMMYFUNCTION("""COMPUTED_VALUE"""),4022.69)</f>
        <v>4022.69</v>
      </c>
    </row>
    <row r="2595">
      <c r="A2595" s="10">
        <f t="shared" si="8"/>
        <v>40577.66667</v>
      </c>
      <c r="B2595" s="2" t="str">
        <f t="shared" si="2"/>
        <v/>
      </c>
      <c r="C2595" s="2" t="str">
        <f t="shared" si="3"/>
        <v>SP500</v>
      </c>
      <c r="D2595" s="2">
        <f t="shared" si="4"/>
        <v>2753.88</v>
      </c>
      <c r="E2595" s="2">
        <f t="shared" si="5"/>
        <v>2753.88</v>
      </c>
      <c r="G2595" s="10">
        <f t="shared" si="9"/>
        <v>40577.64583</v>
      </c>
      <c r="H2595" s="6" t="str">
        <f t="shared" si="6"/>
        <v/>
      </c>
      <c r="I2595" s="2">
        <f t="shared" si="7"/>
        <v>1426.89</v>
      </c>
      <c r="M2595" s="10">
        <f>IFERROR(__xludf.DUMMYFUNCTION("""COMPUTED_VALUE"""),41744.666666666664)</f>
        <v>41744.66667</v>
      </c>
      <c r="N2595" s="2">
        <f>IFERROR(__xludf.DUMMYFUNCTION("""COMPUTED_VALUE"""),4034.16)</f>
        <v>4034.16</v>
      </c>
    </row>
    <row r="2596">
      <c r="A2596" s="10">
        <f t="shared" si="8"/>
        <v>40578.66667</v>
      </c>
      <c r="B2596" s="2" t="str">
        <f t="shared" si="2"/>
        <v/>
      </c>
      <c r="C2596" s="2" t="str">
        <f t="shared" si="3"/>
        <v>SP500</v>
      </c>
      <c r="D2596" s="2">
        <f t="shared" si="4"/>
        <v>2769.3</v>
      </c>
      <c r="E2596" s="2">
        <f t="shared" si="5"/>
        <v>2769.3</v>
      </c>
      <c r="G2596" s="10">
        <f t="shared" si="9"/>
        <v>40578.64583</v>
      </c>
      <c r="H2596" s="6" t="str">
        <f t="shared" si="6"/>
        <v/>
      </c>
      <c r="I2596" s="2">
        <f t="shared" si="7"/>
        <v>1426.89</v>
      </c>
      <c r="M2596" s="10">
        <f>IFERROR(__xludf.DUMMYFUNCTION("""COMPUTED_VALUE"""),41745.666666666664)</f>
        <v>41745.66667</v>
      </c>
      <c r="N2596" s="2">
        <f>IFERROR(__xludf.DUMMYFUNCTION("""COMPUTED_VALUE"""),4086.23)</f>
        <v>4086.23</v>
      </c>
    </row>
    <row r="2597">
      <c r="A2597" s="10">
        <f t="shared" si="8"/>
        <v>40579.66667</v>
      </c>
      <c r="B2597" s="2" t="str">
        <f t="shared" si="2"/>
        <v/>
      </c>
      <c r="C2597" s="2" t="str">
        <f t="shared" si="3"/>
        <v>SP500</v>
      </c>
      <c r="D2597" s="2" t="str">
        <f t="shared" si="4"/>
        <v/>
      </c>
      <c r="E2597" s="2">
        <f t="shared" si="5"/>
        <v>2769.3</v>
      </c>
      <c r="G2597" s="10">
        <f t="shared" si="9"/>
        <v>40579.64583</v>
      </c>
      <c r="H2597" s="6" t="str">
        <f t="shared" si="6"/>
        <v/>
      </c>
      <c r="I2597" s="2">
        <f t="shared" si="7"/>
        <v>1426.89</v>
      </c>
      <c r="M2597" s="10">
        <f>IFERROR(__xludf.DUMMYFUNCTION("""COMPUTED_VALUE"""),41746.666666666664)</f>
        <v>41746.66667</v>
      </c>
      <c r="N2597" s="2">
        <f>IFERROR(__xludf.DUMMYFUNCTION("""COMPUTED_VALUE"""),4095.52)</f>
        <v>4095.52</v>
      </c>
    </row>
    <row r="2598">
      <c r="A2598" s="10">
        <f t="shared" si="8"/>
        <v>40580.66667</v>
      </c>
      <c r="B2598" s="2" t="str">
        <f t="shared" si="2"/>
        <v/>
      </c>
      <c r="C2598" s="2" t="str">
        <f t="shared" si="3"/>
        <v>SP500</v>
      </c>
      <c r="D2598" s="2" t="str">
        <f t="shared" si="4"/>
        <v/>
      </c>
      <c r="E2598" s="2">
        <f t="shared" si="5"/>
        <v>2769.3</v>
      </c>
      <c r="G2598" s="10">
        <f t="shared" si="9"/>
        <v>40580.64583</v>
      </c>
      <c r="H2598" s="6" t="str">
        <f t="shared" si="6"/>
        <v/>
      </c>
      <c r="I2598" s="2">
        <f t="shared" si="7"/>
        <v>1426.89</v>
      </c>
      <c r="M2598" s="10">
        <f>IFERROR(__xludf.DUMMYFUNCTION("""COMPUTED_VALUE"""),41750.666666666664)</f>
        <v>41750.66667</v>
      </c>
      <c r="N2598" s="2">
        <f>IFERROR(__xludf.DUMMYFUNCTION("""COMPUTED_VALUE"""),4121.55)</f>
        <v>4121.55</v>
      </c>
    </row>
    <row r="2599">
      <c r="A2599" s="10">
        <f t="shared" si="8"/>
        <v>40581.66667</v>
      </c>
      <c r="B2599" s="2" t="str">
        <f t="shared" si="2"/>
        <v/>
      </c>
      <c r="C2599" s="2" t="str">
        <f t="shared" si="3"/>
        <v>SP500</v>
      </c>
      <c r="D2599" s="2">
        <f t="shared" si="4"/>
        <v>2783.99</v>
      </c>
      <c r="E2599" s="2">
        <f t="shared" si="5"/>
        <v>2783.99</v>
      </c>
      <c r="G2599" s="10">
        <f t="shared" si="9"/>
        <v>40581.64583</v>
      </c>
      <c r="H2599" s="6" t="str">
        <f t="shared" si="6"/>
        <v/>
      </c>
      <c r="I2599" s="2">
        <f t="shared" si="7"/>
        <v>1426.89</v>
      </c>
      <c r="M2599" s="10">
        <f>IFERROR(__xludf.DUMMYFUNCTION("""COMPUTED_VALUE"""),41751.666666666664)</f>
        <v>41751.66667</v>
      </c>
      <c r="N2599" s="2">
        <f>IFERROR(__xludf.DUMMYFUNCTION("""COMPUTED_VALUE"""),4161.46)</f>
        <v>4161.46</v>
      </c>
    </row>
    <row r="2600">
      <c r="A2600" s="10">
        <f t="shared" si="8"/>
        <v>40582.66667</v>
      </c>
      <c r="B2600" s="2" t="str">
        <f t="shared" si="2"/>
        <v/>
      </c>
      <c r="C2600" s="2" t="str">
        <f t="shared" si="3"/>
        <v>SP500</v>
      </c>
      <c r="D2600" s="2">
        <f t="shared" si="4"/>
        <v>2797.05</v>
      </c>
      <c r="E2600" s="2">
        <f t="shared" si="5"/>
        <v>2797.05</v>
      </c>
      <c r="G2600" s="10">
        <f t="shared" si="9"/>
        <v>40582.64583</v>
      </c>
      <c r="H2600" s="6" t="str">
        <f t="shared" si="6"/>
        <v/>
      </c>
      <c r="I2600" s="2">
        <f t="shared" si="7"/>
        <v>1426.89</v>
      </c>
      <c r="M2600" s="10">
        <f>IFERROR(__xludf.DUMMYFUNCTION("""COMPUTED_VALUE"""),41752.666666666664)</f>
        <v>41752.66667</v>
      </c>
      <c r="N2600" s="2">
        <f>IFERROR(__xludf.DUMMYFUNCTION("""COMPUTED_VALUE"""),4126.97)</f>
        <v>4126.97</v>
      </c>
    </row>
    <row r="2601">
      <c r="A2601" s="10">
        <f t="shared" si="8"/>
        <v>40583.66667</v>
      </c>
      <c r="B2601" s="2" t="str">
        <f t="shared" si="2"/>
        <v/>
      </c>
      <c r="C2601" s="2" t="str">
        <f t="shared" si="3"/>
        <v>SP500</v>
      </c>
      <c r="D2601" s="2">
        <f t="shared" si="4"/>
        <v>2789.07</v>
      </c>
      <c r="E2601" s="2">
        <f t="shared" si="5"/>
        <v>2789.07</v>
      </c>
      <c r="G2601" s="10">
        <f t="shared" si="9"/>
        <v>40583.64583</v>
      </c>
      <c r="H2601" s="6" t="str">
        <f t="shared" si="6"/>
        <v/>
      </c>
      <c r="I2601" s="2">
        <f t="shared" si="7"/>
        <v>1426.89</v>
      </c>
      <c r="M2601" s="10">
        <f>IFERROR(__xludf.DUMMYFUNCTION("""COMPUTED_VALUE"""),41753.666666666664)</f>
        <v>41753.66667</v>
      </c>
      <c r="N2601" s="2">
        <f>IFERROR(__xludf.DUMMYFUNCTION("""COMPUTED_VALUE"""),4148.34)</f>
        <v>4148.34</v>
      </c>
    </row>
    <row r="2602">
      <c r="A2602" s="10">
        <f t="shared" si="8"/>
        <v>40584.66667</v>
      </c>
      <c r="B2602" s="2" t="str">
        <f t="shared" si="2"/>
        <v/>
      </c>
      <c r="C2602" s="2" t="str">
        <f t="shared" si="3"/>
        <v>SP500</v>
      </c>
      <c r="D2602" s="2">
        <f t="shared" si="4"/>
        <v>2790.45</v>
      </c>
      <c r="E2602" s="2">
        <f t="shared" si="5"/>
        <v>2790.45</v>
      </c>
      <c r="G2602" s="10">
        <f t="shared" si="9"/>
        <v>40584.64583</v>
      </c>
      <c r="H2602" s="6" t="str">
        <f t="shared" si="6"/>
        <v/>
      </c>
      <c r="I2602" s="2">
        <f t="shared" si="7"/>
        <v>1426.89</v>
      </c>
      <c r="M2602" s="10">
        <f>IFERROR(__xludf.DUMMYFUNCTION("""COMPUTED_VALUE"""),41754.666666666664)</f>
        <v>41754.66667</v>
      </c>
      <c r="N2602" s="2">
        <f>IFERROR(__xludf.DUMMYFUNCTION("""COMPUTED_VALUE"""),4075.56)</f>
        <v>4075.56</v>
      </c>
    </row>
    <row r="2603">
      <c r="A2603" s="10">
        <f t="shared" si="8"/>
        <v>40585.66667</v>
      </c>
      <c r="B2603" s="2" t="str">
        <f t="shared" si="2"/>
        <v/>
      </c>
      <c r="C2603" s="2" t="str">
        <f t="shared" si="3"/>
        <v>SP500</v>
      </c>
      <c r="D2603" s="2">
        <f t="shared" si="4"/>
        <v>2809.44</v>
      </c>
      <c r="E2603" s="2">
        <f t="shared" si="5"/>
        <v>2809.44</v>
      </c>
      <c r="G2603" s="10">
        <f t="shared" si="9"/>
        <v>40585.64583</v>
      </c>
      <c r="H2603" s="6" t="str">
        <f t="shared" si="6"/>
        <v/>
      </c>
      <c r="I2603" s="2">
        <f t="shared" si="7"/>
        <v>1426.89</v>
      </c>
      <c r="M2603" s="10">
        <f>IFERROR(__xludf.DUMMYFUNCTION("""COMPUTED_VALUE"""),41757.666666666664)</f>
        <v>41757.66667</v>
      </c>
      <c r="N2603" s="2">
        <f>IFERROR(__xludf.DUMMYFUNCTION("""COMPUTED_VALUE"""),4074.4)</f>
        <v>4074.4</v>
      </c>
    </row>
    <row r="2604">
      <c r="A2604" s="10">
        <f t="shared" si="8"/>
        <v>40586.66667</v>
      </c>
      <c r="B2604" s="2" t="str">
        <f t="shared" si="2"/>
        <v/>
      </c>
      <c r="C2604" s="2" t="str">
        <f t="shared" si="3"/>
        <v>SP500</v>
      </c>
      <c r="D2604" s="2" t="str">
        <f t="shared" si="4"/>
        <v/>
      </c>
      <c r="E2604" s="2">
        <f t="shared" si="5"/>
        <v>2809.44</v>
      </c>
      <c r="G2604" s="10">
        <f t="shared" si="9"/>
        <v>40586.64583</v>
      </c>
      <c r="H2604" s="6" t="str">
        <f t="shared" si="6"/>
        <v/>
      </c>
      <c r="I2604" s="2">
        <f t="shared" si="7"/>
        <v>1426.89</v>
      </c>
      <c r="M2604" s="10">
        <f>IFERROR(__xludf.DUMMYFUNCTION("""COMPUTED_VALUE"""),41758.666666666664)</f>
        <v>41758.66667</v>
      </c>
      <c r="N2604" s="2">
        <f>IFERROR(__xludf.DUMMYFUNCTION("""COMPUTED_VALUE"""),4103.54)</f>
        <v>4103.54</v>
      </c>
    </row>
    <row r="2605">
      <c r="A2605" s="10">
        <f t="shared" si="8"/>
        <v>40587.66667</v>
      </c>
      <c r="B2605" s="2" t="str">
        <f t="shared" si="2"/>
        <v/>
      </c>
      <c r="C2605" s="2" t="str">
        <f t="shared" si="3"/>
        <v>SP500</v>
      </c>
      <c r="D2605" s="2" t="str">
        <f t="shared" si="4"/>
        <v/>
      </c>
      <c r="E2605" s="2">
        <f t="shared" si="5"/>
        <v>2809.44</v>
      </c>
      <c r="G2605" s="10">
        <f t="shared" si="9"/>
        <v>40587.64583</v>
      </c>
      <c r="H2605" s="6" t="str">
        <f t="shared" si="6"/>
        <v/>
      </c>
      <c r="I2605" s="2">
        <f t="shared" si="7"/>
        <v>1426.89</v>
      </c>
      <c r="M2605" s="10">
        <f>IFERROR(__xludf.DUMMYFUNCTION("""COMPUTED_VALUE"""),41759.666666666664)</f>
        <v>41759.66667</v>
      </c>
      <c r="N2605" s="2">
        <f>IFERROR(__xludf.DUMMYFUNCTION("""COMPUTED_VALUE"""),4114.56)</f>
        <v>4114.56</v>
      </c>
    </row>
    <row r="2606">
      <c r="A2606" s="10">
        <f t="shared" si="8"/>
        <v>40588.66667</v>
      </c>
      <c r="B2606" s="2" t="str">
        <f t="shared" si="2"/>
        <v/>
      </c>
      <c r="C2606" s="2" t="str">
        <f t="shared" si="3"/>
        <v>SP500</v>
      </c>
      <c r="D2606" s="2">
        <f t="shared" si="4"/>
        <v>2817.18</v>
      </c>
      <c r="E2606" s="2">
        <f t="shared" si="5"/>
        <v>2817.18</v>
      </c>
      <c r="G2606" s="10">
        <f t="shared" si="9"/>
        <v>40588.64583</v>
      </c>
      <c r="H2606" s="6" t="str">
        <f t="shared" si="6"/>
        <v/>
      </c>
      <c r="I2606" s="2">
        <f t="shared" si="7"/>
        <v>1426.89</v>
      </c>
      <c r="M2606" s="10">
        <f>IFERROR(__xludf.DUMMYFUNCTION("""COMPUTED_VALUE"""),41760.666666666664)</f>
        <v>41760.66667</v>
      </c>
      <c r="N2606" s="2">
        <f>IFERROR(__xludf.DUMMYFUNCTION("""COMPUTED_VALUE"""),4127.45)</f>
        <v>4127.45</v>
      </c>
    </row>
    <row r="2607">
      <c r="A2607" s="10">
        <f t="shared" si="8"/>
        <v>40589.66667</v>
      </c>
      <c r="B2607" s="2" t="str">
        <f t="shared" si="2"/>
        <v/>
      </c>
      <c r="C2607" s="2" t="str">
        <f t="shared" si="3"/>
        <v>SP500</v>
      </c>
      <c r="D2607" s="2">
        <f t="shared" si="4"/>
        <v>2804.35</v>
      </c>
      <c r="E2607" s="2">
        <f t="shared" si="5"/>
        <v>2804.35</v>
      </c>
      <c r="G2607" s="10">
        <f t="shared" si="9"/>
        <v>40589.64583</v>
      </c>
      <c r="H2607" s="6" t="str">
        <f t="shared" si="6"/>
        <v/>
      </c>
      <c r="I2607" s="2">
        <f t="shared" si="7"/>
        <v>1426.89</v>
      </c>
      <c r="M2607" s="10">
        <f>IFERROR(__xludf.DUMMYFUNCTION("""COMPUTED_VALUE"""),41761.666666666664)</f>
        <v>41761.66667</v>
      </c>
      <c r="N2607" s="2">
        <f>IFERROR(__xludf.DUMMYFUNCTION("""COMPUTED_VALUE"""),4123.9)</f>
        <v>4123.9</v>
      </c>
    </row>
    <row r="2608">
      <c r="A2608" s="10">
        <f t="shared" si="8"/>
        <v>40590.66667</v>
      </c>
      <c r="B2608" s="2" t="str">
        <f t="shared" si="2"/>
        <v/>
      </c>
      <c r="C2608" s="2" t="str">
        <f t="shared" si="3"/>
        <v>SP500</v>
      </c>
      <c r="D2608" s="2">
        <f t="shared" si="4"/>
        <v>2825.56</v>
      </c>
      <c r="E2608" s="2">
        <f t="shared" si="5"/>
        <v>2825.56</v>
      </c>
      <c r="G2608" s="10">
        <f t="shared" si="9"/>
        <v>40590.64583</v>
      </c>
      <c r="H2608" s="6" t="str">
        <f t="shared" si="6"/>
        <v/>
      </c>
      <c r="I2608" s="2">
        <f t="shared" si="7"/>
        <v>1426.89</v>
      </c>
      <c r="M2608" s="10">
        <f>IFERROR(__xludf.DUMMYFUNCTION("""COMPUTED_VALUE"""),41764.666666666664)</f>
        <v>41764.66667</v>
      </c>
      <c r="N2608" s="2">
        <f>IFERROR(__xludf.DUMMYFUNCTION("""COMPUTED_VALUE"""),4138.06)</f>
        <v>4138.06</v>
      </c>
    </row>
    <row r="2609">
      <c r="A2609" s="10">
        <f t="shared" si="8"/>
        <v>40591.66667</v>
      </c>
      <c r="B2609" s="2" t="str">
        <f t="shared" si="2"/>
        <v/>
      </c>
      <c r="C2609" s="2" t="str">
        <f t="shared" si="3"/>
        <v>SP500</v>
      </c>
      <c r="D2609" s="2">
        <f t="shared" si="4"/>
        <v>2831.58</v>
      </c>
      <c r="E2609" s="2">
        <f t="shared" si="5"/>
        <v>2831.58</v>
      </c>
      <c r="G2609" s="10">
        <f t="shared" si="9"/>
        <v>40591.64583</v>
      </c>
      <c r="H2609" s="6" t="str">
        <f t="shared" si="6"/>
        <v/>
      </c>
      <c r="I2609" s="2">
        <f t="shared" si="7"/>
        <v>1426.89</v>
      </c>
      <c r="M2609" s="10">
        <f>IFERROR(__xludf.DUMMYFUNCTION("""COMPUTED_VALUE"""),41765.666666666664)</f>
        <v>41765.66667</v>
      </c>
      <c r="N2609" s="2">
        <f>IFERROR(__xludf.DUMMYFUNCTION("""COMPUTED_VALUE"""),4080.76)</f>
        <v>4080.76</v>
      </c>
    </row>
    <row r="2610">
      <c r="A2610" s="10">
        <f t="shared" si="8"/>
        <v>40592.66667</v>
      </c>
      <c r="B2610" s="2" t="str">
        <f t="shared" si="2"/>
        <v/>
      </c>
      <c r="C2610" s="2" t="str">
        <f t="shared" si="3"/>
        <v>SP500</v>
      </c>
      <c r="D2610" s="2">
        <f t="shared" si="4"/>
        <v>2833.95</v>
      </c>
      <c r="E2610" s="2">
        <f t="shared" si="5"/>
        <v>2833.95</v>
      </c>
      <c r="G2610" s="10">
        <f t="shared" si="9"/>
        <v>40592.64583</v>
      </c>
      <c r="H2610" s="6" t="str">
        <f t="shared" si="6"/>
        <v/>
      </c>
      <c r="I2610" s="2">
        <f t="shared" si="7"/>
        <v>1426.89</v>
      </c>
      <c r="M2610" s="10">
        <f>IFERROR(__xludf.DUMMYFUNCTION("""COMPUTED_VALUE"""),41766.666666666664)</f>
        <v>41766.66667</v>
      </c>
      <c r="N2610" s="2">
        <f>IFERROR(__xludf.DUMMYFUNCTION("""COMPUTED_VALUE"""),4067.67)</f>
        <v>4067.67</v>
      </c>
    </row>
    <row r="2611">
      <c r="A2611" s="10">
        <f t="shared" si="8"/>
        <v>40593.66667</v>
      </c>
      <c r="B2611" s="2" t="str">
        <f t="shared" si="2"/>
        <v/>
      </c>
      <c r="C2611" s="2" t="str">
        <f t="shared" si="3"/>
        <v>SP500</v>
      </c>
      <c r="D2611" s="2" t="str">
        <f t="shared" si="4"/>
        <v/>
      </c>
      <c r="E2611" s="2">
        <f t="shared" si="5"/>
        <v>2833.95</v>
      </c>
      <c r="G2611" s="10">
        <f t="shared" si="9"/>
        <v>40593.64583</v>
      </c>
      <c r="H2611" s="6" t="str">
        <f t="shared" si="6"/>
        <v/>
      </c>
      <c r="I2611" s="2">
        <f t="shared" si="7"/>
        <v>1426.89</v>
      </c>
      <c r="M2611" s="10">
        <f>IFERROR(__xludf.DUMMYFUNCTION("""COMPUTED_VALUE"""),41767.666666666664)</f>
        <v>41767.66667</v>
      </c>
      <c r="N2611" s="2">
        <f>IFERROR(__xludf.DUMMYFUNCTION("""COMPUTED_VALUE"""),4051.5)</f>
        <v>4051.5</v>
      </c>
    </row>
    <row r="2612">
      <c r="A2612" s="10">
        <f t="shared" si="8"/>
        <v>40594.66667</v>
      </c>
      <c r="B2612" s="2" t="str">
        <f t="shared" si="2"/>
        <v/>
      </c>
      <c r="C2612" s="2" t="str">
        <f t="shared" si="3"/>
        <v>SP500</v>
      </c>
      <c r="D2612" s="2" t="str">
        <f t="shared" si="4"/>
        <v/>
      </c>
      <c r="E2612" s="2">
        <f t="shared" si="5"/>
        <v>2833.95</v>
      </c>
      <c r="G2612" s="10">
        <f t="shared" si="9"/>
        <v>40594.64583</v>
      </c>
      <c r="H2612" s="6" t="str">
        <f t="shared" si="6"/>
        <v/>
      </c>
      <c r="I2612" s="2">
        <f t="shared" si="7"/>
        <v>1426.89</v>
      </c>
      <c r="M2612" s="10">
        <f>IFERROR(__xludf.DUMMYFUNCTION("""COMPUTED_VALUE"""),41768.666666666664)</f>
        <v>41768.66667</v>
      </c>
      <c r="N2612" s="2">
        <f>IFERROR(__xludf.DUMMYFUNCTION("""COMPUTED_VALUE"""),4071.87)</f>
        <v>4071.87</v>
      </c>
    </row>
    <row r="2613">
      <c r="A2613" s="10">
        <f t="shared" si="8"/>
        <v>40595.66667</v>
      </c>
      <c r="B2613" s="2" t="str">
        <f t="shared" si="2"/>
        <v/>
      </c>
      <c r="C2613" s="2" t="str">
        <f t="shared" si="3"/>
        <v>SP500</v>
      </c>
      <c r="D2613" s="2" t="str">
        <f t="shared" si="4"/>
        <v/>
      </c>
      <c r="E2613" s="2">
        <f t="shared" si="5"/>
        <v>2833.95</v>
      </c>
      <c r="G2613" s="10">
        <f t="shared" si="9"/>
        <v>40595.64583</v>
      </c>
      <c r="H2613" s="6" t="str">
        <f t="shared" si="6"/>
        <v/>
      </c>
      <c r="I2613" s="2">
        <f t="shared" si="7"/>
        <v>1426.89</v>
      </c>
      <c r="M2613" s="10">
        <f>IFERROR(__xludf.DUMMYFUNCTION("""COMPUTED_VALUE"""),41771.666666666664)</f>
        <v>41771.66667</v>
      </c>
      <c r="N2613" s="2">
        <f>IFERROR(__xludf.DUMMYFUNCTION("""COMPUTED_VALUE"""),4143.86)</f>
        <v>4143.86</v>
      </c>
    </row>
    <row r="2614">
      <c r="A2614" s="10">
        <f t="shared" si="8"/>
        <v>40596.66667</v>
      </c>
      <c r="B2614" s="2" t="str">
        <f t="shared" si="2"/>
        <v/>
      </c>
      <c r="C2614" s="2" t="str">
        <f t="shared" si="3"/>
        <v>SP500</v>
      </c>
      <c r="D2614" s="2">
        <f t="shared" si="4"/>
        <v>2756.42</v>
      </c>
      <c r="E2614" s="2">
        <f t="shared" si="5"/>
        <v>2756.42</v>
      </c>
      <c r="G2614" s="10">
        <f t="shared" si="9"/>
        <v>40596.64583</v>
      </c>
      <c r="H2614" s="6" t="str">
        <f t="shared" si="6"/>
        <v/>
      </c>
      <c r="I2614" s="2">
        <f t="shared" si="7"/>
        <v>1426.89</v>
      </c>
      <c r="M2614" s="10">
        <f>IFERROR(__xludf.DUMMYFUNCTION("""COMPUTED_VALUE"""),41772.666666666664)</f>
        <v>41772.66667</v>
      </c>
      <c r="N2614" s="2">
        <f>IFERROR(__xludf.DUMMYFUNCTION("""COMPUTED_VALUE"""),4130.17)</f>
        <v>4130.17</v>
      </c>
    </row>
    <row r="2615">
      <c r="A2615" s="10">
        <f t="shared" si="8"/>
        <v>40597.66667</v>
      </c>
      <c r="B2615" s="2" t="str">
        <f t="shared" si="2"/>
        <v/>
      </c>
      <c r="C2615" s="2" t="str">
        <f t="shared" si="3"/>
        <v>SP500</v>
      </c>
      <c r="D2615" s="2">
        <f t="shared" si="4"/>
        <v>2722.99</v>
      </c>
      <c r="E2615" s="2">
        <f t="shared" si="5"/>
        <v>2722.99</v>
      </c>
      <c r="G2615" s="10">
        <f t="shared" si="9"/>
        <v>40597.64583</v>
      </c>
      <c r="H2615" s="6" t="str">
        <f t="shared" si="6"/>
        <v/>
      </c>
      <c r="I2615" s="2">
        <f t="shared" si="7"/>
        <v>1426.89</v>
      </c>
      <c r="M2615" s="10">
        <f>IFERROR(__xludf.DUMMYFUNCTION("""COMPUTED_VALUE"""),41773.666666666664)</f>
        <v>41773.66667</v>
      </c>
      <c r="N2615" s="2">
        <f>IFERROR(__xludf.DUMMYFUNCTION("""COMPUTED_VALUE"""),4100.63)</f>
        <v>4100.63</v>
      </c>
    </row>
    <row r="2616">
      <c r="A2616" s="10">
        <f t="shared" si="8"/>
        <v>40598.66667</v>
      </c>
      <c r="B2616" s="2" t="str">
        <f t="shared" si="2"/>
        <v/>
      </c>
      <c r="C2616" s="2" t="str">
        <f t="shared" si="3"/>
        <v>SP500</v>
      </c>
      <c r="D2616" s="2">
        <f t="shared" si="4"/>
        <v>2737.9</v>
      </c>
      <c r="E2616" s="2">
        <f t="shared" si="5"/>
        <v>2737.9</v>
      </c>
      <c r="G2616" s="10">
        <f t="shared" si="9"/>
        <v>40598.64583</v>
      </c>
      <c r="H2616" s="6" t="str">
        <f t="shared" si="6"/>
        <v/>
      </c>
      <c r="I2616" s="2">
        <f t="shared" si="7"/>
        <v>1426.89</v>
      </c>
      <c r="M2616" s="10">
        <f>IFERROR(__xludf.DUMMYFUNCTION("""COMPUTED_VALUE"""),41774.666666666664)</f>
        <v>41774.66667</v>
      </c>
      <c r="N2616" s="2">
        <f>IFERROR(__xludf.DUMMYFUNCTION("""COMPUTED_VALUE"""),4069.29)</f>
        <v>4069.29</v>
      </c>
    </row>
    <row r="2617">
      <c r="A2617" s="10">
        <f t="shared" si="8"/>
        <v>40599.66667</v>
      </c>
      <c r="B2617" s="2" t="str">
        <f t="shared" si="2"/>
        <v/>
      </c>
      <c r="C2617" s="2" t="str">
        <f t="shared" si="3"/>
        <v>SP500</v>
      </c>
      <c r="D2617" s="2">
        <f t="shared" si="4"/>
        <v>2781.05</v>
      </c>
      <c r="E2617" s="2">
        <f t="shared" si="5"/>
        <v>2781.05</v>
      </c>
      <c r="G2617" s="10">
        <f t="shared" si="9"/>
        <v>40599.64583</v>
      </c>
      <c r="H2617" s="6" t="str">
        <f t="shared" si="6"/>
        <v/>
      </c>
      <c r="I2617" s="2">
        <f t="shared" si="7"/>
        <v>1426.89</v>
      </c>
      <c r="M2617" s="10">
        <f>IFERROR(__xludf.DUMMYFUNCTION("""COMPUTED_VALUE"""),41775.666666666664)</f>
        <v>41775.66667</v>
      </c>
      <c r="N2617" s="2">
        <f>IFERROR(__xludf.DUMMYFUNCTION("""COMPUTED_VALUE"""),4090.59)</f>
        <v>4090.59</v>
      </c>
    </row>
    <row r="2618">
      <c r="A2618" s="10">
        <f t="shared" si="8"/>
        <v>40600.66667</v>
      </c>
      <c r="B2618" s="2" t="str">
        <f t="shared" si="2"/>
        <v/>
      </c>
      <c r="C2618" s="2" t="str">
        <f t="shared" si="3"/>
        <v>SP500</v>
      </c>
      <c r="D2618" s="2" t="str">
        <f t="shared" si="4"/>
        <v/>
      </c>
      <c r="E2618" s="2">
        <f t="shared" si="5"/>
        <v>2781.05</v>
      </c>
      <c r="G2618" s="10">
        <f t="shared" si="9"/>
        <v>40600.64583</v>
      </c>
      <c r="H2618" s="6" t="str">
        <f t="shared" si="6"/>
        <v/>
      </c>
      <c r="I2618" s="2">
        <f t="shared" si="7"/>
        <v>1426.89</v>
      </c>
      <c r="M2618" s="10">
        <f>IFERROR(__xludf.DUMMYFUNCTION("""COMPUTED_VALUE"""),41778.666666666664)</f>
        <v>41778.66667</v>
      </c>
      <c r="N2618" s="2">
        <f>IFERROR(__xludf.DUMMYFUNCTION("""COMPUTED_VALUE"""),4125.81)</f>
        <v>4125.81</v>
      </c>
    </row>
    <row r="2619">
      <c r="A2619" s="10">
        <f t="shared" si="8"/>
        <v>40601.66667</v>
      </c>
      <c r="B2619" s="2" t="str">
        <f t="shared" si="2"/>
        <v/>
      </c>
      <c r="C2619" s="2" t="str">
        <f t="shared" si="3"/>
        <v>SP500</v>
      </c>
      <c r="D2619" s="2" t="str">
        <f t="shared" si="4"/>
        <v/>
      </c>
      <c r="E2619" s="2">
        <f t="shared" si="5"/>
        <v>2781.05</v>
      </c>
      <c r="G2619" s="10">
        <f t="shared" si="9"/>
        <v>40601.64583</v>
      </c>
      <c r="H2619" s="6" t="str">
        <f t="shared" si="6"/>
        <v/>
      </c>
      <c r="I2619" s="2">
        <f t="shared" si="7"/>
        <v>1426.89</v>
      </c>
      <c r="M2619" s="10">
        <f>IFERROR(__xludf.DUMMYFUNCTION("""COMPUTED_VALUE"""),41779.666666666664)</f>
        <v>41779.66667</v>
      </c>
      <c r="N2619" s="2">
        <f>IFERROR(__xludf.DUMMYFUNCTION("""COMPUTED_VALUE"""),4096.89)</f>
        <v>4096.89</v>
      </c>
    </row>
    <row r="2620">
      <c r="A2620" s="10">
        <f t="shared" si="8"/>
        <v>40602.66667</v>
      </c>
      <c r="B2620" s="2" t="str">
        <f t="shared" si="2"/>
        <v/>
      </c>
      <c r="C2620" s="2" t="str">
        <f t="shared" si="3"/>
        <v>SP500</v>
      </c>
      <c r="D2620" s="2">
        <f t="shared" si="4"/>
        <v>2782.27</v>
      </c>
      <c r="E2620" s="2">
        <f t="shared" si="5"/>
        <v>2782.27</v>
      </c>
      <c r="G2620" s="10">
        <f t="shared" si="9"/>
        <v>40602.64583</v>
      </c>
      <c r="H2620" s="6" t="str">
        <f t="shared" si="6"/>
        <v/>
      </c>
      <c r="I2620" s="2">
        <f t="shared" si="7"/>
        <v>1426.89</v>
      </c>
      <c r="M2620" s="10">
        <f>IFERROR(__xludf.DUMMYFUNCTION("""COMPUTED_VALUE"""),41780.666666666664)</f>
        <v>41780.66667</v>
      </c>
      <c r="N2620" s="2">
        <f>IFERROR(__xludf.DUMMYFUNCTION("""COMPUTED_VALUE"""),4131.54)</f>
        <v>4131.54</v>
      </c>
    </row>
    <row r="2621">
      <c r="A2621" s="10">
        <f t="shared" si="8"/>
        <v>40603.66667</v>
      </c>
      <c r="B2621" s="2" t="str">
        <f t="shared" si="2"/>
        <v/>
      </c>
      <c r="C2621" s="2" t="str">
        <f t="shared" si="3"/>
        <v>SP500</v>
      </c>
      <c r="D2621" s="2">
        <f t="shared" si="4"/>
        <v>2737.41</v>
      </c>
      <c r="E2621" s="2">
        <f t="shared" si="5"/>
        <v>2737.41</v>
      </c>
      <c r="G2621" s="10">
        <f t="shared" si="9"/>
        <v>40603.64583</v>
      </c>
      <c r="H2621" s="6" t="str">
        <f t="shared" si="6"/>
        <v/>
      </c>
      <c r="I2621" s="2">
        <f t="shared" si="7"/>
        <v>1426.89</v>
      </c>
      <c r="M2621" s="10">
        <f>IFERROR(__xludf.DUMMYFUNCTION("""COMPUTED_VALUE"""),41781.666666666664)</f>
        <v>41781.66667</v>
      </c>
      <c r="N2621" s="2">
        <f>IFERROR(__xludf.DUMMYFUNCTION("""COMPUTED_VALUE"""),4154.34)</f>
        <v>4154.34</v>
      </c>
    </row>
    <row r="2622">
      <c r="A2622" s="10">
        <f t="shared" si="8"/>
        <v>40604.66667</v>
      </c>
      <c r="B2622" s="2" t="str">
        <f t="shared" si="2"/>
        <v/>
      </c>
      <c r="C2622" s="2" t="str">
        <f t="shared" si="3"/>
        <v>SP500</v>
      </c>
      <c r="D2622" s="2">
        <f t="shared" si="4"/>
        <v>2748.07</v>
      </c>
      <c r="E2622" s="2">
        <f t="shared" si="5"/>
        <v>2748.07</v>
      </c>
      <c r="G2622" s="10">
        <f t="shared" si="9"/>
        <v>40604.64583</v>
      </c>
      <c r="H2622" s="6" t="str">
        <f t="shared" si="6"/>
        <v/>
      </c>
      <c r="I2622" s="2">
        <f t="shared" si="7"/>
        <v>1426.89</v>
      </c>
      <c r="M2622" s="10">
        <f>IFERROR(__xludf.DUMMYFUNCTION("""COMPUTED_VALUE"""),41782.666666666664)</f>
        <v>41782.66667</v>
      </c>
      <c r="N2622" s="2">
        <f>IFERROR(__xludf.DUMMYFUNCTION("""COMPUTED_VALUE"""),4185.81)</f>
        <v>4185.81</v>
      </c>
    </row>
    <row r="2623">
      <c r="A2623" s="10">
        <f t="shared" si="8"/>
        <v>40605.66667</v>
      </c>
      <c r="B2623" s="2" t="str">
        <f t="shared" si="2"/>
        <v/>
      </c>
      <c r="C2623" s="2" t="str">
        <f t="shared" si="3"/>
        <v>SP500</v>
      </c>
      <c r="D2623" s="2">
        <f t="shared" si="4"/>
        <v>2798.74</v>
      </c>
      <c r="E2623" s="2">
        <f t="shared" si="5"/>
        <v>2798.74</v>
      </c>
      <c r="G2623" s="10">
        <f t="shared" si="9"/>
        <v>40605.64583</v>
      </c>
      <c r="H2623" s="6" t="str">
        <f t="shared" si="6"/>
        <v/>
      </c>
      <c r="I2623" s="2">
        <f t="shared" si="7"/>
        <v>1426.89</v>
      </c>
      <c r="M2623" s="10">
        <f>IFERROR(__xludf.DUMMYFUNCTION("""COMPUTED_VALUE"""),41786.666666666664)</f>
        <v>41786.66667</v>
      </c>
      <c r="N2623" s="2">
        <f>IFERROR(__xludf.DUMMYFUNCTION("""COMPUTED_VALUE"""),4237.07)</f>
        <v>4237.07</v>
      </c>
    </row>
    <row r="2624">
      <c r="A2624" s="10">
        <f t="shared" si="8"/>
        <v>40606.66667</v>
      </c>
      <c r="B2624" s="2" t="str">
        <f t="shared" si="2"/>
        <v/>
      </c>
      <c r="C2624" s="2" t="str">
        <f t="shared" si="3"/>
        <v>SP500</v>
      </c>
      <c r="D2624" s="2">
        <f t="shared" si="4"/>
        <v>2784.67</v>
      </c>
      <c r="E2624" s="2">
        <f t="shared" si="5"/>
        <v>2784.67</v>
      </c>
      <c r="G2624" s="10">
        <f t="shared" si="9"/>
        <v>40606.64583</v>
      </c>
      <c r="H2624" s="6" t="str">
        <f t="shared" si="6"/>
        <v/>
      </c>
      <c r="I2624" s="2">
        <f t="shared" si="7"/>
        <v>1426.89</v>
      </c>
      <c r="M2624" s="10">
        <f>IFERROR(__xludf.DUMMYFUNCTION("""COMPUTED_VALUE"""),41787.666666666664)</f>
        <v>41787.66667</v>
      </c>
      <c r="N2624" s="2">
        <f>IFERROR(__xludf.DUMMYFUNCTION("""COMPUTED_VALUE"""),4225.07)</f>
        <v>4225.07</v>
      </c>
    </row>
    <row r="2625">
      <c r="A2625" s="10">
        <f t="shared" si="8"/>
        <v>40607.66667</v>
      </c>
      <c r="B2625" s="2" t="str">
        <f t="shared" si="2"/>
        <v/>
      </c>
      <c r="C2625" s="2" t="str">
        <f t="shared" si="3"/>
        <v>SP500</v>
      </c>
      <c r="D2625" s="2" t="str">
        <f t="shared" si="4"/>
        <v/>
      </c>
      <c r="E2625" s="2">
        <f t="shared" si="5"/>
        <v>2784.67</v>
      </c>
      <c r="G2625" s="10">
        <f t="shared" si="9"/>
        <v>40607.64583</v>
      </c>
      <c r="H2625" s="6" t="str">
        <f t="shared" si="6"/>
        <v/>
      </c>
      <c r="I2625" s="2">
        <f t="shared" si="7"/>
        <v>1426.89</v>
      </c>
      <c r="M2625" s="10">
        <f>IFERROR(__xludf.DUMMYFUNCTION("""COMPUTED_VALUE"""),41788.666666666664)</f>
        <v>41788.66667</v>
      </c>
      <c r="N2625" s="2">
        <f>IFERROR(__xludf.DUMMYFUNCTION("""COMPUTED_VALUE"""),4247.95)</f>
        <v>4247.95</v>
      </c>
    </row>
    <row r="2626">
      <c r="A2626" s="10">
        <f t="shared" si="8"/>
        <v>40608.66667</v>
      </c>
      <c r="B2626" s="2" t="str">
        <f t="shared" si="2"/>
        <v/>
      </c>
      <c r="C2626" s="2" t="str">
        <f t="shared" si="3"/>
        <v>SP500</v>
      </c>
      <c r="D2626" s="2" t="str">
        <f t="shared" si="4"/>
        <v/>
      </c>
      <c r="E2626" s="2">
        <f t="shared" si="5"/>
        <v>2784.67</v>
      </c>
      <c r="G2626" s="10">
        <f t="shared" si="9"/>
        <v>40608.64583</v>
      </c>
      <c r="H2626" s="6" t="str">
        <f t="shared" si="6"/>
        <v/>
      </c>
      <c r="I2626" s="2">
        <f t="shared" si="7"/>
        <v>1426.89</v>
      </c>
      <c r="M2626" s="10">
        <f>IFERROR(__xludf.DUMMYFUNCTION("""COMPUTED_VALUE"""),41789.666666666664)</f>
        <v>41789.66667</v>
      </c>
      <c r="N2626" s="2">
        <f>IFERROR(__xludf.DUMMYFUNCTION("""COMPUTED_VALUE"""),4242.62)</f>
        <v>4242.62</v>
      </c>
    </row>
    <row r="2627">
      <c r="A2627" s="10">
        <f t="shared" si="8"/>
        <v>40609.66667</v>
      </c>
      <c r="B2627" s="2" t="str">
        <f t="shared" si="2"/>
        <v/>
      </c>
      <c r="C2627" s="2" t="str">
        <f t="shared" si="3"/>
        <v>SP500</v>
      </c>
      <c r="D2627" s="2">
        <f t="shared" si="4"/>
        <v>2745.63</v>
      </c>
      <c r="E2627" s="2">
        <f t="shared" si="5"/>
        <v>2745.63</v>
      </c>
      <c r="G2627" s="10">
        <f t="shared" si="9"/>
        <v>40609.64583</v>
      </c>
      <c r="H2627" s="6" t="str">
        <f t="shared" si="6"/>
        <v/>
      </c>
      <c r="I2627" s="2">
        <f t="shared" si="7"/>
        <v>1426.89</v>
      </c>
      <c r="M2627" s="10">
        <f>IFERROR(__xludf.DUMMYFUNCTION("""COMPUTED_VALUE"""),41792.666666666664)</f>
        <v>41792.66667</v>
      </c>
      <c r="N2627" s="2">
        <f>IFERROR(__xludf.DUMMYFUNCTION("""COMPUTED_VALUE"""),4237.2)</f>
        <v>4237.2</v>
      </c>
    </row>
    <row r="2628">
      <c r="A2628" s="10">
        <f t="shared" si="8"/>
        <v>40610.66667</v>
      </c>
      <c r="B2628" s="2" t="str">
        <f t="shared" si="2"/>
        <v/>
      </c>
      <c r="C2628" s="2" t="str">
        <f t="shared" si="3"/>
        <v>SP500</v>
      </c>
      <c r="D2628" s="2">
        <f t="shared" si="4"/>
        <v>2765.77</v>
      </c>
      <c r="E2628" s="2">
        <f t="shared" si="5"/>
        <v>2765.77</v>
      </c>
      <c r="G2628" s="10">
        <f t="shared" si="9"/>
        <v>40610.64583</v>
      </c>
      <c r="H2628" s="6" t="str">
        <f t="shared" si="6"/>
        <v/>
      </c>
      <c r="I2628" s="2">
        <f t="shared" si="7"/>
        <v>1426.89</v>
      </c>
      <c r="M2628" s="10">
        <f>IFERROR(__xludf.DUMMYFUNCTION("""COMPUTED_VALUE"""),41793.666666666664)</f>
        <v>41793.66667</v>
      </c>
      <c r="N2628" s="2">
        <f>IFERROR(__xludf.DUMMYFUNCTION("""COMPUTED_VALUE"""),4234.08)</f>
        <v>4234.08</v>
      </c>
    </row>
    <row r="2629">
      <c r="A2629" s="10">
        <f t="shared" si="8"/>
        <v>40611.66667</v>
      </c>
      <c r="B2629" s="2" t="str">
        <f t="shared" si="2"/>
        <v/>
      </c>
      <c r="C2629" s="2" t="str">
        <f t="shared" si="3"/>
        <v>SP500</v>
      </c>
      <c r="D2629" s="2">
        <f t="shared" si="4"/>
        <v>2751.72</v>
      </c>
      <c r="E2629" s="2">
        <f t="shared" si="5"/>
        <v>2751.72</v>
      </c>
      <c r="G2629" s="10">
        <f t="shared" si="9"/>
        <v>40611.64583</v>
      </c>
      <c r="H2629" s="6" t="str">
        <f t="shared" si="6"/>
        <v/>
      </c>
      <c r="I2629" s="2">
        <f t="shared" si="7"/>
        <v>1426.89</v>
      </c>
      <c r="M2629" s="10">
        <f>IFERROR(__xludf.DUMMYFUNCTION("""COMPUTED_VALUE"""),41794.666666666664)</f>
        <v>41794.66667</v>
      </c>
      <c r="N2629" s="2">
        <f>IFERROR(__xludf.DUMMYFUNCTION("""COMPUTED_VALUE"""),4251.64)</f>
        <v>4251.64</v>
      </c>
    </row>
    <row r="2630">
      <c r="A2630" s="10">
        <f t="shared" si="8"/>
        <v>40612.66667</v>
      </c>
      <c r="B2630" s="2" t="str">
        <f t="shared" si="2"/>
        <v/>
      </c>
      <c r="C2630" s="2" t="str">
        <f t="shared" si="3"/>
        <v>SP500</v>
      </c>
      <c r="D2630" s="2">
        <f t="shared" si="4"/>
        <v>2701.02</v>
      </c>
      <c r="E2630" s="2">
        <f t="shared" si="5"/>
        <v>2701.02</v>
      </c>
      <c r="G2630" s="10">
        <f t="shared" si="9"/>
        <v>40612.64583</v>
      </c>
      <c r="H2630" s="6" t="str">
        <f t="shared" si="6"/>
        <v/>
      </c>
      <c r="I2630" s="2">
        <f t="shared" si="7"/>
        <v>1426.89</v>
      </c>
      <c r="M2630" s="10">
        <f>IFERROR(__xludf.DUMMYFUNCTION("""COMPUTED_VALUE"""),41795.666666666664)</f>
        <v>41795.66667</v>
      </c>
      <c r="N2630" s="2">
        <f>IFERROR(__xludf.DUMMYFUNCTION("""COMPUTED_VALUE"""),4296.23)</f>
        <v>4296.23</v>
      </c>
    </row>
    <row r="2631">
      <c r="A2631" s="10">
        <f t="shared" si="8"/>
        <v>40613.66667</v>
      </c>
      <c r="B2631" s="2" t="str">
        <f t="shared" si="2"/>
        <v/>
      </c>
      <c r="C2631" s="2" t="str">
        <f t="shared" si="3"/>
        <v>SP500</v>
      </c>
      <c r="D2631" s="2">
        <f t="shared" si="4"/>
        <v>2715.61</v>
      </c>
      <c r="E2631" s="2">
        <f t="shared" si="5"/>
        <v>2715.61</v>
      </c>
      <c r="G2631" s="10">
        <f t="shared" si="9"/>
        <v>40613.64583</v>
      </c>
      <c r="H2631" s="6" t="str">
        <f t="shared" si="6"/>
        <v/>
      </c>
      <c r="I2631" s="2">
        <f t="shared" si="7"/>
        <v>1426.89</v>
      </c>
      <c r="M2631" s="10">
        <f>IFERROR(__xludf.DUMMYFUNCTION("""COMPUTED_VALUE"""),41796.666666666664)</f>
        <v>41796.66667</v>
      </c>
      <c r="N2631" s="2">
        <f>IFERROR(__xludf.DUMMYFUNCTION("""COMPUTED_VALUE"""),4321.4)</f>
        <v>4321.4</v>
      </c>
    </row>
    <row r="2632">
      <c r="A2632" s="10">
        <f t="shared" si="8"/>
        <v>40614.66667</v>
      </c>
      <c r="B2632" s="2" t="str">
        <f t="shared" si="2"/>
        <v/>
      </c>
      <c r="C2632" s="2" t="str">
        <f t="shared" si="3"/>
        <v>SP500</v>
      </c>
      <c r="D2632" s="2" t="str">
        <f t="shared" si="4"/>
        <v/>
      </c>
      <c r="E2632" s="2">
        <f t="shared" si="5"/>
        <v>2715.61</v>
      </c>
      <c r="G2632" s="10">
        <f t="shared" si="9"/>
        <v>40614.64583</v>
      </c>
      <c r="H2632" s="6" t="str">
        <f t="shared" si="6"/>
        <v/>
      </c>
      <c r="I2632" s="2">
        <f t="shared" si="7"/>
        <v>1426.89</v>
      </c>
      <c r="M2632" s="10">
        <f>IFERROR(__xludf.DUMMYFUNCTION("""COMPUTED_VALUE"""),41799.666666666664)</f>
        <v>41799.66667</v>
      </c>
      <c r="N2632" s="2">
        <f>IFERROR(__xludf.DUMMYFUNCTION("""COMPUTED_VALUE"""),4336.24)</f>
        <v>4336.24</v>
      </c>
    </row>
    <row r="2633">
      <c r="A2633" s="10">
        <f t="shared" si="8"/>
        <v>40615.66667</v>
      </c>
      <c r="B2633" s="2" t="str">
        <f t="shared" si="2"/>
        <v/>
      </c>
      <c r="C2633" s="2" t="str">
        <f t="shared" si="3"/>
        <v>SP500</v>
      </c>
      <c r="D2633" s="2" t="str">
        <f t="shared" si="4"/>
        <v/>
      </c>
      <c r="E2633" s="2">
        <f t="shared" si="5"/>
        <v>2715.61</v>
      </c>
      <c r="G2633" s="10">
        <f t="shared" si="9"/>
        <v>40615.64583</v>
      </c>
      <c r="H2633" s="6" t="str">
        <f t="shared" si="6"/>
        <v/>
      </c>
      <c r="I2633" s="2">
        <f t="shared" si="7"/>
        <v>1426.89</v>
      </c>
      <c r="M2633" s="10">
        <f>IFERROR(__xludf.DUMMYFUNCTION("""COMPUTED_VALUE"""),41800.666666666664)</f>
        <v>41800.66667</v>
      </c>
      <c r="N2633" s="2">
        <f>IFERROR(__xludf.DUMMYFUNCTION("""COMPUTED_VALUE"""),4338.0)</f>
        <v>4338</v>
      </c>
    </row>
    <row r="2634">
      <c r="A2634" s="10">
        <f t="shared" si="8"/>
        <v>40616.66667</v>
      </c>
      <c r="B2634" s="2" t="str">
        <f t="shared" si="2"/>
        <v/>
      </c>
      <c r="C2634" s="2" t="str">
        <f t="shared" si="3"/>
        <v>SP500</v>
      </c>
      <c r="D2634" s="2">
        <f t="shared" si="4"/>
        <v>2700.97</v>
      </c>
      <c r="E2634" s="2">
        <f t="shared" si="5"/>
        <v>2700.97</v>
      </c>
      <c r="G2634" s="10">
        <f t="shared" si="9"/>
        <v>40616.64583</v>
      </c>
      <c r="H2634" s="6" t="str">
        <f t="shared" si="6"/>
        <v/>
      </c>
      <c r="I2634" s="2">
        <f t="shared" si="7"/>
        <v>1426.89</v>
      </c>
      <c r="M2634" s="10">
        <f>IFERROR(__xludf.DUMMYFUNCTION("""COMPUTED_VALUE"""),41801.666666666664)</f>
        <v>41801.66667</v>
      </c>
      <c r="N2634" s="2">
        <f>IFERROR(__xludf.DUMMYFUNCTION("""COMPUTED_VALUE"""),4331.93)</f>
        <v>4331.93</v>
      </c>
    </row>
    <row r="2635">
      <c r="A2635" s="10">
        <f t="shared" si="8"/>
        <v>40617.66667</v>
      </c>
      <c r="B2635" s="2" t="str">
        <f t="shared" si="2"/>
        <v/>
      </c>
      <c r="C2635" s="2" t="str">
        <f t="shared" si="3"/>
        <v>SP500</v>
      </c>
      <c r="D2635" s="2">
        <f t="shared" si="4"/>
        <v>2667.33</v>
      </c>
      <c r="E2635" s="2">
        <f t="shared" si="5"/>
        <v>2667.33</v>
      </c>
      <c r="G2635" s="10">
        <f t="shared" si="9"/>
        <v>40617.64583</v>
      </c>
      <c r="H2635" s="6" t="str">
        <f t="shared" si="6"/>
        <v/>
      </c>
      <c r="I2635" s="2">
        <f t="shared" si="7"/>
        <v>1426.89</v>
      </c>
      <c r="M2635" s="10">
        <f>IFERROR(__xludf.DUMMYFUNCTION("""COMPUTED_VALUE"""),41802.666666666664)</f>
        <v>41802.66667</v>
      </c>
      <c r="N2635" s="2">
        <f>IFERROR(__xludf.DUMMYFUNCTION("""COMPUTED_VALUE"""),4297.63)</f>
        <v>4297.63</v>
      </c>
    </row>
    <row r="2636">
      <c r="A2636" s="10">
        <f t="shared" si="8"/>
        <v>40618.66667</v>
      </c>
      <c r="B2636" s="2" t="str">
        <f t="shared" si="2"/>
        <v/>
      </c>
      <c r="C2636" s="2" t="str">
        <f t="shared" si="3"/>
        <v>SP500</v>
      </c>
      <c r="D2636" s="2">
        <f t="shared" si="4"/>
        <v>2616.82</v>
      </c>
      <c r="E2636" s="2">
        <f t="shared" si="5"/>
        <v>2616.82</v>
      </c>
      <c r="G2636" s="10">
        <f t="shared" si="9"/>
        <v>40618.64583</v>
      </c>
      <c r="H2636" s="6" t="str">
        <f t="shared" si="6"/>
        <v/>
      </c>
      <c r="I2636" s="2">
        <f t="shared" si="7"/>
        <v>1426.89</v>
      </c>
      <c r="M2636" s="10">
        <f>IFERROR(__xludf.DUMMYFUNCTION("""COMPUTED_VALUE"""),41803.666666666664)</f>
        <v>41803.66667</v>
      </c>
      <c r="N2636" s="2">
        <f>IFERROR(__xludf.DUMMYFUNCTION("""COMPUTED_VALUE"""),4310.65)</f>
        <v>4310.65</v>
      </c>
    </row>
    <row r="2637">
      <c r="A2637" s="10">
        <f t="shared" si="8"/>
        <v>40619.66667</v>
      </c>
      <c r="B2637" s="2" t="str">
        <f t="shared" si="2"/>
        <v/>
      </c>
      <c r="C2637" s="2" t="str">
        <f t="shared" si="3"/>
        <v>SP500</v>
      </c>
      <c r="D2637" s="2">
        <f t="shared" si="4"/>
        <v>2636.05</v>
      </c>
      <c r="E2637" s="2">
        <f t="shared" si="5"/>
        <v>2636.05</v>
      </c>
      <c r="G2637" s="10">
        <f t="shared" si="9"/>
        <v>40619.64583</v>
      </c>
      <c r="H2637" s="6" t="str">
        <f t="shared" si="6"/>
        <v/>
      </c>
      <c r="I2637" s="2">
        <f t="shared" si="7"/>
        <v>1426.89</v>
      </c>
      <c r="M2637" s="10">
        <f>IFERROR(__xludf.DUMMYFUNCTION("""COMPUTED_VALUE"""),41806.666666666664)</f>
        <v>41806.66667</v>
      </c>
      <c r="N2637" s="2">
        <f>IFERROR(__xludf.DUMMYFUNCTION("""COMPUTED_VALUE"""),4321.11)</f>
        <v>4321.11</v>
      </c>
    </row>
    <row r="2638">
      <c r="A2638" s="10">
        <f t="shared" si="8"/>
        <v>40620.66667</v>
      </c>
      <c r="B2638" s="2" t="str">
        <f t="shared" si="2"/>
        <v/>
      </c>
      <c r="C2638" s="2" t="str">
        <f t="shared" si="3"/>
        <v>SP500</v>
      </c>
      <c r="D2638" s="2">
        <f t="shared" si="4"/>
        <v>2643.67</v>
      </c>
      <c r="E2638" s="2">
        <f t="shared" si="5"/>
        <v>2643.67</v>
      </c>
      <c r="G2638" s="10">
        <f t="shared" si="9"/>
        <v>40620.64583</v>
      </c>
      <c r="H2638" s="6" t="str">
        <f t="shared" si="6"/>
        <v/>
      </c>
      <c r="I2638" s="2">
        <f t="shared" si="7"/>
        <v>1426.89</v>
      </c>
      <c r="M2638" s="10">
        <f>IFERROR(__xludf.DUMMYFUNCTION("""COMPUTED_VALUE"""),41807.666666666664)</f>
        <v>41807.66667</v>
      </c>
      <c r="N2638" s="2">
        <f>IFERROR(__xludf.DUMMYFUNCTION("""COMPUTED_VALUE"""),4337.23)</f>
        <v>4337.23</v>
      </c>
    </row>
    <row r="2639">
      <c r="A2639" s="10">
        <f t="shared" si="8"/>
        <v>40621.66667</v>
      </c>
      <c r="B2639" s="2" t="str">
        <f t="shared" si="2"/>
        <v/>
      </c>
      <c r="C2639" s="2" t="str">
        <f t="shared" si="3"/>
        <v>SP500</v>
      </c>
      <c r="D2639" s="2" t="str">
        <f t="shared" si="4"/>
        <v/>
      </c>
      <c r="E2639" s="2">
        <f t="shared" si="5"/>
        <v>2643.67</v>
      </c>
      <c r="G2639" s="10">
        <f t="shared" si="9"/>
        <v>40621.64583</v>
      </c>
      <c r="H2639" s="6" t="str">
        <f t="shared" si="6"/>
        <v/>
      </c>
      <c r="I2639" s="2">
        <f t="shared" si="7"/>
        <v>1426.89</v>
      </c>
      <c r="M2639" s="10">
        <f>IFERROR(__xludf.DUMMYFUNCTION("""COMPUTED_VALUE"""),41808.666666666664)</f>
        <v>41808.66667</v>
      </c>
      <c r="N2639" s="2">
        <f>IFERROR(__xludf.DUMMYFUNCTION("""COMPUTED_VALUE"""),4362.84)</f>
        <v>4362.84</v>
      </c>
    </row>
    <row r="2640">
      <c r="A2640" s="10">
        <f t="shared" si="8"/>
        <v>40622.66667</v>
      </c>
      <c r="B2640" s="2" t="str">
        <f t="shared" si="2"/>
        <v/>
      </c>
      <c r="C2640" s="2" t="str">
        <f t="shared" si="3"/>
        <v>SP500</v>
      </c>
      <c r="D2640" s="2" t="str">
        <f t="shared" si="4"/>
        <v/>
      </c>
      <c r="E2640" s="2">
        <f t="shared" si="5"/>
        <v>2643.67</v>
      </c>
      <c r="G2640" s="10">
        <f t="shared" si="9"/>
        <v>40622.64583</v>
      </c>
      <c r="H2640" s="6" t="str">
        <f t="shared" si="6"/>
        <v/>
      </c>
      <c r="I2640" s="2">
        <f t="shared" si="7"/>
        <v>1426.89</v>
      </c>
      <c r="M2640" s="10">
        <f>IFERROR(__xludf.DUMMYFUNCTION("""COMPUTED_VALUE"""),41809.666666666664)</f>
        <v>41809.66667</v>
      </c>
      <c r="N2640" s="2">
        <f>IFERROR(__xludf.DUMMYFUNCTION("""COMPUTED_VALUE"""),4359.33)</f>
        <v>4359.33</v>
      </c>
    </row>
    <row r="2641">
      <c r="A2641" s="10">
        <f t="shared" si="8"/>
        <v>40623.66667</v>
      </c>
      <c r="B2641" s="2" t="str">
        <f t="shared" si="2"/>
        <v/>
      </c>
      <c r="C2641" s="2" t="str">
        <f t="shared" si="3"/>
        <v>SP500</v>
      </c>
      <c r="D2641" s="2">
        <f t="shared" si="4"/>
        <v>2692.09</v>
      </c>
      <c r="E2641" s="2">
        <f t="shared" si="5"/>
        <v>2692.09</v>
      </c>
      <c r="G2641" s="10">
        <f t="shared" si="9"/>
        <v>40623.64583</v>
      </c>
      <c r="H2641" s="6" t="str">
        <f t="shared" si="6"/>
        <v/>
      </c>
      <c r="I2641" s="2">
        <f t="shared" si="7"/>
        <v>1426.89</v>
      </c>
      <c r="M2641" s="10">
        <f>IFERROR(__xludf.DUMMYFUNCTION("""COMPUTED_VALUE"""),41810.666666666664)</f>
        <v>41810.66667</v>
      </c>
      <c r="N2641" s="2">
        <f>IFERROR(__xludf.DUMMYFUNCTION("""COMPUTED_VALUE"""),4368.04)</f>
        <v>4368.04</v>
      </c>
    </row>
    <row r="2642">
      <c r="A2642" s="10">
        <f t="shared" si="8"/>
        <v>40624.66667</v>
      </c>
      <c r="B2642" s="2" t="str">
        <f t="shared" si="2"/>
        <v/>
      </c>
      <c r="C2642" s="2" t="str">
        <f t="shared" si="3"/>
        <v>SP500</v>
      </c>
      <c r="D2642" s="2">
        <f t="shared" si="4"/>
        <v>2683.87</v>
      </c>
      <c r="E2642" s="2">
        <f t="shared" si="5"/>
        <v>2683.87</v>
      </c>
      <c r="G2642" s="10">
        <f t="shared" si="9"/>
        <v>40624.64583</v>
      </c>
      <c r="H2642" s="6" t="str">
        <f t="shared" si="6"/>
        <v/>
      </c>
      <c r="I2642" s="2">
        <f t="shared" si="7"/>
        <v>1426.89</v>
      </c>
      <c r="M2642" s="10">
        <f>IFERROR(__xludf.DUMMYFUNCTION("""COMPUTED_VALUE"""),41813.666666666664)</f>
        <v>41813.66667</v>
      </c>
      <c r="N2642" s="2">
        <f>IFERROR(__xludf.DUMMYFUNCTION("""COMPUTED_VALUE"""),4368.68)</f>
        <v>4368.68</v>
      </c>
    </row>
    <row r="2643">
      <c r="A2643" s="10">
        <f t="shared" si="8"/>
        <v>40625.66667</v>
      </c>
      <c r="B2643" s="2" t="str">
        <f t="shared" si="2"/>
        <v/>
      </c>
      <c r="C2643" s="2" t="str">
        <f t="shared" si="3"/>
        <v>SP500</v>
      </c>
      <c r="D2643" s="2">
        <f t="shared" si="4"/>
        <v>2698.3</v>
      </c>
      <c r="E2643" s="2">
        <f t="shared" si="5"/>
        <v>2698.3</v>
      </c>
      <c r="G2643" s="10">
        <f t="shared" si="9"/>
        <v>40625.64583</v>
      </c>
      <c r="H2643" s="6" t="str">
        <f t="shared" si="6"/>
        <v/>
      </c>
      <c r="I2643" s="2">
        <f t="shared" si="7"/>
        <v>1426.89</v>
      </c>
      <c r="M2643" s="10">
        <f>IFERROR(__xludf.DUMMYFUNCTION("""COMPUTED_VALUE"""),41814.666666666664)</f>
        <v>41814.66667</v>
      </c>
      <c r="N2643" s="2">
        <f>IFERROR(__xludf.DUMMYFUNCTION("""COMPUTED_VALUE"""),4350.36)</f>
        <v>4350.36</v>
      </c>
    </row>
    <row r="2644">
      <c r="A2644" s="10">
        <f t="shared" si="8"/>
        <v>40626.66667</v>
      </c>
      <c r="B2644" s="2" t="str">
        <f t="shared" si="2"/>
        <v/>
      </c>
      <c r="C2644" s="2" t="str">
        <f t="shared" si="3"/>
        <v>SP500</v>
      </c>
      <c r="D2644" s="2">
        <f t="shared" si="4"/>
        <v>2736.42</v>
      </c>
      <c r="E2644" s="2">
        <f t="shared" si="5"/>
        <v>2736.42</v>
      </c>
      <c r="G2644" s="10">
        <f t="shared" si="9"/>
        <v>40626.64583</v>
      </c>
      <c r="H2644" s="6" t="str">
        <f t="shared" si="6"/>
        <v/>
      </c>
      <c r="I2644" s="2">
        <f t="shared" si="7"/>
        <v>1426.89</v>
      </c>
      <c r="M2644" s="10">
        <f>IFERROR(__xludf.DUMMYFUNCTION("""COMPUTED_VALUE"""),41815.666666666664)</f>
        <v>41815.66667</v>
      </c>
      <c r="N2644" s="2">
        <f>IFERROR(__xludf.DUMMYFUNCTION("""COMPUTED_VALUE"""),4379.76)</f>
        <v>4379.76</v>
      </c>
    </row>
    <row r="2645">
      <c r="A2645" s="10">
        <f t="shared" si="8"/>
        <v>40627.66667</v>
      </c>
      <c r="B2645" s="2" t="str">
        <f t="shared" si="2"/>
        <v/>
      </c>
      <c r="C2645" s="2" t="str">
        <f t="shared" si="3"/>
        <v>SP500</v>
      </c>
      <c r="D2645" s="2">
        <f t="shared" si="4"/>
        <v>2743.06</v>
      </c>
      <c r="E2645" s="2">
        <f t="shared" si="5"/>
        <v>2743.06</v>
      </c>
      <c r="G2645" s="10">
        <f t="shared" si="9"/>
        <v>40627.64583</v>
      </c>
      <c r="H2645" s="6" t="str">
        <f t="shared" si="6"/>
        <v/>
      </c>
      <c r="I2645" s="2">
        <f t="shared" si="7"/>
        <v>1426.89</v>
      </c>
      <c r="M2645" s="10">
        <f>IFERROR(__xludf.DUMMYFUNCTION("""COMPUTED_VALUE"""),41816.666666666664)</f>
        <v>41816.66667</v>
      </c>
      <c r="N2645" s="2">
        <f>IFERROR(__xludf.DUMMYFUNCTION("""COMPUTED_VALUE"""),4379.05)</f>
        <v>4379.05</v>
      </c>
    </row>
    <row r="2646">
      <c r="A2646" s="10">
        <f t="shared" si="8"/>
        <v>40628.66667</v>
      </c>
      <c r="B2646" s="2" t="str">
        <f t="shared" si="2"/>
        <v/>
      </c>
      <c r="C2646" s="2" t="str">
        <f t="shared" si="3"/>
        <v>SP500</v>
      </c>
      <c r="D2646" s="2" t="str">
        <f t="shared" si="4"/>
        <v/>
      </c>
      <c r="E2646" s="2">
        <f t="shared" si="5"/>
        <v>2743.06</v>
      </c>
      <c r="G2646" s="10">
        <f t="shared" si="9"/>
        <v>40628.64583</v>
      </c>
      <c r="H2646" s="6" t="str">
        <f t="shared" si="6"/>
        <v/>
      </c>
      <c r="I2646" s="2">
        <f t="shared" si="7"/>
        <v>1426.89</v>
      </c>
      <c r="M2646" s="10">
        <f>IFERROR(__xludf.DUMMYFUNCTION("""COMPUTED_VALUE"""),41817.666666666664)</f>
        <v>41817.66667</v>
      </c>
      <c r="N2646" s="2">
        <f>IFERROR(__xludf.DUMMYFUNCTION("""COMPUTED_VALUE"""),4397.93)</f>
        <v>4397.93</v>
      </c>
    </row>
    <row r="2647">
      <c r="A2647" s="10">
        <f t="shared" si="8"/>
        <v>40629.66667</v>
      </c>
      <c r="B2647" s="2" t="str">
        <f t="shared" si="2"/>
        <v/>
      </c>
      <c r="C2647" s="2" t="str">
        <f t="shared" si="3"/>
        <v>SP500</v>
      </c>
      <c r="D2647" s="2" t="str">
        <f t="shared" si="4"/>
        <v/>
      </c>
      <c r="E2647" s="2">
        <f t="shared" si="5"/>
        <v>2743.06</v>
      </c>
      <c r="G2647" s="10">
        <f t="shared" si="9"/>
        <v>40629.64583</v>
      </c>
      <c r="H2647" s="6" t="str">
        <f t="shared" si="6"/>
        <v/>
      </c>
      <c r="I2647" s="2">
        <f t="shared" si="7"/>
        <v>1426.89</v>
      </c>
      <c r="M2647" s="10">
        <f>IFERROR(__xludf.DUMMYFUNCTION("""COMPUTED_VALUE"""),41820.666666666664)</f>
        <v>41820.66667</v>
      </c>
      <c r="N2647" s="2">
        <f>IFERROR(__xludf.DUMMYFUNCTION("""COMPUTED_VALUE"""),4408.18)</f>
        <v>4408.18</v>
      </c>
    </row>
    <row r="2648">
      <c r="A2648" s="10">
        <f t="shared" si="8"/>
        <v>40630.66667</v>
      </c>
      <c r="B2648" s="2" t="str">
        <f t="shared" si="2"/>
        <v/>
      </c>
      <c r="C2648" s="2" t="str">
        <f t="shared" si="3"/>
        <v>SP500</v>
      </c>
      <c r="D2648" s="2">
        <f t="shared" si="4"/>
        <v>2730.68</v>
      </c>
      <c r="E2648" s="2">
        <f t="shared" si="5"/>
        <v>2730.68</v>
      </c>
      <c r="G2648" s="10">
        <f t="shared" si="9"/>
        <v>40630.64583</v>
      </c>
      <c r="H2648" s="6" t="str">
        <f t="shared" si="6"/>
        <v/>
      </c>
      <c r="I2648" s="2">
        <f t="shared" si="7"/>
        <v>1426.89</v>
      </c>
      <c r="M2648" s="10">
        <f>IFERROR(__xludf.DUMMYFUNCTION("""COMPUTED_VALUE"""),41821.666666666664)</f>
        <v>41821.66667</v>
      </c>
      <c r="N2648" s="2">
        <f>IFERROR(__xludf.DUMMYFUNCTION("""COMPUTED_VALUE"""),4458.65)</f>
        <v>4458.65</v>
      </c>
    </row>
    <row r="2649">
      <c r="A2649" s="10">
        <f t="shared" si="8"/>
        <v>40631.66667</v>
      </c>
      <c r="B2649" s="2" t="str">
        <f t="shared" si="2"/>
        <v/>
      </c>
      <c r="C2649" s="2" t="str">
        <f t="shared" si="3"/>
        <v>SP500</v>
      </c>
      <c r="D2649" s="2">
        <f t="shared" si="4"/>
        <v>2756.89</v>
      </c>
      <c r="E2649" s="2">
        <f t="shared" si="5"/>
        <v>2756.89</v>
      </c>
      <c r="G2649" s="10">
        <f t="shared" si="9"/>
        <v>40631.64583</v>
      </c>
      <c r="H2649" s="6" t="str">
        <f t="shared" si="6"/>
        <v/>
      </c>
      <c r="I2649" s="2">
        <f t="shared" si="7"/>
        <v>1426.89</v>
      </c>
      <c r="M2649" s="10">
        <f>IFERROR(__xludf.DUMMYFUNCTION("""COMPUTED_VALUE"""),41822.666666666664)</f>
        <v>41822.66667</v>
      </c>
      <c r="N2649" s="2">
        <f>IFERROR(__xludf.DUMMYFUNCTION("""COMPUTED_VALUE"""),4457.73)</f>
        <v>4457.73</v>
      </c>
    </row>
    <row r="2650">
      <c r="A2650" s="10">
        <f t="shared" si="8"/>
        <v>40632.66667</v>
      </c>
      <c r="B2650" s="2" t="str">
        <f t="shared" si="2"/>
        <v/>
      </c>
      <c r="C2650" s="2" t="str">
        <f t="shared" si="3"/>
        <v>SP500</v>
      </c>
      <c r="D2650" s="2">
        <f t="shared" si="4"/>
        <v>2776.79</v>
      </c>
      <c r="E2650" s="2">
        <f t="shared" si="5"/>
        <v>2776.79</v>
      </c>
      <c r="G2650" s="10">
        <f t="shared" si="9"/>
        <v>40632.64583</v>
      </c>
      <c r="H2650" s="6" t="str">
        <f t="shared" si="6"/>
        <v/>
      </c>
      <c r="I2650" s="2">
        <f t="shared" si="7"/>
        <v>1426.89</v>
      </c>
      <c r="M2650" s="10">
        <f>IFERROR(__xludf.DUMMYFUNCTION("""COMPUTED_VALUE"""),41823.666666666664)</f>
        <v>41823.66667</v>
      </c>
      <c r="N2650" s="2">
        <f>IFERROR(__xludf.DUMMYFUNCTION("""COMPUTED_VALUE"""),4485.93)</f>
        <v>4485.93</v>
      </c>
    </row>
    <row r="2651">
      <c r="A2651" s="10">
        <f t="shared" si="8"/>
        <v>40633.66667</v>
      </c>
      <c r="B2651" s="2" t="str">
        <f t="shared" si="2"/>
        <v/>
      </c>
      <c r="C2651" s="2" t="str">
        <f t="shared" si="3"/>
        <v>SP500</v>
      </c>
      <c r="D2651" s="2">
        <f t="shared" si="4"/>
        <v>2781.07</v>
      </c>
      <c r="E2651" s="2">
        <f t="shared" si="5"/>
        <v>2781.07</v>
      </c>
      <c r="G2651" s="10">
        <f t="shared" si="9"/>
        <v>40633.64583</v>
      </c>
      <c r="H2651" s="6" t="str">
        <f t="shared" si="6"/>
        <v/>
      </c>
      <c r="I2651" s="2">
        <f t="shared" si="7"/>
        <v>1426.89</v>
      </c>
      <c r="M2651" s="10">
        <f>IFERROR(__xludf.DUMMYFUNCTION("""COMPUTED_VALUE"""),41827.666666666664)</f>
        <v>41827.66667</v>
      </c>
      <c r="N2651" s="2">
        <f>IFERROR(__xludf.DUMMYFUNCTION("""COMPUTED_VALUE"""),4451.53)</f>
        <v>4451.53</v>
      </c>
    </row>
    <row r="2652">
      <c r="A2652" s="10">
        <f t="shared" si="8"/>
        <v>40634.66667</v>
      </c>
      <c r="B2652" s="2" t="str">
        <f t="shared" si="2"/>
        <v/>
      </c>
      <c r="C2652" s="2" t="str">
        <f t="shared" si="3"/>
        <v>SP500</v>
      </c>
      <c r="D2652" s="2">
        <f t="shared" si="4"/>
        <v>2789.6</v>
      </c>
      <c r="E2652" s="2">
        <f t="shared" si="5"/>
        <v>2789.6</v>
      </c>
      <c r="G2652" s="10">
        <f t="shared" si="9"/>
        <v>40634.64583</v>
      </c>
      <c r="H2652" s="6" t="str">
        <f t="shared" si="6"/>
        <v/>
      </c>
      <c r="I2652" s="2">
        <f t="shared" si="7"/>
        <v>1426.89</v>
      </c>
      <c r="M2652" s="10">
        <f>IFERROR(__xludf.DUMMYFUNCTION("""COMPUTED_VALUE"""),41828.666666666664)</f>
        <v>41828.66667</v>
      </c>
      <c r="N2652" s="2">
        <f>IFERROR(__xludf.DUMMYFUNCTION("""COMPUTED_VALUE"""),4391.46)</f>
        <v>4391.46</v>
      </c>
    </row>
    <row r="2653">
      <c r="A2653" s="10">
        <f t="shared" si="8"/>
        <v>40635.66667</v>
      </c>
      <c r="B2653" s="2" t="str">
        <f t="shared" si="2"/>
        <v/>
      </c>
      <c r="C2653" s="2" t="str">
        <f t="shared" si="3"/>
        <v>SP500</v>
      </c>
      <c r="D2653" s="2" t="str">
        <f t="shared" si="4"/>
        <v/>
      </c>
      <c r="E2653" s="2">
        <f t="shared" si="5"/>
        <v>2789.6</v>
      </c>
      <c r="G2653" s="10">
        <f t="shared" si="9"/>
        <v>40635.64583</v>
      </c>
      <c r="H2653" s="6" t="str">
        <f t="shared" si="6"/>
        <v/>
      </c>
      <c r="I2653" s="2">
        <f t="shared" si="7"/>
        <v>1426.89</v>
      </c>
      <c r="M2653" s="10">
        <f>IFERROR(__xludf.DUMMYFUNCTION("""COMPUTED_VALUE"""),41829.666666666664)</f>
        <v>41829.66667</v>
      </c>
      <c r="N2653" s="2">
        <f>IFERROR(__xludf.DUMMYFUNCTION("""COMPUTED_VALUE"""),4419.03)</f>
        <v>4419.03</v>
      </c>
    </row>
    <row r="2654">
      <c r="A2654" s="10">
        <f t="shared" si="8"/>
        <v>40636.66667</v>
      </c>
      <c r="B2654" s="2" t="str">
        <f t="shared" si="2"/>
        <v/>
      </c>
      <c r="C2654" s="2" t="str">
        <f t="shared" si="3"/>
        <v>SP500</v>
      </c>
      <c r="D2654" s="2" t="str">
        <f t="shared" si="4"/>
        <v/>
      </c>
      <c r="E2654" s="2">
        <f t="shared" si="5"/>
        <v>2789.6</v>
      </c>
      <c r="G2654" s="10">
        <f t="shared" si="9"/>
        <v>40636.64583</v>
      </c>
      <c r="H2654" s="6" t="str">
        <f t="shared" si="6"/>
        <v/>
      </c>
      <c r="I2654" s="2">
        <f t="shared" si="7"/>
        <v>1426.89</v>
      </c>
      <c r="M2654" s="10">
        <f>IFERROR(__xludf.DUMMYFUNCTION("""COMPUTED_VALUE"""),41830.666666666664)</f>
        <v>41830.66667</v>
      </c>
      <c r="N2654" s="2">
        <f>IFERROR(__xludf.DUMMYFUNCTION("""COMPUTED_VALUE"""),4396.2)</f>
        <v>4396.2</v>
      </c>
    </row>
    <row r="2655">
      <c r="A2655" s="10">
        <f t="shared" si="8"/>
        <v>40637.66667</v>
      </c>
      <c r="B2655" s="2" t="str">
        <f t="shared" si="2"/>
        <v/>
      </c>
      <c r="C2655" s="2" t="str">
        <f t="shared" si="3"/>
        <v>SP500</v>
      </c>
      <c r="D2655" s="2">
        <f t="shared" si="4"/>
        <v>2789.19</v>
      </c>
      <c r="E2655" s="2">
        <f t="shared" si="5"/>
        <v>2789.19</v>
      </c>
      <c r="G2655" s="10">
        <f t="shared" si="9"/>
        <v>40637.64583</v>
      </c>
      <c r="H2655" s="6" t="str">
        <f t="shared" si="6"/>
        <v/>
      </c>
      <c r="I2655" s="2">
        <f t="shared" si="7"/>
        <v>1426.89</v>
      </c>
      <c r="M2655" s="10">
        <f>IFERROR(__xludf.DUMMYFUNCTION("""COMPUTED_VALUE"""),41831.666666666664)</f>
        <v>41831.66667</v>
      </c>
      <c r="N2655" s="2">
        <f>IFERROR(__xludf.DUMMYFUNCTION("""COMPUTED_VALUE"""),4415.49)</f>
        <v>4415.49</v>
      </c>
    </row>
    <row r="2656">
      <c r="A2656" s="10">
        <f t="shared" si="8"/>
        <v>40638.66667</v>
      </c>
      <c r="B2656" s="2" t="str">
        <f t="shared" si="2"/>
        <v/>
      </c>
      <c r="C2656" s="2" t="str">
        <f t="shared" si="3"/>
        <v>SP500</v>
      </c>
      <c r="D2656" s="2">
        <f t="shared" si="4"/>
        <v>2791.19</v>
      </c>
      <c r="E2656" s="2">
        <f t="shared" si="5"/>
        <v>2791.19</v>
      </c>
      <c r="G2656" s="10">
        <f t="shared" si="9"/>
        <v>40638.64583</v>
      </c>
      <c r="H2656" s="6" t="str">
        <f t="shared" si="6"/>
        <v/>
      </c>
      <c r="I2656" s="2">
        <f t="shared" si="7"/>
        <v>1426.89</v>
      </c>
      <c r="M2656" s="10">
        <f>IFERROR(__xludf.DUMMYFUNCTION("""COMPUTED_VALUE"""),41834.666666666664)</f>
        <v>41834.66667</v>
      </c>
      <c r="N2656" s="2">
        <f>IFERROR(__xludf.DUMMYFUNCTION("""COMPUTED_VALUE"""),4440.42)</f>
        <v>4440.42</v>
      </c>
    </row>
    <row r="2657">
      <c r="A2657" s="10">
        <f t="shared" si="8"/>
        <v>40639.66667</v>
      </c>
      <c r="B2657" s="2" t="str">
        <f t="shared" si="2"/>
        <v/>
      </c>
      <c r="C2657" s="2" t="str">
        <f t="shared" si="3"/>
        <v>SP500</v>
      </c>
      <c r="D2657" s="2">
        <f t="shared" si="4"/>
        <v>2799.82</v>
      </c>
      <c r="E2657" s="2">
        <f t="shared" si="5"/>
        <v>2799.82</v>
      </c>
      <c r="G2657" s="10">
        <f t="shared" si="9"/>
        <v>40639.64583</v>
      </c>
      <c r="H2657" s="6" t="str">
        <f t="shared" si="6"/>
        <v/>
      </c>
      <c r="I2657" s="2">
        <f t="shared" si="7"/>
        <v>1426.89</v>
      </c>
      <c r="M2657" s="10">
        <f>IFERROR(__xludf.DUMMYFUNCTION("""COMPUTED_VALUE"""),41835.666666666664)</f>
        <v>41835.66667</v>
      </c>
      <c r="N2657" s="2">
        <f>IFERROR(__xludf.DUMMYFUNCTION("""COMPUTED_VALUE"""),4416.39)</f>
        <v>4416.39</v>
      </c>
    </row>
    <row r="2658">
      <c r="A2658" s="10">
        <f t="shared" si="8"/>
        <v>40640.66667</v>
      </c>
      <c r="B2658" s="2" t="str">
        <f t="shared" si="2"/>
        <v/>
      </c>
      <c r="C2658" s="2" t="str">
        <f t="shared" si="3"/>
        <v>SP500</v>
      </c>
      <c r="D2658" s="2">
        <f t="shared" si="4"/>
        <v>2796.14</v>
      </c>
      <c r="E2658" s="2">
        <f t="shared" si="5"/>
        <v>2796.14</v>
      </c>
      <c r="G2658" s="10">
        <f t="shared" si="9"/>
        <v>40640.64583</v>
      </c>
      <c r="H2658" s="6" t="str">
        <f t="shared" si="6"/>
        <v/>
      </c>
      <c r="I2658" s="2">
        <f t="shared" si="7"/>
        <v>1426.89</v>
      </c>
      <c r="M2658" s="10">
        <f>IFERROR(__xludf.DUMMYFUNCTION("""COMPUTED_VALUE"""),41836.666666666664)</f>
        <v>41836.66667</v>
      </c>
      <c r="N2658" s="2">
        <f>IFERROR(__xludf.DUMMYFUNCTION("""COMPUTED_VALUE"""),4425.97)</f>
        <v>4425.97</v>
      </c>
    </row>
    <row r="2659">
      <c r="A2659" s="10">
        <f t="shared" si="8"/>
        <v>40641.66667</v>
      </c>
      <c r="B2659" s="2" t="str">
        <f t="shared" si="2"/>
        <v/>
      </c>
      <c r="C2659" s="2" t="str">
        <f t="shared" si="3"/>
        <v>SP500</v>
      </c>
      <c r="D2659" s="2">
        <f t="shared" si="4"/>
        <v>2780.41</v>
      </c>
      <c r="E2659" s="2">
        <f t="shared" si="5"/>
        <v>2780.41</v>
      </c>
      <c r="G2659" s="10">
        <f t="shared" si="9"/>
        <v>40641.64583</v>
      </c>
      <c r="H2659" s="6" t="str">
        <f t="shared" si="6"/>
        <v/>
      </c>
      <c r="I2659" s="2">
        <f t="shared" si="7"/>
        <v>1426.89</v>
      </c>
      <c r="M2659" s="10">
        <f>IFERROR(__xludf.DUMMYFUNCTION("""COMPUTED_VALUE"""),41837.666666666664)</f>
        <v>41837.66667</v>
      </c>
      <c r="N2659" s="2">
        <f>IFERROR(__xludf.DUMMYFUNCTION("""COMPUTED_VALUE"""),4363.45)</f>
        <v>4363.45</v>
      </c>
    </row>
    <row r="2660">
      <c r="A2660" s="10">
        <f t="shared" si="8"/>
        <v>40642.66667</v>
      </c>
      <c r="B2660" s="2" t="str">
        <f t="shared" si="2"/>
        <v/>
      </c>
      <c r="C2660" s="2" t="str">
        <f t="shared" si="3"/>
        <v>SP500</v>
      </c>
      <c r="D2660" s="2" t="str">
        <f t="shared" si="4"/>
        <v/>
      </c>
      <c r="E2660" s="2">
        <f t="shared" si="5"/>
        <v>2780.41</v>
      </c>
      <c r="G2660" s="10">
        <f t="shared" si="9"/>
        <v>40642.64583</v>
      </c>
      <c r="H2660" s="6" t="str">
        <f t="shared" si="6"/>
        <v/>
      </c>
      <c r="I2660" s="2">
        <f t="shared" si="7"/>
        <v>1426.89</v>
      </c>
      <c r="M2660" s="10">
        <f>IFERROR(__xludf.DUMMYFUNCTION("""COMPUTED_VALUE"""),41838.666666666664)</f>
        <v>41838.66667</v>
      </c>
      <c r="N2660" s="2">
        <f>IFERROR(__xludf.DUMMYFUNCTION("""COMPUTED_VALUE"""),4432.15)</f>
        <v>4432.15</v>
      </c>
    </row>
    <row r="2661">
      <c r="A2661" s="10">
        <f t="shared" si="8"/>
        <v>40643.66667</v>
      </c>
      <c r="B2661" s="2" t="str">
        <f t="shared" si="2"/>
        <v/>
      </c>
      <c r="C2661" s="2" t="str">
        <f t="shared" si="3"/>
        <v>SP500</v>
      </c>
      <c r="D2661" s="2" t="str">
        <f t="shared" si="4"/>
        <v/>
      </c>
      <c r="E2661" s="2">
        <f t="shared" si="5"/>
        <v>2780.41</v>
      </c>
      <c r="G2661" s="10">
        <f t="shared" si="9"/>
        <v>40643.64583</v>
      </c>
      <c r="H2661" s="6" t="str">
        <f t="shared" si="6"/>
        <v/>
      </c>
      <c r="I2661" s="2">
        <f t="shared" si="7"/>
        <v>1426.89</v>
      </c>
      <c r="M2661" s="10">
        <f>IFERROR(__xludf.DUMMYFUNCTION("""COMPUTED_VALUE"""),41841.666666666664)</f>
        <v>41841.66667</v>
      </c>
      <c r="N2661" s="2">
        <f>IFERROR(__xludf.DUMMYFUNCTION("""COMPUTED_VALUE"""),4424.7)</f>
        <v>4424.7</v>
      </c>
    </row>
    <row r="2662">
      <c r="A2662" s="10">
        <f t="shared" si="8"/>
        <v>40644.66667</v>
      </c>
      <c r="B2662" s="2" t="str">
        <f t="shared" si="2"/>
        <v/>
      </c>
      <c r="C2662" s="2" t="str">
        <f t="shared" si="3"/>
        <v>SP500</v>
      </c>
      <c r="D2662" s="2">
        <f t="shared" si="4"/>
        <v>2771.51</v>
      </c>
      <c r="E2662" s="2">
        <f t="shared" si="5"/>
        <v>2771.51</v>
      </c>
      <c r="G2662" s="10">
        <f t="shared" si="9"/>
        <v>40644.64583</v>
      </c>
      <c r="H2662" s="6" t="str">
        <f t="shared" si="6"/>
        <v/>
      </c>
      <c r="I2662" s="2">
        <f t="shared" si="7"/>
        <v>1426.89</v>
      </c>
      <c r="M2662" s="10">
        <f>IFERROR(__xludf.DUMMYFUNCTION("""COMPUTED_VALUE"""),41842.666666666664)</f>
        <v>41842.66667</v>
      </c>
      <c r="N2662" s="2">
        <f>IFERROR(__xludf.DUMMYFUNCTION("""COMPUTED_VALUE"""),4456.02)</f>
        <v>4456.02</v>
      </c>
    </row>
    <row r="2663">
      <c r="A2663" s="10">
        <f t="shared" si="8"/>
        <v>40645.66667</v>
      </c>
      <c r="B2663" s="2" t="str">
        <f t="shared" si="2"/>
        <v/>
      </c>
      <c r="C2663" s="2" t="str">
        <f t="shared" si="3"/>
        <v>SP500</v>
      </c>
      <c r="D2663" s="2">
        <f t="shared" si="4"/>
        <v>2744.79</v>
      </c>
      <c r="E2663" s="2">
        <f t="shared" si="5"/>
        <v>2744.79</v>
      </c>
      <c r="G2663" s="10">
        <f t="shared" si="9"/>
        <v>40645.64583</v>
      </c>
      <c r="H2663" s="6" t="str">
        <f t="shared" si="6"/>
        <v/>
      </c>
      <c r="I2663" s="2">
        <f t="shared" si="7"/>
        <v>1426.89</v>
      </c>
      <c r="M2663" s="10">
        <f>IFERROR(__xludf.DUMMYFUNCTION("""COMPUTED_VALUE"""),41843.666666666664)</f>
        <v>41843.66667</v>
      </c>
      <c r="N2663" s="2">
        <f>IFERROR(__xludf.DUMMYFUNCTION("""COMPUTED_VALUE"""),4473.7)</f>
        <v>4473.7</v>
      </c>
    </row>
    <row r="2664">
      <c r="A2664" s="10">
        <f t="shared" si="8"/>
        <v>40646.66667</v>
      </c>
      <c r="B2664" s="2" t="str">
        <f t="shared" si="2"/>
        <v/>
      </c>
      <c r="C2664" s="2" t="str">
        <f t="shared" si="3"/>
        <v>SP500</v>
      </c>
      <c r="D2664" s="2">
        <f t="shared" si="4"/>
        <v>2761.52</v>
      </c>
      <c r="E2664" s="2">
        <f t="shared" si="5"/>
        <v>2761.52</v>
      </c>
      <c r="G2664" s="10">
        <f t="shared" si="9"/>
        <v>40646.64583</v>
      </c>
      <c r="H2664" s="6" t="str">
        <f t="shared" si="6"/>
        <v/>
      </c>
      <c r="I2664" s="2">
        <f t="shared" si="7"/>
        <v>1426.89</v>
      </c>
      <c r="M2664" s="10">
        <f>IFERROR(__xludf.DUMMYFUNCTION("""COMPUTED_VALUE"""),41844.666666666664)</f>
        <v>41844.66667</v>
      </c>
      <c r="N2664" s="2">
        <f>IFERROR(__xludf.DUMMYFUNCTION("""COMPUTED_VALUE"""),4472.11)</f>
        <v>4472.11</v>
      </c>
    </row>
    <row r="2665">
      <c r="A2665" s="10">
        <f t="shared" si="8"/>
        <v>40647.66667</v>
      </c>
      <c r="B2665" s="2" t="str">
        <f t="shared" si="2"/>
        <v/>
      </c>
      <c r="C2665" s="2" t="str">
        <f t="shared" si="3"/>
        <v>SP500</v>
      </c>
      <c r="D2665" s="2">
        <f t="shared" si="4"/>
        <v>2760.22</v>
      </c>
      <c r="E2665" s="2">
        <f t="shared" si="5"/>
        <v>2760.22</v>
      </c>
      <c r="G2665" s="10">
        <f t="shared" si="9"/>
        <v>40647.64583</v>
      </c>
      <c r="H2665" s="6" t="str">
        <f t="shared" si="6"/>
        <v/>
      </c>
      <c r="I2665" s="2">
        <f t="shared" si="7"/>
        <v>1426.89</v>
      </c>
      <c r="M2665" s="10">
        <f>IFERROR(__xludf.DUMMYFUNCTION("""COMPUTED_VALUE"""),41845.666666666664)</f>
        <v>41845.66667</v>
      </c>
      <c r="N2665" s="2">
        <f>IFERROR(__xludf.DUMMYFUNCTION("""COMPUTED_VALUE"""),4449.56)</f>
        <v>4449.56</v>
      </c>
    </row>
    <row r="2666">
      <c r="A2666" s="10">
        <f t="shared" si="8"/>
        <v>40648.66667</v>
      </c>
      <c r="B2666" s="2" t="str">
        <f t="shared" si="2"/>
        <v/>
      </c>
      <c r="C2666" s="2" t="str">
        <f t="shared" si="3"/>
        <v>SP500</v>
      </c>
      <c r="D2666" s="2">
        <f t="shared" si="4"/>
        <v>2764.65</v>
      </c>
      <c r="E2666" s="2">
        <f t="shared" si="5"/>
        <v>2764.65</v>
      </c>
      <c r="G2666" s="10">
        <f t="shared" si="9"/>
        <v>40648.64583</v>
      </c>
      <c r="H2666" s="6" t="str">
        <f t="shared" si="6"/>
        <v/>
      </c>
      <c r="I2666" s="2">
        <f t="shared" si="7"/>
        <v>1426.89</v>
      </c>
      <c r="M2666" s="10">
        <f>IFERROR(__xludf.DUMMYFUNCTION("""COMPUTED_VALUE"""),41848.666666666664)</f>
        <v>41848.66667</v>
      </c>
      <c r="N2666" s="2">
        <f>IFERROR(__xludf.DUMMYFUNCTION("""COMPUTED_VALUE"""),4444.91)</f>
        <v>4444.91</v>
      </c>
    </row>
    <row r="2667">
      <c r="A2667" s="10">
        <f t="shared" si="8"/>
        <v>40649.66667</v>
      </c>
      <c r="B2667" s="2" t="str">
        <f t="shared" si="2"/>
        <v/>
      </c>
      <c r="C2667" s="2" t="str">
        <f t="shared" si="3"/>
        <v>SP500</v>
      </c>
      <c r="D2667" s="2" t="str">
        <f t="shared" si="4"/>
        <v/>
      </c>
      <c r="E2667" s="2">
        <f t="shared" si="5"/>
        <v>2764.65</v>
      </c>
      <c r="G2667" s="10">
        <f t="shared" si="9"/>
        <v>40649.64583</v>
      </c>
      <c r="H2667" s="6" t="str">
        <f t="shared" si="6"/>
        <v/>
      </c>
      <c r="I2667" s="2">
        <f t="shared" si="7"/>
        <v>1426.89</v>
      </c>
      <c r="M2667" s="10">
        <f>IFERROR(__xludf.DUMMYFUNCTION("""COMPUTED_VALUE"""),41849.666666666664)</f>
        <v>41849.66667</v>
      </c>
      <c r="N2667" s="2">
        <f>IFERROR(__xludf.DUMMYFUNCTION("""COMPUTED_VALUE"""),4442.7)</f>
        <v>4442.7</v>
      </c>
    </row>
    <row r="2668">
      <c r="A2668" s="10">
        <f t="shared" si="8"/>
        <v>40650.66667</v>
      </c>
      <c r="B2668" s="2" t="str">
        <f t="shared" si="2"/>
        <v/>
      </c>
      <c r="C2668" s="2" t="str">
        <f t="shared" si="3"/>
        <v>SP500</v>
      </c>
      <c r="D2668" s="2" t="str">
        <f t="shared" si="4"/>
        <v/>
      </c>
      <c r="E2668" s="2">
        <f t="shared" si="5"/>
        <v>2764.65</v>
      </c>
      <c r="G2668" s="10">
        <f t="shared" si="9"/>
        <v>40650.64583</v>
      </c>
      <c r="H2668" s="6" t="str">
        <f t="shared" si="6"/>
        <v/>
      </c>
      <c r="I2668" s="2">
        <f t="shared" si="7"/>
        <v>1426.89</v>
      </c>
      <c r="M2668" s="10">
        <f>IFERROR(__xludf.DUMMYFUNCTION("""COMPUTED_VALUE"""),41850.666666666664)</f>
        <v>41850.66667</v>
      </c>
      <c r="N2668" s="2">
        <f>IFERROR(__xludf.DUMMYFUNCTION("""COMPUTED_VALUE"""),4462.9)</f>
        <v>4462.9</v>
      </c>
    </row>
    <row r="2669">
      <c r="A2669" s="10">
        <f t="shared" si="8"/>
        <v>40651.66667</v>
      </c>
      <c r="B2669" s="2" t="str">
        <f t="shared" si="2"/>
        <v/>
      </c>
      <c r="C2669" s="2" t="str">
        <f t="shared" si="3"/>
        <v>SP500</v>
      </c>
      <c r="D2669" s="2">
        <f t="shared" si="4"/>
        <v>2735.38</v>
      </c>
      <c r="E2669" s="2">
        <f t="shared" si="5"/>
        <v>2735.38</v>
      </c>
      <c r="G2669" s="10">
        <f t="shared" si="9"/>
        <v>40651.64583</v>
      </c>
      <c r="H2669" s="6" t="str">
        <f t="shared" si="6"/>
        <v/>
      </c>
      <c r="I2669" s="2">
        <f t="shared" si="7"/>
        <v>1426.89</v>
      </c>
      <c r="M2669" s="10">
        <f>IFERROR(__xludf.DUMMYFUNCTION("""COMPUTED_VALUE"""),41851.666666666664)</f>
        <v>41851.66667</v>
      </c>
      <c r="N2669" s="2">
        <f>IFERROR(__xludf.DUMMYFUNCTION("""COMPUTED_VALUE"""),4369.77)</f>
        <v>4369.77</v>
      </c>
    </row>
    <row r="2670">
      <c r="A2670" s="10">
        <f t="shared" si="8"/>
        <v>40652.66667</v>
      </c>
      <c r="B2670" s="2" t="str">
        <f t="shared" si="2"/>
        <v/>
      </c>
      <c r="C2670" s="2" t="str">
        <f t="shared" si="3"/>
        <v>SP500</v>
      </c>
      <c r="D2670" s="2">
        <f t="shared" si="4"/>
        <v>2744.97</v>
      </c>
      <c r="E2670" s="2">
        <f t="shared" si="5"/>
        <v>2744.97</v>
      </c>
      <c r="G2670" s="10">
        <f t="shared" si="9"/>
        <v>40652.64583</v>
      </c>
      <c r="H2670" s="6" t="str">
        <f t="shared" si="6"/>
        <v/>
      </c>
      <c r="I2670" s="2">
        <f t="shared" si="7"/>
        <v>1426.89</v>
      </c>
      <c r="M2670" s="10">
        <f>IFERROR(__xludf.DUMMYFUNCTION("""COMPUTED_VALUE"""),41852.666666666664)</f>
        <v>41852.66667</v>
      </c>
      <c r="N2670" s="2">
        <f>IFERROR(__xludf.DUMMYFUNCTION("""COMPUTED_VALUE"""),4352.64)</f>
        <v>4352.64</v>
      </c>
    </row>
    <row r="2671">
      <c r="A2671" s="10">
        <f t="shared" si="8"/>
        <v>40653.66667</v>
      </c>
      <c r="B2671" s="2" t="str">
        <f t="shared" si="2"/>
        <v/>
      </c>
      <c r="C2671" s="2" t="str">
        <f t="shared" si="3"/>
        <v>SP500</v>
      </c>
      <c r="D2671" s="2">
        <f t="shared" si="4"/>
        <v>2802.51</v>
      </c>
      <c r="E2671" s="2">
        <f t="shared" si="5"/>
        <v>2802.51</v>
      </c>
      <c r="G2671" s="10">
        <f t="shared" si="9"/>
        <v>40653.64583</v>
      </c>
      <c r="H2671" s="6" t="str">
        <f t="shared" si="6"/>
        <v/>
      </c>
      <c r="I2671" s="2">
        <f t="shared" si="7"/>
        <v>1426.89</v>
      </c>
      <c r="M2671" s="10">
        <f>IFERROR(__xludf.DUMMYFUNCTION("""COMPUTED_VALUE"""),41855.666666666664)</f>
        <v>41855.66667</v>
      </c>
      <c r="N2671" s="2">
        <f>IFERROR(__xludf.DUMMYFUNCTION("""COMPUTED_VALUE"""),4383.89)</f>
        <v>4383.89</v>
      </c>
    </row>
    <row r="2672">
      <c r="A2672" s="10">
        <f t="shared" si="8"/>
        <v>40654.66667</v>
      </c>
      <c r="B2672" s="2" t="str">
        <f t="shared" si="2"/>
        <v/>
      </c>
      <c r="C2672" s="2" t="str">
        <f t="shared" si="3"/>
        <v>SP500</v>
      </c>
      <c r="D2672" s="2">
        <f t="shared" si="4"/>
        <v>2820.16</v>
      </c>
      <c r="E2672" s="2">
        <f t="shared" si="5"/>
        <v>2820.16</v>
      </c>
      <c r="G2672" s="10">
        <f t="shared" si="9"/>
        <v>40654.64583</v>
      </c>
      <c r="H2672" s="6" t="str">
        <f t="shared" si="6"/>
        <v/>
      </c>
      <c r="I2672" s="2">
        <f t="shared" si="7"/>
        <v>1426.89</v>
      </c>
      <c r="M2672" s="10">
        <f>IFERROR(__xludf.DUMMYFUNCTION("""COMPUTED_VALUE"""),41856.666666666664)</f>
        <v>41856.66667</v>
      </c>
      <c r="N2672" s="2">
        <f>IFERROR(__xludf.DUMMYFUNCTION("""COMPUTED_VALUE"""),4352.84)</f>
        <v>4352.84</v>
      </c>
    </row>
    <row r="2673">
      <c r="A2673" s="10">
        <f t="shared" si="8"/>
        <v>40655.66667</v>
      </c>
      <c r="B2673" s="2" t="str">
        <f t="shared" si="2"/>
        <v/>
      </c>
      <c r="C2673" s="2" t="str">
        <f t="shared" si="3"/>
        <v>SP500</v>
      </c>
      <c r="D2673" s="2" t="str">
        <f t="shared" si="4"/>
        <v/>
      </c>
      <c r="E2673" s="2">
        <f t="shared" si="5"/>
        <v>2820.16</v>
      </c>
      <c r="G2673" s="10">
        <f t="shared" si="9"/>
        <v>40655.64583</v>
      </c>
      <c r="H2673" s="6" t="str">
        <f t="shared" si="6"/>
        <v/>
      </c>
      <c r="I2673" s="2">
        <f t="shared" si="7"/>
        <v>1426.89</v>
      </c>
      <c r="M2673" s="10">
        <f>IFERROR(__xludf.DUMMYFUNCTION("""COMPUTED_VALUE"""),41857.666666666664)</f>
        <v>41857.66667</v>
      </c>
      <c r="N2673" s="2">
        <f>IFERROR(__xludf.DUMMYFUNCTION("""COMPUTED_VALUE"""),4355.05)</f>
        <v>4355.05</v>
      </c>
    </row>
    <row r="2674">
      <c r="A2674" s="10">
        <f t="shared" si="8"/>
        <v>40656.66667</v>
      </c>
      <c r="B2674" s="2" t="str">
        <f t="shared" si="2"/>
        <v/>
      </c>
      <c r="C2674" s="2" t="str">
        <f t="shared" si="3"/>
        <v>SP500</v>
      </c>
      <c r="D2674" s="2" t="str">
        <f t="shared" si="4"/>
        <v/>
      </c>
      <c r="E2674" s="2">
        <f t="shared" si="5"/>
        <v>2820.16</v>
      </c>
      <c r="G2674" s="10">
        <f t="shared" si="9"/>
        <v>40656.64583</v>
      </c>
      <c r="H2674" s="6" t="str">
        <f t="shared" si="6"/>
        <v/>
      </c>
      <c r="I2674" s="2">
        <f t="shared" si="7"/>
        <v>1426.89</v>
      </c>
      <c r="M2674" s="10">
        <f>IFERROR(__xludf.DUMMYFUNCTION("""COMPUTED_VALUE"""),41858.666666666664)</f>
        <v>41858.66667</v>
      </c>
      <c r="N2674" s="2">
        <f>IFERROR(__xludf.DUMMYFUNCTION("""COMPUTED_VALUE"""),4334.97)</f>
        <v>4334.97</v>
      </c>
    </row>
    <row r="2675">
      <c r="A2675" s="10">
        <f t="shared" si="8"/>
        <v>40657.66667</v>
      </c>
      <c r="B2675" s="2" t="str">
        <f t="shared" si="2"/>
        <v/>
      </c>
      <c r="C2675" s="2" t="str">
        <f t="shared" si="3"/>
        <v>SP500</v>
      </c>
      <c r="D2675" s="2" t="str">
        <f t="shared" si="4"/>
        <v/>
      </c>
      <c r="E2675" s="2">
        <f t="shared" si="5"/>
        <v>2820.16</v>
      </c>
      <c r="G2675" s="10">
        <f t="shared" si="9"/>
        <v>40657.64583</v>
      </c>
      <c r="H2675" s="6" t="str">
        <f t="shared" si="6"/>
        <v/>
      </c>
      <c r="I2675" s="2">
        <f t="shared" si="7"/>
        <v>1426.89</v>
      </c>
      <c r="M2675" s="10">
        <f>IFERROR(__xludf.DUMMYFUNCTION("""COMPUTED_VALUE"""),41859.666666666664)</f>
        <v>41859.66667</v>
      </c>
      <c r="N2675" s="2">
        <f>IFERROR(__xludf.DUMMYFUNCTION("""COMPUTED_VALUE"""),4370.9)</f>
        <v>4370.9</v>
      </c>
    </row>
    <row r="2676">
      <c r="A2676" s="10">
        <f t="shared" si="8"/>
        <v>40658.66667</v>
      </c>
      <c r="B2676" s="2" t="str">
        <f t="shared" si="2"/>
        <v/>
      </c>
      <c r="C2676" s="2" t="str">
        <f t="shared" si="3"/>
        <v>SP500</v>
      </c>
      <c r="D2676" s="2">
        <f t="shared" si="4"/>
        <v>2825.88</v>
      </c>
      <c r="E2676" s="2">
        <f t="shared" si="5"/>
        <v>2825.88</v>
      </c>
      <c r="G2676" s="10">
        <f t="shared" si="9"/>
        <v>40658.64583</v>
      </c>
      <c r="H2676" s="6" t="str">
        <f t="shared" si="6"/>
        <v/>
      </c>
      <c r="I2676" s="2">
        <f t="shared" si="7"/>
        <v>1426.89</v>
      </c>
      <c r="M2676" s="10">
        <f>IFERROR(__xludf.DUMMYFUNCTION("""COMPUTED_VALUE"""),41862.666666666664)</f>
        <v>41862.66667</v>
      </c>
      <c r="N2676" s="2">
        <f>IFERROR(__xludf.DUMMYFUNCTION("""COMPUTED_VALUE"""),4401.33)</f>
        <v>4401.33</v>
      </c>
    </row>
    <row r="2677">
      <c r="A2677" s="10">
        <f t="shared" si="8"/>
        <v>40659.66667</v>
      </c>
      <c r="B2677" s="2" t="str">
        <f t="shared" si="2"/>
        <v/>
      </c>
      <c r="C2677" s="2" t="str">
        <f t="shared" si="3"/>
        <v>SP500</v>
      </c>
      <c r="D2677" s="2">
        <f t="shared" si="4"/>
        <v>2847.54</v>
      </c>
      <c r="E2677" s="2">
        <f t="shared" si="5"/>
        <v>2847.54</v>
      </c>
      <c r="G2677" s="10">
        <f t="shared" si="9"/>
        <v>40659.64583</v>
      </c>
      <c r="H2677" s="6" t="str">
        <f t="shared" si="6"/>
        <v/>
      </c>
      <c r="I2677" s="2">
        <f t="shared" si="7"/>
        <v>1426.89</v>
      </c>
      <c r="M2677" s="10">
        <f>IFERROR(__xludf.DUMMYFUNCTION("""COMPUTED_VALUE"""),41863.666666666664)</f>
        <v>41863.66667</v>
      </c>
      <c r="N2677" s="2">
        <f>IFERROR(__xludf.DUMMYFUNCTION("""COMPUTED_VALUE"""),4389.25)</f>
        <v>4389.25</v>
      </c>
    </row>
    <row r="2678">
      <c r="A2678" s="10">
        <f t="shared" si="8"/>
        <v>40660.66667</v>
      </c>
      <c r="B2678" s="2" t="str">
        <f t="shared" si="2"/>
        <v/>
      </c>
      <c r="C2678" s="2" t="str">
        <f t="shared" si="3"/>
        <v>SP500</v>
      </c>
      <c r="D2678" s="2">
        <f t="shared" si="4"/>
        <v>2869.88</v>
      </c>
      <c r="E2678" s="2">
        <f t="shared" si="5"/>
        <v>2869.88</v>
      </c>
      <c r="G2678" s="10">
        <f t="shared" si="9"/>
        <v>40660.64583</v>
      </c>
      <c r="H2678" s="6" t="str">
        <f t="shared" si="6"/>
        <v/>
      </c>
      <c r="I2678" s="2">
        <f t="shared" si="7"/>
        <v>1426.89</v>
      </c>
      <c r="M2678" s="10">
        <f>IFERROR(__xludf.DUMMYFUNCTION("""COMPUTED_VALUE"""),41864.666666666664)</f>
        <v>41864.66667</v>
      </c>
      <c r="N2678" s="2">
        <f>IFERROR(__xludf.DUMMYFUNCTION("""COMPUTED_VALUE"""),4434.13)</f>
        <v>4434.13</v>
      </c>
    </row>
    <row r="2679">
      <c r="A2679" s="10">
        <f t="shared" si="8"/>
        <v>40661.66667</v>
      </c>
      <c r="B2679" s="2" t="str">
        <f t="shared" si="2"/>
        <v/>
      </c>
      <c r="C2679" s="2" t="str">
        <f t="shared" si="3"/>
        <v>SP500</v>
      </c>
      <c r="D2679" s="2">
        <f t="shared" si="4"/>
        <v>2872.53</v>
      </c>
      <c r="E2679" s="2">
        <f t="shared" si="5"/>
        <v>2872.53</v>
      </c>
      <c r="G2679" s="10">
        <f t="shared" si="9"/>
        <v>40661.64583</v>
      </c>
      <c r="H2679" s="6" t="str">
        <f t="shared" si="6"/>
        <v/>
      </c>
      <c r="I2679" s="2">
        <f t="shared" si="7"/>
        <v>1426.89</v>
      </c>
      <c r="M2679" s="10">
        <f>IFERROR(__xludf.DUMMYFUNCTION("""COMPUTED_VALUE"""),41865.666666666664)</f>
        <v>41865.66667</v>
      </c>
      <c r="N2679" s="2">
        <f>IFERROR(__xludf.DUMMYFUNCTION("""COMPUTED_VALUE"""),4453.0)</f>
        <v>4453</v>
      </c>
    </row>
    <row r="2680">
      <c r="A2680" s="10">
        <f t="shared" si="8"/>
        <v>40662.66667</v>
      </c>
      <c r="B2680" s="2" t="str">
        <f t="shared" si="2"/>
        <v/>
      </c>
      <c r="C2680" s="2" t="str">
        <f t="shared" si="3"/>
        <v>SP500</v>
      </c>
      <c r="D2680" s="2">
        <f t="shared" si="4"/>
        <v>2873.54</v>
      </c>
      <c r="E2680" s="2">
        <f t="shared" si="5"/>
        <v>2873.54</v>
      </c>
      <c r="G2680" s="10">
        <f t="shared" si="9"/>
        <v>40662.64583</v>
      </c>
      <c r="H2680" s="6" t="str">
        <f t="shared" si="6"/>
        <v/>
      </c>
      <c r="I2680" s="2">
        <f t="shared" si="7"/>
        <v>1426.89</v>
      </c>
      <c r="M2680" s="10">
        <f>IFERROR(__xludf.DUMMYFUNCTION("""COMPUTED_VALUE"""),41866.666666666664)</f>
        <v>41866.66667</v>
      </c>
      <c r="N2680" s="2">
        <f>IFERROR(__xludf.DUMMYFUNCTION("""COMPUTED_VALUE"""),4464.93)</f>
        <v>4464.93</v>
      </c>
    </row>
    <row r="2681">
      <c r="A2681" s="10">
        <f t="shared" si="8"/>
        <v>40663.66667</v>
      </c>
      <c r="B2681" s="2" t="str">
        <f t="shared" si="2"/>
        <v/>
      </c>
      <c r="C2681" s="2" t="str">
        <f t="shared" si="3"/>
        <v>SP500</v>
      </c>
      <c r="D2681" s="2" t="str">
        <f t="shared" si="4"/>
        <v/>
      </c>
      <c r="E2681" s="2">
        <f t="shared" si="5"/>
        <v>2873.54</v>
      </c>
      <c r="G2681" s="10">
        <f t="shared" si="9"/>
        <v>40663.64583</v>
      </c>
      <c r="H2681" s="6" t="str">
        <f t="shared" si="6"/>
        <v/>
      </c>
      <c r="I2681" s="2">
        <f t="shared" si="7"/>
        <v>1426.89</v>
      </c>
      <c r="M2681" s="10">
        <f>IFERROR(__xludf.DUMMYFUNCTION("""COMPUTED_VALUE"""),41869.666666666664)</f>
        <v>41869.66667</v>
      </c>
      <c r="N2681" s="2">
        <f>IFERROR(__xludf.DUMMYFUNCTION("""COMPUTED_VALUE"""),4508.31)</f>
        <v>4508.31</v>
      </c>
    </row>
    <row r="2682">
      <c r="A2682" s="10">
        <f t="shared" si="8"/>
        <v>40664.66667</v>
      </c>
      <c r="B2682" s="2" t="str">
        <f t="shared" si="2"/>
        <v/>
      </c>
      <c r="C2682" s="2" t="str">
        <f t="shared" si="3"/>
        <v>SP500</v>
      </c>
      <c r="D2682" s="2" t="str">
        <f t="shared" si="4"/>
        <v/>
      </c>
      <c r="E2682" s="2">
        <f t="shared" si="5"/>
        <v>2873.54</v>
      </c>
      <c r="G2682" s="10">
        <f t="shared" si="9"/>
        <v>40664.64583</v>
      </c>
      <c r="H2682" s="6" t="str">
        <f t="shared" si="6"/>
        <v/>
      </c>
      <c r="I2682" s="2">
        <f t="shared" si="7"/>
        <v>1426.89</v>
      </c>
      <c r="M2682" s="10">
        <f>IFERROR(__xludf.DUMMYFUNCTION("""COMPUTED_VALUE"""),41870.666666666664)</f>
        <v>41870.66667</v>
      </c>
      <c r="N2682" s="2">
        <f>IFERROR(__xludf.DUMMYFUNCTION("""COMPUTED_VALUE"""),4527.51)</f>
        <v>4527.51</v>
      </c>
    </row>
    <row r="2683">
      <c r="A2683" s="10">
        <f t="shared" si="8"/>
        <v>40665.66667</v>
      </c>
      <c r="B2683" s="2" t="str">
        <f t="shared" si="2"/>
        <v/>
      </c>
      <c r="C2683" s="2" t="str">
        <f t="shared" si="3"/>
        <v>SP500</v>
      </c>
      <c r="D2683" s="2">
        <f t="shared" si="4"/>
        <v>2864.08</v>
      </c>
      <c r="E2683" s="2">
        <f t="shared" si="5"/>
        <v>2864.08</v>
      </c>
      <c r="G2683" s="10">
        <f t="shared" si="9"/>
        <v>40665.64583</v>
      </c>
      <c r="H2683" s="6" t="str">
        <f t="shared" si="6"/>
        <v/>
      </c>
      <c r="I2683" s="2">
        <f t="shared" si="7"/>
        <v>1426.89</v>
      </c>
      <c r="M2683" s="10">
        <f>IFERROR(__xludf.DUMMYFUNCTION("""COMPUTED_VALUE"""),41871.666666666664)</f>
        <v>41871.66667</v>
      </c>
      <c r="N2683" s="2">
        <f>IFERROR(__xludf.DUMMYFUNCTION("""COMPUTED_VALUE"""),4526.48)</f>
        <v>4526.48</v>
      </c>
    </row>
    <row r="2684">
      <c r="A2684" s="10">
        <f t="shared" si="8"/>
        <v>40666.66667</v>
      </c>
      <c r="B2684" s="2" t="str">
        <f t="shared" si="2"/>
        <v/>
      </c>
      <c r="C2684" s="2" t="str">
        <f t="shared" si="3"/>
        <v>SP500</v>
      </c>
      <c r="D2684" s="2">
        <f t="shared" si="4"/>
        <v>2841.62</v>
      </c>
      <c r="E2684" s="2">
        <f t="shared" si="5"/>
        <v>2841.62</v>
      </c>
      <c r="G2684" s="10">
        <f t="shared" si="9"/>
        <v>40666.64583</v>
      </c>
      <c r="H2684" s="6" t="str">
        <f t="shared" si="6"/>
        <v/>
      </c>
      <c r="I2684" s="2">
        <f t="shared" si="7"/>
        <v>1426.89</v>
      </c>
      <c r="M2684" s="10">
        <f>IFERROR(__xludf.DUMMYFUNCTION("""COMPUTED_VALUE"""),41872.666666666664)</f>
        <v>41872.66667</v>
      </c>
      <c r="N2684" s="2">
        <f>IFERROR(__xludf.DUMMYFUNCTION("""COMPUTED_VALUE"""),4532.1)</f>
        <v>4532.1</v>
      </c>
    </row>
    <row r="2685">
      <c r="A2685" s="10">
        <f t="shared" si="8"/>
        <v>40667.66667</v>
      </c>
      <c r="B2685" s="2" t="str">
        <f t="shared" si="2"/>
        <v/>
      </c>
      <c r="C2685" s="2" t="str">
        <f t="shared" si="3"/>
        <v>SP500</v>
      </c>
      <c r="D2685" s="2">
        <f t="shared" si="4"/>
        <v>2828.23</v>
      </c>
      <c r="E2685" s="2">
        <f t="shared" si="5"/>
        <v>2828.23</v>
      </c>
      <c r="G2685" s="10">
        <f t="shared" si="9"/>
        <v>40667.64583</v>
      </c>
      <c r="H2685" s="6" t="str">
        <f t="shared" si="6"/>
        <v/>
      </c>
      <c r="I2685" s="2">
        <f t="shared" si="7"/>
        <v>1426.89</v>
      </c>
      <c r="M2685" s="10">
        <f>IFERROR(__xludf.DUMMYFUNCTION("""COMPUTED_VALUE"""),41873.666666666664)</f>
        <v>41873.66667</v>
      </c>
      <c r="N2685" s="2">
        <f>IFERROR(__xludf.DUMMYFUNCTION("""COMPUTED_VALUE"""),4538.55)</f>
        <v>4538.55</v>
      </c>
    </row>
    <row r="2686">
      <c r="A2686" s="10">
        <f t="shared" si="8"/>
        <v>40668.66667</v>
      </c>
      <c r="B2686" s="2" t="str">
        <f t="shared" si="2"/>
        <v/>
      </c>
      <c r="C2686" s="2" t="str">
        <f t="shared" si="3"/>
        <v>SP500</v>
      </c>
      <c r="D2686" s="2">
        <f t="shared" si="4"/>
        <v>2814.72</v>
      </c>
      <c r="E2686" s="2">
        <f t="shared" si="5"/>
        <v>2814.72</v>
      </c>
      <c r="G2686" s="10">
        <f t="shared" si="9"/>
        <v>40668.64583</v>
      </c>
      <c r="H2686" s="6" t="str">
        <f t="shared" si="6"/>
        <v/>
      </c>
      <c r="I2686" s="2">
        <f t="shared" si="7"/>
        <v>1426.89</v>
      </c>
      <c r="M2686" s="10">
        <f>IFERROR(__xludf.DUMMYFUNCTION("""COMPUTED_VALUE"""),41876.666666666664)</f>
        <v>41876.66667</v>
      </c>
      <c r="N2686" s="2">
        <f>IFERROR(__xludf.DUMMYFUNCTION("""COMPUTED_VALUE"""),4557.35)</f>
        <v>4557.35</v>
      </c>
    </row>
    <row r="2687">
      <c r="A2687" s="10">
        <f t="shared" si="8"/>
        <v>40669.66667</v>
      </c>
      <c r="B2687" s="2" t="str">
        <f t="shared" si="2"/>
        <v/>
      </c>
      <c r="C2687" s="2" t="str">
        <f t="shared" si="3"/>
        <v>SP500</v>
      </c>
      <c r="D2687" s="2">
        <f t="shared" si="4"/>
        <v>2827.56</v>
      </c>
      <c r="E2687" s="2">
        <f t="shared" si="5"/>
        <v>2827.56</v>
      </c>
      <c r="G2687" s="10">
        <f t="shared" si="9"/>
        <v>40669.64583</v>
      </c>
      <c r="H2687" s="6" t="str">
        <f t="shared" si="6"/>
        <v/>
      </c>
      <c r="I2687" s="2">
        <f t="shared" si="7"/>
        <v>1426.89</v>
      </c>
      <c r="M2687" s="10">
        <f>IFERROR(__xludf.DUMMYFUNCTION("""COMPUTED_VALUE"""),41877.666666666664)</f>
        <v>41877.66667</v>
      </c>
      <c r="N2687" s="2">
        <f>IFERROR(__xludf.DUMMYFUNCTION("""COMPUTED_VALUE"""),4570.64)</f>
        <v>4570.64</v>
      </c>
    </row>
    <row r="2688">
      <c r="A2688" s="10">
        <f t="shared" si="8"/>
        <v>40670.66667</v>
      </c>
      <c r="B2688" s="2" t="str">
        <f t="shared" si="2"/>
        <v/>
      </c>
      <c r="C2688" s="2" t="str">
        <f t="shared" si="3"/>
        <v>SP500</v>
      </c>
      <c r="D2688" s="2" t="str">
        <f t="shared" si="4"/>
        <v/>
      </c>
      <c r="E2688" s="2">
        <f t="shared" si="5"/>
        <v>2827.56</v>
      </c>
      <c r="G2688" s="10">
        <f t="shared" si="9"/>
        <v>40670.64583</v>
      </c>
      <c r="H2688" s="6" t="str">
        <f t="shared" si="6"/>
        <v/>
      </c>
      <c r="I2688" s="2">
        <f t="shared" si="7"/>
        <v>1426.89</v>
      </c>
      <c r="M2688" s="10">
        <f>IFERROR(__xludf.DUMMYFUNCTION("""COMPUTED_VALUE"""),41878.666666666664)</f>
        <v>41878.66667</v>
      </c>
      <c r="N2688" s="2">
        <f>IFERROR(__xludf.DUMMYFUNCTION("""COMPUTED_VALUE"""),4569.62)</f>
        <v>4569.62</v>
      </c>
    </row>
    <row r="2689">
      <c r="A2689" s="10">
        <f t="shared" si="8"/>
        <v>40671.66667</v>
      </c>
      <c r="B2689" s="2" t="str">
        <f t="shared" si="2"/>
        <v/>
      </c>
      <c r="C2689" s="2" t="str">
        <f t="shared" si="3"/>
        <v>SP500</v>
      </c>
      <c r="D2689" s="2" t="str">
        <f t="shared" si="4"/>
        <v/>
      </c>
      <c r="E2689" s="2">
        <f t="shared" si="5"/>
        <v>2827.56</v>
      </c>
      <c r="G2689" s="10">
        <f t="shared" si="9"/>
        <v>40671.64583</v>
      </c>
      <c r="H2689" s="6" t="str">
        <f t="shared" si="6"/>
        <v/>
      </c>
      <c r="I2689" s="2">
        <f t="shared" si="7"/>
        <v>1426.89</v>
      </c>
      <c r="M2689" s="10">
        <f>IFERROR(__xludf.DUMMYFUNCTION("""COMPUTED_VALUE"""),41879.666666666664)</f>
        <v>41879.66667</v>
      </c>
      <c r="N2689" s="2">
        <f>IFERROR(__xludf.DUMMYFUNCTION("""COMPUTED_VALUE"""),4557.69)</f>
        <v>4557.69</v>
      </c>
    </row>
    <row r="2690">
      <c r="A2690" s="10">
        <f t="shared" si="8"/>
        <v>40672.66667</v>
      </c>
      <c r="B2690" s="2" t="str">
        <f t="shared" si="2"/>
        <v/>
      </c>
      <c r="C2690" s="2" t="str">
        <f t="shared" si="3"/>
        <v>SP500</v>
      </c>
      <c r="D2690" s="2">
        <f t="shared" si="4"/>
        <v>2843.25</v>
      </c>
      <c r="E2690" s="2">
        <f t="shared" si="5"/>
        <v>2843.25</v>
      </c>
      <c r="G2690" s="10">
        <f t="shared" si="9"/>
        <v>40672.64583</v>
      </c>
      <c r="H2690" s="6" t="str">
        <f t="shared" si="6"/>
        <v/>
      </c>
      <c r="I2690" s="2">
        <f t="shared" si="7"/>
        <v>1426.89</v>
      </c>
      <c r="M2690" s="10">
        <f>IFERROR(__xludf.DUMMYFUNCTION("""COMPUTED_VALUE"""),41880.666666666664)</f>
        <v>41880.66667</v>
      </c>
      <c r="N2690" s="2">
        <f>IFERROR(__xludf.DUMMYFUNCTION("""COMPUTED_VALUE"""),4580.27)</f>
        <v>4580.27</v>
      </c>
    </row>
    <row r="2691">
      <c r="A2691" s="10">
        <f t="shared" si="8"/>
        <v>40673.66667</v>
      </c>
      <c r="B2691" s="2" t="str">
        <f t="shared" si="2"/>
        <v/>
      </c>
      <c r="C2691" s="2" t="str">
        <f t="shared" si="3"/>
        <v>SP500</v>
      </c>
      <c r="D2691" s="2">
        <f t="shared" si="4"/>
        <v>2871.89</v>
      </c>
      <c r="E2691" s="2">
        <f t="shared" si="5"/>
        <v>2871.89</v>
      </c>
      <c r="G2691" s="10">
        <f t="shared" si="9"/>
        <v>40673.64583</v>
      </c>
      <c r="H2691" s="6" t="str">
        <f t="shared" si="6"/>
        <v/>
      </c>
      <c r="I2691" s="2">
        <f t="shared" si="7"/>
        <v>1426.89</v>
      </c>
      <c r="M2691" s="10">
        <f>IFERROR(__xludf.DUMMYFUNCTION("""COMPUTED_VALUE"""),41884.666666666664)</f>
        <v>41884.66667</v>
      </c>
      <c r="N2691" s="2">
        <f>IFERROR(__xludf.DUMMYFUNCTION("""COMPUTED_VALUE"""),4598.19)</f>
        <v>4598.19</v>
      </c>
    </row>
    <row r="2692">
      <c r="A2692" s="10">
        <f t="shared" si="8"/>
        <v>40674.66667</v>
      </c>
      <c r="B2692" s="2" t="str">
        <f t="shared" si="2"/>
        <v/>
      </c>
      <c r="C2692" s="2" t="str">
        <f t="shared" si="3"/>
        <v>SP500</v>
      </c>
      <c r="D2692" s="2">
        <f t="shared" si="4"/>
        <v>2845.06</v>
      </c>
      <c r="E2692" s="2">
        <f t="shared" si="5"/>
        <v>2845.06</v>
      </c>
      <c r="G2692" s="10">
        <f t="shared" si="9"/>
        <v>40674.64583</v>
      </c>
      <c r="H2692" s="6" t="str">
        <f t="shared" si="6"/>
        <v/>
      </c>
      <c r="I2692" s="2">
        <f t="shared" si="7"/>
        <v>1426.89</v>
      </c>
      <c r="M2692" s="10">
        <f>IFERROR(__xludf.DUMMYFUNCTION("""COMPUTED_VALUE"""),41885.666666666664)</f>
        <v>41885.66667</v>
      </c>
      <c r="N2692" s="2">
        <f>IFERROR(__xludf.DUMMYFUNCTION("""COMPUTED_VALUE"""),4572.56)</f>
        <v>4572.56</v>
      </c>
    </row>
    <row r="2693">
      <c r="A2693" s="10">
        <f t="shared" si="8"/>
        <v>40675.66667</v>
      </c>
      <c r="B2693" s="2" t="str">
        <f t="shared" si="2"/>
        <v/>
      </c>
      <c r="C2693" s="2" t="str">
        <f t="shared" si="3"/>
        <v>SP500</v>
      </c>
      <c r="D2693" s="2">
        <f t="shared" si="4"/>
        <v>2863.04</v>
      </c>
      <c r="E2693" s="2">
        <f t="shared" si="5"/>
        <v>2863.04</v>
      </c>
      <c r="G2693" s="10">
        <f t="shared" si="9"/>
        <v>40675.64583</v>
      </c>
      <c r="H2693" s="6" t="str">
        <f t="shared" si="6"/>
        <v/>
      </c>
      <c r="I2693" s="2">
        <f t="shared" si="7"/>
        <v>1426.89</v>
      </c>
      <c r="M2693" s="10">
        <f>IFERROR(__xludf.DUMMYFUNCTION("""COMPUTED_VALUE"""),41886.666666666664)</f>
        <v>41886.66667</v>
      </c>
      <c r="N2693" s="2">
        <f>IFERROR(__xludf.DUMMYFUNCTION("""COMPUTED_VALUE"""),4562.29)</f>
        <v>4562.29</v>
      </c>
    </row>
    <row r="2694">
      <c r="A2694" s="10">
        <f t="shared" si="8"/>
        <v>40676.66667</v>
      </c>
      <c r="B2694" s="2" t="str">
        <f t="shared" si="2"/>
        <v/>
      </c>
      <c r="C2694" s="2" t="str">
        <f t="shared" si="3"/>
        <v>SP500</v>
      </c>
      <c r="D2694" s="2">
        <f t="shared" si="4"/>
        <v>2828.47</v>
      </c>
      <c r="E2694" s="2">
        <f t="shared" si="5"/>
        <v>2828.47</v>
      </c>
      <c r="G2694" s="10">
        <f t="shared" si="9"/>
        <v>40676.64583</v>
      </c>
      <c r="H2694" s="6" t="str">
        <f t="shared" si="6"/>
        <v/>
      </c>
      <c r="I2694" s="2">
        <f t="shared" si="7"/>
        <v>1426.89</v>
      </c>
      <c r="M2694" s="10">
        <f>IFERROR(__xludf.DUMMYFUNCTION("""COMPUTED_VALUE"""),41887.666666666664)</f>
        <v>41887.66667</v>
      </c>
      <c r="N2694" s="2">
        <f>IFERROR(__xludf.DUMMYFUNCTION("""COMPUTED_VALUE"""),4582.9)</f>
        <v>4582.9</v>
      </c>
    </row>
    <row r="2695">
      <c r="A2695" s="10">
        <f t="shared" si="8"/>
        <v>40677.66667</v>
      </c>
      <c r="B2695" s="2" t="str">
        <f t="shared" si="2"/>
        <v/>
      </c>
      <c r="C2695" s="2" t="str">
        <f t="shared" si="3"/>
        <v>SP500</v>
      </c>
      <c r="D2695" s="2" t="str">
        <f t="shared" si="4"/>
        <v/>
      </c>
      <c r="E2695" s="2">
        <f t="shared" si="5"/>
        <v>2828.47</v>
      </c>
      <c r="G2695" s="10">
        <f t="shared" si="9"/>
        <v>40677.64583</v>
      </c>
      <c r="H2695" s="6" t="str">
        <f t="shared" si="6"/>
        <v/>
      </c>
      <c r="I2695" s="2">
        <f t="shared" si="7"/>
        <v>1426.89</v>
      </c>
      <c r="M2695" s="10">
        <f>IFERROR(__xludf.DUMMYFUNCTION("""COMPUTED_VALUE"""),41890.666666666664)</f>
        <v>41890.66667</v>
      </c>
      <c r="N2695" s="2">
        <f>IFERROR(__xludf.DUMMYFUNCTION("""COMPUTED_VALUE"""),4592.29)</f>
        <v>4592.29</v>
      </c>
    </row>
    <row r="2696">
      <c r="A2696" s="10">
        <f t="shared" si="8"/>
        <v>40678.66667</v>
      </c>
      <c r="B2696" s="2" t="str">
        <f t="shared" si="2"/>
        <v/>
      </c>
      <c r="C2696" s="2" t="str">
        <f t="shared" si="3"/>
        <v>SP500</v>
      </c>
      <c r="D2696" s="2" t="str">
        <f t="shared" si="4"/>
        <v/>
      </c>
      <c r="E2696" s="2">
        <f t="shared" si="5"/>
        <v>2828.47</v>
      </c>
      <c r="G2696" s="10">
        <f t="shared" si="9"/>
        <v>40678.64583</v>
      </c>
      <c r="H2696" s="6" t="str">
        <f t="shared" si="6"/>
        <v/>
      </c>
      <c r="I2696" s="2">
        <f t="shared" si="7"/>
        <v>1426.89</v>
      </c>
      <c r="M2696" s="10">
        <f>IFERROR(__xludf.DUMMYFUNCTION("""COMPUTED_VALUE"""),41891.666666666664)</f>
        <v>41891.66667</v>
      </c>
      <c r="N2696" s="2">
        <f>IFERROR(__xludf.DUMMYFUNCTION("""COMPUTED_VALUE"""),4552.29)</f>
        <v>4552.29</v>
      </c>
    </row>
    <row r="2697">
      <c r="A2697" s="10">
        <f t="shared" si="8"/>
        <v>40679.66667</v>
      </c>
      <c r="B2697" s="2" t="str">
        <f t="shared" si="2"/>
        <v/>
      </c>
      <c r="C2697" s="2" t="str">
        <f t="shared" si="3"/>
        <v>SP500</v>
      </c>
      <c r="D2697" s="2">
        <f t="shared" si="4"/>
        <v>2782.31</v>
      </c>
      <c r="E2697" s="2">
        <f t="shared" si="5"/>
        <v>2782.31</v>
      </c>
      <c r="G2697" s="10">
        <f t="shared" si="9"/>
        <v>40679.64583</v>
      </c>
      <c r="H2697" s="6" t="str">
        <f t="shared" si="6"/>
        <v/>
      </c>
      <c r="I2697" s="2">
        <f t="shared" si="7"/>
        <v>1426.89</v>
      </c>
      <c r="M2697" s="10">
        <f>IFERROR(__xludf.DUMMYFUNCTION("""COMPUTED_VALUE"""),41892.666666666664)</f>
        <v>41892.66667</v>
      </c>
      <c r="N2697" s="2">
        <f>IFERROR(__xludf.DUMMYFUNCTION("""COMPUTED_VALUE"""),4586.52)</f>
        <v>4586.52</v>
      </c>
    </row>
    <row r="2698">
      <c r="A2698" s="10">
        <f t="shared" si="8"/>
        <v>40680.66667</v>
      </c>
      <c r="B2698" s="2" t="str">
        <f t="shared" si="2"/>
        <v/>
      </c>
      <c r="C2698" s="2" t="str">
        <f t="shared" si="3"/>
        <v>SP500</v>
      </c>
      <c r="D2698" s="2">
        <f t="shared" si="4"/>
        <v>2783.21</v>
      </c>
      <c r="E2698" s="2">
        <f t="shared" si="5"/>
        <v>2783.21</v>
      </c>
      <c r="G2698" s="10">
        <f t="shared" si="9"/>
        <v>40680.64583</v>
      </c>
      <c r="H2698" s="6" t="str">
        <f t="shared" si="6"/>
        <v/>
      </c>
      <c r="I2698" s="2">
        <f t="shared" si="7"/>
        <v>1426.89</v>
      </c>
      <c r="M2698" s="10">
        <f>IFERROR(__xludf.DUMMYFUNCTION("""COMPUTED_VALUE"""),41893.666666666664)</f>
        <v>41893.66667</v>
      </c>
      <c r="N2698" s="2">
        <f>IFERROR(__xludf.DUMMYFUNCTION("""COMPUTED_VALUE"""),4591.81)</f>
        <v>4591.81</v>
      </c>
    </row>
    <row r="2699">
      <c r="A2699" s="10">
        <f t="shared" si="8"/>
        <v>40681.66667</v>
      </c>
      <c r="B2699" s="2" t="str">
        <f t="shared" si="2"/>
        <v/>
      </c>
      <c r="C2699" s="2" t="str">
        <f t="shared" si="3"/>
        <v>SP500</v>
      </c>
      <c r="D2699" s="2">
        <f t="shared" si="4"/>
        <v>2815</v>
      </c>
      <c r="E2699" s="2">
        <f t="shared" si="5"/>
        <v>2815</v>
      </c>
      <c r="G2699" s="10">
        <f t="shared" si="9"/>
        <v>40681.64583</v>
      </c>
      <c r="H2699" s="6" t="str">
        <f t="shared" si="6"/>
        <v/>
      </c>
      <c r="I2699" s="2">
        <f t="shared" si="7"/>
        <v>1426.89</v>
      </c>
      <c r="M2699" s="10">
        <f>IFERROR(__xludf.DUMMYFUNCTION("""COMPUTED_VALUE"""),41894.666666666664)</f>
        <v>41894.66667</v>
      </c>
      <c r="N2699" s="2">
        <f>IFERROR(__xludf.DUMMYFUNCTION("""COMPUTED_VALUE"""),4567.6)</f>
        <v>4567.6</v>
      </c>
    </row>
    <row r="2700">
      <c r="A2700" s="10">
        <f t="shared" si="8"/>
        <v>40682.66667</v>
      </c>
      <c r="B2700" s="2" t="str">
        <f t="shared" si="2"/>
        <v/>
      </c>
      <c r="C2700" s="2" t="str">
        <f t="shared" si="3"/>
        <v>SP500</v>
      </c>
      <c r="D2700" s="2">
        <f t="shared" si="4"/>
        <v>2823.31</v>
      </c>
      <c r="E2700" s="2">
        <f t="shared" si="5"/>
        <v>2823.31</v>
      </c>
      <c r="G2700" s="10">
        <f t="shared" si="9"/>
        <v>40682.64583</v>
      </c>
      <c r="H2700" s="6" t="str">
        <f t="shared" si="6"/>
        <v/>
      </c>
      <c r="I2700" s="2">
        <f t="shared" si="7"/>
        <v>1426.89</v>
      </c>
      <c r="M2700" s="10">
        <f>IFERROR(__xludf.DUMMYFUNCTION("""COMPUTED_VALUE"""),41897.666666666664)</f>
        <v>41897.66667</v>
      </c>
      <c r="N2700" s="2">
        <f>IFERROR(__xludf.DUMMYFUNCTION("""COMPUTED_VALUE"""),4518.9)</f>
        <v>4518.9</v>
      </c>
    </row>
    <row r="2701">
      <c r="A2701" s="10">
        <f t="shared" si="8"/>
        <v>40683.66667</v>
      </c>
      <c r="B2701" s="2" t="str">
        <f t="shared" si="2"/>
        <v/>
      </c>
      <c r="C2701" s="2" t="str">
        <f t="shared" si="3"/>
        <v>SP500</v>
      </c>
      <c r="D2701" s="2">
        <f t="shared" si="4"/>
        <v>2803.32</v>
      </c>
      <c r="E2701" s="2">
        <f t="shared" si="5"/>
        <v>2803.32</v>
      </c>
      <c r="G2701" s="10">
        <f t="shared" si="9"/>
        <v>40683.64583</v>
      </c>
      <c r="H2701" s="6" t="str">
        <f t="shared" si="6"/>
        <v/>
      </c>
      <c r="I2701" s="2">
        <f t="shared" si="7"/>
        <v>1426.89</v>
      </c>
      <c r="M2701" s="10">
        <f>IFERROR(__xludf.DUMMYFUNCTION("""COMPUTED_VALUE"""),41898.666666666664)</f>
        <v>41898.66667</v>
      </c>
      <c r="N2701" s="2">
        <f>IFERROR(__xludf.DUMMYFUNCTION("""COMPUTED_VALUE"""),4552.76)</f>
        <v>4552.76</v>
      </c>
    </row>
    <row r="2702">
      <c r="A2702" s="10">
        <f t="shared" si="8"/>
        <v>40684.66667</v>
      </c>
      <c r="B2702" s="2" t="str">
        <f t="shared" si="2"/>
        <v/>
      </c>
      <c r="C2702" s="2" t="str">
        <f t="shared" si="3"/>
        <v>SP500</v>
      </c>
      <c r="D2702" s="2" t="str">
        <f t="shared" si="4"/>
        <v/>
      </c>
      <c r="E2702" s="2">
        <f t="shared" si="5"/>
        <v>2803.32</v>
      </c>
      <c r="G2702" s="10">
        <f t="shared" si="9"/>
        <v>40684.64583</v>
      </c>
      <c r="H2702" s="6" t="str">
        <f t="shared" si="6"/>
        <v/>
      </c>
      <c r="I2702" s="2">
        <f t="shared" si="7"/>
        <v>1426.89</v>
      </c>
      <c r="M2702" s="10">
        <f>IFERROR(__xludf.DUMMYFUNCTION("""COMPUTED_VALUE"""),41899.666666666664)</f>
        <v>41899.66667</v>
      </c>
      <c r="N2702" s="2">
        <f>IFERROR(__xludf.DUMMYFUNCTION("""COMPUTED_VALUE"""),4562.19)</f>
        <v>4562.19</v>
      </c>
    </row>
    <row r="2703">
      <c r="A2703" s="10">
        <f t="shared" si="8"/>
        <v>40685.66667</v>
      </c>
      <c r="B2703" s="2" t="str">
        <f t="shared" si="2"/>
        <v/>
      </c>
      <c r="C2703" s="2" t="str">
        <f t="shared" si="3"/>
        <v>SP500</v>
      </c>
      <c r="D2703" s="2" t="str">
        <f t="shared" si="4"/>
        <v/>
      </c>
      <c r="E2703" s="2">
        <f t="shared" si="5"/>
        <v>2803.32</v>
      </c>
      <c r="G2703" s="10">
        <f t="shared" si="9"/>
        <v>40685.64583</v>
      </c>
      <c r="H2703" s="6" t="str">
        <f t="shared" si="6"/>
        <v/>
      </c>
      <c r="I2703" s="2">
        <f t="shared" si="7"/>
        <v>1426.89</v>
      </c>
      <c r="M2703" s="10">
        <f>IFERROR(__xludf.DUMMYFUNCTION("""COMPUTED_VALUE"""),41900.666666666664)</f>
        <v>41900.66667</v>
      </c>
      <c r="N2703" s="2">
        <f>IFERROR(__xludf.DUMMYFUNCTION("""COMPUTED_VALUE"""),4593.43)</f>
        <v>4593.43</v>
      </c>
    </row>
    <row r="2704">
      <c r="A2704" s="10">
        <f t="shared" si="8"/>
        <v>40686.66667</v>
      </c>
      <c r="B2704" s="2" t="str">
        <f t="shared" si="2"/>
        <v/>
      </c>
      <c r="C2704" s="2" t="str">
        <f t="shared" si="3"/>
        <v>SP500</v>
      </c>
      <c r="D2704" s="2">
        <f t="shared" si="4"/>
        <v>2758.9</v>
      </c>
      <c r="E2704" s="2">
        <f t="shared" si="5"/>
        <v>2758.9</v>
      </c>
      <c r="G2704" s="10">
        <f t="shared" si="9"/>
        <v>40686.64583</v>
      </c>
      <c r="H2704" s="6" t="str">
        <f t="shared" si="6"/>
        <v/>
      </c>
      <c r="I2704" s="2">
        <f t="shared" si="7"/>
        <v>1426.89</v>
      </c>
      <c r="M2704" s="10">
        <f>IFERROR(__xludf.DUMMYFUNCTION("""COMPUTED_VALUE"""),41901.666666666664)</f>
        <v>41901.66667</v>
      </c>
      <c r="N2704" s="2">
        <f>IFERROR(__xludf.DUMMYFUNCTION("""COMPUTED_VALUE"""),4579.79)</f>
        <v>4579.79</v>
      </c>
    </row>
    <row r="2705">
      <c r="A2705" s="10">
        <f t="shared" si="8"/>
        <v>40687.66667</v>
      </c>
      <c r="B2705" s="2" t="str">
        <f t="shared" si="2"/>
        <v/>
      </c>
      <c r="C2705" s="2" t="str">
        <f t="shared" si="3"/>
        <v>SP500</v>
      </c>
      <c r="D2705" s="2">
        <f t="shared" si="4"/>
        <v>2746.16</v>
      </c>
      <c r="E2705" s="2">
        <f t="shared" si="5"/>
        <v>2746.16</v>
      </c>
      <c r="G2705" s="10">
        <f t="shared" si="9"/>
        <v>40687.64583</v>
      </c>
      <c r="H2705" s="6" t="str">
        <f t="shared" si="6"/>
        <v/>
      </c>
      <c r="I2705" s="2">
        <f t="shared" si="7"/>
        <v>1426.89</v>
      </c>
      <c r="M2705" s="10">
        <f>IFERROR(__xludf.DUMMYFUNCTION("""COMPUTED_VALUE"""),41904.666666666664)</f>
        <v>41904.66667</v>
      </c>
      <c r="N2705" s="2">
        <f>IFERROR(__xludf.DUMMYFUNCTION("""COMPUTED_VALUE"""),4527.69)</f>
        <v>4527.69</v>
      </c>
    </row>
    <row r="2706">
      <c r="A2706" s="10">
        <f t="shared" si="8"/>
        <v>40688.66667</v>
      </c>
      <c r="B2706" s="2" t="str">
        <f t="shared" si="2"/>
        <v/>
      </c>
      <c r="C2706" s="2" t="str">
        <f t="shared" si="3"/>
        <v>SP500</v>
      </c>
      <c r="D2706" s="2">
        <f t="shared" si="4"/>
        <v>2761.38</v>
      </c>
      <c r="E2706" s="2">
        <f t="shared" si="5"/>
        <v>2761.38</v>
      </c>
      <c r="G2706" s="10">
        <f t="shared" si="9"/>
        <v>40688.64583</v>
      </c>
      <c r="H2706" s="6" t="str">
        <f t="shared" si="6"/>
        <v/>
      </c>
      <c r="I2706" s="2">
        <f t="shared" si="7"/>
        <v>1426.89</v>
      </c>
      <c r="M2706" s="10">
        <f>IFERROR(__xludf.DUMMYFUNCTION("""COMPUTED_VALUE"""),41905.666666666664)</f>
        <v>41905.66667</v>
      </c>
      <c r="N2706" s="2">
        <f>IFERROR(__xludf.DUMMYFUNCTION("""COMPUTED_VALUE"""),4508.69)</f>
        <v>4508.69</v>
      </c>
    </row>
    <row r="2707">
      <c r="A2707" s="10">
        <f t="shared" si="8"/>
        <v>40689.66667</v>
      </c>
      <c r="B2707" s="2" t="str">
        <f t="shared" si="2"/>
        <v/>
      </c>
      <c r="C2707" s="2" t="str">
        <f t="shared" si="3"/>
        <v>SP500</v>
      </c>
      <c r="D2707" s="2">
        <f t="shared" si="4"/>
        <v>2782.92</v>
      </c>
      <c r="E2707" s="2">
        <f t="shared" si="5"/>
        <v>2782.92</v>
      </c>
      <c r="G2707" s="10">
        <f t="shared" si="9"/>
        <v>40689.64583</v>
      </c>
      <c r="H2707" s="6" t="str">
        <f t="shared" si="6"/>
        <v/>
      </c>
      <c r="I2707" s="2">
        <f t="shared" si="7"/>
        <v>1426.89</v>
      </c>
      <c r="M2707" s="10">
        <f>IFERROR(__xludf.DUMMYFUNCTION("""COMPUTED_VALUE"""),41906.666666666664)</f>
        <v>41906.66667</v>
      </c>
      <c r="N2707" s="2">
        <f>IFERROR(__xludf.DUMMYFUNCTION("""COMPUTED_VALUE"""),4555.22)</f>
        <v>4555.22</v>
      </c>
    </row>
    <row r="2708">
      <c r="A2708" s="10">
        <f t="shared" si="8"/>
        <v>40690.66667</v>
      </c>
      <c r="B2708" s="2" t="str">
        <f t="shared" si="2"/>
        <v/>
      </c>
      <c r="C2708" s="2" t="str">
        <f t="shared" si="3"/>
        <v>SP500</v>
      </c>
      <c r="D2708" s="2">
        <f t="shared" si="4"/>
        <v>2796.86</v>
      </c>
      <c r="E2708" s="2">
        <f t="shared" si="5"/>
        <v>2796.86</v>
      </c>
      <c r="G2708" s="10">
        <f t="shared" si="9"/>
        <v>40690.64583</v>
      </c>
      <c r="H2708" s="6" t="str">
        <f t="shared" si="6"/>
        <v/>
      </c>
      <c r="I2708" s="2">
        <f t="shared" si="7"/>
        <v>1426.89</v>
      </c>
      <c r="M2708" s="10">
        <f>IFERROR(__xludf.DUMMYFUNCTION("""COMPUTED_VALUE"""),41907.666666666664)</f>
        <v>41907.66667</v>
      </c>
      <c r="N2708" s="2">
        <f>IFERROR(__xludf.DUMMYFUNCTION("""COMPUTED_VALUE"""),4466.75)</f>
        <v>4466.75</v>
      </c>
    </row>
    <row r="2709">
      <c r="A2709" s="10">
        <f t="shared" si="8"/>
        <v>40691.66667</v>
      </c>
      <c r="B2709" s="2" t="str">
        <f t="shared" si="2"/>
        <v/>
      </c>
      <c r="C2709" s="2" t="str">
        <f t="shared" si="3"/>
        <v>SP500</v>
      </c>
      <c r="D2709" s="2" t="str">
        <f t="shared" si="4"/>
        <v/>
      </c>
      <c r="E2709" s="2">
        <f t="shared" si="5"/>
        <v>2796.86</v>
      </c>
      <c r="G2709" s="10">
        <f t="shared" si="9"/>
        <v>40691.64583</v>
      </c>
      <c r="H2709" s="6" t="str">
        <f t="shared" si="6"/>
        <v/>
      </c>
      <c r="I2709" s="2">
        <f t="shared" si="7"/>
        <v>1426.89</v>
      </c>
      <c r="M2709" s="10">
        <f>IFERROR(__xludf.DUMMYFUNCTION("""COMPUTED_VALUE"""),41908.666666666664)</f>
        <v>41908.66667</v>
      </c>
      <c r="N2709" s="2">
        <f>IFERROR(__xludf.DUMMYFUNCTION("""COMPUTED_VALUE"""),4512.19)</f>
        <v>4512.19</v>
      </c>
    </row>
    <row r="2710">
      <c r="A2710" s="10">
        <f t="shared" si="8"/>
        <v>40692.66667</v>
      </c>
      <c r="B2710" s="2" t="str">
        <f t="shared" si="2"/>
        <v/>
      </c>
      <c r="C2710" s="2" t="str">
        <f t="shared" si="3"/>
        <v>SP500</v>
      </c>
      <c r="D2710" s="2" t="str">
        <f t="shared" si="4"/>
        <v/>
      </c>
      <c r="E2710" s="2">
        <f t="shared" si="5"/>
        <v>2796.86</v>
      </c>
      <c r="G2710" s="10">
        <f t="shared" si="9"/>
        <v>40692.64583</v>
      </c>
      <c r="H2710" s="6" t="str">
        <f t="shared" si="6"/>
        <v/>
      </c>
      <c r="I2710" s="2">
        <f t="shared" si="7"/>
        <v>1426.89</v>
      </c>
      <c r="M2710" s="10">
        <f>IFERROR(__xludf.DUMMYFUNCTION("""COMPUTED_VALUE"""),41911.666666666664)</f>
        <v>41911.66667</v>
      </c>
      <c r="N2710" s="2">
        <f>IFERROR(__xludf.DUMMYFUNCTION("""COMPUTED_VALUE"""),4505.85)</f>
        <v>4505.85</v>
      </c>
    </row>
    <row r="2711">
      <c r="A2711" s="10">
        <f t="shared" si="8"/>
        <v>40693.66667</v>
      </c>
      <c r="B2711" s="2" t="str">
        <f t="shared" si="2"/>
        <v/>
      </c>
      <c r="C2711" s="2" t="str">
        <f t="shared" si="3"/>
        <v>SP500</v>
      </c>
      <c r="D2711" s="2" t="str">
        <f t="shared" si="4"/>
        <v/>
      </c>
      <c r="E2711" s="2">
        <f t="shared" si="5"/>
        <v>2796.86</v>
      </c>
      <c r="G2711" s="10">
        <f t="shared" si="9"/>
        <v>40693.64583</v>
      </c>
      <c r="H2711" s="6" t="str">
        <f t="shared" si="6"/>
        <v/>
      </c>
      <c r="I2711" s="2">
        <f t="shared" si="7"/>
        <v>1426.89</v>
      </c>
      <c r="M2711" s="10">
        <f>IFERROR(__xludf.DUMMYFUNCTION("""COMPUTED_VALUE"""),41912.666666666664)</f>
        <v>41912.66667</v>
      </c>
      <c r="N2711" s="2">
        <f>IFERROR(__xludf.DUMMYFUNCTION("""COMPUTED_VALUE"""),4493.39)</f>
        <v>4493.39</v>
      </c>
    </row>
    <row r="2712">
      <c r="A2712" s="10">
        <f t="shared" si="8"/>
        <v>40694.66667</v>
      </c>
      <c r="B2712" s="2" t="str">
        <f t="shared" si="2"/>
        <v/>
      </c>
      <c r="C2712" s="2" t="str">
        <f t="shared" si="3"/>
        <v>SP500</v>
      </c>
      <c r="D2712" s="2">
        <f t="shared" si="4"/>
        <v>2835.3</v>
      </c>
      <c r="E2712" s="2">
        <f t="shared" si="5"/>
        <v>2835.3</v>
      </c>
      <c r="G2712" s="10">
        <f t="shared" si="9"/>
        <v>40694.64583</v>
      </c>
      <c r="H2712" s="6" t="str">
        <f t="shared" si="6"/>
        <v/>
      </c>
      <c r="I2712" s="2">
        <f t="shared" si="7"/>
        <v>1426.89</v>
      </c>
      <c r="M2712" s="10">
        <f>IFERROR(__xludf.DUMMYFUNCTION("""COMPUTED_VALUE"""),41913.666666666664)</f>
        <v>41913.66667</v>
      </c>
      <c r="N2712" s="2">
        <f>IFERROR(__xludf.DUMMYFUNCTION("""COMPUTED_VALUE"""),4422.09)</f>
        <v>4422.09</v>
      </c>
    </row>
    <row r="2713">
      <c r="A2713" s="10">
        <f t="shared" si="8"/>
        <v>40695.66667</v>
      </c>
      <c r="B2713" s="2" t="str">
        <f t="shared" si="2"/>
        <v/>
      </c>
      <c r="C2713" s="2" t="str">
        <f t="shared" si="3"/>
        <v>SP500</v>
      </c>
      <c r="D2713" s="2">
        <f t="shared" si="4"/>
        <v>2769.19</v>
      </c>
      <c r="E2713" s="2">
        <f t="shared" si="5"/>
        <v>2769.19</v>
      </c>
      <c r="G2713" s="10">
        <f t="shared" si="9"/>
        <v>40695.64583</v>
      </c>
      <c r="H2713" s="6" t="str">
        <f t="shared" si="6"/>
        <v/>
      </c>
      <c r="I2713" s="2">
        <f t="shared" si="7"/>
        <v>1426.89</v>
      </c>
      <c r="M2713" s="10">
        <f>IFERROR(__xludf.DUMMYFUNCTION("""COMPUTED_VALUE"""),41914.666666666664)</f>
        <v>41914.66667</v>
      </c>
      <c r="N2713" s="2">
        <f>IFERROR(__xludf.DUMMYFUNCTION("""COMPUTED_VALUE"""),4430.19)</f>
        <v>4430.19</v>
      </c>
    </row>
    <row r="2714">
      <c r="A2714" s="10">
        <f t="shared" si="8"/>
        <v>40696.66667</v>
      </c>
      <c r="B2714" s="2" t="str">
        <f t="shared" si="2"/>
        <v/>
      </c>
      <c r="C2714" s="2" t="str">
        <f t="shared" si="3"/>
        <v>SP500</v>
      </c>
      <c r="D2714" s="2">
        <f t="shared" si="4"/>
        <v>2773.31</v>
      </c>
      <c r="E2714" s="2">
        <f t="shared" si="5"/>
        <v>2773.31</v>
      </c>
      <c r="G2714" s="10">
        <f t="shared" si="9"/>
        <v>40696.64583</v>
      </c>
      <c r="H2714" s="6" t="str">
        <f t="shared" si="6"/>
        <v/>
      </c>
      <c r="I2714" s="2">
        <f t="shared" si="7"/>
        <v>1426.89</v>
      </c>
      <c r="M2714" s="10">
        <f>IFERROR(__xludf.DUMMYFUNCTION("""COMPUTED_VALUE"""),41915.666666666664)</f>
        <v>41915.66667</v>
      </c>
      <c r="N2714" s="2">
        <f>IFERROR(__xludf.DUMMYFUNCTION("""COMPUTED_VALUE"""),4475.62)</f>
        <v>4475.62</v>
      </c>
    </row>
    <row r="2715">
      <c r="A2715" s="10">
        <f t="shared" si="8"/>
        <v>40697.66667</v>
      </c>
      <c r="B2715" s="2" t="str">
        <f t="shared" si="2"/>
        <v/>
      </c>
      <c r="C2715" s="2" t="str">
        <f t="shared" si="3"/>
        <v>SP500</v>
      </c>
      <c r="D2715" s="2">
        <f t="shared" si="4"/>
        <v>2732.78</v>
      </c>
      <c r="E2715" s="2">
        <f t="shared" si="5"/>
        <v>2732.78</v>
      </c>
      <c r="G2715" s="10">
        <f t="shared" si="9"/>
        <v>40697.64583</v>
      </c>
      <c r="H2715" s="6" t="str">
        <f t="shared" si="6"/>
        <v/>
      </c>
      <c r="I2715" s="2">
        <f t="shared" si="7"/>
        <v>1426.89</v>
      </c>
      <c r="M2715" s="10">
        <f>IFERROR(__xludf.DUMMYFUNCTION("""COMPUTED_VALUE"""),41918.666666666664)</f>
        <v>41918.66667</v>
      </c>
      <c r="N2715" s="2">
        <f>IFERROR(__xludf.DUMMYFUNCTION("""COMPUTED_VALUE"""),4454.8)</f>
        <v>4454.8</v>
      </c>
    </row>
    <row r="2716">
      <c r="A2716" s="10">
        <f t="shared" si="8"/>
        <v>40698.66667</v>
      </c>
      <c r="B2716" s="2" t="str">
        <f t="shared" si="2"/>
        <v/>
      </c>
      <c r="C2716" s="2" t="str">
        <f t="shared" si="3"/>
        <v>SP500</v>
      </c>
      <c r="D2716" s="2" t="str">
        <f t="shared" si="4"/>
        <v/>
      </c>
      <c r="E2716" s="2">
        <f t="shared" si="5"/>
        <v>2732.78</v>
      </c>
      <c r="G2716" s="10">
        <f t="shared" si="9"/>
        <v>40698.64583</v>
      </c>
      <c r="H2716" s="6" t="str">
        <f t="shared" si="6"/>
        <v/>
      </c>
      <c r="I2716" s="2">
        <f t="shared" si="7"/>
        <v>1426.89</v>
      </c>
      <c r="M2716" s="10">
        <f>IFERROR(__xludf.DUMMYFUNCTION("""COMPUTED_VALUE"""),41919.666666666664)</f>
        <v>41919.66667</v>
      </c>
      <c r="N2716" s="2">
        <f>IFERROR(__xludf.DUMMYFUNCTION("""COMPUTED_VALUE"""),4385.2)</f>
        <v>4385.2</v>
      </c>
    </row>
    <row r="2717">
      <c r="A2717" s="10">
        <f t="shared" si="8"/>
        <v>40699.66667</v>
      </c>
      <c r="B2717" s="2" t="str">
        <f t="shared" si="2"/>
        <v/>
      </c>
      <c r="C2717" s="2" t="str">
        <f t="shared" si="3"/>
        <v>SP500</v>
      </c>
      <c r="D2717" s="2" t="str">
        <f t="shared" si="4"/>
        <v/>
      </c>
      <c r="E2717" s="2">
        <f t="shared" si="5"/>
        <v>2732.78</v>
      </c>
      <c r="G2717" s="10">
        <f t="shared" si="9"/>
        <v>40699.64583</v>
      </c>
      <c r="H2717" s="6" t="str">
        <f t="shared" si="6"/>
        <v/>
      </c>
      <c r="I2717" s="2">
        <f t="shared" si="7"/>
        <v>1426.89</v>
      </c>
      <c r="M2717" s="10">
        <f>IFERROR(__xludf.DUMMYFUNCTION("""COMPUTED_VALUE"""),41920.666666666664)</f>
        <v>41920.66667</v>
      </c>
      <c r="N2717" s="2">
        <f>IFERROR(__xludf.DUMMYFUNCTION("""COMPUTED_VALUE"""),4468.59)</f>
        <v>4468.59</v>
      </c>
    </row>
    <row r="2718">
      <c r="A2718" s="10">
        <f t="shared" si="8"/>
        <v>40700.66667</v>
      </c>
      <c r="B2718" s="2" t="str">
        <f t="shared" si="2"/>
        <v/>
      </c>
      <c r="C2718" s="2" t="str">
        <f t="shared" si="3"/>
        <v>SP500</v>
      </c>
      <c r="D2718" s="2">
        <f t="shared" si="4"/>
        <v>2702.56</v>
      </c>
      <c r="E2718" s="2">
        <f t="shared" si="5"/>
        <v>2702.56</v>
      </c>
      <c r="G2718" s="10">
        <f t="shared" si="9"/>
        <v>40700.64583</v>
      </c>
      <c r="H2718" s="6" t="str">
        <f t="shared" si="6"/>
        <v/>
      </c>
      <c r="I2718" s="2">
        <f t="shared" si="7"/>
        <v>1426.89</v>
      </c>
      <c r="M2718" s="10">
        <f>IFERROR(__xludf.DUMMYFUNCTION("""COMPUTED_VALUE"""),41921.666666666664)</f>
        <v>41921.66667</v>
      </c>
      <c r="N2718" s="2">
        <f>IFERROR(__xludf.DUMMYFUNCTION("""COMPUTED_VALUE"""),4378.34)</f>
        <v>4378.34</v>
      </c>
    </row>
    <row r="2719">
      <c r="A2719" s="10">
        <f t="shared" si="8"/>
        <v>40701.66667</v>
      </c>
      <c r="B2719" s="2" t="str">
        <f t="shared" si="2"/>
        <v/>
      </c>
      <c r="C2719" s="2" t="str">
        <f t="shared" si="3"/>
        <v>SP500</v>
      </c>
      <c r="D2719" s="2">
        <f t="shared" si="4"/>
        <v>2701.56</v>
      </c>
      <c r="E2719" s="2">
        <f t="shared" si="5"/>
        <v>2701.56</v>
      </c>
      <c r="G2719" s="10">
        <f t="shared" si="9"/>
        <v>40701.64583</v>
      </c>
      <c r="H2719" s="6" t="str">
        <f t="shared" si="6"/>
        <v/>
      </c>
      <c r="I2719" s="2">
        <f t="shared" si="7"/>
        <v>1426.89</v>
      </c>
      <c r="M2719" s="10">
        <f>IFERROR(__xludf.DUMMYFUNCTION("""COMPUTED_VALUE"""),41922.666666666664)</f>
        <v>41922.66667</v>
      </c>
      <c r="N2719" s="2">
        <f>IFERROR(__xludf.DUMMYFUNCTION("""COMPUTED_VALUE"""),4276.24)</f>
        <v>4276.24</v>
      </c>
    </row>
    <row r="2720">
      <c r="A2720" s="10">
        <f t="shared" si="8"/>
        <v>40702.66667</v>
      </c>
      <c r="B2720" s="2" t="str">
        <f t="shared" si="2"/>
        <v/>
      </c>
      <c r="C2720" s="2" t="str">
        <f t="shared" si="3"/>
        <v>SP500</v>
      </c>
      <c r="D2720" s="2">
        <f t="shared" si="4"/>
        <v>2675.38</v>
      </c>
      <c r="E2720" s="2">
        <f t="shared" si="5"/>
        <v>2675.38</v>
      </c>
      <c r="G2720" s="10">
        <f t="shared" si="9"/>
        <v>40702.64583</v>
      </c>
      <c r="H2720" s="6" t="str">
        <f t="shared" si="6"/>
        <v/>
      </c>
      <c r="I2720" s="2">
        <f t="shared" si="7"/>
        <v>1426.89</v>
      </c>
      <c r="M2720" s="10">
        <f>IFERROR(__xludf.DUMMYFUNCTION("""COMPUTED_VALUE"""),41925.666666666664)</f>
        <v>41925.66667</v>
      </c>
      <c r="N2720" s="2">
        <f>IFERROR(__xludf.DUMMYFUNCTION("""COMPUTED_VALUE"""),4213.66)</f>
        <v>4213.66</v>
      </c>
    </row>
    <row r="2721">
      <c r="A2721" s="10">
        <f t="shared" si="8"/>
        <v>40703.66667</v>
      </c>
      <c r="B2721" s="2" t="str">
        <f t="shared" si="2"/>
        <v/>
      </c>
      <c r="C2721" s="2" t="str">
        <f t="shared" si="3"/>
        <v>SP500</v>
      </c>
      <c r="D2721" s="2">
        <f t="shared" si="4"/>
        <v>2684.87</v>
      </c>
      <c r="E2721" s="2">
        <f t="shared" si="5"/>
        <v>2684.87</v>
      </c>
      <c r="G2721" s="10">
        <f t="shared" si="9"/>
        <v>40703.64583</v>
      </c>
      <c r="H2721" s="6" t="str">
        <f t="shared" si="6"/>
        <v/>
      </c>
      <c r="I2721" s="2">
        <f t="shared" si="7"/>
        <v>1426.89</v>
      </c>
      <c r="M2721" s="10">
        <f>IFERROR(__xludf.DUMMYFUNCTION("""COMPUTED_VALUE"""),41926.666666666664)</f>
        <v>41926.66667</v>
      </c>
      <c r="N2721" s="2">
        <f>IFERROR(__xludf.DUMMYFUNCTION("""COMPUTED_VALUE"""),4227.17)</f>
        <v>4227.17</v>
      </c>
    </row>
    <row r="2722">
      <c r="A2722" s="10">
        <f t="shared" si="8"/>
        <v>40704.66667</v>
      </c>
      <c r="B2722" s="2" t="str">
        <f t="shared" si="2"/>
        <v/>
      </c>
      <c r="C2722" s="2" t="str">
        <f t="shared" si="3"/>
        <v>SP500</v>
      </c>
      <c r="D2722" s="2">
        <f t="shared" si="4"/>
        <v>2643.73</v>
      </c>
      <c r="E2722" s="2">
        <f t="shared" si="5"/>
        <v>2643.73</v>
      </c>
      <c r="G2722" s="10">
        <f t="shared" si="9"/>
        <v>40704.64583</v>
      </c>
      <c r="H2722" s="6" t="str">
        <f t="shared" si="6"/>
        <v/>
      </c>
      <c r="I2722" s="2">
        <f t="shared" si="7"/>
        <v>1426.89</v>
      </c>
      <c r="M2722" s="10">
        <f>IFERROR(__xludf.DUMMYFUNCTION("""COMPUTED_VALUE"""),41927.666666666664)</f>
        <v>41927.66667</v>
      </c>
      <c r="N2722" s="2">
        <f>IFERROR(__xludf.DUMMYFUNCTION("""COMPUTED_VALUE"""),4215.32)</f>
        <v>4215.32</v>
      </c>
    </row>
    <row r="2723">
      <c r="A2723" s="10">
        <f t="shared" si="8"/>
        <v>40705.66667</v>
      </c>
      <c r="B2723" s="2" t="str">
        <f t="shared" si="2"/>
        <v/>
      </c>
      <c r="C2723" s="2" t="str">
        <f t="shared" si="3"/>
        <v>SP500</v>
      </c>
      <c r="D2723" s="2" t="str">
        <f t="shared" si="4"/>
        <v/>
      </c>
      <c r="E2723" s="2">
        <f t="shared" si="5"/>
        <v>2643.73</v>
      </c>
      <c r="G2723" s="10">
        <f t="shared" si="9"/>
        <v>40705.64583</v>
      </c>
      <c r="H2723" s="6" t="str">
        <f t="shared" si="6"/>
        <v/>
      </c>
      <c r="I2723" s="2">
        <f t="shared" si="7"/>
        <v>1426.89</v>
      </c>
      <c r="M2723" s="10">
        <f>IFERROR(__xludf.DUMMYFUNCTION("""COMPUTED_VALUE"""),41928.666666666664)</f>
        <v>41928.66667</v>
      </c>
      <c r="N2723" s="2">
        <f>IFERROR(__xludf.DUMMYFUNCTION("""COMPUTED_VALUE"""),4217.39)</f>
        <v>4217.39</v>
      </c>
    </row>
    <row r="2724">
      <c r="A2724" s="10">
        <f t="shared" si="8"/>
        <v>40706.66667</v>
      </c>
      <c r="B2724" s="2" t="str">
        <f t="shared" si="2"/>
        <v/>
      </c>
      <c r="C2724" s="2" t="str">
        <f t="shared" si="3"/>
        <v>SP500</v>
      </c>
      <c r="D2724" s="2" t="str">
        <f t="shared" si="4"/>
        <v/>
      </c>
      <c r="E2724" s="2">
        <f t="shared" si="5"/>
        <v>2643.73</v>
      </c>
      <c r="G2724" s="10">
        <f t="shared" si="9"/>
        <v>40706.64583</v>
      </c>
      <c r="H2724" s="6" t="str">
        <f t="shared" si="6"/>
        <v/>
      </c>
      <c r="I2724" s="2">
        <f t="shared" si="7"/>
        <v>1426.89</v>
      </c>
      <c r="M2724" s="10">
        <f>IFERROR(__xludf.DUMMYFUNCTION("""COMPUTED_VALUE"""),41929.666666666664)</f>
        <v>41929.66667</v>
      </c>
      <c r="N2724" s="2">
        <f>IFERROR(__xludf.DUMMYFUNCTION("""COMPUTED_VALUE"""),4258.44)</f>
        <v>4258.44</v>
      </c>
    </row>
    <row r="2725">
      <c r="A2725" s="10">
        <f t="shared" si="8"/>
        <v>40707.66667</v>
      </c>
      <c r="B2725" s="2" t="str">
        <f t="shared" si="2"/>
        <v/>
      </c>
      <c r="C2725" s="2" t="str">
        <f t="shared" si="3"/>
        <v>SP500</v>
      </c>
      <c r="D2725" s="2">
        <f t="shared" si="4"/>
        <v>2639.69</v>
      </c>
      <c r="E2725" s="2">
        <f t="shared" si="5"/>
        <v>2639.69</v>
      </c>
      <c r="G2725" s="10">
        <f t="shared" si="9"/>
        <v>40707.64583</v>
      </c>
      <c r="H2725" s="6" t="str">
        <f t="shared" si="6"/>
        <v/>
      </c>
      <c r="I2725" s="2">
        <f t="shared" si="7"/>
        <v>1426.89</v>
      </c>
      <c r="M2725" s="10">
        <f>IFERROR(__xludf.DUMMYFUNCTION("""COMPUTED_VALUE"""),41932.666666666664)</f>
        <v>41932.66667</v>
      </c>
      <c r="N2725" s="2">
        <f>IFERROR(__xludf.DUMMYFUNCTION("""COMPUTED_VALUE"""),4316.07)</f>
        <v>4316.07</v>
      </c>
    </row>
    <row r="2726">
      <c r="A2726" s="10">
        <f t="shared" si="8"/>
        <v>40708.66667</v>
      </c>
      <c r="B2726" s="2" t="str">
        <f t="shared" si="2"/>
        <v/>
      </c>
      <c r="C2726" s="2" t="str">
        <f t="shared" si="3"/>
        <v>SP500</v>
      </c>
      <c r="D2726" s="2">
        <f t="shared" si="4"/>
        <v>2678.72</v>
      </c>
      <c r="E2726" s="2">
        <f t="shared" si="5"/>
        <v>2678.72</v>
      </c>
      <c r="G2726" s="10">
        <f t="shared" si="9"/>
        <v>40708.64583</v>
      </c>
      <c r="H2726" s="6" t="str">
        <f t="shared" si="6"/>
        <v/>
      </c>
      <c r="I2726" s="2">
        <f t="shared" si="7"/>
        <v>1426.89</v>
      </c>
      <c r="M2726" s="10">
        <f>IFERROR(__xludf.DUMMYFUNCTION("""COMPUTED_VALUE"""),41933.666666666664)</f>
        <v>41933.66667</v>
      </c>
      <c r="N2726" s="2">
        <f>IFERROR(__xludf.DUMMYFUNCTION("""COMPUTED_VALUE"""),4419.48)</f>
        <v>4419.48</v>
      </c>
    </row>
    <row r="2727">
      <c r="A2727" s="10">
        <f t="shared" si="8"/>
        <v>40709.66667</v>
      </c>
      <c r="B2727" s="2" t="str">
        <f t="shared" si="2"/>
        <v/>
      </c>
      <c r="C2727" s="2" t="str">
        <f t="shared" si="3"/>
        <v>SP500</v>
      </c>
      <c r="D2727" s="2">
        <f t="shared" si="4"/>
        <v>2631.46</v>
      </c>
      <c r="E2727" s="2">
        <f t="shared" si="5"/>
        <v>2631.46</v>
      </c>
      <c r="G2727" s="10">
        <f t="shared" si="9"/>
        <v>40709.64583</v>
      </c>
      <c r="H2727" s="6" t="str">
        <f t="shared" si="6"/>
        <v/>
      </c>
      <c r="I2727" s="2">
        <f t="shared" si="7"/>
        <v>1426.89</v>
      </c>
      <c r="M2727" s="10">
        <f>IFERROR(__xludf.DUMMYFUNCTION("""COMPUTED_VALUE"""),41934.666666666664)</f>
        <v>41934.66667</v>
      </c>
      <c r="N2727" s="2">
        <f>IFERROR(__xludf.DUMMYFUNCTION("""COMPUTED_VALUE"""),4382.85)</f>
        <v>4382.85</v>
      </c>
    </row>
    <row r="2728">
      <c r="A2728" s="10">
        <f t="shared" si="8"/>
        <v>40710.66667</v>
      </c>
      <c r="B2728" s="2" t="str">
        <f t="shared" si="2"/>
        <v/>
      </c>
      <c r="C2728" s="2" t="str">
        <f t="shared" si="3"/>
        <v>SP500</v>
      </c>
      <c r="D2728" s="2">
        <f t="shared" si="4"/>
        <v>2623.7</v>
      </c>
      <c r="E2728" s="2">
        <f t="shared" si="5"/>
        <v>2623.7</v>
      </c>
      <c r="G2728" s="10">
        <f t="shared" si="9"/>
        <v>40710.64583</v>
      </c>
      <c r="H2728" s="6" t="str">
        <f t="shared" si="6"/>
        <v/>
      </c>
      <c r="I2728" s="2">
        <f t="shared" si="7"/>
        <v>1426.89</v>
      </c>
      <c r="M2728" s="10">
        <f>IFERROR(__xludf.DUMMYFUNCTION("""COMPUTED_VALUE"""),41935.666666666664)</f>
        <v>41935.66667</v>
      </c>
      <c r="N2728" s="2">
        <f>IFERROR(__xludf.DUMMYFUNCTION("""COMPUTED_VALUE"""),4452.79)</f>
        <v>4452.79</v>
      </c>
    </row>
    <row r="2729">
      <c r="A2729" s="10">
        <f t="shared" si="8"/>
        <v>40711.66667</v>
      </c>
      <c r="B2729" s="2" t="str">
        <f t="shared" si="2"/>
        <v/>
      </c>
      <c r="C2729" s="2" t="str">
        <f t="shared" si="3"/>
        <v>SP500</v>
      </c>
      <c r="D2729" s="2">
        <f t="shared" si="4"/>
        <v>2616.48</v>
      </c>
      <c r="E2729" s="2">
        <f t="shared" si="5"/>
        <v>2616.48</v>
      </c>
      <c r="G2729" s="10">
        <f t="shared" si="9"/>
        <v>40711.64583</v>
      </c>
      <c r="H2729" s="6" t="str">
        <f t="shared" si="6"/>
        <v/>
      </c>
      <c r="I2729" s="2">
        <f t="shared" si="7"/>
        <v>1426.89</v>
      </c>
      <c r="M2729" s="10">
        <f>IFERROR(__xludf.DUMMYFUNCTION("""COMPUTED_VALUE"""),41936.666666666664)</f>
        <v>41936.66667</v>
      </c>
      <c r="N2729" s="2">
        <f>IFERROR(__xludf.DUMMYFUNCTION("""COMPUTED_VALUE"""),4483.72)</f>
        <v>4483.72</v>
      </c>
    </row>
    <row r="2730">
      <c r="A2730" s="10">
        <f t="shared" si="8"/>
        <v>40712.66667</v>
      </c>
      <c r="B2730" s="2" t="str">
        <f t="shared" si="2"/>
        <v/>
      </c>
      <c r="C2730" s="2" t="str">
        <f t="shared" si="3"/>
        <v>SP500</v>
      </c>
      <c r="D2730" s="2" t="str">
        <f t="shared" si="4"/>
        <v/>
      </c>
      <c r="E2730" s="2">
        <f t="shared" si="5"/>
        <v>2616.48</v>
      </c>
      <c r="G2730" s="10">
        <f t="shared" si="9"/>
        <v>40712.64583</v>
      </c>
      <c r="H2730" s="6" t="str">
        <f t="shared" si="6"/>
        <v/>
      </c>
      <c r="I2730" s="2">
        <f t="shared" si="7"/>
        <v>1426.89</v>
      </c>
      <c r="M2730" s="10">
        <f>IFERROR(__xludf.DUMMYFUNCTION("""COMPUTED_VALUE"""),41939.666666666664)</f>
        <v>41939.66667</v>
      </c>
      <c r="N2730" s="2">
        <f>IFERROR(__xludf.DUMMYFUNCTION("""COMPUTED_VALUE"""),4485.93)</f>
        <v>4485.93</v>
      </c>
    </row>
    <row r="2731">
      <c r="A2731" s="10">
        <f t="shared" si="8"/>
        <v>40713.66667</v>
      </c>
      <c r="B2731" s="2" t="str">
        <f t="shared" si="2"/>
        <v/>
      </c>
      <c r="C2731" s="2" t="str">
        <f t="shared" si="3"/>
        <v>SP500</v>
      </c>
      <c r="D2731" s="2" t="str">
        <f t="shared" si="4"/>
        <v/>
      </c>
      <c r="E2731" s="2">
        <f t="shared" si="5"/>
        <v>2616.48</v>
      </c>
      <c r="G2731" s="10">
        <f t="shared" si="9"/>
        <v>40713.64583</v>
      </c>
      <c r="H2731" s="6" t="str">
        <f t="shared" si="6"/>
        <v/>
      </c>
      <c r="I2731" s="2">
        <f t="shared" si="7"/>
        <v>1426.89</v>
      </c>
      <c r="M2731" s="10">
        <f>IFERROR(__xludf.DUMMYFUNCTION("""COMPUTED_VALUE"""),41940.666666666664)</f>
        <v>41940.66667</v>
      </c>
      <c r="N2731" s="2">
        <f>IFERROR(__xludf.DUMMYFUNCTION("""COMPUTED_VALUE"""),4564.29)</f>
        <v>4564.29</v>
      </c>
    </row>
    <row r="2732">
      <c r="A2732" s="10">
        <f t="shared" si="8"/>
        <v>40714.66667</v>
      </c>
      <c r="B2732" s="2" t="str">
        <f t="shared" si="2"/>
        <v/>
      </c>
      <c r="C2732" s="2" t="str">
        <f t="shared" si="3"/>
        <v>SP500</v>
      </c>
      <c r="D2732" s="2">
        <f t="shared" si="4"/>
        <v>2629.66</v>
      </c>
      <c r="E2732" s="2">
        <f t="shared" si="5"/>
        <v>2629.66</v>
      </c>
      <c r="G2732" s="10">
        <f t="shared" si="9"/>
        <v>40714.64583</v>
      </c>
      <c r="H2732" s="6" t="str">
        <f t="shared" si="6"/>
        <v/>
      </c>
      <c r="I2732" s="2">
        <f t="shared" si="7"/>
        <v>1426.89</v>
      </c>
      <c r="M2732" s="10">
        <f>IFERROR(__xludf.DUMMYFUNCTION("""COMPUTED_VALUE"""),41941.666666666664)</f>
        <v>41941.66667</v>
      </c>
      <c r="N2732" s="2">
        <f>IFERROR(__xludf.DUMMYFUNCTION("""COMPUTED_VALUE"""),4549.23)</f>
        <v>4549.23</v>
      </c>
    </row>
    <row r="2733">
      <c r="A2733" s="10">
        <f t="shared" si="8"/>
        <v>40715.66667</v>
      </c>
      <c r="B2733" s="2" t="str">
        <f t="shared" si="2"/>
        <v/>
      </c>
      <c r="C2733" s="2" t="str">
        <f t="shared" si="3"/>
        <v>SP500</v>
      </c>
      <c r="D2733" s="2">
        <f t="shared" si="4"/>
        <v>2687.26</v>
      </c>
      <c r="E2733" s="2">
        <f t="shared" si="5"/>
        <v>2687.26</v>
      </c>
      <c r="G2733" s="10">
        <f t="shared" si="9"/>
        <v>40715.64583</v>
      </c>
      <c r="H2733" s="6" t="str">
        <f t="shared" si="6"/>
        <v/>
      </c>
      <c r="I2733" s="2">
        <f t="shared" si="7"/>
        <v>1426.89</v>
      </c>
      <c r="M2733" s="10">
        <f>IFERROR(__xludf.DUMMYFUNCTION("""COMPUTED_VALUE"""),41942.666666666664)</f>
        <v>41942.66667</v>
      </c>
      <c r="N2733" s="2">
        <f>IFERROR(__xludf.DUMMYFUNCTION("""COMPUTED_VALUE"""),4566.14)</f>
        <v>4566.14</v>
      </c>
    </row>
    <row r="2734">
      <c r="A2734" s="10">
        <f t="shared" si="8"/>
        <v>40716.66667</v>
      </c>
      <c r="B2734" s="2" t="str">
        <f t="shared" si="2"/>
        <v/>
      </c>
      <c r="C2734" s="2" t="str">
        <f t="shared" si="3"/>
        <v>SP500</v>
      </c>
      <c r="D2734" s="2">
        <f t="shared" si="4"/>
        <v>2669.19</v>
      </c>
      <c r="E2734" s="2">
        <f t="shared" si="5"/>
        <v>2669.19</v>
      </c>
      <c r="G2734" s="10">
        <f t="shared" si="9"/>
        <v>40716.64583</v>
      </c>
      <c r="H2734" s="6" t="str">
        <f t="shared" si="6"/>
        <v/>
      </c>
      <c r="I2734" s="2">
        <f t="shared" si="7"/>
        <v>1426.89</v>
      </c>
      <c r="M2734" s="10">
        <f>IFERROR(__xludf.DUMMYFUNCTION("""COMPUTED_VALUE"""),41943.666666666664)</f>
        <v>41943.66667</v>
      </c>
      <c r="N2734" s="2">
        <f>IFERROR(__xludf.DUMMYFUNCTION("""COMPUTED_VALUE"""),4630.74)</f>
        <v>4630.74</v>
      </c>
    </row>
    <row r="2735">
      <c r="A2735" s="10">
        <f t="shared" si="8"/>
        <v>40717.66667</v>
      </c>
      <c r="B2735" s="2" t="str">
        <f t="shared" si="2"/>
        <v/>
      </c>
      <c r="C2735" s="2" t="str">
        <f t="shared" si="3"/>
        <v>SP500</v>
      </c>
      <c r="D2735" s="2">
        <f t="shared" si="4"/>
        <v>2686.75</v>
      </c>
      <c r="E2735" s="2">
        <f t="shared" si="5"/>
        <v>2686.75</v>
      </c>
      <c r="G2735" s="10">
        <f t="shared" si="9"/>
        <v>40717.64583</v>
      </c>
      <c r="H2735" s="6" t="str">
        <f t="shared" si="6"/>
        <v/>
      </c>
      <c r="I2735" s="2">
        <f t="shared" si="7"/>
        <v>1426.89</v>
      </c>
      <c r="M2735" s="10">
        <f>IFERROR(__xludf.DUMMYFUNCTION("""COMPUTED_VALUE"""),41946.666666666664)</f>
        <v>41946.66667</v>
      </c>
      <c r="N2735" s="2">
        <f>IFERROR(__xludf.DUMMYFUNCTION("""COMPUTED_VALUE"""),4638.91)</f>
        <v>4638.91</v>
      </c>
    </row>
    <row r="2736">
      <c r="A2736" s="10">
        <f t="shared" si="8"/>
        <v>40718.66667</v>
      </c>
      <c r="B2736" s="2" t="str">
        <f t="shared" si="2"/>
        <v/>
      </c>
      <c r="C2736" s="2" t="str">
        <f t="shared" si="3"/>
        <v>SP500</v>
      </c>
      <c r="D2736" s="2">
        <f t="shared" si="4"/>
        <v>2652.89</v>
      </c>
      <c r="E2736" s="2">
        <f t="shared" si="5"/>
        <v>2652.89</v>
      </c>
      <c r="G2736" s="10">
        <f t="shared" si="9"/>
        <v>40718.64583</v>
      </c>
      <c r="H2736" s="6" t="str">
        <f t="shared" si="6"/>
        <v/>
      </c>
      <c r="I2736" s="2">
        <f t="shared" si="7"/>
        <v>1426.89</v>
      </c>
      <c r="M2736" s="10">
        <f>IFERROR(__xludf.DUMMYFUNCTION("""COMPUTED_VALUE"""),41947.666666666664)</f>
        <v>41947.66667</v>
      </c>
      <c r="N2736" s="2">
        <f>IFERROR(__xludf.DUMMYFUNCTION("""COMPUTED_VALUE"""),4623.64)</f>
        <v>4623.64</v>
      </c>
    </row>
    <row r="2737">
      <c r="A2737" s="10">
        <f t="shared" si="8"/>
        <v>40719.66667</v>
      </c>
      <c r="B2737" s="2" t="str">
        <f t="shared" si="2"/>
        <v/>
      </c>
      <c r="C2737" s="2" t="str">
        <f t="shared" si="3"/>
        <v>SP500</v>
      </c>
      <c r="D2737" s="2" t="str">
        <f t="shared" si="4"/>
        <v/>
      </c>
      <c r="E2737" s="2">
        <f t="shared" si="5"/>
        <v>2652.89</v>
      </c>
      <c r="G2737" s="10">
        <f t="shared" si="9"/>
        <v>40719.64583</v>
      </c>
      <c r="H2737" s="6" t="str">
        <f t="shared" si="6"/>
        <v/>
      </c>
      <c r="I2737" s="2">
        <f t="shared" si="7"/>
        <v>1426.89</v>
      </c>
      <c r="M2737" s="10">
        <f>IFERROR(__xludf.DUMMYFUNCTION("""COMPUTED_VALUE"""),41948.666666666664)</f>
        <v>41948.66667</v>
      </c>
      <c r="N2737" s="2">
        <f>IFERROR(__xludf.DUMMYFUNCTION("""COMPUTED_VALUE"""),4620.72)</f>
        <v>4620.72</v>
      </c>
    </row>
    <row r="2738">
      <c r="A2738" s="10">
        <f t="shared" si="8"/>
        <v>40720.66667</v>
      </c>
      <c r="B2738" s="2" t="str">
        <f t="shared" si="2"/>
        <v/>
      </c>
      <c r="C2738" s="2" t="str">
        <f t="shared" si="3"/>
        <v>SP500</v>
      </c>
      <c r="D2738" s="2" t="str">
        <f t="shared" si="4"/>
        <v/>
      </c>
      <c r="E2738" s="2">
        <f t="shared" si="5"/>
        <v>2652.89</v>
      </c>
      <c r="G2738" s="10">
        <f t="shared" si="9"/>
        <v>40720.64583</v>
      </c>
      <c r="H2738" s="6" t="str">
        <f t="shared" si="6"/>
        <v/>
      </c>
      <c r="I2738" s="2">
        <f t="shared" si="7"/>
        <v>1426.89</v>
      </c>
      <c r="M2738" s="10">
        <f>IFERROR(__xludf.DUMMYFUNCTION("""COMPUTED_VALUE"""),41949.666666666664)</f>
        <v>41949.66667</v>
      </c>
      <c r="N2738" s="2">
        <f>IFERROR(__xludf.DUMMYFUNCTION("""COMPUTED_VALUE"""),4638.47)</f>
        <v>4638.47</v>
      </c>
    </row>
    <row r="2739">
      <c r="A2739" s="10">
        <f t="shared" si="8"/>
        <v>40721.66667</v>
      </c>
      <c r="B2739" s="2" t="str">
        <f t="shared" si="2"/>
        <v/>
      </c>
      <c r="C2739" s="2" t="str">
        <f t="shared" si="3"/>
        <v>SP500</v>
      </c>
      <c r="D2739" s="2">
        <f t="shared" si="4"/>
        <v>2688.28</v>
      </c>
      <c r="E2739" s="2">
        <f t="shared" si="5"/>
        <v>2688.28</v>
      </c>
      <c r="G2739" s="10">
        <f t="shared" si="9"/>
        <v>40721.64583</v>
      </c>
      <c r="H2739" s="6" t="str">
        <f t="shared" si="6"/>
        <v/>
      </c>
      <c r="I2739" s="2">
        <f t="shared" si="7"/>
        <v>1426.89</v>
      </c>
      <c r="M2739" s="10">
        <f>IFERROR(__xludf.DUMMYFUNCTION("""COMPUTED_VALUE"""),41950.666666666664)</f>
        <v>41950.66667</v>
      </c>
      <c r="N2739" s="2">
        <f>IFERROR(__xludf.DUMMYFUNCTION("""COMPUTED_VALUE"""),4632.53)</f>
        <v>4632.53</v>
      </c>
    </row>
    <row r="2740">
      <c r="A2740" s="10">
        <f t="shared" si="8"/>
        <v>40722.66667</v>
      </c>
      <c r="B2740" s="2" t="str">
        <f t="shared" si="2"/>
        <v/>
      </c>
      <c r="C2740" s="2" t="str">
        <f t="shared" si="3"/>
        <v>SP500</v>
      </c>
      <c r="D2740" s="2">
        <f t="shared" si="4"/>
        <v>2729.31</v>
      </c>
      <c r="E2740" s="2">
        <f t="shared" si="5"/>
        <v>2729.31</v>
      </c>
      <c r="G2740" s="10">
        <f t="shared" si="9"/>
        <v>40722.64583</v>
      </c>
      <c r="H2740" s="6" t="str">
        <f t="shared" si="6"/>
        <v/>
      </c>
      <c r="I2740" s="2">
        <f t="shared" si="7"/>
        <v>1426.89</v>
      </c>
      <c r="M2740" s="10">
        <f>IFERROR(__xludf.DUMMYFUNCTION("""COMPUTED_VALUE"""),41953.66666666667)</f>
        <v>41953.66667</v>
      </c>
      <c r="N2740" s="2">
        <f>IFERROR(__xludf.DUMMYFUNCTION("""COMPUTED_VALUE"""),4651.62)</f>
        <v>4651.62</v>
      </c>
    </row>
    <row r="2741">
      <c r="A2741" s="10">
        <f t="shared" si="8"/>
        <v>40723.66667</v>
      </c>
      <c r="B2741" s="2" t="str">
        <f t="shared" si="2"/>
        <v/>
      </c>
      <c r="C2741" s="2" t="str">
        <f t="shared" si="3"/>
        <v>SP500</v>
      </c>
      <c r="D2741" s="2">
        <f t="shared" si="4"/>
        <v>2740.49</v>
      </c>
      <c r="E2741" s="2">
        <f t="shared" si="5"/>
        <v>2740.49</v>
      </c>
      <c r="G2741" s="10">
        <f t="shared" si="9"/>
        <v>40723.64583</v>
      </c>
      <c r="H2741" s="6" t="str">
        <f t="shared" si="6"/>
        <v/>
      </c>
      <c r="I2741" s="2">
        <f t="shared" si="7"/>
        <v>1426.89</v>
      </c>
      <c r="M2741" s="10">
        <f>IFERROR(__xludf.DUMMYFUNCTION("""COMPUTED_VALUE"""),41954.66666666667)</f>
        <v>41954.66667</v>
      </c>
      <c r="N2741" s="2">
        <f>IFERROR(__xludf.DUMMYFUNCTION("""COMPUTED_VALUE"""),4660.56)</f>
        <v>4660.56</v>
      </c>
    </row>
    <row r="2742">
      <c r="A2742" s="10">
        <f t="shared" si="8"/>
        <v>40724.66667</v>
      </c>
      <c r="B2742" s="2" t="str">
        <f t="shared" si="2"/>
        <v/>
      </c>
      <c r="C2742" s="2" t="str">
        <f t="shared" si="3"/>
        <v>SP500</v>
      </c>
      <c r="D2742" s="2">
        <f t="shared" si="4"/>
        <v>2773.52</v>
      </c>
      <c r="E2742" s="2">
        <f t="shared" si="5"/>
        <v>2773.52</v>
      </c>
      <c r="G2742" s="10">
        <f t="shared" si="9"/>
        <v>40724.64583</v>
      </c>
      <c r="H2742" s="6" t="str">
        <f t="shared" si="6"/>
        <v/>
      </c>
      <c r="I2742" s="2">
        <f t="shared" si="7"/>
        <v>1426.89</v>
      </c>
      <c r="M2742" s="10">
        <f>IFERROR(__xludf.DUMMYFUNCTION("""COMPUTED_VALUE"""),41955.66666666667)</f>
        <v>41955.66667</v>
      </c>
      <c r="N2742" s="2">
        <f>IFERROR(__xludf.DUMMYFUNCTION("""COMPUTED_VALUE"""),4675.13)</f>
        <v>4675.13</v>
      </c>
    </row>
    <row r="2743">
      <c r="A2743" s="10">
        <f t="shared" si="8"/>
        <v>40725.66667</v>
      </c>
      <c r="B2743" s="2" t="str">
        <f t="shared" si="2"/>
        <v/>
      </c>
      <c r="C2743" s="2" t="str">
        <f t="shared" si="3"/>
        <v>SP500</v>
      </c>
      <c r="D2743" s="2">
        <f t="shared" si="4"/>
        <v>2816.03</v>
      </c>
      <c r="E2743" s="2">
        <f t="shared" si="5"/>
        <v>2816.03</v>
      </c>
      <c r="G2743" s="10">
        <f t="shared" si="9"/>
        <v>40725.64583</v>
      </c>
      <c r="H2743" s="6" t="str">
        <f t="shared" si="6"/>
        <v/>
      </c>
      <c r="I2743" s="2">
        <f t="shared" si="7"/>
        <v>1426.89</v>
      </c>
      <c r="M2743" s="10">
        <f>IFERROR(__xludf.DUMMYFUNCTION("""COMPUTED_VALUE"""),41956.66666666667)</f>
        <v>41956.66667</v>
      </c>
      <c r="N2743" s="2">
        <f>IFERROR(__xludf.DUMMYFUNCTION("""COMPUTED_VALUE"""),4680.14)</f>
        <v>4680.14</v>
      </c>
    </row>
    <row r="2744">
      <c r="A2744" s="10">
        <f t="shared" si="8"/>
        <v>40726.66667</v>
      </c>
      <c r="B2744" s="2" t="str">
        <f t="shared" si="2"/>
        <v/>
      </c>
      <c r="C2744" s="2" t="str">
        <f t="shared" si="3"/>
        <v>SP500</v>
      </c>
      <c r="D2744" s="2" t="str">
        <f t="shared" si="4"/>
        <v/>
      </c>
      <c r="E2744" s="2">
        <f t="shared" si="5"/>
        <v>2816.03</v>
      </c>
      <c r="G2744" s="10">
        <f t="shared" si="9"/>
        <v>40726.64583</v>
      </c>
      <c r="H2744" s="6" t="str">
        <f t="shared" si="6"/>
        <v/>
      </c>
      <c r="I2744" s="2">
        <f t="shared" si="7"/>
        <v>1426.89</v>
      </c>
      <c r="M2744" s="10">
        <f>IFERROR(__xludf.DUMMYFUNCTION("""COMPUTED_VALUE"""),41957.66666666667)</f>
        <v>41957.66667</v>
      </c>
      <c r="N2744" s="2">
        <f>IFERROR(__xludf.DUMMYFUNCTION("""COMPUTED_VALUE"""),4688.54)</f>
        <v>4688.54</v>
      </c>
    </row>
    <row r="2745">
      <c r="A2745" s="10">
        <f t="shared" si="8"/>
        <v>40727.66667</v>
      </c>
      <c r="B2745" s="2" t="str">
        <f t="shared" si="2"/>
        <v/>
      </c>
      <c r="C2745" s="2" t="str">
        <f t="shared" si="3"/>
        <v>SP500</v>
      </c>
      <c r="D2745" s="2" t="str">
        <f t="shared" si="4"/>
        <v/>
      </c>
      <c r="E2745" s="2">
        <f t="shared" si="5"/>
        <v>2816.03</v>
      </c>
      <c r="G2745" s="10">
        <f t="shared" si="9"/>
        <v>40727.64583</v>
      </c>
      <c r="H2745" s="6" t="str">
        <f t="shared" si="6"/>
        <v/>
      </c>
      <c r="I2745" s="2">
        <f t="shared" si="7"/>
        <v>1426.89</v>
      </c>
      <c r="M2745" s="10">
        <f>IFERROR(__xludf.DUMMYFUNCTION("""COMPUTED_VALUE"""),41960.66666666667)</f>
        <v>41960.66667</v>
      </c>
      <c r="N2745" s="2">
        <f>IFERROR(__xludf.DUMMYFUNCTION("""COMPUTED_VALUE"""),4671.0)</f>
        <v>4671</v>
      </c>
    </row>
    <row r="2746">
      <c r="A2746" s="10">
        <f t="shared" si="8"/>
        <v>40728.66667</v>
      </c>
      <c r="B2746" s="2" t="str">
        <f t="shared" si="2"/>
        <v/>
      </c>
      <c r="C2746" s="2" t="str">
        <f t="shared" si="3"/>
        <v>SP500</v>
      </c>
      <c r="D2746" s="2" t="str">
        <f t="shared" si="4"/>
        <v/>
      </c>
      <c r="E2746" s="2">
        <f t="shared" si="5"/>
        <v>2816.03</v>
      </c>
      <c r="G2746" s="10">
        <f t="shared" si="9"/>
        <v>40728.64583</v>
      </c>
      <c r="H2746" s="6" t="str">
        <f t="shared" si="6"/>
        <v/>
      </c>
      <c r="I2746" s="2">
        <f t="shared" si="7"/>
        <v>1426.89</v>
      </c>
      <c r="M2746" s="10">
        <f>IFERROR(__xludf.DUMMYFUNCTION("""COMPUTED_VALUE"""),41961.66666666667)</f>
        <v>41961.66667</v>
      </c>
      <c r="N2746" s="2">
        <f>IFERROR(__xludf.DUMMYFUNCTION("""COMPUTED_VALUE"""),4702.44)</f>
        <v>4702.44</v>
      </c>
    </row>
    <row r="2747">
      <c r="A2747" s="10">
        <f t="shared" si="8"/>
        <v>40729.66667</v>
      </c>
      <c r="B2747" s="2" t="str">
        <f t="shared" si="2"/>
        <v/>
      </c>
      <c r="C2747" s="2" t="str">
        <f t="shared" si="3"/>
        <v>SP500</v>
      </c>
      <c r="D2747" s="2">
        <f t="shared" si="4"/>
        <v>2825.77</v>
      </c>
      <c r="E2747" s="2">
        <f t="shared" si="5"/>
        <v>2825.77</v>
      </c>
      <c r="G2747" s="10">
        <f t="shared" si="9"/>
        <v>40729.64583</v>
      </c>
      <c r="H2747" s="6" t="str">
        <f t="shared" si="6"/>
        <v/>
      </c>
      <c r="I2747" s="2">
        <f t="shared" si="7"/>
        <v>1426.89</v>
      </c>
      <c r="M2747" s="10">
        <f>IFERROR(__xludf.DUMMYFUNCTION("""COMPUTED_VALUE"""),41962.66666666667)</f>
        <v>41962.66667</v>
      </c>
      <c r="N2747" s="2">
        <f>IFERROR(__xludf.DUMMYFUNCTION("""COMPUTED_VALUE"""),4675.71)</f>
        <v>4675.71</v>
      </c>
    </row>
    <row r="2748">
      <c r="A2748" s="10">
        <f t="shared" si="8"/>
        <v>40730.66667</v>
      </c>
      <c r="B2748" s="2" t="str">
        <f t="shared" si="2"/>
        <v/>
      </c>
      <c r="C2748" s="2" t="str">
        <f t="shared" si="3"/>
        <v>SP500</v>
      </c>
      <c r="D2748" s="2">
        <f t="shared" si="4"/>
        <v>2834.02</v>
      </c>
      <c r="E2748" s="2">
        <f t="shared" si="5"/>
        <v>2834.02</v>
      </c>
      <c r="G2748" s="10">
        <f t="shared" si="9"/>
        <v>40730.64583</v>
      </c>
      <c r="H2748" s="6" t="str">
        <f t="shared" si="6"/>
        <v/>
      </c>
      <c r="I2748" s="2">
        <f t="shared" si="7"/>
        <v>1426.89</v>
      </c>
      <c r="M2748" s="10">
        <f>IFERROR(__xludf.DUMMYFUNCTION("""COMPUTED_VALUE"""),41963.66666666667)</f>
        <v>41963.66667</v>
      </c>
      <c r="N2748" s="2">
        <f>IFERROR(__xludf.DUMMYFUNCTION("""COMPUTED_VALUE"""),4701.87)</f>
        <v>4701.87</v>
      </c>
    </row>
    <row r="2749">
      <c r="A2749" s="10">
        <f t="shared" si="8"/>
        <v>40731.66667</v>
      </c>
      <c r="B2749" s="2" t="str">
        <f t="shared" si="2"/>
        <v/>
      </c>
      <c r="C2749" s="2" t="str">
        <f t="shared" si="3"/>
        <v>SP500</v>
      </c>
      <c r="D2749" s="2">
        <f t="shared" si="4"/>
        <v>2872.66</v>
      </c>
      <c r="E2749" s="2">
        <f t="shared" si="5"/>
        <v>2872.66</v>
      </c>
      <c r="G2749" s="10">
        <f t="shared" si="9"/>
        <v>40731.64583</v>
      </c>
      <c r="H2749" s="6" t="str">
        <f t="shared" si="6"/>
        <v/>
      </c>
      <c r="I2749" s="2">
        <f t="shared" si="7"/>
        <v>1426.89</v>
      </c>
      <c r="M2749" s="10">
        <f>IFERROR(__xludf.DUMMYFUNCTION("""COMPUTED_VALUE"""),41964.66666666667)</f>
        <v>41964.66667</v>
      </c>
      <c r="N2749" s="2">
        <f>IFERROR(__xludf.DUMMYFUNCTION("""COMPUTED_VALUE"""),4712.97)</f>
        <v>4712.97</v>
      </c>
    </row>
    <row r="2750">
      <c r="A2750" s="10">
        <f t="shared" si="8"/>
        <v>40732.66667</v>
      </c>
      <c r="B2750" s="2" t="str">
        <f t="shared" si="2"/>
        <v/>
      </c>
      <c r="C2750" s="2" t="str">
        <f t="shared" si="3"/>
        <v>SP500</v>
      </c>
      <c r="D2750" s="2">
        <f t="shared" si="4"/>
        <v>2859.81</v>
      </c>
      <c r="E2750" s="2">
        <f t="shared" si="5"/>
        <v>2859.81</v>
      </c>
      <c r="G2750" s="10">
        <f t="shared" si="9"/>
        <v>40732.64583</v>
      </c>
      <c r="H2750" s="6" t="str">
        <f t="shared" si="6"/>
        <v/>
      </c>
      <c r="I2750" s="2">
        <f t="shared" si="7"/>
        <v>1426.89</v>
      </c>
      <c r="M2750" s="10">
        <f>IFERROR(__xludf.DUMMYFUNCTION("""COMPUTED_VALUE"""),41967.66666666667)</f>
        <v>41967.66667</v>
      </c>
      <c r="N2750" s="2">
        <f>IFERROR(__xludf.DUMMYFUNCTION("""COMPUTED_VALUE"""),4754.89)</f>
        <v>4754.89</v>
      </c>
    </row>
    <row r="2751">
      <c r="A2751" s="10">
        <f t="shared" si="8"/>
        <v>40733.66667</v>
      </c>
      <c r="B2751" s="2" t="str">
        <f t="shared" si="2"/>
        <v/>
      </c>
      <c r="C2751" s="2" t="str">
        <f t="shared" si="3"/>
        <v>SP500</v>
      </c>
      <c r="D2751" s="2" t="str">
        <f t="shared" si="4"/>
        <v/>
      </c>
      <c r="E2751" s="2">
        <f t="shared" si="5"/>
        <v>2859.81</v>
      </c>
      <c r="G2751" s="10">
        <f t="shared" si="9"/>
        <v>40733.64583</v>
      </c>
      <c r="H2751" s="6" t="str">
        <f t="shared" si="6"/>
        <v/>
      </c>
      <c r="I2751" s="2">
        <f t="shared" si="7"/>
        <v>1426.89</v>
      </c>
      <c r="M2751" s="10">
        <f>IFERROR(__xludf.DUMMYFUNCTION("""COMPUTED_VALUE"""),41968.66666666667)</f>
        <v>41968.66667</v>
      </c>
      <c r="N2751" s="2">
        <f>IFERROR(__xludf.DUMMYFUNCTION("""COMPUTED_VALUE"""),4758.25)</f>
        <v>4758.25</v>
      </c>
    </row>
    <row r="2752">
      <c r="A2752" s="10">
        <f t="shared" si="8"/>
        <v>40734.66667</v>
      </c>
      <c r="B2752" s="2" t="str">
        <f t="shared" si="2"/>
        <v/>
      </c>
      <c r="C2752" s="2" t="str">
        <f t="shared" si="3"/>
        <v>SP500</v>
      </c>
      <c r="D2752" s="2" t="str">
        <f t="shared" si="4"/>
        <v/>
      </c>
      <c r="E2752" s="2">
        <f t="shared" si="5"/>
        <v>2859.81</v>
      </c>
      <c r="G2752" s="10">
        <f t="shared" si="9"/>
        <v>40734.64583</v>
      </c>
      <c r="H2752" s="6" t="str">
        <f t="shared" si="6"/>
        <v/>
      </c>
      <c r="I2752" s="2">
        <f t="shared" si="7"/>
        <v>1426.89</v>
      </c>
      <c r="M2752" s="10">
        <f>IFERROR(__xludf.DUMMYFUNCTION("""COMPUTED_VALUE"""),41969.66666666667)</f>
        <v>41969.66667</v>
      </c>
      <c r="N2752" s="2">
        <f>IFERROR(__xludf.DUMMYFUNCTION("""COMPUTED_VALUE"""),4787.32)</f>
        <v>4787.32</v>
      </c>
    </row>
    <row r="2753">
      <c r="A2753" s="10">
        <f t="shared" si="8"/>
        <v>40735.66667</v>
      </c>
      <c r="B2753" s="2" t="str">
        <f t="shared" si="2"/>
        <v/>
      </c>
      <c r="C2753" s="2" t="str">
        <f t="shared" si="3"/>
        <v>SP500</v>
      </c>
      <c r="D2753" s="2">
        <f t="shared" si="4"/>
        <v>2802.62</v>
      </c>
      <c r="E2753" s="2">
        <f t="shared" si="5"/>
        <v>2802.62</v>
      </c>
      <c r="G2753" s="10">
        <f t="shared" si="9"/>
        <v>40735.64583</v>
      </c>
      <c r="H2753" s="6" t="str">
        <f t="shared" si="6"/>
        <v/>
      </c>
      <c r="I2753" s="2">
        <f t="shared" si="7"/>
        <v>1426.89</v>
      </c>
      <c r="M2753" s="10">
        <f>IFERROR(__xludf.DUMMYFUNCTION("""COMPUTED_VALUE"""),41971.66666666667)</f>
        <v>41971.66667</v>
      </c>
      <c r="N2753" s="2">
        <f>IFERROR(__xludf.DUMMYFUNCTION("""COMPUTED_VALUE"""),4791.63)</f>
        <v>4791.63</v>
      </c>
    </row>
    <row r="2754">
      <c r="A2754" s="10">
        <f t="shared" si="8"/>
        <v>40736.66667</v>
      </c>
      <c r="B2754" s="2" t="str">
        <f t="shared" si="2"/>
        <v/>
      </c>
      <c r="C2754" s="2" t="str">
        <f t="shared" si="3"/>
        <v>SP500</v>
      </c>
      <c r="D2754" s="2">
        <f t="shared" si="4"/>
        <v>2781.91</v>
      </c>
      <c r="E2754" s="2">
        <f t="shared" si="5"/>
        <v>2781.91</v>
      </c>
      <c r="G2754" s="10">
        <f t="shared" si="9"/>
        <v>40736.64583</v>
      </c>
      <c r="H2754" s="6" t="str">
        <f t="shared" si="6"/>
        <v/>
      </c>
      <c r="I2754" s="2">
        <f t="shared" si="7"/>
        <v>1426.89</v>
      </c>
      <c r="M2754" s="10">
        <f>IFERROR(__xludf.DUMMYFUNCTION("""COMPUTED_VALUE"""),41974.66666666667)</f>
        <v>41974.66667</v>
      </c>
      <c r="N2754" s="2">
        <f>IFERROR(__xludf.DUMMYFUNCTION("""COMPUTED_VALUE"""),4727.35)</f>
        <v>4727.35</v>
      </c>
    </row>
    <row r="2755">
      <c r="A2755" s="10">
        <f t="shared" si="8"/>
        <v>40737.66667</v>
      </c>
      <c r="B2755" s="2" t="str">
        <f t="shared" si="2"/>
        <v/>
      </c>
      <c r="C2755" s="2" t="str">
        <f t="shared" si="3"/>
        <v>SP500</v>
      </c>
      <c r="D2755" s="2">
        <f t="shared" si="4"/>
        <v>2796.92</v>
      </c>
      <c r="E2755" s="2">
        <f t="shared" si="5"/>
        <v>2796.92</v>
      </c>
      <c r="G2755" s="10">
        <f t="shared" si="9"/>
        <v>40737.64583</v>
      </c>
      <c r="H2755" s="6" t="str">
        <f t="shared" si="6"/>
        <v/>
      </c>
      <c r="I2755" s="2">
        <f t="shared" si="7"/>
        <v>1426.89</v>
      </c>
      <c r="M2755" s="10">
        <f>IFERROR(__xludf.DUMMYFUNCTION("""COMPUTED_VALUE"""),41975.66666666667)</f>
        <v>41975.66667</v>
      </c>
      <c r="N2755" s="2">
        <f>IFERROR(__xludf.DUMMYFUNCTION("""COMPUTED_VALUE"""),4755.81)</f>
        <v>4755.81</v>
      </c>
    </row>
    <row r="2756">
      <c r="A2756" s="10">
        <f t="shared" si="8"/>
        <v>40738.66667</v>
      </c>
      <c r="B2756" s="2" t="str">
        <f t="shared" si="2"/>
        <v/>
      </c>
      <c r="C2756" s="2" t="str">
        <f t="shared" si="3"/>
        <v>SP500</v>
      </c>
      <c r="D2756" s="2">
        <f t="shared" si="4"/>
        <v>2762.67</v>
      </c>
      <c r="E2756" s="2">
        <f t="shared" si="5"/>
        <v>2762.67</v>
      </c>
      <c r="G2756" s="10">
        <f t="shared" si="9"/>
        <v>40738.64583</v>
      </c>
      <c r="H2756" s="6" t="str">
        <f t="shared" si="6"/>
        <v/>
      </c>
      <c r="I2756" s="2">
        <f t="shared" si="7"/>
        <v>1426.89</v>
      </c>
      <c r="M2756" s="10">
        <f>IFERROR(__xludf.DUMMYFUNCTION("""COMPUTED_VALUE"""),41976.66666666667)</f>
        <v>41976.66667</v>
      </c>
      <c r="N2756" s="2">
        <f>IFERROR(__xludf.DUMMYFUNCTION("""COMPUTED_VALUE"""),4774.47)</f>
        <v>4774.47</v>
      </c>
    </row>
    <row r="2757">
      <c r="A2757" s="10">
        <f t="shared" si="8"/>
        <v>40739.66667</v>
      </c>
      <c r="B2757" s="2" t="str">
        <f t="shared" si="2"/>
        <v/>
      </c>
      <c r="C2757" s="2" t="str">
        <f t="shared" si="3"/>
        <v>SP500</v>
      </c>
      <c r="D2757" s="2">
        <f t="shared" si="4"/>
        <v>2789.8</v>
      </c>
      <c r="E2757" s="2">
        <f t="shared" si="5"/>
        <v>2789.8</v>
      </c>
      <c r="G2757" s="10">
        <f t="shared" si="9"/>
        <v>40739.64583</v>
      </c>
      <c r="H2757" s="6" t="str">
        <f t="shared" si="6"/>
        <v/>
      </c>
      <c r="I2757" s="2">
        <f t="shared" si="7"/>
        <v>1426.89</v>
      </c>
      <c r="M2757" s="10">
        <f>IFERROR(__xludf.DUMMYFUNCTION("""COMPUTED_VALUE"""),41977.66666666667)</f>
        <v>41977.66667</v>
      </c>
      <c r="N2757" s="2">
        <f>IFERROR(__xludf.DUMMYFUNCTION("""COMPUTED_VALUE"""),4769.44)</f>
        <v>4769.44</v>
      </c>
    </row>
    <row r="2758">
      <c r="A2758" s="10">
        <f t="shared" si="8"/>
        <v>40740.66667</v>
      </c>
      <c r="B2758" s="2" t="str">
        <f t="shared" si="2"/>
        <v/>
      </c>
      <c r="C2758" s="2" t="str">
        <f t="shared" si="3"/>
        <v>SP500</v>
      </c>
      <c r="D2758" s="2" t="str">
        <f t="shared" si="4"/>
        <v/>
      </c>
      <c r="E2758" s="2">
        <f t="shared" si="5"/>
        <v>2789.8</v>
      </c>
      <c r="G2758" s="10">
        <f t="shared" si="9"/>
        <v>40740.64583</v>
      </c>
      <c r="H2758" s="6" t="str">
        <f t="shared" si="6"/>
        <v/>
      </c>
      <c r="I2758" s="2">
        <f t="shared" si="7"/>
        <v>1426.89</v>
      </c>
      <c r="M2758" s="10">
        <f>IFERROR(__xludf.DUMMYFUNCTION("""COMPUTED_VALUE"""),41978.66666666667)</f>
        <v>41978.66667</v>
      </c>
      <c r="N2758" s="2">
        <f>IFERROR(__xludf.DUMMYFUNCTION("""COMPUTED_VALUE"""),4780.76)</f>
        <v>4780.76</v>
      </c>
    </row>
    <row r="2759">
      <c r="A2759" s="10">
        <f t="shared" si="8"/>
        <v>40741.66667</v>
      </c>
      <c r="B2759" s="2" t="str">
        <f t="shared" si="2"/>
        <v/>
      </c>
      <c r="C2759" s="2" t="str">
        <f t="shared" si="3"/>
        <v>SP500</v>
      </c>
      <c r="D2759" s="2" t="str">
        <f t="shared" si="4"/>
        <v/>
      </c>
      <c r="E2759" s="2">
        <f t="shared" si="5"/>
        <v>2789.8</v>
      </c>
      <c r="G2759" s="10">
        <f t="shared" si="9"/>
        <v>40741.64583</v>
      </c>
      <c r="H2759" s="6" t="str">
        <f t="shared" si="6"/>
        <v/>
      </c>
      <c r="I2759" s="2">
        <f t="shared" si="7"/>
        <v>1426.89</v>
      </c>
      <c r="M2759" s="10">
        <f>IFERROR(__xludf.DUMMYFUNCTION("""COMPUTED_VALUE"""),41981.66666666667)</f>
        <v>41981.66667</v>
      </c>
      <c r="N2759" s="2">
        <f>IFERROR(__xludf.DUMMYFUNCTION("""COMPUTED_VALUE"""),4740.69)</f>
        <v>4740.69</v>
      </c>
    </row>
    <row r="2760">
      <c r="A2760" s="10">
        <f t="shared" si="8"/>
        <v>40742.66667</v>
      </c>
      <c r="B2760" s="2" t="str">
        <f t="shared" si="2"/>
        <v/>
      </c>
      <c r="C2760" s="2" t="str">
        <f t="shared" si="3"/>
        <v>SP500</v>
      </c>
      <c r="D2760" s="2">
        <f t="shared" si="4"/>
        <v>2765.11</v>
      </c>
      <c r="E2760" s="2">
        <f t="shared" si="5"/>
        <v>2765.11</v>
      </c>
      <c r="G2760" s="10">
        <f t="shared" si="9"/>
        <v>40742.64583</v>
      </c>
      <c r="H2760" s="6" t="str">
        <f t="shared" si="6"/>
        <v/>
      </c>
      <c r="I2760" s="2">
        <f t="shared" si="7"/>
        <v>1426.89</v>
      </c>
      <c r="M2760" s="10">
        <f>IFERROR(__xludf.DUMMYFUNCTION("""COMPUTED_VALUE"""),41982.66666666667)</f>
        <v>41982.66667</v>
      </c>
      <c r="N2760" s="2">
        <f>IFERROR(__xludf.DUMMYFUNCTION("""COMPUTED_VALUE"""),4766.47)</f>
        <v>4766.47</v>
      </c>
    </row>
    <row r="2761">
      <c r="A2761" s="10">
        <f t="shared" si="8"/>
        <v>40743.66667</v>
      </c>
      <c r="B2761" s="2" t="str">
        <f t="shared" si="2"/>
        <v/>
      </c>
      <c r="C2761" s="2" t="str">
        <f t="shared" si="3"/>
        <v>SP500</v>
      </c>
      <c r="D2761" s="2">
        <f t="shared" si="4"/>
        <v>2826.52</v>
      </c>
      <c r="E2761" s="2">
        <f t="shared" si="5"/>
        <v>2826.52</v>
      </c>
      <c r="G2761" s="10">
        <f t="shared" si="9"/>
        <v>40743.64583</v>
      </c>
      <c r="H2761" s="6" t="str">
        <f t="shared" si="6"/>
        <v/>
      </c>
      <c r="I2761" s="2">
        <f t="shared" si="7"/>
        <v>1426.89</v>
      </c>
      <c r="M2761" s="10">
        <f>IFERROR(__xludf.DUMMYFUNCTION("""COMPUTED_VALUE"""),41983.66666666667)</f>
        <v>41983.66667</v>
      </c>
      <c r="N2761" s="2">
        <f>IFERROR(__xludf.DUMMYFUNCTION("""COMPUTED_VALUE"""),4684.03)</f>
        <v>4684.03</v>
      </c>
    </row>
    <row r="2762">
      <c r="A2762" s="10">
        <f t="shared" si="8"/>
        <v>40744.66667</v>
      </c>
      <c r="B2762" s="2" t="str">
        <f t="shared" si="2"/>
        <v/>
      </c>
      <c r="C2762" s="2" t="str">
        <f t="shared" si="3"/>
        <v>SP500</v>
      </c>
      <c r="D2762" s="2">
        <f t="shared" si="4"/>
        <v>2814.23</v>
      </c>
      <c r="E2762" s="2">
        <f t="shared" si="5"/>
        <v>2814.23</v>
      </c>
      <c r="G2762" s="10">
        <f t="shared" si="9"/>
        <v>40744.64583</v>
      </c>
      <c r="H2762" s="6" t="str">
        <f t="shared" si="6"/>
        <v/>
      </c>
      <c r="I2762" s="2">
        <f t="shared" si="7"/>
        <v>1426.89</v>
      </c>
      <c r="M2762" s="10">
        <f>IFERROR(__xludf.DUMMYFUNCTION("""COMPUTED_VALUE"""),41984.66666666667)</f>
        <v>41984.66667</v>
      </c>
      <c r="N2762" s="2">
        <f>IFERROR(__xludf.DUMMYFUNCTION("""COMPUTED_VALUE"""),4708.16)</f>
        <v>4708.16</v>
      </c>
    </row>
    <row r="2763">
      <c r="A2763" s="10">
        <f t="shared" si="8"/>
        <v>40745.66667</v>
      </c>
      <c r="B2763" s="2" t="str">
        <f t="shared" si="2"/>
        <v/>
      </c>
      <c r="C2763" s="2" t="str">
        <f t="shared" si="3"/>
        <v>SP500</v>
      </c>
      <c r="D2763" s="2">
        <f t="shared" si="4"/>
        <v>2834.43</v>
      </c>
      <c r="E2763" s="2">
        <f t="shared" si="5"/>
        <v>2834.43</v>
      </c>
      <c r="G2763" s="10">
        <f t="shared" si="9"/>
        <v>40745.64583</v>
      </c>
      <c r="H2763" s="6" t="str">
        <f t="shared" si="6"/>
        <v/>
      </c>
      <c r="I2763" s="2">
        <f t="shared" si="7"/>
        <v>1426.89</v>
      </c>
      <c r="M2763" s="10">
        <f>IFERROR(__xludf.DUMMYFUNCTION("""COMPUTED_VALUE"""),41985.66666666667)</f>
        <v>41985.66667</v>
      </c>
      <c r="N2763" s="2">
        <f>IFERROR(__xludf.DUMMYFUNCTION("""COMPUTED_VALUE"""),4653.6)</f>
        <v>4653.6</v>
      </c>
    </row>
    <row r="2764">
      <c r="A2764" s="10">
        <f t="shared" si="8"/>
        <v>40746.66667</v>
      </c>
      <c r="B2764" s="2" t="str">
        <f t="shared" si="2"/>
        <v/>
      </c>
      <c r="C2764" s="2" t="str">
        <f t="shared" si="3"/>
        <v>SP500</v>
      </c>
      <c r="D2764" s="2">
        <f t="shared" si="4"/>
        <v>2858.83</v>
      </c>
      <c r="E2764" s="2">
        <f t="shared" si="5"/>
        <v>2858.83</v>
      </c>
      <c r="G2764" s="10">
        <f t="shared" si="9"/>
        <v>40746.64583</v>
      </c>
      <c r="H2764" s="6" t="str">
        <f t="shared" si="6"/>
        <v/>
      </c>
      <c r="I2764" s="2">
        <f t="shared" si="7"/>
        <v>1426.89</v>
      </c>
      <c r="M2764" s="10">
        <f>IFERROR(__xludf.DUMMYFUNCTION("""COMPUTED_VALUE"""),41988.66666666667)</f>
        <v>41988.66667</v>
      </c>
      <c r="N2764" s="2">
        <f>IFERROR(__xludf.DUMMYFUNCTION("""COMPUTED_VALUE"""),4605.16)</f>
        <v>4605.16</v>
      </c>
    </row>
    <row r="2765">
      <c r="A2765" s="10">
        <f t="shared" si="8"/>
        <v>40747.66667</v>
      </c>
      <c r="B2765" s="2" t="str">
        <f t="shared" si="2"/>
        <v/>
      </c>
      <c r="C2765" s="2" t="str">
        <f t="shared" si="3"/>
        <v>SP500</v>
      </c>
      <c r="D2765" s="2" t="str">
        <f t="shared" si="4"/>
        <v/>
      </c>
      <c r="E2765" s="2">
        <f t="shared" si="5"/>
        <v>2858.83</v>
      </c>
      <c r="G2765" s="10">
        <f t="shared" si="9"/>
        <v>40747.64583</v>
      </c>
      <c r="H2765" s="6" t="str">
        <f t="shared" si="6"/>
        <v/>
      </c>
      <c r="I2765" s="2">
        <f t="shared" si="7"/>
        <v>1426.89</v>
      </c>
      <c r="M2765" s="10">
        <f>IFERROR(__xludf.DUMMYFUNCTION("""COMPUTED_VALUE"""),41989.66666666667)</f>
        <v>41989.66667</v>
      </c>
      <c r="N2765" s="2">
        <f>IFERROR(__xludf.DUMMYFUNCTION("""COMPUTED_VALUE"""),4547.83)</f>
        <v>4547.83</v>
      </c>
    </row>
    <row r="2766">
      <c r="A2766" s="10">
        <f t="shared" si="8"/>
        <v>40748.66667</v>
      </c>
      <c r="B2766" s="2" t="str">
        <f t="shared" si="2"/>
        <v/>
      </c>
      <c r="C2766" s="2" t="str">
        <f t="shared" si="3"/>
        <v>SP500</v>
      </c>
      <c r="D2766" s="2" t="str">
        <f t="shared" si="4"/>
        <v/>
      </c>
      <c r="E2766" s="2">
        <f t="shared" si="5"/>
        <v>2858.83</v>
      </c>
      <c r="G2766" s="10">
        <f t="shared" si="9"/>
        <v>40748.64583</v>
      </c>
      <c r="H2766" s="6" t="str">
        <f t="shared" si="6"/>
        <v/>
      </c>
      <c r="I2766" s="2">
        <f t="shared" si="7"/>
        <v>1426.89</v>
      </c>
      <c r="M2766" s="10">
        <f>IFERROR(__xludf.DUMMYFUNCTION("""COMPUTED_VALUE"""),41990.66666666667)</f>
        <v>41990.66667</v>
      </c>
      <c r="N2766" s="2">
        <f>IFERROR(__xludf.DUMMYFUNCTION("""COMPUTED_VALUE"""),4644.31)</f>
        <v>4644.31</v>
      </c>
    </row>
    <row r="2767">
      <c r="A2767" s="10">
        <f t="shared" si="8"/>
        <v>40749.66667</v>
      </c>
      <c r="B2767" s="2" t="str">
        <f t="shared" si="2"/>
        <v/>
      </c>
      <c r="C2767" s="2" t="str">
        <f t="shared" si="3"/>
        <v>SP500</v>
      </c>
      <c r="D2767" s="2">
        <f t="shared" si="4"/>
        <v>2842.8</v>
      </c>
      <c r="E2767" s="2">
        <f t="shared" si="5"/>
        <v>2842.8</v>
      </c>
      <c r="G2767" s="10">
        <f t="shared" si="9"/>
        <v>40749.64583</v>
      </c>
      <c r="H2767" s="6" t="str">
        <f t="shared" si="6"/>
        <v/>
      </c>
      <c r="I2767" s="2">
        <f t="shared" si="7"/>
        <v>1426.89</v>
      </c>
      <c r="M2767" s="10">
        <f>IFERROR(__xludf.DUMMYFUNCTION("""COMPUTED_VALUE"""),41991.66666666667)</f>
        <v>41991.66667</v>
      </c>
      <c r="N2767" s="2">
        <f>IFERROR(__xludf.DUMMYFUNCTION("""COMPUTED_VALUE"""),4748.4)</f>
        <v>4748.4</v>
      </c>
    </row>
    <row r="2768">
      <c r="A2768" s="10">
        <f t="shared" si="8"/>
        <v>40750.66667</v>
      </c>
      <c r="B2768" s="2" t="str">
        <f t="shared" si="2"/>
        <v/>
      </c>
      <c r="C2768" s="2" t="str">
        <f t="shared" si="3"/>
        <v>SP500</v>
      </c>
      <c r="D2768" s="2">
        <f t="shared" si="4"/>
        <v>2839.96</v>
      </c>
      <c r="E2768" s="2">
        <f t="shared" si="5"/>
        <v>2839.96</v>
      </c>
      <c r="G2768" s="10">
        <f t="shared" si="9"/>
        <v>40750.64583</v>
      </c>
      <c r="H2768" s="6" t="str">
        <f t="shared" si="6"/>
        <v/>
      </c>
      <c r="I2768" s="2">
        <f t="shared" si="7"/>
        <v>1426.89</v>
      </c>
      <c r="M2768" s="10">
        <f>IFERROR(__xludf.DUMMYFUNCTION("""COMPUTED_VALUE"""),41992.66666666667)</f>
        <v>41992.66667</v>
      </c>
      <c r="N2768" s="2">
        <f>IFERROR(__xludf.DUMMYFUNCTION("""COMPUTED_VALUE"""),4765.38)</f>
        <v>4765.38</v>
      </c>
    </row>
    <row r="2769">
      <c r="A2769" s="10">
        <f t="shared" si="8"/>
        <v>40751.66667</v>
      </c>
      <c r="B2769" s="2" t="str">
        <f t="shared" si="2"/>
        <v/>
      </c>
      <c r="C2769" s="2" t="str">
        <f t="shared" si="3"/>
        <v>SP500</v>
      </c>
      <c r="D2769" s="2">
        <f t="shared" si="4"/>
        <v>2764.79</v>
      </c>
      <c r="E2769" s="2">
        <f t="shared" si="5"/>
        <v>2764.79</v>
      </c>
      <c r="G2769" s="10">
        <f t="shared" si="9"/>
        <v>40751.64583</v>
      </c>
      <c r="H2769" s="6" t="str">
        <f t="shared" si="6"/>
        <v/>
      </c>
      <c r="I2769" s="2">
        <f t="shared" si="7"/>
        <v>1426.89</v>
      </c>
      <c r="M2769" s="10">
        <f>IFERROR(__xludf.DUMMYFUNCTION("""COMPUTED_VALUE"""),41995.66666666667)</f>
        <v>41995.66667</v>
      </c>
      <c r="N2769" s="2">
        <f>IFERROR(__xludf.DUMMYFUNCTION("""COMPUTED_VALUE"""),4781.42)</f>
        <v>4781.42</v>
      </c>
    </row>
    <row r="2770">
      <c r="A2770" s="10">
        <f t="shared" si="8"/>
        <v>40752.66667</v>
      </c>
      <c r="B2770" s="2" t="str">
        <f t="shared" si="2"/>
        <v/>
      </c>
      <c r="C2770" s="2" t="str">
        <f t="shared" si="3"/>
        <v>SP500</v>
      </c>
      <c r="D2770" s="2">
        <f t="shared" si="4"/>
        <v>2766.25</v>
      </c>
      <c r="E2770" s="2">
        <f t="shared" si="5"/>
        <v>2766.25</v>
      </c>
      <c r="G2770" s="10">
        <f t="shared" si="9"/>
        <v>40752.64583</v>
      </c>
      <c r="H2770" s="6" t="str">
        <f t="shared" si="6"/>
        <v/>
      </c>
      <c r="I2770" s="2">
        <f t="shared" si="7"/>
        <v>1426.89</v>
      </c>
      <c r="M2770" s="10">
        <f>IFERROR(__xludf.DUMMYFUNCTION("""COMPUTED_VALUE"""),41996.66666666667)</f>
        <v>41996.66667</v>
      </c>
      <c r="N2770" s="2">
        <f>IFERROR(__xludf.DUMMYFUNCTION("""COMPUTED_VALUE"""),4765.42)</f>
        <v>4765.42</v>
      </c>
    </row>
    <row r="2771">
      <c r="A2771" s="10">
        <f t="shared" si="8"/>
        <v>40753.66667</v>
      </c>
      <c r="B2771" s="2" t="str">
        <f t="shared" si="2"/>
        <v/>
      </c>
      <c r="C2771" s="2" t="str">
        <f t="shared" si="3"/>
        <v>SP500</v>
      </c>
      <c r="D2771" s="2">
        <f t="shared" si="4"/>
        <v>2756.38</v>
      </c>
      <c r="E2771" s="2">
        <f t="shared" si="5"/>
        <v>2756.38</v>
      </c>
      <c r="G2771" s="10">
        <f t="shared" si="9"/>
        <v>40753.64583</v>
      </c>
      <c r="H2771" s="6" t="str">
        <f t="shared" si="6"/>
        <v/>
      </c>
      <c r="I2771" s="2">
        <f t="shared" si="7"/>
        <v>1426.89</v>
      </c>
      <c r="M2771" s="10">
        <f>IFERROR(__xludf.DUMMYFUNCTION("""COMPUTED_VALUE"""),41997.66666666667)</f>
        <v>41997.66667</v>
      </c>
      <c r="N2771" s="2">
        <f>IFERROR(__xludf.DUMMYFUNCTION("""COMPUTED_VALUE"""),4773.47)</f>
        <v>4773.47</v>
      </c>
    </row>
    <row r="2772">
      <c r="A2772" s="10">
        <f t="shared" si="8"/>
        <v>40754.66667</v>
      </c>
      <c r="B2772" s="2" t="str">
        <f t="shared" si="2"/>
        <v/>
      </c>
      <c r="C2772" s="2" t="str">
        <f t="shared" si="3"/>
        <v>SP500</v>
      </c>
      <c r="D2772" s="2" t="str">
        <f t="shared" si="4"/>
        <v/>
      </c>
      <c r="E2772" s="2">
        <f t="shared" si="5"/>
        <v>2756.38</v>
      </c>
      <c r="G2772" s="10">
        <f t="shared" si="9"/>
        <v>40754.64583</v>
      </c>
      <c r="H2772" s="6" t="str">
        <f t="shared" si="6"/>
        <v/>
      </c>
      <c r="I2772" s="2">
        <f t="shared" si="7"/>
        <v>1426.89</v>
      </c>
      <c r="M2772" s="10">
        <f>IFERROR(__xludf.DUMMYFUNCTION("""COMPUTED_VALUE"""),41999.66666666667)</f>
        <v>41999.66667</v>
      </c>
      <c r="N2772" s="2">
        <f>IFERROR(__xludf.DUMMYFUNCTION("""COMPUTED_VALUE"""),4806.86)</f>
        <v>4806.86</v>
      </c>
    </row>
    <row r="2773">
      <c r="A2773" s="10">
        <f t="shared" si="8"/>
        <v>40755.66667</v>
      </c>
      <c r="B2773" s="2" t="str">
        <f t="shared" si="2"/>
        <v/>
      </c>
      <c r="C2773" s="2" t="str">
        <f t="shared" si="3"/>
        <v>SP500</v>
      </c>
      <c r="D2773" s="2" t="str">
        <f t="shared" si="4"/>
        <v/>
      </c>
      <c r="E2773" s="2">
        <f t="shared" si="5"/>
        <v>2756.38</v>
      </c>
      <c r="G2773" s="10">
        <f t="shared" si="9"/>
        <v>40755.64583</v>
      </c>
      <c r="H2773" s="6" t="str">
        <f t="shared" si="6"/>
        <v/>
      </c>
      <c r="I2773" s="2">
        <f t="shared" si="7"/>
        <v>1426.89</v>
      </c>
      <c r="M2773" s="10">
        <f>IFERROR(__xludf.DUMMYFUNCTION("""COMPUTED_VALUE"""),42002.66666666667)</f>
        <v>42002.66667</v>
      </c>
      <c r="N2773" s="2">
        <f>IFERROR(__xludf.DUMMYFUNCTION("""COMPUTED_VALUE"""),4806.91)</f>
        <v>4806.91</v>
      </c>
    </row>
    <row r="2774">
      <c r="A2774" s="10">
        <f t="shared" si="8"/>
        <v>40756.66667</v>
      </c>
      <c r="B2774" s="2" t="str">
        <f t="shared" si="2"/>
        <v/>
      </c>
      <c r="C2774" s="2" t="str">
        <f t="shared" si="3"/>
        <v>SP500</v>
      </c>
      <c r="D2774" s="2">
        <f t="shared" si="4"/>
        <v>2744.61</v>
      </c>
      <c r="E2774" s="2">
        <f t="shared" si="5"/>
        <v>2744.61</v>
      </c>
      <c r="G2774" s="10">
        <f t="shared" si="9"/>
        <v>40756.64583</v>
      </c>
      <c r="H2774" s="6" t="str">
        <f t="shared" si="6"/>
        <v/>
      </c>
      <c r="I2774" s="2">
        <f t="shared" si="7"/>
        <v>1426.89</v>
      </c>
      <c r="M2774" s="10">
        <f>IFERROR(__xludf.DUMMYFUNCTION("""COMPUTED_VALUE"""),42003.66666666667)</f>
        <v>42003.66667</v>
      </c>
      <c r="N2774" s="2">
        <f>IFERROR(__xludf.DUMMYFUNCTION("""COMPUTED_VALUE"""),4777.44)</f>
        <v>4777.44</v>
      </c>
    </row>
    <row r="2775">
      <c r="A2775" s="10">
        <f t="shared" si="8"/>
        <v>40757.66667</v>
      </c>
      <c r="B2775" s="2" t="str">
        <f t="shared" si="2"/>
        <v/>
      </c>
      <c r="C2775" s="2" t="str">
        <f t="shared" si="3"/>
        <v>SP500</v>
      </c>
      <c r="D2775" s="2">
        <f t="shared" si="4"/>
        <v>2669.24</v>
      </c>
      <c r="E2775" s="2">
        <f t="shared" si="5"/>
        <v>2669.24</v>
      </c>
      <c r="G2775" s="10">
        <f t="shared" si="9"/>
        <v>40757.64583</v>
      </c>
      <c r="H2775" s="6" t="str">
        <f t="shared" si="6"/>
        <v/>
      </c>
      <c r="I2775" s="2">
        <f t="shared" si="7"/>
        <v>1426.89</v>
      </c>
      <c r="M2775" s="10">
        <f>IFERROR(__xludf.DUMMYFUNCTION("""COMPUTED_VALUE"""),42004.66666666667)</f>
        <v>42004.66667</v>
      </c>
      <c r="N2775" s="2">
        <f>IFERROR(__xludf.DUMMYFUNCTION("""COMPUTED_VALUE"""),4736.05)</f>
        <v>4736.05</v>
      </c>
    </row>
    <row r="2776">
      <c r="A2776" s="10">
        <f t="shared" si="8"/>
        <v>40758.66667</v>
      </c>
      <c r="B2776" s="2" t="str">
        <f t="shared" si="2"/>
        <v/>
      </c>
      <c r="C2776" s="2" t="str">
        <f t="shared" si="3"/>
        <v>SP500</v>
      </c>
      <c r="D2776" s="2">
        <f t="shared" si="4"/>
        <v>2693.07</v>
      </c>
      <c r="E2776" s="2">
        <f t="shared" si="5"/>
        <v>2693.07</v>
      </c>
      <c r="G2776" s="10">
        <f t="shared" si="9"/>
        <v>40758.64583</v>
      </c>
      <c r="H2776" s="6" t="str">
        <f t="shared" si="6"/>
        <v/>
      </c>
      <c r="I2776" s="2">
        <f t="shared" si="7"/>
        <v>1426.89</v>
      </c>
      <c r="M2776" s="10">
        <f>IFERROR(__xludf.DUMMYFUNCTION("""COMPUTED_VALUE"""),42006.66666666667)</f>
        <v>42006.66667</v>
      </c>
      <c r="N2776" s="2">
        <f>IFERROR(__xludf.DUMMYFUNCTION("""COMPUTED_VALUE"""),4726.81)</f>
        <v>4726.81</v>
      </c>
    </row>
    <row r="2777">
      <c r="A2777" s="10">
        <f t="shared" si="8"/>
        <v>40759.66667</v>
      </c>
      <c r="B2777" s="2" t="str">
        <f t="shared" si="2"/>
        <v/>
      </c>
      <c r="C2777" s="2" t="str">
        <f t="shared" si="3"/>
        <v>SP500</v>
      </c>
      <c r="D2777" s="2">
        <f t="shared" si="4"/>
        <v>2556.39</v>
      </c>
      <c r="E2777" s="2">
        <f t="shared" si="5"/>
        <v>2556.39</v>
      </c>
      <c r="G2777" s="10">
        <f t="shared" si="9"/>
        <v>40759.64583</v>
      </c>
      <c r="H2777" s="6" t="str">
        <f t="shared" si="6"/>
        <v/>
      </c>
      <c r="I2777" s="2">
        <f t="shared" si="7"/>
        <v>1426.89</v>
      </c>
      <c r="M2777" s="10">
        <f>IFERROR(__xludf.DUMMYFUNCTION("""COMPUTED_VALUE"""),42009.66666666667)</f>
        <v>42009.66667</v>
      </c>
      <c r="N2777" s="2">
        <f>IFERROR(__xludf.DUMMYFUNCTION("""COMPUTED_VALUE"""),4652.57)</f>
        <v>4652.57</v>
      </c>
    </row>
    <row r="2778">
      <c r="A2778" s="10">
        <f t="shared" si="8"/>
        <v>40760.66667</v>
      </c>
      <c r="B2778" s="2" t="str">
        <f t="shared" si="2"/>
        <v/>
      </c>
      <c r="C2778" s="2" t="str">
        <f t="shared" si="3"/>
        <v>SP500</v>
      </c>
      <c r="D2778" s="2">
        <f t="shared" si="4"/>
        <v>2532.41</v>
      </c>
      <c r="E2778" s="2">
        <f t="shared" si="5"/>
        <v>2532.41</v>
      </c>
      <c r="G2778" s="10">
        <f t="shared" si="9"/>
        <v>40760.64583</v>
      </c>
      <c r="H2778" s="6" t="str">
        <f t="shared" si="6"/>
        <v/>
      </c>
      <c r="I2778" s="2">
        <f t="shared" si="7"/>
        <v>1426.89</v>
      </c>
      <c r="M2778" s="10">
        <f>IFERROR(__xludf.DUMMYFUNCTION("""COMPUTED_VALUE"""),42010.66666666667)</f>
        <v>42010.66667</v>
      </c>
      <c r="N2778" s="2">
        <f>IFERROR(__xludf.DUMMYFUNCTION("""COMPUTED_VALUE"""),4592.74)</f>
        <v>4592.74</v>
      </c>
    </row>
    <row r="2779">
      <c r="A2779" s="10">
        <f t="shared" si="8"/>
        <v>40761.66667</v>
      </c>
      <c r="B2779" s="2" t="str">
        <f t="shared" si="2"/>
        <v/>
      </c>
      <c r="C2779" s="2" t="str">
        <f t="shared" si="3"/>
        <v>SP500</v>
      </c>
      <c r="D2779" s="2" t="str">
        <f t="shared" si="4"/>
        <v/>
      </c>
      <c r="E2779" s="2">
        <f t="shared" si="5"/>
        <v>2532.41</v>
      </c>
      <c r="G2779" s="10">
        <f t="shared" si="9"/>
        <v>40761.64583</v>
      </c>
      <c r="H2779" s="6" t="str">
        <f t="shared" si="6"/>
        <v/>
      </c>
      <c r="I2779" s="2">
        <f t="shared" si="7"/>
        <v>1426.89</v>
      </c>
      <c r="M2779" s="10">
        <f>IFERROR(__xludf.DUMMYFUNCTION("""COMPUTED_VALUE"""),42011.66666666667)</f>
        <v>42011.66667</v>
      </c>
      <c r="N2779" s="2">
        <f>IFERROR(__xludf.DUMMYFUNCTION("""COMPUTED_VALUE"""),4650.47)</f>
        <v>4650.47</v>
      </c>
    </row>
    <row r="2780">
      <c r="A2780" s="10">
        <f t="shared" si="8"/>
        <v>40762.66667</v>
      </c>
      <c r="B2780" s="2" t="str">
        <f t="shared" si="2"/>
        <v/>
      </c>
      <c r="C2780" s="2" t="str">
        <f t="shared" si="3"/>
        <v>SP500</v>
      </c>
      <c r="D2780" s="2" t="str">
        <f t="shared" si="4"/>
        <v/>
      </c>
      <c r="E2780" s="2">
        <f t="shared" si="5"/>
        <v>2532.41</v>
      </c>
      <c r="G2780" s="10">
        <f t="shared" si="9"/>
        <v>40762.64583</v>
      </c>
      <c r="H2780" s="6" t="str">
        <f t="shared" si="6"/>
        <v/>
      </c>
      <c r="I2780" s="2">
        <f t="shared" si="7"/>
        <v>1426.89</v>
      </c>
      <c r="M2780" s="10">
        <f>IFERROR(__xludf.DUMMYFUNCTION("""COMPUTED_VALUE"""),42012.66666666667)</f>
        <v>42012.66667</v>
      </c>
      <c r="N2780" s="2">
        <f>IFERROR(__xludf.DUMMYFUNCTION("""COMPUTED_VALUE"""),4736.19)</f>
        <v>4736.19</v>
      </c>
    </row>
    <row r="2781">
      <c r="A2781" s="10">
        <f t="shared" si="8"/>
        <v>40763.66667</v>
      </c>
      <c r="B2781" s="2" t="str">
        <f t="shared" si="2"/>
        <v/>
      </c>
      <c r="C2781" s="2" t="str">
        <f t="shared" si="3"/>
        <v>SP500</v>
      </c>
      <c r="D2781" s="2">
        <f t="shared" si="4"/>
        <v>2357.69</v>
      </c>
      <c r="E2781" s="2">
        <f t="shared" si="5"/>
        <v>2357.69</v>
      </c>
      <c r="G2781" s="10">
        <f t="shared" si="9"/>
        <v>40763.64583</v>
      </c>
      <c r="H2781" s="6" t="str">
        <f t="shared" si="6"/>
        <v/>
      </c>
      <c r="I2781" s="2">
        <f t="shared" si="7"/>
        <v>1426.89</v>
      </c>
      <c r="M2781" s="10">
        <f>IFERROR(__xludf.DUMMYFUNCTION("""COMPUTED_VALUE"""),42013.66666666667)</f>
        <v>42013.66667</v>
      </c>
      <c r="N2781" s="2">
        <f>IFERROR(__xludf.DUMMYFUNCTION("""COMPUTED_VALUE"""),4704.07)</f>
        <v>4704.07</v>
      </c>
    </row>
    <row r="2782">
      <c r="A2782" s="10">
        <f t="shared" si="8"/>
        <v>40764.66667</v>
      </c>
      <c r="B2782" s="2" t="str">
        <f t="shared" si="2"/>
        <v/>
      </c>
      <c r="C2782" s="2" t="str">
        <f t="shared" si="3"/>
        <v>SP500</v>
      </c>
      <c r="D2782" s="2">
        <f t="shared" si="4"/>
        <v>2482.52</v>
      </c>
      <c r="E2782" s="2">
        <f t="shared" si="5"/>
        <v>2482.52</v>
      </c>
      <c r="G2782" s="10">
        <f t="shared" si="9"/>
        <v>40764.64583</v>
      </c>
      <c r="H2782" s="6" t="str">
        <f t="shared" si="6"/>
        <v/>
      </c>
      <c r="I2782" s="2">
        <f t="shared" si="7"/>
        <v>1426.89</v>
      </c>
      <c r="M2782" s="10">
        <f>IFERROR(__xludf.DUMMYFUNCTION("""COMPUTED_VALUE"""),42016.66666666667)</f>
        <v>42016.66667</v>
      </c>
      <c r="N2782" s="2">
        <f>IFERROR(__xludf.DUMMYFUNCTION("""COMPUTED_VALUE"""),4664.71)</f>
        <v>4664.71</v>
      </c>
    </row>
    <row r="2783">
      <c r="A2783" s="10">
        <f t="shared" si="8"/>
        <v>40765.66667</v>
      </c>
      <c r="B2783" s="2" t="str">
        <f t="shared" si="2"/>
        <v/>
      </c>
      <c r="C2783" s="2" t="str">
        <f t="shared" si="3"/>
        <v>SP500</v>
      </c>
      <c r="D2783" s="2">
        <f t="shared" si="4"/>
        <v>2381.05</v>
      </c>
      <c r="E2783" s="2">
        <f t="shared" si="5"/>
        <v>2381.05</v>
      </c>
      <c r="G2783" s="10">
        <f t="shared" si="9"/>
        <v>40765.64583</v>
      </c>
      <c r="H2783" s="6" t="str">
        <f t="shared" si="6"/>
        <v/>
      </c>
      <c r="I2783" s="2">
        <f t="shared" si="7"/>
        <v>1426.89</v>
      </c>
      <c r="M2783" s="10">
        <f>IFERROR(__xludf.DUMMYFUNCTION("""COMPUTED_VALUE"""),42017.66666666667)</f>
        <v>42017.66667</v>
      </c>
      <c r="N2783" s="2">
        <f>IFERROR(__xludf.DUMMYFUNCTION("""COMPUTED_VALUE"""),4661.5)</f>
        <v>4661.5</v>
      </c>
    </row>
    <row r="2784">
      <c r="A2784" s="10">
        <f t="shared" si="8"/>
        <v>40766.66667</v>
      </c>
      <c r="B2784" s="2" t="str">
        <f t="shared" si="2"/>
        <v/>
      </c>
      <c r="C2784" s="2" t="str">
        <f t="shared" si="3"/>
        <v>SP500</v>
      </c>
      <c r="D2784" s="2">
        <f t="shared" si="4"/>
        <v>2492.68</v>
      </c>
      <c r="E2784" s="2">
        <f t="shared" si="5"/>
        <v>2492.68</v>
      </c>
      <c r="G2784" s="10">
        <f t="shared" si="9"/>
        <v>40766.64583</v>
      </c>
      <c r="H2784" s="6" t="str">
        <f t="shared" si="6"/>
        <v/>
      </c>
      <c r="I2784" s="2">
        <f t="shared" si="7"/>
        <v>1426.89</v>
      </c>
      <c r="M2784" s="10">
        <f>IFERROR(__xludf.DUMMYFUNCTION("""COMPUTED_VALUE"""),42018.66666666667)</f>
        <v>42018.66667</v>
      </c>
      <c r="N2784" s="2">
        <f>IFERROR(__xludf.DUMMYFUNCTION("""COMPUTED_VALUE"""),4639.32)</f>
        <v>4639.32</v>
      </c>
    </row>
    <row r="2785">
      <c r="A2785" s="10">
        <f t="shared" si="8"/>
        <v>40767.66667</v>
      </c>
      <c r="B2785" s="2" t="str">
        <f t="shared" si="2"/>
        <v/>
      </c>
      <c r="C2785" s="2" t="str">
        <f t="shared" si="3"/>
        <v>SP500</v>
      </c>
      <c r="D2785" s="2">
        <f t="shared" si="4"/>
        <v>2507.98</v>
      </c>
      <c r="E2785" s="2">
        <f t="shared" si="5"/>
        <v>2507.98</v>
      </c>
      <c r="G2785" s="10">
        <f t="shared" si="9"/>
        <v>40767.64583</v>
      </c>
      <c r="H2785" s="6" t="str">
        <f t="shared" si="6"/>
        <v/>
      </c>
      <c r="I2785" s="2">
        <f t="shared" si="7"/>
        <v>1426.89</v>
      </c>
      <c r="M2785" s="10">
        <f>IFERROR(__xludf.DUMMYFUNCTION("""COMPUTED_VALUE"""),42019.66666666667)</f>
        <v>42019.66667</v>
      </c>
      <c r="N2785" s="2">
        <f>IFERROR(__xludf.DUMMYFUNCTION("""COMPUTED_VALUE"""),4570.82)</f>
        <v>4570.82</v>
      </c>
    </row>
    <row r="2786">
      <c r="A2786" s="10">
        <f t="shared" si="8"/>
        <v>40768.66667</v>
      </c>
      <c r="B2786" s="2" t="str">
        <f t="shared" si="2"/>
        <v/>
      </c>
      <c r="C2786" s="2" t="str">
        <f t="shared" si="3"/>
        <v>SP500</v>
      </c>
      <c r="D2786" s="2" t="str">
        <f t="shared" si="4"/>
        <v/>
      </c>
      <c r="E2786" s="2">
        <f t="shared" si="5"/>
        <v>2507.98</v>
      </c>
      <c r="G2786" s="10">
        <f t="shared" si="9"/>
        <v>40768.64583</v>
      </c>
      <c r="H2786" s="6" t="str">
        <f t="shared" si="6"/>
        <v/>
      </c>
      <c r="I2786" s="2">
        <f t="shared" si="7"/>
        <v>1426.89</v>
      </c>
      <c r="M2786" s="10">
        <f>IFERROR(__xludf.DUMMYFUNCTION("""COMPUTED_VALUE"""),42020.66666666667)</f>
        <v>42020.66667</v>
      </c>
      <c r="N2786" s="2">
        <f>IFERROR(__xludf.DUMMYFUNCTION("""COMPUTED_VALUE"""),4634.38)</f>
        <v>4634.38</v>
      </c>
    </row>
    <row r="2787">
      <c r="A2787" s="10">
        <f t="shared" si="8"/>
        <v>40769.66667</v>
      </c>
      <c r="B2787" s="2" t="str">
        <f t="shared" si="2"/>
        <v/>
      </c>
      <c r="C2787" s="2" t="str">
        <f t="shared" si="3"/>
        <v>SP500</v>
      </c>
      <c r="D2787" s="2" t="str">
        <f t="shared" si="4"/>
        <v/>
      </c>
      <c r="E2787" s="2">
        <f t="shared" si="5"/>
        <v>2507.98</v>
      </c>
      <c r="G2787" s="10">
        <f t="shared" si="9"/>
        <v>40769.64583</v>
      </c>
      <c r="H2787" s="6" t="str">
        <f t="shared" si="6"/>
        <v/>
      </c>
      <c r="I2787" s="2">
        <f t="shared" si="7"/>
        <v>1426.89</v>
      </c>
      <c r="M2787" s="10">
        <f>IFERROR(__xludf.DUMMYFUNCTION("""COMPUTED_VALUE"""),42024.66666666667)</f>
        <v>42024.66667</v>
      </c>
      <c r="N2787" s="2">
        <f>IFERROR(__xludf.DUMMYFUNCTION("""COMPUTED_VALUE"""),4654.85)</f>
        <v>4654.85</v>
      </c>
    </row>
    <row r="2788">
      <c r="A2788" s="10">
        <f t="shared" si="8"/>
        <v>40770.66667</v>
      </c>
      <c r="B2788" s="2" t="str">
        <f t="shared" si="2"/>
        <v/>
      </c>
      <c r="C2788" s="2" t="str">
        <f t="shared" si="3"/>
        <v>SP500</v>
      </c>
      <c r="D2788" s="2">
        <f t="shared" si="4"/>
        <v>2555.2</v>
      </c>
      <c r="E2788" s="2">
        <f t="shared" si="5"/>
        <v>2555.2</v>
      </c>
      <c r="G2788" s="10">
        <f t="shared" si="9"/>
        <v>40770.64583</v>
      </c>
      <c r="H2788" s="6" t="str">
        <f t="shared" si="6"/>
        <v/>
      </c>
      <c r="I2788" s="2">
        <f t="shared" si="7"/>
        <v>1426.89</v>
      </c>
      <c r="M2788" s="10">
        <f>IFERROR(__xludf.DUMMYFUNCTION("""COMPUTED_VALUE"""),42025.66666666667)</f>
        <v>42025.66667</v>
      </c>
      <c r="N2788" s="2">
        <f>IFERROR(__xludf.DUMMYFUNCTION("""COMPUTED_VALUE"""),4667.42)</f>
        <v>4667.42</v>
      </c>
    </row>
    <row r="2789">
      <c r="A2789" s="10">
        <f t="shared" si="8"/>
        <v>40771.66667</v>
      </c>
      <c r="B2789" s="2" t="str">
        <f t="shared" si="2"/>
        <v/>
      </c>
      <c r="C2789" s="2" t="str">
        <f t="shared" si="3"/>
        <v>SP500</v>
      </c>
      <c r="D2789" s="2">
        <f t="shared" si="4"/>
        <v>2523.45</v>
      </c>
      <c r="E2789" s="2">
        <f t="shared" si="5"/>
        <v>2523.45</v>
      </c>
      <c r="G2789" s="10">
        <f t="shared" si="9"/>
        <v>40771.64583</v>
      </c>
      <c r="H2789" s="6" t="str">
        <f t="shared" si="6"/>
        <v/>
      </c>
      <c r="I2789" s="2">
        <f t="shared" si="7"/>
        <v>1426.89</v>
      </c>
      <c r="M2789" s="10">
        <f>IFERROR(__xludf.DUMMYFUNCTION("""COMPUTED_VALUE"""),42026.66666666667)</f>
        <v>42026.66667</v>
      </c>
      <c r="N2789" s="2">
        <f>IFERROR(__xludf.DUMMYFUNCTION("""COMPUTED_VALUE"""),4750.4)</f>
        <v>4750.4</v>
      </c>
    </row>
    <row r="2790">
      <c r="A2790" s="10">
        <f t="shared" si="8"/>
        <v>40772.66667</v>
      </c>
      <c r="B2790" s="2" t="str">
        <f t="shared" si="2"/>
        <v/>
      </c>
      <c r="C2790" s="2" t="str">
        <f t="shared" si="3"/>
        <v>SP500</v>
      </c>
      <c r="D2790" s="2">
        <f t="shared" si="4"/>
        <v>2511.48</v>
      </c>
      <c r="E2790" s="2">
        <f t="shared" si="5"/>
        <v>2511.48</v>
      </c>
      <c r="G2790" s="10">
        <f t="shared" si="9"/>
        <v>40772.64583</v>
      </c>
      <c r="H2790" s="6" t="str">
        <f t="shared" si="6"/>
        <v/>
      </c>
      <c r="I2790" s="2">
        <f t="shared" si="7"/>
        <v>1426.89</v>
      </c>
      <c r="M2790" s="10">
        <f>IFERROR(__xludf.DUMMYFUNCTION("""COMPUTED_VALUE"""),42027.66666666667)</f>
        <v>42027.66667</v>
      </c>
      <c r="N2790" s="2">
        <f>IFERROR(__xludf.DUMMYFUNCTION("""COMPUTED_VALUE"""),4757.88)</f>
        <v>4757.88</v>
      </c>
    </row>
    <row r="2791">
      <c r="A2791" s="10">
        <f t="shared" si="8"/>
        <v>40773.66667</v>
      </c>
      <c r="B2791" s="2" t="str">
        <f t="shared" si="2"/>
        <v/>
      </c>
      <c r="C2791" s="2" t="str">
        <f t="shared" si="3"/>
        <v>SP500</v>
      </c>
      <c r="D2791" s="2">
        <f t="shared" si="4"/>
        <v>2380.43</v>
      </c>
      <c r="E2791" s="2">
        <f t="shared" si="5"/>
        <v>2380.43</v>
      </c>
      <c r="G2791" s="10">
        <f t="shared" si="9"/>
        <v>40773.64583</v>
      </c>
      <c r="H2791" s="6" t="str">
        <f t="shared" si="6"/>
        <v/>
      </c>
      <c r="I2791" s="2">
        <f t="shared" si="7"/>
        <v>1426.89</v>
      </c>
      <c r="M2791" s="10">
        <f>IFERROR(__xludf.DUMMYFUNCTION("""COMPUTED_VALUE"""),42030.66666666667)</f>
        <v>42030.66667</v>
      </c>
      <c r="N2791" s="2">
        <f>IFERROR(__xludf.DUMMYFUNCTION("""COMPUTED_VALUE"""),4771.76)</f>
        <v>4771.76</v>
      </c>
    </row>
    <row r="2792">
      <c r="A2792" s="10">
        <f t="shared" si="8"/>
        <v>40774.66667</v>
      </c>
      <c r="B2792" s="2" t="str">
        <f t="shared" si="2"/>
        <v/>
      </c>
      <c r="C2792" s="2" t="str">
        <f t="shared" si="3"/>
        <v>SP500</v>
      </c>
      <c r="D2792" s="2">
        <f t="shared" si="4"/>
        <v>2341.84</v>
      </c>
      <c r="E2792" s="2">
        <f t="shared" si="5"/>
        <v>2341.84</v>
      </c>
      <c r="G2792" s="10">
        <f t="shared" si="9"/>
        <v>40774.64583</v>
      </c>
      <c r="H2792" s="6" t="str">
        <f t="shared" si="6"/>
        <v/>
      </c>
      <c r="I2792" s="2">
        <f t="shared" si="7"/>
        <v>1426.89</v>
      </c>
      <c r="M2792" s="10">
        <f>IFERROR(__xludf.DUMMYFUNCTION("""COMPUTED_VALUE"""),42031.66666666667)</f>
        <v>42031.66667</v>
      </c>
      <c r="N2792" s="2">
        <f>IFERROR(__xludf.DUMMYFUNCTION("""COMPUTED_VALUE"""),4681.5)</f>
        <v>4681.5</v>
      </c>
    </row>
    <row r="2793">
      <c r="A2793" s="10">
        <f t="shared" si="8"/>
        <v>40775.66667</v>
      </c>
      <c r="B2793" s="2" t="str">
        <f t="shared" si="2"/>
        <v/>
      </c>
      <c r="C2793" s="2" t="str">
        <f t="shared" si="3"/>
        <v>SP500</v>
      </c>
      <c r="D2793" s="2" t="str">
        <f t="shared" si="4"/>
        <v/>
      </c>
      <c r="E2793" s="2">
        <f t="shared" si="5"/>
        <v>2341.84</v>
      </c>
      <c r="G2793" s="10">
        <f t="shared" si="9"/>
        <v>40775.64583</v>
      </c>
      <c r="H2793" s="6" t="str">
        <f t="shared" si="6"/>
        <v/>
      </c>
      <c r="I2793" s="2">
        <f t="shared" si="7"/>
        <v>1426.89</v>
      </c>
      <c r="M2793" s="10">
        <f>IFERROR(__xludf.DUMMYFUNCTION("""COMPUTED_VALUE"""),42032.66666666667)</f>
        <v>42032.66667</v>
      </c>
      <c r="N2793" s="2">
        <f>IFERROR(__xludf.DUMMYFUNCTION("""COMPUTED_VALUE"""),4637.99)</f>
        <v>4637.99</v>
      </c>
    </row>
    <row r="2794">
      <c r="A2794" s="10">
        <f t="shared" si="8"/>
        <v>40776.66667</v>
      </c>
      <c r="B2794" s="2" t="str">
        <f t="shared" si="2"/>
        <v/>
      </c>
      <c r="C2794" s="2" t="str">
        <f t="shared" si="3"/>
        <v>SP500</v>
      </c>
      <c r="D2794" s="2" t="str">
        <f t="shared" si="4"/>
        <v/>
      </c>
      <c r="E2794" s="2">
        <f t="shared" si="5"/>
        <v>2341.84</v>
      </c>
      <c r="G2794" s="10">
        <f t="shared" si="9"/>
        <v>40776.64583</v>
      </c>
      <c r="H2794" s="6" t="str">
        <f t="shared" si="6"/>
        <v/>
      </c>
      <c r="I2794" s="2">
        <f t="shared" si="7"/>
        <v>1426.89</v>
      </c>
      <c r="M2794" s="10">
        <f>IFERROR(__xludf.DUMMYFUNCTION("""COMPUTED_VALUE"""),42033.66666666667)</f>
        <v>42033.66667</v>
      </c>
      <c r="N2794" s="2">
        <f>IFERROR(__xludf.DUMMYFUNCTION("""COMPUTED_VALUE"""),4683.41)</f>
        <v>4683.41</v>
      </c>
    </row>
    <row r="2795">
      <c r="A2795" s="10">
        <f t="shared" si="8"/>
        <v>40777.66667</v>
      </c>
      <c r="B2795" s="2" t="str">
        <f t="shared" si="2"/>
        <v/>
      </c>
      <c r="C2795" s="2" t="str">
        <f t="shared" si="3"/>
        <v>SP500</v>
      </c>
      <c r="D2795" s="2">
        <f t="shared" si="4"/>
        <v>2345.38</v>
      </c>
      <c r="E2795" s="2">
        <f t="shared" si="5"/>
        <v>2345.38</v>
      </c>
      <c r="G2795" s="10">
        <f t="shared" si="9"/>
        <v>40777.64583</v>
      </c>
      <c r="H2795" s="6" t="str">
        <f t="shared" si="6"/>
        <v/>
      </c>
      <c r="I2795" s="2">
        <f t="shared" si="7"/>
        <v>1426.89</v>
      </c>
      <c r="M2795" s="10">
        <f>IFERROR(__xludf.DUMMYFUNCTION("""COMPUTED_VALUE"""),42034.66666666667)</f>
        <v>42034.66667</v>
      </c>
      <c r="N2795" s="2">
        <f>IFERROR(__xludf.DUMMYFUNCTION("""COMPUTED_VALUE"""),4635.24)</f>
        <v>4635.24</v>
      </c>
    </row>
    <row r="2796">
      <c r="A2796" s="10">
        <f t="shared" si="8"/>
        <v>40778.66667</v>
      </c>
      <c r="B2796" s="2" t="str">
        <f t="shared" si="2"/>
        <v/>
      </c>
      <c r="C2796" s="2" t="str">
        <f t="shared" si="3"/>
        <v>SP500</v>
      </c>
      <c r="D2796" s="2">
        <f t="shared" si="4"/>
        <v>2446.06</v>
      </c>
      <c r="E2796" s="2">
        <f t="shared" si="5"/>
        <v>2446.06</v>
      </c>
      <c r="G2796" s="10">
        <f t="shared" si="9"/>
        <v>40778.64583</v>
      </c>
      <c r="H2796" s="6" t="str">
        <f t="shared" si="6"/>
        <v/>
      </c>
      <c r="I2796" s="2">
        <f t="shared" si="7"/>
        <v>1426.89</v>
      </c>
      <c r="M2796" s="10">
        <f>IFERROR(__xludf.DUMMYFUNCTION("""COMPUTED_VALUE"""),42037.66666666667)</f>
        <v>42037.66667</v>
      </c>
      <c r="N2796" s="2">
        <f>IFERROR(__xludf.DUMMYFUNCTION("""COMPUTED_VALUE"""),4676.69)</f>
        <v>4676.69</v>
      </c>
    </row>
    <row r="2797">
      <c r="A2797" s="10">
        <f t="shared" si="8"/>
        <v>40779.66667</v>
      </c>
      <c r="B2797" s="2" t="str">
        <f t="shared" si="2"/>
        <v/>
      </c>
      <c r="C2797" s="2" t="str">
        <f t="shared" si="3"/>
        <v>SP500</v>
      </c>
      <c r="D2797" s="2">
        <f t="shared" si="4"/>
        <v>2467.69</v>
      </c>
      <c r="E2797" s="2">
        <f t="shared" si="5"/>
        <v>2467.69</v>
      </c>
      <c r="G2797" s="10">
        <f t="shared" si="9"/>
        <v>40779.64583</v>
      </c>
      <c r="H2797" s="6" t="str">
        <f t="shared" si="6"/>
        <v/>
      </c>
      <c r="I2797" s="2">
        <f t="shared" si="7"/>
        <v>1426.89</v>
      </c>
      <c r="M2797" s="10">
        <f>IFERROR(__xludf.DUMMYFUNCTION("""COMPUTED_VALUE"""),42038.66666666667)</f>
        <v>42038.66667</v>
      </c>
      <c r="N2797" s="2">
        <f>IFERROR(__xludf.DUMMYFUNCTION("""COMPUTED_VALUE"""),4727.74)</f>
        <v>4727.74</v>
      </c>
    </row>
    <row r="2798">
      <c r="A2798" s="10">
        <f t="shared" si="8"/>
        <v>40780.66667</v>
      </c>
      <c r="B2798" s="2" t="str">
        <f t="shared" si="2"/>
        <v/>
      </c>
      <c r="C2798" s="2" t="str">
        <f t="shared" si="3"/>
        <v>SP500</v>
      </c>
      <c r="D2798" s="2">
        <f t="shared" si="4"/>
        <v>2419.63</v>
      </c>
      <c r="E2798" s="2">
        <f t="shared" si="5"/>
        <v>2419.63</v>
      </c>
      <c r="G2798" s="10">
        <f t="shared" si="9"/>
        <v>40780.64583</v>
      </c>
      <c r="H2798" s="6" t="str">
        <f t="shared" si="6"/>
        <v/>
      </c>
      <c r="I2798" s="2">
        <f t="shared" si="7"/>
        <v>1426.89</v>
      </c>
      <c r="M2798" s="10">
        <f>IFERROR(__xludf.DUMMYFUNCTION("""COMPUTED_VALUE"""),42039.66666666667)</f>
        <v>42039.66667</v>
      </c>
      <c r="N2798" s="2">
        <f>IFERROR(__xludf.DUMMYFUNCTION("""COMPUTED_VALUE"""),4716.7)</f>
        <v>4716.7</v>
      </c>
    </row>
    <row r="2799">
      <c r="A2799" s="10">
        <f t="shared" si="8"/>
        <v>40781.66667</v>
      </c>
      <c r="B2799" s="2" t="str">
        <f t="shared" si="2"/>
        <v/>
      </c>
      <c r="C2799" s="2" t="str">
        <f t="shared" si="3"/>
        <v>SP500</v>
      </c>
      <c r="D2799" s="2">
        <f t="shared" si="4"/>
        <v>2479.85</v>
      </c>
      <c r="E2799" s="2">
        <f t="shared" si="5"/>
        <v>2479.85</v>
      </c>
      <c r="G2799" s="10">
        <f t="shared" si="9"/>
        <v>40781.64583</v>
      </c>
      <c r="H2799" s="6" t="str">
        <f t="shared" si="6"/>
        <v/>
      </c>
      <c r="I2799" s="2">
        <f t="shared" si="7"/>
        <v>1426.89</v>
      </c>
      <c r="M2799" s="10">
        <f>IFERROR(__xludf.DUMMYFUNCTION("""COMPUTED_VALUE"""),42040.66666666667)</f>
        <v>42040.66667</v>
      </c>
      <c r="N2799" s="2">
        <f>IFERROR(__xludf.DUMMYFUNCTION("""COMPUTED_VALUE"""),4765.1)</f>
        <v>4765.1</v>
      </c>
    </row>
    <row r="2800">
      <c r="A2800" s="10">
        <f t="shared" si="8"/>
        <v>40782.66667</v>
      </c>
      <c r="B2800" s="2" t="str">
        <f t="shared" si="2"/>
        <v/>
      </c>
      <c r="C2800" s="2" t="str">
        <f t="shared" si="3"/>
        <v>SP500</v>
      </c>
      <c r="D2800" s="2" t="str">
        <f t="shared" si="4"/>
        <v/>
      </c>
      <c r="E2800" s="2">
        <f t="shared" si="5"/>
        <v>2479.85</v>
      </c>
      <c r="G2800" s="10">
        <f t="shared" si="9"/>
        <v>40782.64583</v>
      </c>
      <c r="H2800" s="6" t="str">
        <f t="shared" si="6"/>
        <v/>
      </c>
      <c r="I2800" s="2">
        <f t="shared" si="7"/>
        <v>1426.89</v>
      </c>
      <c r="M2800" s="10">
        <f>IFERROR(__xludf.DUMMYFUNCTION("""COMPUTED_VALUE"""),42041.66666666667)</f>
        <v>42041.66667</v>
      </c>
      <c r="N2800" s="2">
        <f>IFERROR(__xludf.DUMMYFUNCTION("""COMPUTED_VALUE"""),4744.4)</f>
        <v>4744.4</v>
      </c>
    </row>
    <row r="2801">
      <c r="A2801" s="10">
        <f t="shared" si="8"/>
        <v>40783.66667</v>
      </c>
      <c r="B2801" s="2" t="str">
        <f t="shared" si="2"/>
        <v/>
      </c>
      <c r="C2801" s="2" t="str">
        <f t="shared" si="3"/>
        <v>SP500</v>
      </c>
      <c r="D2801" s="2" t="str">
        <f t="shared" si="4"/>
        <v/>
      </c>
      <c r="E2801" s="2">
        <f t="shared" si="5"/>
        <v>2479.85</v>
      </c>
      <c r="G2801" s="10">
        <f t="shared" si="9"/>
        <v>40783.64583</v>
      </c>
      <c r="H2801" s="6" t="str">
        <f t="shared" si="6"/>
        <v/>
      </c>
      <c r="I2801" s="2">
        <f t="shared" si="7"/>
        <v>1426.89</v>
      </c>
      <c r="M2801" s="10">
        <f>IFERROR(__xludf.DUMMYFUNCTION("""COMPUTED_VALUE"""),42044.66666666667)</f>
        <v>42044.66667</v>
      </c>
      <c r="N2801" s="2">
        <f>IFERROR(__xludf.DUMMYFUNCTION("""COMPUTED_VALUE"""),4726.01)</f>
        <v>4726.01</v>
      </c>
    </row>
    <row r="2802">
      <c r="A2802" s="10">
        <f t="shared" si="8"/>
        <v>40784.66667</v>
      </c>
      <c r="B2802" s="2" t="str">
        <f t="shared" si="2"/>
        <v/>
      </c>
      <c r="C2802" s="2" t="str">
        <f t="shared" si="3"/>
        <v>SP500</v>
      </c>
      <c r="D2802" s="2">
        <f t="shared" si="4"/>
        <v>2562.11</v>
      </c>
      <c r="E2802" s="2">
        <f t="shared" si="5"/>
        <v>2562.11</v>
      </c>
      <c r="G2802" s="10">
        <f t="shared" si="9"/>
        <v>40784.64583</v>
      </c>
      <c r="H2802" s="6" t="str">
        <f t="shared" si="6"/>
        <v/>
      </c>
      <c r="I2802" s="2">
        <f t="shared" si="7"/>
        <v>1426.89</v>
      </c>
      <c r="M2802" s="10">
        <f>IFERROR(__xludf.DUMMYFUNCTION("""COMPUTED_VALUE"""),42045.66666666667)</f>
        <v>42045.66667</v>
      </c>
      <c r="N2802" s="2">
        <f>IFERROR(__xludf.DUMMYFUNCTION("""COMPUTED_VALUE"""),4787.64)</f>
        <v>4787.64</v>
      </c>
    </row>
    <row r="2803">
      <c r="A2803" s="10">
        <f t="shared" si="8"/>
        <v>40785.66667</v>
      </c>
      <c r="B2803" s="2" t="str">
        <f t="shared" si="2"/>
        <v/>
      </c>
      <c r="C2803" s="2" t="str">
        <f t="shared" si="3"/>
        <v>SP500</v>
      </c>
      <c r="D2803" s="2">
        <f t="shared" si="4"/>
        <v>2576.11</v>
      </c>
      <c r="E2803" s="2">
        <f t="shared" si="5"/>
        <v>2576.11</v>
      </c>
      <c r="G2803" s="10">
        <f t="shared" si="9"/>
        <v>40785.64583</v>
      </c>
      <c r="H2803" s="6" t="str">
        <f t="shared" si="6"/>
        <v/>
      </c>
      <c r="I2803" s="2">
        <f t="shared" si="7"/>
        <v>1426.89</v>
      </c>
      <c r="M2803" s="10">
        <f>IFERROR(__xludf.DUMMYFUNCTION("""COMPUTED_VALUE"""),42046.66666666667)</f>
        <v>42046.66667</v>
      </c>
      <c r="N2803" s="2">
        <f>IFERROR(__xludf.DUMMYFUNCTION("""COMPUTED_VALUE"""),4801.18)</f>
        <v>4801.18</v>
      </c>
    </row>
    <row r="2804">
      <c r="A2804" s="10">
        <f t="shared" si="8"/>
        <v>40786.66667</v>
      </c>
      <c r="B2804" s="2" t="str">
        <f t="shared" si="2"/>
        <v/>
      </c>
      <c r="C2804" s="2" t="str">
        <f t="shared" si="3"/>
        <v>SP500</v>
      </c>
      <c r="D2804" s="2">
        <f t="shared" si="4"/>
        <v>2579.46</v>
      </c>
      <c r="E2804" s="2">
        <f t="shared" si="5"/>
        <v>2579.46</v>
      </c>
      <c r="G2804" s="10">
        <f t="shared" si="9"/>
        <v>40786.64583</v>
      </c>
      <c r="H2804" s="6" t="str">
        <f t="shared" si="6"/>
        <v/>
      </c>
      <c r="I2804" s="2">
        <f t="shared" si="7"/>
        <v>1426.89</v>
      </c>
      <c r="M2804" s="10">
        <f>IFERROR(__xludf.DUMMYFUNCTION("""COMPUTED_VALUE"""),42047.66666666667)</f>
        <v>42047.66667</v>
      </c>
      <c r="N2804" s="2">
        <f>IFERROR(__xludf.DUMMYFUNCTION("""COMPUTED_VALUE"""),4857.61)</f>
        <v>4857.61</v>
      </c>
    </row>
    <row r="2805">
      <c r="A2805" s="10">
        <f t="shared" si="8"/>
        <v>40787.66667</v>
      </c>
      <c r="B2805" s="2" t="str">
        <f t="shared" si="2"/>
        <v/>
      </c>
      <c r="C2805" s="2" t="str">
        <f t="shared" si="3"/>
        <v>SP500</v>
      </c>
      <c r="D2805" s="2">
        <f t="shared" si="4"/>
        <v>2546.04</v>
      </c>
      <c r="E2805" s="2">
        <f t="shared" si="5"/>
        <v>2546.04</v>
      </c>
      <c r="G2805" s="10">
        <f t="shared" si="9"/>
        <v>40787.64583</v>
      </c>
      <c r="H2805" s="6" t="str">
        <f t="shared" si="6"/>
        <v/>
      </c>
      <c r="I2805" s="2">
        <f t="shared" si="7"/>
        <v>1426.89</v>
      </c>
      <c r="M2805" s="10">
        <f>IFERROR(__xludf.DUMMYFUNCTION("""COMPUTED_VALUE"""),42048.66666666667)</f>
        <v>42048.66667</v>
      </c>
      <c r="N2805" s="2">
        <f>IFERROR(__xludf.DUMMYFUNCTION("""COMPUTED_VALUE"""),4893.84)</f>
        <v>4893.84</v>
      </c>
    </row>
    <row r="2806">
      <c r="A2806" s="10">
        <f t="shared" si="8"/>
        <v>40788.66667</v>
      </c>
      <c r="B2806" s="2" t="str">
        <f t="shared" si="2"/>
        <v/>
      </c>
      <c r="C2806" s="2" t="str">
        <f t="shared" si="3"/>
        <v>SP500</v>
      </c>
      <c r="D2806" s="2">
        <f t="shared" si="4"/>
        <v>2480.33</v>
      </c>
      <c r="E2806" s="2">
        <f t="shared" si="5"/>
        <v>2480.33</v>
      </c>
      <c r="G2806" s="10">
        <f t="shared" si="9"/>
        <v>40788.64583</v>
      </c>
      <c r="H2806" s="6" t="str">
        <f t="shared" si="6"/>
        <v/>
      </c>
      <c r="I2806" s="2">
        <f t="shared" si="7"/>
        <v>1426.89</v>
      </c>
      <c r="M2806" s="10">
        <f>IFERROR(__xludf.DUMMYFUNCTION("""COMPUTED_VALUE"""),42052.66666666667)</f>
        <v>42052.66667</v>
      </c>
      <c r="N2806" s="2">
        <f>IFERROR(__xludf.DUMMYFUNCTION("""COMPUTED_VALUE"""),4899.27)</f>
        <v>4899.27</v>
      </c>
    </row>
    <row r="2807">
      <c r="A2807" s="10">
        <f t="shared" si="8"/>
        <v>40789.66667</v>
      </c>
      <c r="B2807" s="2" t="str">
        <f t="shared" si="2"/>
        <v/>
      </c>
      <c r="C2807" s="2" t="str">
        <f t="shared" si="3"/>
        <v>SP500</v>
      </c>
      <c r="D2807" s="2" t="str">
        <f t="shared" si="4"/>
        <v/>
      </c>
      <c r="E2807" s="2">
        <f t="shared" si="5"/>
        <v>2480.33</v>
      </c>
      <c r="G2807" s="10">
        <f t="shared" si="9"/>
        <v>40789.64583</v>
      </c>
      <c r="H2807" s="6" t="str">
        <f t="shared" si="6"/>
        <v/>
      </c>
      <c r="I2807" s="2">
        <f t="shared" si="7"/>
        <v>1426.89</v>
      </c>
      <c r="M2807" s="10">
        <f>IFERROR(__xludf.DUMMYFUNCTION("""COMPUTED_VALUE"""),42053.66666666667)</f>
        <v>42053.66667</v>
      </c>
      <c r="N2807" s="2">
        <f>IFERROR(__xludf.DUMMYFUNCTION("""COMPUTED_VALUE"""),4906.36)</f>
        <v>4906.36</v>
      </c>
    </row>
    <row r="2808">
      <c r="A2808" s="10">
        <f t="shared" si="8"/>
        <v>40790.66667</v>
      </c>
      <c r="B2808" s="2" t="str">
        <f t="shared" si="2"/>
        <v/>
      </c>
      <c r="C2808" s="2" t="str">
        <f t="shared" si="3"/>
        <v>SP500</v>
      </c>
      <c r="D2808" s="2" t="str">
        <f t="shared" si="4"/>
        <v/>
      </c>
      <c r="E2808" s="2">
        <f t="shared" si="5"/>
        <v>2480.33</v>
      </c>
      <c r="G2808" s="10">
        <f t="shared" si="9"/>
        <v>40790.64583</v>
      </c>
      <c r="H2808" s="6" t="str">
        <f t="shared" si="6"/>
        <v/>
      </c>
      <c r="I2808" s="2">
        <f t="shared" si="7"/>
        <v>1426.89</v>
      </c>
      <c r="M2808" s="10">
        <f>IFERROR(__xludf.DUMMYFUNCTION("""COMPUTED_VALUE"""),42054.66666666667)</f>
        <v>42054.66667</v>
      </c>
      <c r="N2808" s="2">
        <f>IFERROR(__xludf.DUMMYFUNCTION("""COMPUTED_VALUE"""),4924.7)</f>
        <v>4924.7</v>
      </c>
    </row>
    <row r="2809">
      <c r="A2809" s="10">
        <f t="shared" si="8"/>
        <v>40791.66667</v>
      </c>
      <c r="B2809" s="2" t="str">
        <f t="shared" si="2"/>
        <v/>
      </c>
      <c r="C2809" s="2" t="str">
        <f t="shared" si="3"/>
        <v>SP500</v>
      </c>
      <c r="D2809" s="2" t="str">
        <f t="shared" si="4"/>
        <v/>
      </c>
      <c r="E2809" s="2">
        <f t="shared" si="5"/>
        <v>2480.33</v>
      </c>
      <c r="G2809" s="10">
        <f t="shared" si="9"/>
        <v>40791.64583</v>
      </c>
      <c r="H2809" s="6" t="str">
        <f t="shared" si="6"/>
        <v/>
      </c>
      <c r="I2809" s="2">
        <f t="shared" si="7"/>
        <v>1426.89</v>
      </c>
      <c r="M2809" s="10">
        <f>IFERROR(__xludf.DUMMYFUNCTION("""COMPUTED_VALUE"""),42055.66666666667)</f>
        <v>42055.66667</v>
      </c>
      <c r="N2809" s="2">
        <f>IFERROR(__xludf.DUMMYFUNCTION("""COMPUTED_VALUE"""),4955.97)</f>
        <v>4955.97</v>
      </c>
    </row>
    <row r="2810">
      <c r="A2810" s="10">
        <f t="shared" si="8"/>
        <v>40792.66667</v>
      </c>
      <c r="B2810" s="2" t="str">
        <f t="shared" si="2"/>
        <v/>
      </c>
      <c r="C2810" s="2" t="str">
        <f t="shared" si="3"/>
        <v>SP500</v>
      </c>
      <c r="D2810" s="2">
        <f t="shared" si="4"/>
        <v>2473.83</v>
      </c>
      <c r="E2810" s="2">
        <f t="shared" si="5"/>
        <v>2473.83</v>
      </c>
      <c r="G2810" s="10">
        <f t="shared" si="9"/>
        <v>40792.64583</v>
      </c>
      <c r="H2810" s="6" t="str">
        <f t="shared" si="6"/>
        <v/>
      </c>
      <c r="I2810" s="2">
        <f t="shared" si="7"/>
        <v>1426.89</v>
      </c>
      <c r="M2810" s="10">
        <f>IFERROR(__xludf.DUMMYFUNCTION("""COMPUTED_VALUE"""),42058.66666666667)</f>
        <v>42058.66667</v>
      </c>
      <c r="N2810" s="2">
        <f>IFERROR(__xludf.DUMMYFUNCTION("""COMPUTED_VALUE"""),4960.97)</f>
        <v>4960.97</v>
      </c>
    </row>
    <row r="2811">
      <c r="A2811" s="10">
        <f t="shared" si="8"/>
        <v>40793.66667</v>
      </c>
      <c r="B2811" s="2" t="str">
        <f t="shared" si="2"/>
        <v/>
      </c>
      <c r="C2811" s="2" t="str">
        <f t="shared" si="3"/>
        <v>SP500</v>
      </c>
      <c r="D2811" s="2">
        <f t="shared" si="4"/>
        <v>2548.94</v>
      </c>
      <c r="E2811" s="2">
        <f t="shared" si="5"/>
        <v>2548.94</v>
      </c>
      <c r="G2811" s="10">
        <f t="shared" si="9"/>
        <v>40793.64583</v>
      </c>
      <c r="H2811" s="6" t="str">
        <f t="shared" si="6"/>
        <v/>
      </c>
      <c r="I2811" s="2">
        <f t="shared" si="7"/>
        <v>1426.89</v>
      </c>
      <c r="M2811" s="10">
        <f>IFERROR(__xludf.DUMMYFUNCTION("""COMPUTED_VALUE"""),42059.66666666667)</f>
        <v>42059.66667</v>
      </c>
      <c r="N2811" s="2">
        <f>IFERROR(__xludf.DUMMYFUNCTION("""COMPUTED_VALUE"""),4968.12)</f>
        <v>4968.12</v>
      </c>
    </row>
    <row r="2812">
      <c r="A2812" s="10">
        <f t="shared" si="8"/>
        <v>40794.66667</v>
      </c>
      <c r="B2812" s="2" t="str">
        <f t="shared" si="2"/>
        <v/>
      </c>
      <c r="C2812" s="2" t="str">
        <f t="shared" si="3"/>
        <v>SP500</v>
      </c>
      <c r="D2812" s="2">
        <f t="shared" si="4"/>
        <v>2529.14</v>
      </c>
      <c r="E2812" s="2">
        <f t="shared" si="5"/>
        <v>2529.14</v>
      </c>
      <c r="G2812" s="10">
        <f t="shared" si="9"/>
        <v>40794.64583</v>
      </c>
      <c r="H2812" s="6" t="str">
        <f t="shared" si="6"/>
        <v/>
      </c>
      <c r="I2812" s="2">
        <f t="shared" si="7"/>
        <v>1426.89</v>
      </c>
      <c r="M2812" s="10">
        <f>IFERROR(__xludf.DUMMYFUNCTION("""COMPUTED_VALUE"""),42060.66666666667)</f>
        <v>42060.66667</v>
      </c>
      <c r="N2812" s="2">
        <f>IFERROR(__xludf.DUMMYFUNCTION("""COMPUTED_VALUE"""),4967.14)</f>
        <v>4967.14</v>
      </c>
    </row>
    <row r="2813">
      <c r="A2813" s="10">
        <f t="shared" si="8"/>
        <v>40795.66667</v>
      </c>
      <c r="B2813" s="2" t="str">
        <f t="shared" si="2"/>
        <v/>
      </c>
      <c r="C2813" s="2" t="str">
        <f t="shared" si="3"/>
        <v>SP500</v>
      </c>
      <c r="D2813" s="2">
        <f t="shared" si="4"/>
        <v>2467.99</v>
      </c>
      <c r="E2813" s="2">
        <f t="shared" si="5"/>
        <v>2467.99</v>
      </c>
      <c r="G2813" s="10">
        <f t="shared" si="9"/>
        <v>40795.64583</v>
      </c>
      <c r="H2813" s="6" t="str">
        <f t="shared" si="6"/>
        <v/>
      </c>
      <c r="I2813" s="2">
        <f t="shared" si="7"/>
        <v>1426.89</v>
      </c>
      <c r="M2813" s="10">
        <f>IFERROR(__xludf.DUMMYFUNCTION("""COMPUTED_VALUE"""),42061.66666666667)</f>
        <v>42061.66667</v>
      </c>
      <c r="N2813" s="2">
        <f>IFERROR(__xludf.DUMMYFUNCTION("""COMPUTED_VALUE"""),4987.89)</f>
        <v>4987.89</v>
      </c>
    </row>
    <row r="2814">
      <c r="A2814" s="10">
        <f t="shared" si="8"/>
        <v>40796.66667</v>
      </c>
      <c r="B2814" s="2" t="str">
        <f t="shared" si="2"/>
        <v/>
      </c>
      <c r="C2814" s="2" t="str">
        <f t="shared" si="3"/>
        <v>SP500</v>
      </c>
      <c r="D2814" s="2" t="str">
        <f t="shared" si="4"/>
        <v/>
      </c>
      <c r="E2814" s="2">
        <f t="shared" si="5"/>
        <v>2467.99</v>
      </c>
      <c r="G2814" s="10">
        <f t="shared" si="9"/>
        <v>40796.64583</v>
      </c>
      <c r="H2814" s="6" t="str">
        <f t="shared" si="6"/>
        <v/>
      </c>
      <c r="I2814" s="2">
        <f t="shared" si="7"/>
        <v>1426.89</v>
      </c>
      <c r="M2814" s="10">
        <f>IFERROR(__xludf.DUMMYFUNCTION("""COMPUTED_VALUE"""),42062.66666666667)</f>
        <v>42062.66667</v>
      </c>
      <c r="N2814" s="2">
        <f>IFERROR(__xludf.DUMMYFUNCTION("""COMPUTED_VALUE"""),4963.53)</f>
        <v>4963.53</v>
      </c>
    </row>
    <row r="2815">
      <c r="A2815" s="10">
        <f t="shared" si="8"/>
        <v>40797.66667</v>
      </c>
      <c r="B2815" s="2" t="str">
        <f t="shared" si="2"/>
        <v/>
      </c>
      <c r="C2815" s="2" t="str">
        <f t="shared" si="3"/>
        <v>SP500</v>
      </c>
      <c r="D2815" s="2" t="str">
        <f t="shared" si="4"/>
        <v/>
      </c>
      <c r="E2815" s="2">
        <f t="shared" si="5"/>
        <v>2467.99</v>
      </c>
      <c r="G2815" s="10">
        <f t="shared" si="9"/>
        <v>40797.64583</v>
      </c>
      <c r="H2815" s="6" t="str">
        <f t="shared" si="6"/>
        <v/>
      </c>
      <c r="I2815" s="2">
        <f t="shared" si="7"/>
        <v>1426.89</v>
      </c>
      <c r="M2815" s="10">
        <f>IFERROR(__xludf.DUMMYFUNCTION("""COMPUTED_VALUE"""),42065.66666666667)</f>
        <v>42065.66667</v>
      </c>
      <c r="N2815" s="2">
        <f>IFERROR(__xludf.DUMMYFUNCTION("""COMPUTED_VALUE"""),5008.1)</f>
        <v>5008.1</v>
      </c>
    </row>
    <row r="2816">
      <c r="A2816" s="10">
        <f t="shared" si="8"/>
        <v>40798.66667</v>
      </c>
      <c r="B2816" s="2" t="str">
        <f t="shared" si="2"/>
        <v/>
      </c>
      <c r="C2816" s="2" t="str">
        <f t="shared" si="3"/>
        <v>SP500</v>
      </c>
      <c r="D2816" s="2">
        <f t="shared" si="4"/>
        <v>2495.09</v>
      </c>
      <c r="E2816" s="2">
        <f t="shared" si="5"/>
        <v>2495.09</v>
      </c>
      <c r="G2816" s="10">
        <f t="shared" si="9"/>
        <v>40798.64583</v>
      </c>
      <c r="H2816" s="6" t="str">
        <f t="shared" si="6"/>
        <v/>
      </c>
      <c r="I2816" s="2">
        <f t="shared" si="7"/>
        <v>1426.89</v>
      </c>
      <c r="M2816" s="10">
        <f>IFERROR(__xludf.DUMMYFUNCTION("""COMPUTED_VALUE"""),42066.66666666667)</f>
        <v>42066.66667</v>
      </c>
      <c r="N2816" s="2">
        <f>IFERROR(__xludf.DUMMYFUNCTION("""COMPUTED_VALUE"""),4979.9)</f>
        <v>4979.9</v>
      </c>
    </row>
    <row r="2817">
      <c r="A2817" s="10">
        <f t="shared" si="8"/>
        <v>40799.66667</v>
      </c>
      <c r="B2817" s="2" t="str">
        <f t="shared" si="2"/>
        <v/>
      </c>
      <c r="C2817" s="2" t="str">
        <f t="shared" si="3"/>
        <v>SP500</v>
      </c>
      <c r="D2817" s="2">
        <f t="shared" si="4"/>
        <v>2532.15</v>
      </c>
      <c r="E2817" s="2">
        <f t="shared" si="5"/>
        <v>2532.15</v>
      </c>
      <c r="G2817" s="10">
        <f t="shared" si="9"/>
        <v>40799.64583</v>
      </c>
      <c r="H2817" s="6" t="str">
        <f t="shared" si="6"/>
        <v/>
      </c>
      <c r="I2817" s="2">
        <f t="shared" si="7"/>
        <v>1426.89</v>
      </c>
      <c r="M2817" s="10">
        <f>IFERROR(__xludf.DUMMYFUNCTION("""COMPUTED_VALUE"""),42067.66666666667)</f>
        <v>42067.66667</v>
      </c>
      <c r="N2817" s="2">
        <f>IFERROR(__xludf.DUMMYFUNCTION("""COMPUTED_VALUE"""),4967.14)</f>
        <v>4967.14</v>
      </c>
    </row>
    <row r="2818">
      <c r="A2818" s="10">
        <f t="shared" si="8"/>
        <v>40800.66667</v>
      </c>
      <c r="B2818" s="2" t="str">
        <f t="shared" si="2"/>
        <v/>
      </c>
      <c r="C2818" s="2" t="str">
        <f t="shared" si="3"/>
        <v>SP500</v>
      </c>
      <c r="D2818" s="2">
        <f t="shared" si="4"/>
        <v>2572.55</v>
      </c>
      <c r="E2818" s="2">
        <f t="shared" si="5"/>
        <v>2572.55</v>
      </c>
      <c r="G2818" s="10">
        <f t="shared" si="9"/>
        <v>40800.64583</v>
      </c>
      <c r="H2818" s="6" t="str">
        <f t="shared" si="6"/>
        <v/>
      </c>
      <c r="I2818" s="2">
        <f t="shared" si="7"/>
        <v>1426.89</v>
      </c>
      <c r="M2818" s="10">
        <f>IFERROR(__xludf.DUMMYFUNCTION("""COMPUTED_VALUE"""),42068.66666666667)</f>
        <v>42068.66667</v>
      </c>
      <c r="N2818" s="2">
        <f>IFERROR(__xludf.DUMMYFUNCTION("""COMPUTED_VALUE"""),4982.81)</f>
        <v>4982.81</v>
      </c>
    </row>
    <row r="2819">
      <c r="A2819" s="10">
        <f t="shared" si="8"/>
        <v>40801.66667</v>
      </c>
      <c r="B2819" s="2" t="str">
        <f t="shared" si="2"/>
        <v/>
      </c>
      <c r="C2819" s="2" t="str">
        <f t="shared" si="3"/>
        <v>SP500</v>
      </c>
      <c r="D2819" s="2">
        <f t="shared" si="4"/>
        <v>2607.07</v>
      </c>
      <c r="E2819" s="2">
        <f t="shared" si="5"/>
        <v>2607.07</v>
      </c>
      <c r="G2819" s="10">
        <f t="shared" si="9"/>
        <v>40801.64583</v>
      </c>
      <c r="H2819" s="6" t="str">
        <f t="shared" si="6"/>
        <v/>
      </c>
      <c r="I2819" s="2">
        <f t="shared" si="7"/>
        <v>1426.89</v>
      </c>
      <c r="M2819" s="10">
        <f>IFERROR(__xludf.DUMMYFUNCTION("""COMPUTED_VALUE"""),42069.66666666667)</f>
        <v>42069.66667</v>
      </c>
      <c r="N2819" s="2">
        <f>IFERROR(__xludf.DUMMYFUNCTION("""COMPUTED_VALUE"""),4927.37)</f>
        <v>4927.37</v>
      </c>
    </row>
    <row r="2820">
      <c r="A2820" s="10">
        <f t="shared" si="8"/>
        <v>40802.66667</v>
      </c>
      <c r="B2820" s="2" t="str">
        <f t="shared" si="2"/>
        <v/>
      </c>
      <c r="C2820" s="2" t="str">
        <f t="shared" si="3"/>
        <v>SP500</v>
      </c>
      <c r="D2820" s="2">
        <f t="shared" si="4"/>
        <v>2622.31</v>
      </c>
      <c r="E2820" s="2">
        <f t="shared" si="5"/>
        <v>2622.31</v>
      </c>
      <c r="G2820" s="10">
        <f t="shared" si="9"/>
        <v>40802.64583</v>
      </c>
      <c r="H2820" s="6" t="str">
        <f t="shared" si="6"/>
        <v/>
      </c>
      <c r="I2820" s="2">
        <f t="shared" si="7"/>
        <v>1426.89</v>
      </c>
      <c r="M2820" s="10">
        <f>IFERROR(__xludf.DUMMYFUNCTION("""COMPUTED_VALUE"""),42072.66666666667)</f>
        <v>42072.66667</v>
      </c>
      <c r="N2820" s="2">
        <f>IFERROR(__xludf.DUMMYFUNCTION("""COMPUTED_VALUE"""),4942.44)</f>
        <v>4942.44</v>
      </c>
    </row>
    <row r="2821">
      <c r="A2821" s="10">
        <f t="shared" si="8"/>
        <v>40803.66667</v>
      </c>
      <c r="B2821" s="2" t="str">
        <f t="shared" si="2"/>
        <v/>
      </c>
      <c r="C2821" s="2" t="str">
        <f t="shared" si="3"/>
        <v>SP500</v>
      </c>
      <c r="D2821" s="2" t="str">
        <f t="shared" si="4"/>
        <v/>
      </c>
      <c r="E2821" s="2">
        <f t="shared" si="5"/>
        <v>2622.31</v>
      </c>
      <c r="G2821" s="10">
        <f t="shared" si="9"/>
        <v>40803.64583</v>
      </c>
      <c r="H2821" s="6" t="str">
        <f t="shared" si="6"/>
        <v/>
      </c>
      <c r="I2821" s="2">
        <f t="shared" si="7"/>
        <v>1426.89</v>
      </c>
      <c r="M2821" s="10">
        <f>IFERROR(__xludf.DUMMYFUNCTION("""COMPUTED_VALUE"""),42073.66666666667)</f>
        <v>42073.66667</v>
      </c>
      <c r="N2821" s="2">
        <f>IFERROR(__xludf.DUMMYFUNCTION("""COMPUTED_VALUE"""),4859.79)</f>
        <v>4859.79</v>
      </c>
    </row>
    <row r="2822">
      <c r="A2822" s="10">
        <f t="shared" si="8"/>
        <v>40804.66667</v>
      </c>
      <c r="B2822" s="2" t="str">
        <f t="shared" si="2"/>
        <v/>
      </c>
      <c r="C2822" s="2" t="str">
        <f t="shared" si="3"/>
        <v>SP500</v>
      </c>
      <c r="D2822" s="2" t="str">
        <f t="shared" si="4"/>
        <v/>
      </c>
      <c r="E2822" s="2">
        <f t="shared" si="5"/>
        <v>2622.31</v>
      </c>
      <c r="G2822" s="10">
        <f t="shared" si="9"/>
        <v>40804.64583</v>
      </c>
      <c r="H2822" s="6" t="str">
        <f t="shared" si="6"/>
        <v/>
      </c>
      <c r="I2822" s="2">
        <f t="shared" si="7"/>
        <v>1426.89</v>
      </c>
      <c r="M2822" s="10">
        <f>IFERROR(__xludf.DUMMYFUNCTION("""COMPUTED_VALUE"""),42074.66666666667)</f>
        <v>42074.66667</v>
      </c>
      <c r="N2822" s="2">
        <f>IFERROR(__xludf.DUMMYFUNCTION("""COMPUTED_VALUE"""),4849.94)</f>
        <v>4849.94</v>
      </c>
    </row>
    <row r="2823">
      <c r="A2823" s="10">
        <f t="shared" si="8"/>
        <v>40805.66667</v>
      </c>
      <c r="B2823" s="2" t="str">
        <f t="shared" si="2"/>
        <v/>
      </c>
      <c r="C2823" s="2" t="str">
        <f t="shared" si="3"/>
        <v>SP500</v>
      </c>
      <c r="D2823" s="2">
        <f t="shared" si="4"/>
        <v>2612.83</v>
      </c>
      <c r="E2823" s="2">
        <f t="shared" si="5"/>
        <v>2612.83</v>
      </c>
      <c r="G2823" s="10">
        <f t="shared" si="9"/>
        <v>40805.64583</v>
      </c>
      <c r="H2823" s="6" t="str">
        <f t="shared" si="6"/>
        <v/>
      </c>
      <c r="I2823" s="2">
        <f t="shared" si="7"/>
        <v>1426.89</v>
      </c>
      <c r="M2823" s="10">
        <f>IFERROR(__xludf.DUMMYFUNCTION("""COMPUTED_VALUE"""),42075.66666666667)</f>
        <v>42075.66667</v>
      </c>
      <c r="N2823" s="2">
        <f>IFERROR(__xludf.DUMMYFUNCTION("""COMPUTED_VALUE"""),4893.29)</f>
        <v>4893.29</v>
      </c>
    </row>
    <row r="2824">
      <c r="A2824" s="10">
        <f t="shared" si="8"/>
        <v>40806.66667</v>
      </c>
      <c r="B2824" s="2" t="str">
        <f t="shared" si="2"/>
        <v/>
      </c>
      <c r="C2824" s="2" t="str">
        <f t="shared" si="3"/>
        <v>SP500</v>
      </c>
      <c r="D2824" s="2">
        <f t="shared" si="4"/>
        <v>2590.24</v>
      </c>
      <c r="E2824" s="2">
        <f t="shared" si="5"/>
        <v>2590.24</v>
      </c>
      <c r="G2824" s="10">
        <f t="shared" si="9"/>
        <v>40806.64583</v>
      </c>
      <c r="H2824" s="6" t="str">
        <f t="shared" si="6"/>
        <v/>
      </c>
      <c r="I2824" s="2">
        <f t="shared" si="7"/>
        <v>1426.89</v>
      </c>
      <c r="M2824" s="10">
        <f>IFERROR(__xludf.DUMMYFUNCTION("""COMPUTED_VALUE"""),42076.66666666667)</f>
        <v>42076.66667</v>
      </c>
      <c r="N2824" s="2">
        <f>IFERROR(__xludf.DUMMYFUNCTION("""COMPUTED_VALUE"""),4871.76)</f>
        <v>4871.76</v>
      </c>
    </row>
    <row r="2825">
      <c r="A2825" s="10">
        <f t="shared" si="8"/>
        <v>40807.66667</v>
      </c>
      <c r="B2825" s="2" t="str">
        <f t="shared" si="2"/>
        <v/>
      </c>
      <c r="C2825" s="2" t="str">
        <f t="shared" si="3"/>
        <v>SP500</v>
      </c>
      <c r="D2825" s="2">
        <f t="shared" si="4"/>
        <v>2538.19</v>
      </c>
      <c r="E2825" s="2">
        <f t="shared" si="5"/>
        <v>2538.19</v>
      </c>
      <c r="G2825" s="10">
        <f t="shared" si="9"/>
        <v>40807.64583</v>
      </c>
      <c r="H2825" s="6" t="str">
        <f t="shared" si="6"/>
        <v/>
      </c>
      <c r="I2825" s="2">
        <f t="shared" si="7"/>
        <v>1426.89</v>
      </c>
      <c r="M2825" s="10">
        <f>IFERROR(__xludf.DUMMYFUNCTION("""COMPUTED_VALUE"""),42079.66666666667)</f>
        <v>42079.66667</v>
      </c>
      <c r="N2825" s="2">
        <f>IFERROR(__xludf.DUMMYFUNCTION("""COMPUTED_VALUE"""),4929.51)</f>
        <v>4929.51</v>
      </c>
    </row>
    <row r="2826">
      <c r="A2826" s="10">
        <f t="shared" si="8"/>
        <v>40808.66667</v>
      </c>
      <c r="B2826" s="2" t="str">
        <f t="shared" si="2"/>
        <v/>
      </c>
      <c r="C2826" s="2" t="str">
        <f t="shared" si="3"/>
        <v>SP500</v>
      </c>
      <c r="D2826" s="2">
        <f t="shared" si="4"/>
        <v>2455.67</v>
      </c>
      <c r="E2826" s="2">
        <f t="shared" si="5"/>
        <v>2455.67</v>
      </c>
      <c r="G2826" s="10">
        <f t="shared" si="9"/>
        <v>40808.64583</v>
      </c>
      <c r="H2826" s="6" t="str">
        <f t="shared" si="6"/>
        <v/>
      </c>
      <c r="I2826" s="2">
        <f t="shared" si="7"/>
        <v>1426.89</v>
      </c>
      <c r="M2826" s="10">
        <f>IFERROR(__xludf.DUMMYFUNCTION("""COMPUTED_VALUE"""),42080.66666666667)</f>
        <v>42080.66667</v>
      </c>
      <c r="N2826" s="2">
        <f>IFERROR(__xludf.DUMMYFUNCTION("""COMPUTED_VALUE"""),4937.43)</f>
        <v>4937.43</v>
      </c>
    </row>
    <row r="2827">
      <c r="A2827" s="10">
        <f t="shared" si="8"/>
        <v>40809.66667</v>
      </c>
      <c r="B2827" s="2" t="str">
        <f t="shared" si="2"/>
        <v/>
      </c>
      <c r="C2827" s="2" t="str">
        <f t="shared" si="3"/>
        <v>SP500</v>
      </c>
      <c r="D2827" s="2">
        <f t="shared" si="4"/>
        <v>2483.23</v>
      </c>
      <c r="E2827" s="2">
        <f t="shared" si="5"/>
        <v>2483.23</v>
      </c>
      <c r="G2827" s="10">
        <f t="shared" si="9"/>
        <v>40809.64583</v>
      </c>
      <c r="H2827" s="6" t="str">
        <f t="shared" si="6"/>
        <v/>
      </c>
      <c r="I2827" s="2">
        <f t="shared" si="7"/>
        <v>1426.89</v>
      </c>
      <c r="M2827" s="10">
        <f>IFERROR(__xludf.DUMMYFUNCTION("""COMPUTED_VALUE"""),42081.66666666667)</f>
        <v>42081.66667</v>
      </c>
      <c r="N2827" s="2">
        <f>IFERROR(__xludf.DUMMYFUNCTION("""COMPUTED_VALUE"""),4982.83)</f>
        <v>4982.83</v>
      </c>
    </row>
    <row r="2828">
      <c r="A2828" s="10">
        <f t="shared" si="8"/>
        <v>40810.66667</v>
      </c>
      <c r="B2828" s="2" t="str">
        <f t="shared" si="2"/>
        <v/>
      </c>
      <c r="C2828" s="2" t="str">
        <f t="shared" si="3"/>
        <v>SP500</v>
      </c>
      <c r="D2828" s="2" t="str">
        <f t="shared" si="4"/>
        <v/>
      </c>
      <c r="E2828" s="2">
        <f t="shared" si="5"/>
        <v>2483.23</v>
      </c>
      <c r="G2828" s="10">
        <f t="shared" si="9"/>
        <v>40810.64583</v>
      </c>
      <c r="H2828" s="6" t="str">
        <f t="shared" si="6"/>
        <v/>
      </c>
      <c r="I2828" s="2">
        <f t="shared" si="7"/>
        <v>1426.89</v>
      </c>
      <c r="M2828" s="10">
        <f>IFERROR(__xludf.DUMMYFUNCTION("""COMPUTED_VALUE"""),42082.66666666667)</f>
        <v>42082.66667</v>
      </c>
      <c r="N2828" s="2">
        <f>IFERROR(__xludf.DUMMYFUNCTION("""COMPUTED_VALUE"""),4992.38)</f>
        <v>4992.38</v>
      </c>
    </row>
    <row r="2829">
      <c r="A2829" s="10">
        <f t="shared" si="8"/>
        <v>40811.66667</v>
      </c>
      <c r="B2829" s="2" t="str">
        <f t="shared" si="2"/>
        <v/>
      </c>
      <c r="C2829" s="2" t="str">
        <f t="shared" si="3"/>
        <v>SP500</v>
      </c>
      <c r="D2829" s="2" t="str">
        <f t="shared" si="4"/>
        <v/>
      </c>
      <c r="E2829" s="2">
        <f t="shared" si="5"/>
        <v>2483.23</v>
      </c>
      <c r="G2829" s="10">
        <f t="shared" si="9"/>
        <v>40811.64583</v>
      </c>
      <c r="H2829" s="6" t="str">
        <f t="shared" si="6"/>
        <v/>
      </c>
      <c r="I2829" s="2">
        <f t="shared" si="7"/>
        <v>1426.89</v>
      </c>
      <c r="M2829" s="10">
        <f>IFERROR(__xludf.DUMMYFUNCTION("""COMPUTED_VALUE"""),42083.66666666667)</f>
        <v>42083.66667</v>
      </c>
      <c r="N2829" s="2">
        <f>IFERROR(__xludf.DUMMYFUNCTION("""COMPUTED_VALUE"""),5026.42)</f>
        <v>5026.42</v>
      </c>
    </row>
    <row r="2830">
      <c r="A2830" s="10">
        <f t="shared" si="8"/>
        <v>40812.66667</v>
      </c>
      <c r="B2830" s="2" t="str">
        <f t="shared" si="2"/>
        <v/>
      </c>
      <c r="C2830" s="2" t="str">
        <f t="shared" si="3"/>
        <v>SP500</v>
      </c>
      <c r="D2830" s="2">
        <f t="shared" si="4"/>
        <v>2516.69</v>
      </c>
      <c r="E2830" s="2">
        <f t="shared" si="5"/>
        <v>2516.69</v>
      </c>
      <c r="G2830" s="10">
        <f t="shared" si="9"/>
        <v>40812.64583</v>
      </c>
      <c r="H2830" s="6" t="str">
        <f t="shared" si="6"/>
        <v/>
      </c>
      <c r="I2830" s="2">
        <f t="shared" si="7"/>
        <v>1426.89</v>
      </c>
      <c r="M2830" s="10">
        <f>IFERROR(__xludf.DUMMYFUNCTION("""COMPUTED_VALUE"""),42086.66666666667)</f>
        <v>42086.66667</v>
      </c>
      <c r="N2830" s="2">
        <f>IFERROR(__xludf.DUMMYFUNCTION("""COMPUTED_VALUE"""),5010.97)</f>
        <v>5010.97</v>
      </c>
    </row>
    <row r="2831">
      <c r="A2831" s="10">
        <f t="shared" si="8"/>
        <v>40813.66667</v>
      </c>
      <c r="B2831" s="2" t="str">
        <f t="shared" si="2"/>
        <v/>
      </c>
      <c r="C2831" s="2" t="str">
        <f t="shared" si="3"/>
        <v>SP500</v>
      </c>
      <c r="D2831" s="2">
        <f t="shared" si="4"/>
        <v>2546.83</v>
      </c>
      <c r="E2831" s="2">
        <f t="shared" si="5"/>
        <v>2546.83</v>
      </c>
      <c r="G2831" s="10">
        <f t="shared" si="9"/>
        <v>40813.64583</v>
      </c>
      <c r="H2831" s="6" t="str">
        <f t="shared" si="6"/>
        <v/>
      </c>
      <c r="I2831" s="2">
        <f t="shared" si="7"/>
        <v>1426.89</v>
      </c>
      <c r="M2831" s="10">
        <f>IFERROR(__xludf.DUMMYFUNCTION("""COMPUTED_VALUE"""),42087.66666666667)</f>
        <v>42087.66667</v>
      </c>
      <c r="N2831" s="2">
        <f>IFERROR(__xludf.DUMMYFUNCTION("""COMPUTED_VALUE"""),4994.73)</f>
        <v>4994.73</v>
      </c>
    </row>
    <row r="2832">
      <c r="A2832" s="10">
        <f t="shared" si="8"/>
        <v>40814.66667</v>
      </c>
      <c r="B2832" s="2" t="str">
        <f t="shared" si="2"/>
        <v/>
      </c>
      <c r="C2832" s="2" t="str">
        <f t="shared" si="3"/>
        <v>SP500</v>
      </c>
      <c r="D2832" s="2">
        <f t="shared" si="4"/>
        <v>2491.58</v>
      </c>
      <c r="E2832" s="2">
        <f t="shared" si="5"/>
        <v>2491.58</v>
      </c>
      <c r="G2832" s="10">
        <f t="shared" si="9"/>
        <v>40814.64583</v>
      </c>
      <c r="H2832" s="6" t="str">
        <f t="shared" si="6"/>
        <v/>
      </c>
      <c r="I2832" s="2">
        <f t="shared" si="7"/>
        <v>1426.89</v>
      </c>
      <c r="M2832" s="10">
        <f>IFERROR(__xludf.DUMMYFUNCTION("""COMPUTED_VALUE"""),42088.66666666667)</f>
        <v>42088.66667</v>
      </c>
      <c r="N2832" s="2">
        <f>IFERROR(__xludf.DUMMYFUNCTION("""COMPUTED_VALUE"""),4876.52)</f>
        <v>4876.52</v>
      </c>
    </row>
    <row r="2833">
      <c r="A2833" s="10">
        <f t="shared" si="8"/>
        <v>40815.66667</v>
      </c>
      <c r="B2833" s="2" t="str">
        <f t="shared" si="2"/>
        <v/>
      </c>
      <c r="C2833" s="2" t="str">
        <f t="shared" si="3"/>
        <v>SP500</v>
      </c>
      <c r="D2833" s="2">
        <f t="shared" si="4"/>
        <v>2480.76</v>
      </c>
      <c r="E2833" s="2">
        <f t="shared" si="5"/>
        <v>2480.76</v>
      </c>
      <c r="G2833" s="10">
        <f t="shared" si="9"/>
        <v>40815.64583</v>
      </c>
      <c r="H2833" s="6" t="str">
        <f t="shared" si="6"/>
        <v/>
      </c>
      <c r="I2833" s="2">
        <f t="shared" si="7"/>
        <v>1426.89</v>
      </c>
      <c r="M2833" s="10">
        <f>IFERROR(__xludf.DUMMYFUNCTION("""COMPUTED_VALUE"""),42089.66666666667)</f>
        <v>42089.66667</v>
      </c>
      <c r="N2833" s="2">
        <f>IFERROR(__xludf.DUMMYFUNCTION("""COMPUTED_VALUE"""),4863.36)</f>
        <v>4863.36</v>
      </c>
    </row>
    <row r="2834">
      <c r="A2834" s="10">
        <f t="shared" si="8"/>
        <v>40816.66667</v>
      </c>
      <c r="B2834" s="2" t="str">
        <f t="shared" si="2"/>
        <v/>
      </c>
      <c r="C2834" s="2" t="str">
        <f t="shared" si="3"/>
        <v>SP500</v>
      </c>
      <c r="D2834" s="2">
        <f t="shared" si="4"/>
        <v>2415.4</v>
      </c>
      <c r="E2834" s="2">
        <f t="shared" si="5"/>
        <v>2415.4</v>
      </c>
      <c r="G2834" s="10">
        <f t="shared" si="9"/>
        <v>40816.64583</v>
      </c>
      <c r="H2834" s="6" t="str">
        <f t="shared" si="6"/>
        <v/>
      </c>
      <c r="I2834" s="2">
        <f t="shared" si="7"/>
        <v>1426.89</v>
      </c>
      <c r="M2834" s="10">
        <f>IFERROR(__xludf.DUMMYFUNCTION("""COMPUTED_VALUE"""),42090.66666666667)</f>
        <v>42090.66667</v>
      </c>
      <c r="N2834" s="2">
        <f>IFERROR(__xludf.DUMMYFUNCTION("""COMPUTED_VALUE"""),4891.22)</f>
        <v>4891.22</v>
      </c>
    </row>
    <row r="2835">
      <c r="A2835" s="10">
        <f t="shared" si="8"/>
        <v>40817.66667</v>
      </c>
      <c r="B2835" s="2" t="str">
        <f t="shared" si="2"/>
        <v/>
      </c>
      <c r="C2835" s="2" t="str">
        <f t="shared" si="3"/>
        <v>SP500</v>
      </c>
      <c r="D2835" s="2" t="str">
        <f t="shared" si="4"/>
        <v/>
      </c>
      <c r="E2835" s="2">
        <f t="shared" si="5"/>
        <v>2415.4</v>
      </c>
      <c r="G2835" s="10">
        <f t="shared" si="9"/>
        <v>40817.64583</v>
      </c>
      <c r="H2835" s="6" t="str">
        <f t="shared" si="6"/>
        <v/>
      </c>
      <c r="I2835" s="2">
        <f t="shared" si="7"/>
        <v>1426.89</v>
      </c>
      <c r="M2835" s="10">
        <f>IFERROR(__xludf.DUMMYFUNCTION("""COMPUTED_VALUE"""),42093.66666666667)</f>
        <v>42093.66667</v>
      </c>
      <c r="N2835" s="2">
        <f>IFERROR(__xludf.DUMMYFUNCTION("""COMPUTED_VALUE"""),4947.44)</f>
        <v>4947.44</v>
      </c>
    </row>
    <row r="2836">
      <c r="A2836" s="10">
        <f t="shared" si="8"/>
        <v>40818.66667</v>
      </c>
      <c r="B2836" s="2" t="str">
        <f t="shared" si="2"/>
        <v/>
      </c>
      <c r="C2836" s="2" t="str">
        <f t="shared" si="3"/>
        <v>SP500</v>
      </c>
      <c r="D2836" s="2" t="str">
        <f t="shared" si="4"/>
        <v/>
      </c>
      <c r="E2836" s="2">
        <f t="shared" si="5"/>
        <v>2415.4</v>
      </c>
      <c r="G2836" s="10">
        <f t="shared" si="9"/>
        <v>40818.64583</v>
      </c>
      <c r="H2836" s="6" t="str">
        <f t="shared" si="6"/>
        <v/>
      </c>
      <c r="I2836" s="2">
        <f t="shared" si="7"/>
        <v>1426.89</v>
      </c>
      <c r="M2836" s="10">
        <f>IFERROR(__xludf.DUMMYFUNCTION("""COMPUTED_VALUE"""),42094.66666666667)</f>
        <v>42094.66667</v>
      </c>
      <c r="N2836" s="2">
        <f>IFERROR(__xludf.DUMMYFUNCTION("""COMPUTED_VALUE"""),4900.88)</f>
        <v>4900.88</v>
      </c>
    </row>
    <row r="2837">
      <c r="A2837" s="10">
        <f t="shared" si="8"/>
        <v>40819.66667</v>
      </c>
      <c r="B2837" s="2" t="str">
        <f t="shared" si="2"/>
        <v/>
      </c>
      <c r="C2837" s="2" t="str">
        <f t="shared" si="3"/>
        <v>SP500</v>
      </c>
      <c r="D2837" s="2">
        <f t="shared" si="4"/>
        <v>2335.83</v>
      </c>
      <c r="E2837" s="2">
        <f t="shared" si="5"/>
        <v>2335.83</v>
      </c>
      <c r="G2837" s="10">
        <f t="shared" si="9"/>
        <v>40819.64583</v>
      </c>
      <c r="H2837" s="6" t="str">
        <f t="shared" si="6"/>
        <v/>
      </c>
      <c r="I2837" s="2">
        <f t="shared" si="7"/>
        <v>1426.89</v>
      </c>
      <c r="M2837" s="10">
        <f>IFERROR(__xludf.DUMMYFUNCTION("""COMPUTED_VALUE"""),42095.66666666667)</f>
        <v>42095.66667</v>
      </c>
      <c r="N2837" s="2">
        <f>IFERROR(__xludf.DUMMYFUNCTION("""COMPUTED_VALUE"""),4880.23)</f>
        <v>4880.23</v>
      </c>
    </row>
    <row r="2838">
      <c r="A2838" s="10">
        <f t="shared" si="8"/>
        <v>40820.66667</v>
      </c>
      <c r="B2838" s="2" t="str">
        <f t="shared" si="2"/>
        <v/>
      </c>
      <c r="C2838" s="2" t="str">
        <f t="shared" si="3"/>
        <v>SP500</v>
      </c>
      <c r="D2838" s="2">
        <f t="shared" si="4"/>
        <v>2404.82</v>
      </c>
      <c r="E2838" s="2">
        <f t="shared" si="5"/>
        <v>2404.82</v>
      </c>
      <c r="G2838" s="10">
        <f t="shared" si="9"/>
        <v>40820.64583</v>
      </c>
      <c r="H2838" s="6" t="str">
        <f t="shared" si="6"/>
        <v/>
      </c>
      <c r="I2838" s="2">
        <f t="shared" si="7"/>
        <v>1426.89</v>
      </c>
      <c r="M2838" s="10">
        <f>IFERROR(__xludf.DUMMYFUNCTION("""COMPUTED_VALUE"""),42096.66666666667)</f>
        <v>42096.66667</v>
      </c>
      <c r="N2838" s="2">
        <f>IFERROR(__xludf.DUMMYFUNCTION("""COMPUTED_VALUE"""),4886.94)</f>
        <v>4886.94</v>
      </c>
    </row>
    <row r="2839">
      <c r="A2839" s="10">
        <f t="shared" si="8"/>
        <v>40821.66667</v>
      </c>
      <c r="B2839" s="2" t="str">
        <f t="shared" si="2"/>
        <v/>
      </c>
      <c r="C2839" s="2" t="str">
        <f t="shared" si="3"/>
        <v>SP500</v>
      </c>
      <c r="D2839" s="2">
        <f t="shared" si="4"/>
        <v>2460.51</v>
      </c>
      <c r="E2839" s="2">
        <f t="shared" si="5"/>
        <v>2460.51</v>
      </c>
      <c r="G2839" s="10">
        <f t="shared" si="9"/>
        <v>40821.64583</v>
      </c>
      <c r="H2839" s="6" t="str">
        <f t="shared" si="6"/>
        <v/>
      </c>
      <c r="I2839" s="2">
        <f t="shared" si="7"/>
        <v>1426.89</v>
      </c>
      <c r="M2839" s="10">
        <f>IFERROR(__xludf.DUMMYFUNCTION("""COMPUTED_VALUE"""),42100.66666666667)</f>
        <v>42100.66667</v>
      </c>
      <c r="N2839" s="2">
        <f>IFERROR(__xludf.DUMMYFUNCTION("""COMPUTED_VALUE"""),4917.32)</f>
        <v>4917.32</v>
      </c>
    </row>
    <row r="2840">
      <c r="A2840" s="10">
        <f t="shared" si="8"/>
        <v>40822.66667</v>
      </c>
      <c r="B2840" s="2" t="str">
        <f t="shared" si="2"/>
        <v/>
      </c>
      <c r="C2840" s="2" t="str">
        <f t="shared" si="3"/>
        <v>SP500</v>
      </c>
      <c r="D2840" s="2">
        <f t="shared" si="4"/>
        <v>2506.82</v>
      </c>
      <c r="E2840" s="2">
        <f t="shared" si="5"/>
        <v>2506.82</v>
      </c>
      <c r="G2840" s="10">
        <f t="shared" si="9"/>
        <v>40822.64583</v>
      </c>
      <c r="H2840" s="6" t="str">
        <f t="shared" si="6"/>
        <v/>
      </c>
      <c r="I2840" s="2">
        <f t="shared" si="7"/>
        <v>1426.89</v>
      </c>
      <c r="M2840" s="10">
        <f>IFERROR(__xludf.DUMMYFUNCTION("""COMPUTED_VALUE"""),42101.66666666667)</f>
        <v>42101.66667</v>
      </c>
      <c r="N2840" s="2">
        <f>IFERROR(__xludf.DUMMYFUNCTION("""COMPUTED_VALUE"""),4910.23)</f>
        <v>4910.23</v>
      </c>
    </row>
    <row r="2841">
      <c r="A2841" s="10">
        <f t="shared" si="8"/>
        <v>40823.66667</v>
      </c>
      <c r="B2841" s="2" t="str">
        <f t="shared" si="2"/>
        <v/>
      </c>
      <c r="C2841" s="2" t="str">
        <f t="shared" si="3"/>
        <v>SP500</v>
      </c>
      <c r="D2841" s="2">
        <f t="shared" si="4"/>
        <v>2479.35</v>
      </c>
      <c r="E2841" s="2">
        <f t="shared" si="5"/>
        <v>2479.35</v>
      </c>
      <c r="G2841" s="10">
        <f t="shared" si="9"/>
        <v>40823.64583</v>
      </c>
      <c r="H2841" s="6" t="str">
        <f t="shared" si="6"/>
        <v/>
      </c>
      <c r="I2841" s="2">
        <f t="shared" si="7"/>
        <v>1426.89</v>
      </c>
      <c r="M2841" s="10">
        <f>IFERROR(__xludf.DUMMYFUNCTION("""COMPUTED_VALUE"""),42102.66666666667)</f>
        <v>42102.66667</v>
      </c>
      <c r="N2841" s="2">
        <f>IFERROR(__xludf.DUMMYFUNCTION("""COMPUTED_VALUE"""),4950.82)</f>
        <v>4950.82</v>
      </c>
    </row>
    <row r="2842">
      <c r="A2842" s="10">
        <f t="shared" si="8"/>
        <v>40824.66667</v>
      </c>
      <c r="B2842" s="2" t="str">
        <f t="shared" si="2"/>
        <v/>
      </c>
      <c r="C2842" s="2" t="str">
        <f t="shared" si="3"/>
        <v>SP500</v>
      </c>
      <c r="D2842" s="2" t="str">
        <f t="shared" si="4"/>
        <v/>
      </c>
      <c r="E2842" s="2">
        <f t="shared" si="5"/>
        <v>2479.35</v>
      </c>
      <c r="G2842" s="10">
        <f t="shared" si="9"/>
        <v>40824.64583</v>
      </c>
      <c r="H2842" s="6" t="str">
        <f t="shared" si="6"/>
        <v/>
      </c>
      <c r="I2842" s="2">
        <f t="shared" si="7"/>
        <v>1426.89</v>
      </c>
      <c r="M2842" s="10">
        <f>IFERROR(__xludf.DUMMYFUNCTION("""COMPUTED_VALUE"""),42103.66666666667)</f>
        <v>42103.66667</v>
      </c>
      <c r="N2842" s="2">
        <f>IFERROR(__xludf.DUMMYFUNCTION("""COMPUTED_VALUE"""),4974.56)</f>
        <v>4974.56</v>
      </c>
    </row>
    <row r="2843">
      <c r="A2843" s="10">
        <f t="shared" si="8"/>
        <v>40825.66667</v>
      </c>
      <c r="B2843" s="2" t="str">
        <f t="shared" si="2"/>
        <v/>
      </c>
      <c r="C2843" s="2" t="str">
        <f t="shared" si="3"/>
        <v>SP500</v>
      </c>
      <c r="D2843" s="2" t="str">
        <f t="shared" si="4"/>
        <v/>
      </c>
      <c r="E2843" s="2">
        <f t="shared" si="5"/>
        <v>2479.35</v>
      </c>
      <c r="G2843" s="10">
        <f t="shared" si="9"/>
        <v>40825.64583</v>
      </c>
      <c r="H2843" s="6" t="str">
        <f t="shared" si="6"/>
        <v/>
      </c>
      <c r="I2843" s="2">
        <f t="shared" si="7"/>
        <v>1426.89</v>
      </c>
      <c r="M2843" s="10">
        <f>IFERROR(__xludf.DUMMYFUNCTION("""COMPUTED_VALUE"""),42104.66666666667)</f>
        <v>42104.66667</v>
      </c>
      <c r="N2843" s="2">
        <f>IFERROR(__xludf.DUMMYFUNCTION("""COMPUTED_VALUE"""),4995.98)</f>
        <v>4995.98</v>
      </c>
    </row>
    <row r="2844">
      <c r="A2844" s="10">
        <f t="shared" si="8"/>
        <v>40826.66667</v>
      </c>
      <c r="B2844" s="2" t="str">
        <f t="shared" si="2"/>
        <v/>
      </c>
      <c r="C2844" s="2" t="str">
        <f t="shared" si="3"/>
        <v>SP500</v>
      </c>
      <c r="D2844" s="2">
        <f t="shared" si="4"/>
        <v>2566.05</v>
      </c>
      <c r="E2844" s="2">
        <f t="shared" si="5"/>
        <v>2566.05</v>
      </c>
      <c r="G2844" s="10">
        <f t="shared" si="9"/>
        <v>40826.64583</v>
      </c>
      <c r="H2844" s="6" t="str">
        <f t="shared" si="6"/>
        <v/>
      </c>
      <c r="I2844" s="2">
        <f t="shared" si="7"/>
        <v>1426.89</v>
      </c>
      <c r="M2844" s="10">
        <f>IFERROR(__xludf.DUMMYFUNCTION("""COMPUTED_VALUE"""),42107.66666666667)</f>
        <v>42107.66667</v>
      </c>
      <c r="N2844" s="2">
        <f>IFERROR(__xludf.DUMMYFUNCTION("""COMPUTED_VALUE"""),4988.25)</f>
        <v>4988.25</v>
      </c>
    </row>
    <row r="2845">
      <c r="A2845" s="10">
        <f t="shared" si="8"/>
        <v>40827.66667</v>
      </c>
      <c r="B2845" s="2" t="str">
        <f t="shared" si="2"/>
        <v/>
      </c>
      <c r="C2845" s="2" t="str">
        <f t="shared" si="3"/>
        <v>SP500</v>
      </c>
      <c r="D2845" s="2">
        <f t="shared" si="4"/>
        <v>2583.03</v>
      </c>
      <c r="E2845" s="2">
        <f t="shared" si="5"/>
        <v>2583.03</v>
      </c>
      <c r="G2845" s="10">
        <f t="shared" si="9"/>
        <v>40827.64583</v>
      </c>
      <c r="H2845" s="6" t="str">
        <f t="shared" si="6"/>
        <v/>
      </c>
      <c r="I2845" s="2">
        <f t="shared" si="7"/>
        <v>1426.89</v>
      </c>
      <c r="M2845" s="10">
        <f>IFERROR(__xludf.DUMMYFUNCTION("""COMPUTED_VALUE"""),42108.66666666667)</f>
        <v>42108.66667</v>
      </c>
      <c r="N2845" s="2">
        <f>IFERROR(__xludf.DUMMYFUNCTION("""COMPUTED_VALUE"""),4977.29)</f>
        <v>4977.29</v>
      </c>
    </row>
    <row r="2846">
      <c r="A2846" s="10">
        <f t="shared" si="8"/>
        <v>40828.66667</v>
      </c>
      <c r="B2846" s="2" t="str">
        <f t="shared" si="2"/>
        <v/>
      </c>
      <c r="C2846" s="2" t="str">
        <f t="shared" si="3"/>
        <v>SP500</v>
      </c>
      <c r="D2846" s="2">
        <f t="shared" si="4"/>
        <v>2604.73</v>
      </c>
      <c r="E2846" s="2">
        <f t="shared" si="5"/>
        <v>2604.73</v>
      </c>
      <c r="G2846" s="10">
        <f t="shared" si="9"/>
        <v>40828.64583</v>
      </c>
      <c r="H2846" s="6" t="str">
        <f t="shared" si="6"/>
        <v/>
      </c>
      <c r="I2846" s="2">
        <f t="shared" si="7"/>
        <v>1426.89</v>
      </c>
      <c r="M2846" s="10">
        <f>IFERROR(__xludf.DUMMYFUNCTION("""COMPUTED_VALUE"""),42109.66666666667)</f>
        <v>42109.66667</v>
      </c>
      <c r="N2846" s="2">
        <f>IFERROR(__xludf.DUMMYFUNCTION("""COMPUTED_VALUE"""),5011.02)</f>
        <v>5011.02</v>
      </c>
    </row>
    <row r="2847">
      <c r="A2847" s="10">
        <f t="shared" si="8"/>
        <v>40829.66667</v>
      </c>
      <c r="B2847" s="2" t="str">
        <f t="shared" si="2"/>
        <v/>
      </c>
      <c r="C2847" s="2" t="str">
        <f t="shared" si="3"/>
        <v>SP500</v>
      </c>
      <c r="D2847" s="2">
        <f t="shared" si="4"/>
        <v>2620.24</v>
      </c>
      <c r="E2847" s="2">
        <f t="shared" si="5"/>
        <v>2620.24</v>
      </c>
      <c r="G2847" s="10">
        <f t="shared" si="9"/>
        <v>40829.64583</v>
      </c>
      <c r="H2847" s="6" t="str">
        <f t="shared" si="6"/>
        <v/>
      </c>
      <c r="I2847" s="2">
        <f t="shared" si="7"/>
        <v>1426.89</v>
      </c>
      <c r="M2847" s="10">
        <f>IFERROR(__xludf.DUMMYFUNCTION("""COMPUTED_VALUE"""),42110.66666666667)</f>
        <v>42110.66667</v>
      </c>
      <c r="N2847" s="2">
        <f>IFERROR(__xludf.DUMMYFUNCTION("""COMPUTED_VALUE"""),5007.79)</f>
        <v>5007.79</v>
      </c>
    </row>
    <row r="2848">
      <c r="A2848" s="10">
        <f t="shared" si="8"/>
        <v>40830.66667</v>
      </c>
      <c r="B2848" s="2" t="str">
        <f t="shared" si="2"/>
        <v/>
      </c>
      <c r="C2848" s="2" t="str">
        <f t="shared" si="3"/>
        <v>SP500</v>
      </c>
      <c r="D2848" s="2">
        <f t="shared" si="4"/>
        <v>2667.85</v>
      </c>
      <c r="E2848" s="2">
        <f t="shared" si="5"/>
        <v>2667.85</v>
      </c>
      <c r="G2848" s="10">
        <f t="shared" si="9"/>
        <v>40830.64583</v>
      </c>
      <c r="H2848" s="6" t="str">
        <f t="shared" si="6"/>
        <v/>
      </c>
      <c r="I2848" s="2">
        <f t="shared" si="7"/>
        <v>1426.89</v>
      </c>
      <c r="M2848" s="10">
        <f>IFERROR(__xludf.DUMMYFUNCTION("""COMPUTED_VALUE"""),42111.66666666667)</f>
        <v>42111.66667</v>
      </c>
      <c r="N2848" s="2">
        <f>IFERROR(__xludf.DUMMYFUNCTION("""COMPUTED_VALUE"""),4931.81)</f>
        <v>4931.81</v>
      </c>
    </row>
    <row r="2849">
      <c r="A2849" s="10">
        <f t="shared" si="8"/>
        <v>40831.66667</v>
      </c>
      <c r="B2849" s="2" t="str">
        <f t="shared" si="2"/>
        <v/>
      </c>
      <c r="C2849" s="2" t="str">
        <f t="shared" si="3"/>
        <v>SP500</v>
      </c>
      <c r="D2849" s="2" t="str">
        <f t="shared" si="4"/>
        <v/>
      </c>
      <c r="E2849" s="2">
        <f t="shared" si="5"/>
        <v>2667.85</v>
      </c>
      <c r="G2849" s="10">
        <f t="shared" si="9"/>
        <v>40831.64583</v>
      </c>
      <c r="H2849" s="6" t="str">
        <f t="shared" si="6"/>
        <v/>
      </c>
      <c r="I2849" s="2">
        <f t="shared" si="7"/>
        <v>1426.89</v>
      </c>
      <c r="M2849" s="10">
        <f>IFERROR(__xludf.DUMMYFUNCTION("""COMPUTED_VALUE"""),42114.66666666667)</f>
        <v>42114.66667</v>
      </c>
      <c r="N2849" s="2">
        <f>IFERROR(__xludf.DUMMYFUNCTION("""COMPUTED_VALUE"""),4994.6)</f>
        <v>4994.6</v>
      </c>
    </row>
    <row r="2850">
      <c r="A2850" s="10">
        <f t="shared" si="8"/>
        <v>40832.66667</v>
      </c>
      <c r="B2850" s="2" t="str">
        <f t="shared" si="2"/>
        <v/>
      </c>
      <c r="C2850" s="2" t="str">
        <f t="shared" si="3"/>
        <v>SP500</v>
      </c>
      <c r="D2850" s="2" t="str">
        <f t="shared" si="4"/>
        <v/>
      </c>
      <c r="E2850" s="2">
        <f t="shared" si="5"/>
        <v>2667.85</v>
      </c>
      <c r="G2850" s="10">
        <f t="shared" si="9"/>
        <v>40832.64583</v>
      </c>
      <c r="H2850" s="6" t="str">
        <f t="shared" si="6"/>
        <v/>
      </c>
      <c r="I2850" s="2">
        <f t="shared" si="7"/>
        <v>1426.89</v>
      </c>
      <c r="M2850" s="10">
        <f>IFERROR(__xludf.DUMMYFUNCTION("""COMPUTED_VALUE"""),42115.66666666667)</f>
        <v>42115.66667</v>
      </c>
      <c r="N2850" s="2">
        <f>IFERROR(__xludf.DUMMYFUNCTION("""COMPUTED_VALUE"""),5014.1)</f>
        <v>5014.1</v>
      </c>
    </row>
    <row r="2851">
      <c r="A2851" s="10">
        <f t="shared" si="8"/>
        <v>40833.66667</v>
      </c>
      <c r="B2851" s="2" t="str">
        <f t="shared" si="2"/>
        <v/>
      </c>
      <c r="C2851" s="2" t="str">
        <f t="shared" si="3"/>
        <v>SP500</v>
      </c>
      <c r="D2851" s="2">
        <f t="shared" si="4"/>
        <v>2614.92</v>
      </c>
      <c r="E2851" s="2">
        <f t="shared" si="5"/>
        <v>2614.92</v>
      </c>
      <c r="G2851" s="10">
        <f t="shared" si="9"/>
        <v>40833.64583</v>
      </c>
      <c r="H2851" s="6" t="str">
        <f t="shared" si="6"/>
        <v/>
      </c>
      <c r="I2851" s="2">
        <f t="shared" si="7"/>
        <v>1426.89</v>
      </c>
      <c r="M2851" s="10">
        <f>IFERROR(__xludf.DUMMYFUNCTION("""COMPUTED_VALUE"""),42116.66666666667)</f>
        <v>42116.66667</v>
      </c>
      <c r="N2851" s="2">
        <f>IFERROR(__xludf.DUMMYFUNCTION("""COMPUTED_VALUE"""),5035.17)</f>
        <v>5035.17</v>
      </c>
    </row>
    <row r="2852">
      <c r="A2852" s="10">
        <f t="shared" si="8"/>
        <v>40834.66667</v>
      </c>
      <c r="B2852" s="2" t="str">
        <f t="shared" si="2"/>
        <v/>
      </c>
      <c r="C2852" s="2" t="str">
        <f t="shared" si="3"/>
        <v>SP500</v>
      </c>
      <c r="D2852" s="2">
        <f t="shared" si="4"/>
        <v>2657.43</v>
      </c>
      <c r="E2852" s="2">
        <f t="shared" si="5"/>
        <v>2657.43</v>
      </c>
      <c r="G2852" s="10">
        <f t="shared" si="9"/>
        <v>40834.64583</v>
      </c>
      <c r="H2852" s="6" t="str">
        <f t="shared" si="6"/>
        <v/>
      </c>
      <c r="I2852" s="2">
        <f t="shared" si="7"/>
        <v>1426.89</v>
      </c>
      <c r="M2852" s="10">
        <f>IFERROR(__xludf.DUMMYFUNCTION("""COMPUTED_VALUE"""),42117.66666666667)</f>
        <v>42117.66667</v>
      </c>
      <c r="N2852" s="2">
        <f>IFERROR(__xludf.DUMMYFUNCTION("""COMPUTED_VALUE"""),5056.06)</f>
        <v>5056.06</v>
      </c>
    </row>
    <row r="2853">
      <c r="A2853" s="10">
        <f t="shared" si="8"/>
        <v>40835.66667</v>
      </c>
      <c r="B2853" s="2" t="str">
        <f t="shared" si="2"/>
        <v/>
      </c>
      <c r="C2853" s="2" t="str">
        <f t="shared" si="3"/>
        <v>SP500</v>
      </c>
      <c r="D2853" s="2">
        <f t="shared" si="4"/>
        <v>2604.04</v>
      </c>
      <c r="E2853" s="2">
        <f t="shared" si="5"/>
        <v>2604.04</v>
      </c>
      <c r="G2853" s="10">
        <f t="shared" si="9"/>
        <v>40835.64583</v>
      </c>
      <c r="H2853" s="6" t="str">
        <f t="shared" si="6"/>
        <v/>
      </c>
      <c r="I2853" s="2">
        <f t="shared" si="7"/>
        <v>1426.89</v>
      </c>
      <c r="M2853" s="10">
        <f>IFERROR(__xludf.DUMMYFUNCTION("""COMPUTED_VALUE"""),42118.66666666667)</f>
        <v>42118.66667</v>
      </c>
      <c r="N2853" s="2">
        <f>IFERROR(__xludf.DUMMYFUNCTION("""COMPUTED_VALUE"""),5092.08)</f>
        <v>5092.08</v>
      </c>
    </row>
    <row r="2854">
      <c r="A2854" s="10">
        <f t="shared" si="8"/>
        <v>40836.66667</v>
      </c>
      <c r="B2854" s="2" t="str">
        <f t="shared" si="2"/>
        <v/>
      </c>
      <c r="C2854" s="2" t="str">
        <f t="shared" si="3"/>
        <v>SP500</v>
      </c>
      <c r="D2854" s="2">
        <f t="shared" si="4"/>
        <v>2598.62</v>
      </c>
      <c r="E2854" s="2">
        <f t="shared" si="5"/>
        <v>2598.62</v>
      </c>
      <c r="G2854" s="10">
        <f t="shared" si="9"/>
        <v>40836.64583</v>
      </c>
      <c r="H2854" s="6" t="str">
        <f t="shared" si="6"/>
        <v/>
      </c>
      <c r="I2854" s="2">
        <f t="shared" si="7"/>
        <v>1426.89</v>
      </c>
      <c r="M2854" s="10">
        <f>IFERROR(__xludf.DUMMYFUNCTION("""COMPUTED_VALUE"""),42121.66666666667)</f>
        <v>42121.66667</v>
      </c>
      <c r="N2854" s="2">
        <f>IFERROR(__xludf.DUMMYFUNCTION("""COMPUTED_VALUE"""),5060.25)</f>
        <v>5060.25</v>
      </c>
    </row>
    <row r="2855">
      <c r="A2855" s="10">
        <f t="shared" si="8"/>
        <v>40837.66667</v>
      </c>
      <c r="B2855" s="2" t="str">
        <f t="shared" si="2"/>
        <v/>
      </c>
      <c r="C2855" s="2" t="str">
        <f t="shared" si="3"/>
        <v>SP500</v>
      </c>
      <c r="D2855" s="2">
        <f t="shared" si="4"/>
        <v>2637.46</v>
      </c>
      <c r="E2855" s="2">
        <f t="shared" si="5"/>
        <v>2637.46</v>
      </c>
      <c r="G2855" s="10">
        <f t="shared" si="9"/>
        <v>40837.64583</v>
      </c>
      <c r="H2855" s="6" t="str">
        <f t="shared" si="6"/>
        <v/>
      </c>
      <c r="I2855" s="2">
        <f t="shared" si="7"/>
        <v>1426.89</v>
      </c>
      <c r="M2855" s="10">
        <f>IFERROR(__xludf.DUMMYFUNCTION("""COMPUTED_VALUE"""),42122.66666666667)</f>
        <v>42122.66667</v>
      </c>
      <c r="N2855" s="2">
        <f>IFERROR(__xludf.DUMMYFUNCTION("""COMPUTED_VALUE"""),5055.42)</f>
        <v>5055.42</v>
      </c>
    </row>
    <row r="2856">
      <c r="A2856" s="10">
        <f t="shared" si="8"/>
        <v>40838.66667</v>
      </c>
      <c r="B2856" s="2" t="str">
        <f t="shared" si="2"/>
        <v/>
      </c>
      <c r="C2856" s="2" t="str">
        <f t="shared" si="3"/>
        <v>SP500</v>
      </c>
      <c r="D2856" s="2" t="str">
        <f t="shared" si="4"/>
        <v/>
      </c>
      <c r="E2856" s="2">
        <f t="shared" si="5"/>
        <v>2637.46</v>
      </c>
      <c r="G2856" s="10">
        <f t="shared" si="9"/>
        <v>40838.64583</v>
      </c>
      <c r="H2856" s="6" t="str">
        <f t="shared" si="6"/>
        <v/>
      </c>
      <c r="I2856" s="2">
        <f t="shared" si="7"/>
        <v>1426.89</v>
      </c>
      <c r="M2856" s="10">
        <f>IFERROR(__xludf.DUMMYFUNCTION("""COMPUTED_VALUE"""),42123.66666666667)</f>
        <v>42123.66667</v>
      </c>
      <c r="N2856" s="2">
        <f>IFERROR(__xludf.DUMMYFUNCTION("""COMPUTED_VALUE"""),5023.64)</f>
        <v>5023.64</v>
      </c>
    </row>
    <row r="2857">
      <c r="A2857" s="10">
        <f t="shared" si="8"/>
        <v>40839.66667</v>
      </c>
      <c r="B2857" s="2" t="str">
        <f t="shared" si="2"/>
        <v/>
      </c>
      <c r="C2857" s="2" t="str">
        <f t="shared" si="3"/>
        <v>SP500</v>
      </c>
      <c r="D2857" s="2" t="str">
        <f t="shared" si="4"/>
        <v/>
      </c>
      <c r="E2857" s="2">
        <f t="shared" si="5"/>
        <v>2637.46</v>
      </c>
      <c r="G2857" s="10">
        <f t="shared" si="9"/>
        <v>40839.64583</v>
      </c>
      <c r="H2857" s="6" t="str">
        <f t="shared" si="6"/>
        <v/>
      </c>
      <c r="I2857" s="2">
        <f t="shared" si="7"/>
        <v>1426.89</v>
      </c>
      <c r="M2857" s="10">
        <f>IFERROR(__xludf.DUMMYFUNCTION("""COMPUTED_VALUE"""),42124.66666666667)</f>
        <v>42124.66667</v>
      </c>
      <c r="N2857" s="2">
        <f>IFERROR(__xludf.DUMMYFUNCTION("""COMPUTED_VALUE"""),4941.42)</f>
        <v>4941.42</v>
      </c>
    </row>
    <row r="2858">
      <c r="A2858" s="10">
        <f t="shared" si="8"/>
        <v>40840.66667</v>
      </c>
      <c r="B2858" s="2" t="str">
        <f t="shared" si="2"/>
        <v/>
      </c>
      <c r="C2858" s="2" t="str">
        <f t="shared" si="3"/>
        <v>SP500</v>
      </c>
      <c r="D2858" s="2">
        <f t="shared" si="4"/>
        <v>2699.44</v>
      </c>
      <c r="E2858" s="2">
        <f t="shared" si="5"/>
        <v>2699.44</v>
      </c>
      <c r="G2858" s="10">
        <f t="shared" si="9"/>
        <v>40840.64583</v>
      </c>
      <c r="H2858" s="6" t="str">
        <f t="shared" si="6"/>
        <v/>
      </c>
      <c r="I2858" s="2">
        <f t="shared" si="7"/>
        <v>1426.89</v>
      </c>
      <c r="M2858" s="10">
        <f>IFERROR(__xludf.DUMMYFUNCTION("""COMPUTED_VALUE"""),42125.66666666667)</f>
        <v>42125.66667</v>
      </c>
      <c r="N2858" s="2">
        <f>IFERROR(__xludf.DUMMYFUNCTION("""COMPUTED_VALUE"""),5005.39)</f>
        <v>5005.39</v>
      </c>
    </row>
    <row r="2859">
      <c r="A2859" s="10">
        <f t="shared" si="8"/>
        <v>40841.66667</v>
      </c>
      <c r="B2859" s="2" t="str">
        <f t="shared" si="2"/>
        <v/>
      </c>
      <c r="C2859" s="2" t="str">
        <f t="shared" si="3"/>
        <v>SP500</v>
      </c>
      <c r="D2859" s="2">
        <f t="shared" si="4"/>
        <v>2638.42</v>
      </c>
      <c r="E2859" s="2">
        <f t="shared" si="5"/>
        <v>2638.42</v>
      </c>
      <c r="G2859" s="10">
        <f t="shared" si="9"/>
        <v>40841.64583</v>
      </c>
      <c r="H2859" s="6" t="str">
        <f t="shared" si="6"/>
        <v/>
      </c>
      <c r="I2859" s="2">
        <f t="shared" si="7"/>
        <v>1426.89</v>
      </c>
      <c r="M2859" s="10">
        <f>IFERROR(__xludf.DUMMYFUNCTION("""COMPUTED_VALUE"""),42128.66666666667)</f>
        <v>42128.66667</v>
      </c>
      <c r="N2859" s="2">
        <f>IFERROR(__xludf.DUMMYFUNCTION("""COMPUTED_VALUE"""),5016.93)</f>
        <v>5016.93</v>
      </c>
    </row>
    <row r="2860">
      <c r="A2860" s="10">
        <f t="shared" si="8"/>
        <v>40842.66667</v>
      </c>
      <c r="B2860" s="2" t="str">
        <f t="shared" si="2"/>
        <v/>
      </c>
      <c r="C2860" s="2" t="str">
        <f t="shared" si="3"/>
        <v>SP500</v>
      </c>
      <c r="D2860" s="2">
        <f t="shared" si="4"/>
        <v>2650.67</v>
      </c>
      <c r="E2860" s="2">
        <f t="shared" si="5"/>
        <v>2650.67</v>
      </c>
      <c r="G2860" s="10">
        <f t="shared" si="9"/>
        <v>40842.64583</v>
      </c>
      <c r="H2860" s="6" t="str">
        <f t="shared" si="6"/>
        <v/>
      </c>
      <c r="I2860" s="2">
        <f t="shared" si="7"/>
        <v>1426.89</v>
      </c>
      <c r="M2860" s="10">
        <f>IFERROR(__xludf.DUMMYFUNCTION("""COMPUTED_VALUE"""),42129.66666666667)</f>
        <v>42129.66667</v>
      </c>
      <c r="N2860" s="2">
        <f>IFERROR(__xludf.DUMMYFUNCTION("""COMPUTED_VALUE"""),4939.33)</f>
        <v>4939.33</v>
      </c>
    </row>
    <row r="2861">
      <c r="A2861" s="10">
        <f t="shared" si="8"/>
        <v>40843.66667</v>
      </c>
      <c r="B2861" s="2" t="str">
        <f t="shared" si="2"/>
        <v/>
      </c>
      <c r="C2861" s="2" t="str">
        <f t="shared" si="3"/>
        <v>SP500</v>
      </c>
      <c r="D2861" s="2">
        <f t="shared" si="4"/>
        <v>2738.63</v>
      </c>
      <c r="E2861" s="2">
        <f t="shared" si="5"/>
        <v>2738.63</v>
      </c>
      <c r="G2861" s="10">
        <f t="shared" si="9"/>
        <v>40843.64583</v>
      </c>
      <c r="H2861" s="6" t="str">
        <f t="shared" si="6"/>
        <v/>
      </c>
      <c r="I2861" s="2">
        <f t="shared" si="7"/>
        <v>1426.89</v>
      </c>
      <c r="M2861" s="10">
        <f>IFERROR(__xludf.DUMMYFUNCTION("""COMPUTED_VALUE"""),42130.66666666667)</f>
        <v>42130.66667</v>
      </c>
      <c r="N2861" s="2">
        <f>IFERROR(__xludf.DUMMYFUNCTION("""COMPUTED_VALUE"""),4919.64)</f>
        <v>4919.64</v>
      </c>
    </row>
    <row r="2862">
      <c r="A2862" s="10">
        <f t="shared" si="8"/>
        <v>40844.66667</v>
      </c>
      <c r="B2862" s="2" t="str">
        <f t="shared" si="2"/>
        <v/>
      </c>
      <c r="C2862" s="2" t="str">
        <f t="shared" si="3"/>
        <v>SP500</v>
      </c>
      <c r="D2862" s="2">
        <f t="shared" si="4"/>
        <v>2737.15</v>
      </c>
      <c r="E2862" s="2">
        <f t="shared" si="5"/>
        <v>2737.15</v>
      </c>
      <c r="G2862" s="10">
        <f t="shared" si="9"/>
        <v>40844.64583</v>
      </c>
      <c r="H2862" s="6" t="str">
        <f t="shared" si="6"/>
        <v/>
      </c>
      <c r="I2862" s="2">
        <f t="shared" si="7"/>
        <v>1426.89</v>
      </c>
      <c r="M2862" s="10">
        <f>IFERROR(__xludf.DUMMYFUNCTION("""COMPUTED_VALUE"""),42131.66666666667)</f>
        <v>42131.66667</v>
      </c>
      <c r="N2862" s="2">
        <f>IFERROR(__xludf.DUMMYFUNCTION("""COMPUTED_VALUE"""),4945.54)</f>
        <v>4945.54</v>
      </c>
    </row>
    <row r="2863">
      <c r="A2863" s="10">
        <f t="shared" si="8"/>
        <v>40845.66667</v>
      </c>
      <c r="B2863" s="2" t="str">
        <f t="shared" si="2"/>
        <v/>
      </c>
      <c r="C2863" s="2" t="str">
        <f t="shared" si="3"/>
        <v>SP500</v>
      </c>
      <c r="D2863" s="2" t="str">
        <f t="shared" si="4"/>
        <v/>
      </c>
      <c r="E2863" s="2">
        <f t="shared" si="5"/>
        <v>2737.15</v>
      </c>
      <c r="G2863" s="10">
        <f t="shared" si="9"/>
        <v>40845.64583</v>
      </c>
      <c r="H2863" s="6" t="str">
        <f t="shared" si="6"/>
        <v/>
      </c>
      <c r="I2863" s="2">
        <f t="shared" si="7"/>
        <v>1426.89</v>
      </c>
      <c r="M2863" s="10">
        <f>IFERROR(__xludf.DUMMYFUNCTION("""COMPUTED_VALUE"""),42132.66666666667)</f>
        <v>42132.66667</v>
      </c>
      <c r="N2863" s="2">
        <f>IFERROR(__xludf.DUMMYFUNCTION("""COMPUTED_VALUE"""),5003.55)</f>
        <v>5003.55</v>
      </c>
    </row>
    <row r="2864">
      <c r="A2864" s="10">
        <f t="shared" si="8"/>
        <v>40846.66667</v>
      </c>
      <c r="B2864" s="2" t="str">
        <f t="shared" si="2"/>
        <v/>
      </c>
      <c r="C2864" s="2" t="str">
        <f t="shared" si="3"/>
        <v>SP500</v>
      </c>
      <c r="D2864" s="2" t="str">
        <f t="shared" si="4"/>
        <v/>
      </c>
      <c r="E2864" s="2">
        <f t="shared" si="5"/>
        <v>2737.15</v>
      </c>
      <c r="G2864" s="10">
        <f t="shared" si="9"/>
        <v>40846.64583</v>
      </c>
      <c r="H2864" s="6" t="str">
        <f t="shared" si="6"/>
        <v/>
      </c>
      <c r="I2864" s="2">
        <f t="shared" si="7"/>
        <v>1426.89</v>
      </c>
      <c r="M2864" s="10">
        <f>IFERROR(__xludf.DUMMYFUNCTION("""COMPUTED_VALUE"""),42135.66666666667)</f>
        <v>42135.66667</v>
      </c>
      <c r="N2864" s="2">
        <f>IFERROR(__xludf.DUMMYFUNCTION("""COMPUTED_VALUE"""),4993.57)</f>
        <v>4993.57</v>
      </c>
    </row>
    <row r="2865">
      <c r="A2865" s="10">
        <f t="shared" si="8"/>
        <v>40847.66667</v>
      </c>
      <c r="B2865" s="2" t="str">
        <f t="shared" si="2"/>
        <v/>
      </c>
      <c r="C2865" s="2" t="str">
        <f t="shared" si="3"/>
        <v>SP500</v>
      </c>
      <c r="D2865" s="2">
        <f t="shared" si="4"/>
        <v>2684.41</v>
      </c>
      <c r="E2865" s="2">
        <f t="shared" si="5"/>
        <v>2684.41</v>
      </c>
      <c r="G2865" s="10">
        <f t="shared" si="9"/>
        <v>40847.64583</v>
      </c>
      <c r="H2865" s="6" t="str">
        <f t="shared" si="6"/>
        <v/>
      </c>
      <c r="I2865" s="2">
        <f t="shared" si="7"/>
        <v>1426.89</v>
      </c>
      <c r="M2865" s="10">
        <f>IFERROR(__xludf.DUMMYFUNCTION("""COMPUTED_VALUE"""),42136.66666666667)</f>
        <v>42136.66667</v>
      </c>
      <c r="N2865" s="2">
        <f>IFERROR(__xludf.DUMMYFUNCTION("""COMPUTED_VALUE"""),4976.19)</f>
        <v>4976.19</v>
      </c>
    </row>
    <row r="2866">
      <c r="A2866" s="10">
        <f t="shared" si="8"/>
        <v>40848.66667</v>
      </c>
      <c r="B2866" s="2" t="str">
        <f t="shared" si="2"/>
        <v/>
      </c>
      <c r="C2866" s="2" t="str">
        <f t="shared" si="3"/>
        <v>SP500</v>
      </c>
      <c r="D2866" s="2">
        <f t="shared" si="4"/>
        <v>2606.96</v>
      </c>
      <c r="E2866" s="2">
        <f t="shared" si="5"/>
        <v>2606.96</v>
      </c>
      <c r="G2866" s="10">
        <f t="shared" si="9"/>
        <v>40848.64583</v>
      </c>
      <c r="H2866" s="6" t="str">
        <f t="shared" si="6"/>
        <v/>
      </c>
      <c r="I2866" s="2">
        <f t="shared" si="7"/>
        <v>1426.89</v>
      </c>
      <c r="M2866" s="10">
        <f>IFERROR(__xludf.DUMMYFUNCTION("""COMPUTED_VALUE"""),42137.66666666667)</f>
        <v>42137.66667</v>
      </c>
      <c r="N2866" s="2">
        <f>IFERROR(__xludf.DUMMYFUNCTION("""COMPUTED_VALUE"""),4981.69)</f>
        <v>4981.69</v>
      </c>
    </row>
    <row r="2867">
      <c r="A2867" s="10">
        <f t="shared" si="8"/>
        <v>40849.66667</v>
      </c>
      <c r="B2867" s="2" t="str">
        <f t="shared" si="2"/>
        <v/>
      </c>
      <c r="C2867" s="2" t="str">
        <f t="shared" si="3"/>
        <v>SP500</v>
      </c>
      <c r="D2867" s="2">
        <f t="shared" si="4"/>
        <v>2639.98</v>
      </c>
      <c r="E2867" s="2">
        <f t="shared" si="5"/>
        <v>2639.98</v>
      </c>
      <c r="G2867" s="10">
        <f t="shared" si="9"/>
        <v>40849.64583</v>
      </c>
      <c r="H2867" s="6" t="str">
        <f t="shared" si="6"/>
        <v/>
      </c>
      <c r="I2867" s="2">
        <f t="shared" si="7"/>
        <v>1426.89</v>
      </c>
      <c r="M2867" s="10">
        <f>IFERROR(__xludf.DUMMYFUNCTION("""COMPUTED_VALUE"""),42138.66666666667)</f>
        <v>42138.66667</v>
      </c>
      <c r="N2867" s="2">
        <f>IFERROR(__xludf.DUMMYFUNCTION("""COMPUTED_VALUE"""),5050.8)</f>
        <v>5050.8</v>
      </c>
    </row>
    <row r="2868">
      <c r="A2868" s="10">
        <f t="shared" si="8"/>
        <v>40850.66667</v>
      </c>
      <c r="B2868" s="2" t="str">
        <f t="shared" si="2"/>
        <v/>
      </c>
      <c r="C2868" s="2" t="str">
        <f t="shared" si="3"/>
        <v>SP500</v>
      </c>
      <c r="D2868" s="2">
        <f t="shared" si="4"/>
        <v>2697.97</v>
      </c>
      <c r="E2868" s="2">
        <f t="shared" si="5"/>
        <v>2697.97</v>
      </c>
      <c r="G2868" s="10">
        <f t="shared" si="9"/>
        <v>40850.64583</v>
      </c>
      <c r="H2868" s="6" t="str">
        <f t="shared" si="6"/>
        <v/>
      </c>
      <c r="I2868" s="2">
        <f t="shared" si="7"/>
        <v>1426.89</v>
      </c>
      <c r="M2868" s="10">
        <f>IFERROR(__xludf.DUMMYFUNCTION("""COMPUTED_VALUE"""),42139.66666666667)</f>
        <v>42139.66667</v>
      </c>
      <c r="N2868" s="2">
        <f>IFERROR(__xludf.DUMMYFUNCTION("""COMPUTED_VALUE"""),5048.29)</f>
        <v>5048.29</v>
      </c>
    </row>
    <row r="2869">
      <c r="A2869" s="10">
        <f t="shared" si="8"/>
        <v>40851.66667</v>
      </c>
      <c r="B2869" s="2" t="str">
        <f t="shared" si="2"/>
        <v/>
      </c>
      <c r="C2869" s="2" t="str">
        <f t="shared" si="3"/>
        <v>SP500</v>
      </c>
      <c r="D2869" s="2">
        <f t="shared" si="4"/>
        <v>2686.15</v>
      </c>
      <c r="E2869" s="2">
        <f t="shared" si="5"/>
        <v>2686.15</v>
      </c>
      <c r="G2869" s="10">
        <f t="shared" si="9"/>
        <v>40851.64583</v>
      </c>
      <c r="H2869" s="6" t="str">
        <f t="shared" si="6"/>
        <v/>
      </c>
      <c r="I2869" s="2">
        <f t="shared" si="7"/>
        <v>1426.89</v>
      </c>
      <c r="M2869" s="10">
        <f>IFERROR(__xludf.DUMMYFUNCTION("""COMPUTED_VALUE"""),42142.66666666667)</f>
        <v>42142.66667</v>
      </c>
      <c r="N2869" s="2">
        <f>IFERROR(__xludf.DUMMYFUNCTION("""COMPUTED_VALUE"""),5078.44)</f>
        <v>5078.44</v>
      </c>
    </row>
    <row r="2870">
      <c r="A2870" s="10">
        <f t="shared" si="8"/>
        <v>40852.66667</v>
      </c>
      <c r="B2870" s="2" t="str">
        <f t="shared" si="2"/>
        <v/>
      </c>
      <c r="C2870" s="2" t="str">
        <f t="shared" si="3"/>
        <v>SP500</v>
      </c>
      <c r="D2870" s="2" t="str">
        <f t="shared" si="4"/>
        <v/>
      </c>
      <c r="E2870" s="2">
        <f t="shared" si="5"/>
        <v>2686.15</v>
      </c>
      <c r="G2870" s="10">
        <f t="shared" si="9"/>
        <v>40852.64583</v>
      </c>
      <c r="H2870" s="6" t="str">
        <f t="shared" si="6"/>
        <v/>
      </c>
      <c r="I2870" s="2">
        <f t="shared" si="7"/>
        <v>1426.89</v>
      </c>
      <c r="M2870" s="10">
        <f>IFERROR(__xludf.DUMMYFUNCTION("""COMPUTED_VALUE"""),42143.66666666667)</f>
        <v>42143.66667</v>
      </c>
      <c r="N2870" s="2">
        <f>IFERROR(__xludf.DUMMYFUNCTION("""COMPUTED_VALUE"""),5070.03)</f>
        <v>5070.03</v>
      </c>
    </row>
    <row r="2871">
      <c r="A2871" s="10">
        <f t="shared" si="8"/>
        <v>40853.66667</v>
      </c>
      <c r="B2871" s="2" t="str">
        <f t="shared" si="2"/>
        <v/>
      </c>
      <c r="C2871" s="2" t="str">
        <f t="shared" si="3"/>
        <v>SP500</v>
      </c>
      <c r="D2871" s="2" t="str">
        <f t="shared" si="4"/>
        <v/>
      </c>
      <c r="E2871" s="2">
        <f t="shared" si="5"/>
        <v>2686.15</v>
      </c>
      <c r="G2871" s="10">
        <f t="shared" si="9"/>
        <v>40853.64583</v>
      </c>
      <c r="H2871" s="6" t="str">
        <f t="shared" si="6"/>
        <v/>
      </c>
      <c r="I2871" s="2">
        <f t="shared" si="7"/>
        <v>1426.89</v>
      </c>
      <c r="M2871" s="10">
        <f>IFERROR(__xludf.DUMMYFUNCTION("""COMPUTED_VALUE"""),42144.66666666667)</f>
        <v>42144.66667</v>
      </c>
      <c r="N2871" s="2">
        <f>IFERROR(__xludf.DUMMYFUNCTION("""COMPUTED_VALUE"""),5071.74)</f>
        <v>5071.74</v>
      </c>
    </row>
    <row r="2872">
      <c r="A2872" s="10">
        <f t="shared" si="8"/>
        <v>40854.66667</v>
      </c>
      <c r="B2872" s="2" t="str">
        <f t="shared" si="2"/>
        <v/>
      </c>
      <c r="C2872" s="2" t="str">
        <f t="shared" si="3"/>
        <v>SP500</v>
      </c>
      <c r="D2872" s="2">
        <f t="shared" si="4"/>
        <v>2695.25</v>
      </c>
      <c r="E2872" s="2">
        <f t="shared" si="5"/>
        <v>2695.25</v>
      </c>
      <c r="G2872" s="10">
        <f t="shared" si="9"/>
        <v>40854.64583</v>
      </c>
      <c r="H2872" s="6" t="str">
        <f t="shared" si="6"/>
        <v/>
      </c>
      <c r="I2872" s="2">
        <f t="shared" si="7"/>
        <v>1426.89</v>
      </c>
      <c r="M2872" s="10">
        <f>IFERROR(__xludf.DUMMYFUNCTION("""COMPUTED_VALUE"""),42145.66666666667)</f>
        <v>42145.66667</v>
      </c>
      <c r="N2872" s="2">
        <f>IFERROR(__xludf.DUMMYFUNCTION("""COMPUTED_VALUE"""),5090.79)</f>
        <v>5090.79</v>
      </c>
    </row>
    <row r="2873">
      <c r="A2873" s="10">
        <f t="shared" si="8"/>
        <v>40855.66667</v>
      </c>
      <c r="B2873" s="2" t="str">
        <f t="shared" si="2"/>
        <v/>
      </c>
      <c r="C2873" s="2" t="str">
        <f t="shared" si="3"/>
        <v>SP500</v>
      </c>
      <c r="D2873" s="2">
        <f t="shared" si="4"/>
        <v>2727.49</v>
      </c>
      <c r="E2873" s="2">
        <f t="shared" si="5"/>
        <v>2727.49</v>
      </c>
      <c r="G2873" s="10">
        <f t="shared" si="9"/>
        <v>40855.64583</v>
      </c>
      <c r="H2873" s="6" t="str">
        <f t="shared" si="6"/>
        <v/>
      </c>
      <c r="I2873" s="2">
        <f t="shared" si="7"/>
        <v>1426.89</v>
      </c>
      <c r="M2873" s="10">
        <f>IFERROR(__xludf.DUMMYFUNCTION("""COMPUTED_VALUE"""),42146.66666666667)</f>
        <v>42146.66667</v>
      </c>
      <c r="N2873" s="2">
        <f>IFERROR(__xludf.DUMMYFUNCTION("""COMPUTED_VALUE"""),5089.36)</f>
        <v>5089.36</v>
      </c>
    </row>
    <row r="2874">
      <c r="A2874" s="10">
        <f t="shared" si="8"/>
        <v>40856.66667</v>
      </c>
      <c r="B2874" s="2" t="str">
        <f t="shared" si="2"/>
        <v/>
      </c>
      <c r="C2874" s="2" t="str">
        <f t="shared" si="3"/>
        <v>SP500</v>
      </c>
      <c r="D2874" s="2">
        <f t="shared" si="4"/>
        <v>2621.65</v>
      </c>
      <c r="E2874" s="2">
        <f t="shared" si="5"/>
        <v>2621.65</v>
      </c>
      <c r="G2874" s="10">
        <f t="shared" si="9"/>
        <v>40856.64583</v>
      </c>
      <c r="H2874" s="6" t="str">
        <f t="shared" si="6"/>
        <v/>
      </c>
      <c r="I2874" s="2">
        <f t="shared" si="7"/>
        <v>1426.89</v>
      </c>
      <c r="M2874" s="10">
        <f>IFERROR(__xludf.DUMMYFUNCTION("""COMPUTED_VALUE"""),42150.66666666667)</f>
        <v>42150.66667</v>
      </c>
      <c r="N2874" s="2">
        <f>IFERROR(__xludf.DUMMYFUNCTION("""COMPUTED_VALUE"""),5032.75)</f>
        <v>5032.75</v>
      </c>
    </row>
    <row r="2875">
      <c r="A2875" s="10">
        <f t="shared" si="8"/>
        <v>40857.66667</v>
      </c>
      <c r="B2875" s="2" t="str">
        <f t="shared" si="2"/>
        <v/>
      </c>
      <c r="C2875" s="2" t="str">
        <f t="shared" si="3"/>
        <v>SP500</v>
      </c>
      <c r="D2875" s="2">
        <f t="shared" si="4"/>
        <v>2625.15</v>
      </c>
      <c r="E2875" s="2">
        <f t="shared" si="5"/>
        <v>2625.15</v>
      </c>
      <c r="G2875" s="10">
        <f t="shared" si="9"/>
        <v>40857.64583</v>
      </c>
      <c r="H2875" s="6" t="str">
        <f t="shared" si="6"/>
        <v/>
      </c>
      <c r="I2875" s="2">
        <f t="shared" si="7"/>
        <v>1426.89</v>
      </c>
      <c r="M2875" s="10">
        <f>IFERROR(__xludf.DUMMYFUNCTION("""COMPUTED_VALUE"""),42151.66666666667)</f>
        <v>42151.66667</v>
      </c>
      <c r="N2875" s="2">
        <f>IFERROR(__xludf.DUMMYFUNCTION("""COMPUTED_VALUE"""),5106.59)</f>
        <v>5106.59</v>
      </c>
    </row>
    <row r="2876">
      <c r="A2876" s="10">
        <f t="shared" si="8"/>
        <v>40858.66667</v>
      </c>
      <c r="B2876" s="2" t="str">
        <f t="shared" si="2"/>
        <v/>
      </c>
      <c r="C2876" s="2" t="str">
        <f t="shared" si="3"/>
        <v>SP500</v>
      </c>
      <c r="D2876" s="2">
        <f t="shared" si="4"/>
        <v>2678.75</v>
      </c>
      <c r="E2876" s="2">
        <f t="shared" si="5"/>
        <v>2678.75</v>
      </c>
      <c r="G2876" s="10">
        <f t="shared" si="9"/>
        <v>40858.64583</v>
      </c>
      <c r="H2876" s="6" t="str">
        <f t="shared" si="6"/>
        <v/>
      </c>
      <c r="I2876" s="2">
        <f t="shared" si="7"/>
        <v>1426.89</v>
      </c>
      <c r="M2876" s="10">
        <f>IFERROR(__xludf.DUMMYFUNCTION("""COMPUTED_VALUE"""),42152.66666666667)</f>
        <v>42152.66667</v>
      </c>
      <c r="N2876" s="2">
        <f>IFERROR(__xludf.DUMMYFUNCTION("""COMPUTED_VALUE"""),5097.98)</f>
        <v>5097.98</v>
      </c>
    </row>
    <row r="2877">
      <c r="A2877" s="10">
        <f t="shared" si="8"/>
        <v>40859.66667</v>
      </c>
      <c r="B2877" s="2" t="str">
        <f t="shared" si="2"/>
        <v/>
      </c>
      <c r="C2877" s="2" t="str">
        <f t="shared" si="3"/>
        <v>SP500</v>
      </c>
      <c r="D2877" s="2" t="str">
        <f t="shared" si="4"/>
        <v/>
      </c>
      <c r="E2877" s="2">
        <f t="shared" si="5"/>
        <v>2678.75</v>
      </c>
      <c r="G2877" s="10">
        <f t="shared" si="9"/>
        <v>40859.64583</v>
      </c>
      <c r="H2877" s="6" t="str">
        <f t="shared" si="6"/>
        <v/>
      </c>
      <c r="I2877" s="2">
        <f t="shared" si="7"/>
        <v>1426.89</v>
      </c>
      <c r="M2877" s="10">
        <f>IFERROR(__xludf.DUMMYFUNCTION("""COMPUTED_VALUE"""),42153.66666666667)</f>
        <v>42153.66667</v>
      </c>
      <c r="N2877" s="2">
        <f>IFERROR(__xludf.DUMMYFUNCTION("""COMPUTED_VALUE"""),5070.03)</f>
        <v>5070.03</v>
      </c>
    </row>
    <row r="2878">
      <c r="A2878" s="10">
        <f t="shared" si="8"/>
        <v>40860.66667</v>
      </c>
      <c r="B2878" s="2" t="str">
        <f t="shared" si="2"/>
        <v/>
      </c>
      <c r="C2878" s="2" t="str">
        <f t="shared" si="3"/>
        <v>SP500</v>
      </c>
      <c r="D2878" s="2" t="str">
        <f t="shared" si="4"/>
        <v/>
      </c>
      <c r="E2878" s="2">
        <f t="shared" si="5"/>
        <v>2678.75</v>
      </c>
      <c r="G2878" s="10">
        <f t="shared" si="9"/>
        <v>40860.64583</v>
      </c>
      <c r="H2878" s="6" t="str">
        <f t="shared" si="6"/>
        <v/>
      </c>
      <c r="I2878" s="2">
        <f t="shared" si="7"/>
        <v>1426.89</v>
      </c>
      <c r="M2878" s="10">
        <f>IFERROR(__xludf.DUMMYFUNCTION("""COMPUTED_VALUE"""),42156.66666666667)</f>
        <v>42156.66667</v>
      </c>
      <c r="N2878" s="2">
        <f>IFERROR(__xludf.DUMMYFUNCTION("""COMPUTED_VALUE"""),5082.93)</f>
        <v>5082.93</v>
      </c>
    </row>
    <row r="2879">
      <c r="A2879" s="10">
        <f t="shared" si="8"/>
        <v>40861.66667</v>
      </c>
      <c r="B2879" s="2" t="str">
        <f t="shared" si="2"/>
        <v/>
      </c>
      <c r="C2879" s="2" t="str">
        <f t="shared" si="3"/>
        <v>SP500</v>
      </c>
      <c r="D2879" s="2">
        <f t="shared" si="4"/>
        <v>2657.22</v>
      </c>
      <c r="E2879" s="2">
        <f t="shared" si="5"/>
        <v>2657.22</v>
      </c>
      <c r="G2879" s="10">
        <f t="shared" si="9"/>
        <v>40861.64583</v>
      </c>
      <c r="H2879" s="6" t="str">
        <f t="shared" si="6"/>
        <v/>
      </c>
      <c r="I2879" s="2">
        <f t="shared" si="7"/>
        <v>1426.89</v>
      </c>
      <c r="M2879" s="10">
        <f>IFERROR(__xludf.DUMMYFUNCTION("""COMPUTED_VALUE"""),42157.66666666667)</f>
        <v>42157.66667</v>
      </c>
      <c r="N2879" s="2">
        <f>IFERROR(__xludf.DUMMYFUNCTION("""COMPUTED_VALUE"""),5076.52)</f>
        <v>5076.52</v>
      </c>
    </row>
    <row r="2880">
      <c r="A2880" s="10">
        <f t="shared" si="8"/>
        <v>40862.66667</v>
      </c>
      <c r="B2880" s="2" t="str">
        <f t="shared" si="2"/>
        <v/>
      </c>
      <c r="C2880" s="2" t="str">
        <f t="shared" si="3"/>
        <v>SP500</v>
      </c>
      <c r="D2880" s="2">
        <f t="shared" si="4"/>
        <v>2686.2</v>
      </c>
      <c r="E2880" s="2">
        <f t="shared" si="5"/>
        <v>2686.2</v>
      </c>
      <c r="G2880" s="10">
        <f t="shared" si="9"/>
        <v>40862.64583</v>
      </c>
      <c r="H2880" s="6" t="str">
        <f t="shared" si="6"/>
        <v/>
      </c>
      <c r="I2880" s="2">
        <f t="shared" si="7"/>
        <v>1426.89</v>
      </c>
      <c r="M2880" s="10">
        <f>IFERROR(__xludf.DUMMYFUNCTION("""COMPUTED_VALUE"""),42158.66666666667)</f>
        <v>42158.66667</v>
      </c>
      <c r="N2880" s="2">
        <f>IFERROR(__xludf.DUMMYFUNCTION("""COMPUTED_VALUE"""),5099.23)</f>
        <v>5099.23</v>
      </c>
    </row>
    <row r="2881">
      <c r="A2881" s="10">
        <f t="shared" si="8"/>
        <v>40863.66667</v>
      </c>
      <c r="B2881" s="2" t="str">
        <f t="shared" si="2"/>
        <v/>
      </c>
      <c r="C2881" s="2" t="str">
        <f t="shared" si="3"/>
        <v>SP500</v>
      </c>
      <c r="D2881" s="2">
        <f t="shared" si="4"/>
        <v>2639.61</v>
      </c>
      <c r="E2881" s="2">
        <f t="shared" si="5"/>
        <v>2639.61</v>
      </c>
      <c r="G2881" s="10">
        <f t="shared" si="9"/>
        <v>40863.64583</v>
      </c>
      <c r="H2881" s="6" t="str">
        <f t="shared" si="6"/>
        <v/>
      </c>
      <c r="I2881" s="2">
        <f t="shared" si="7"/>
        <v>1426.89</v>
      </c>
      <c r="M2881" s="10">
        <f>IFERROR(__xludf.DUMMYFUNCTION("""COMPUTED_VALUE"""),42159.66666666667)</f>
        <v>42159.66667</v>
      </c>
      <c r="N2881" s="2">
        <f>IFERROR(__xludf.DUMMYFUNCTION("""COMPUTED_VALUE"""),5059.12)</f>
        <v>5059.12</v>
      </c>
    </row>
    <row r="2882">
      <c r="A2882" s="10">
        <f t="shared" si="8"/>
        <v>40864.66667</v>
      </c>
      <c r="B2882" s="2" t="str">
        <f t="shared" si="2"/>
        <v/>
      </c>
      <c r="C2882" s="2" t="str">
        <f t="shared" si="3"/>
        <v>SP500</v>
      </c>
      <c r="D2882" s="2">
        <f t="shared" si="4"/>
        <v>2587.99</v>
      </c>
      <c r="E2882" s="2">
        <f t="shared" si="5"/>
        <v>2587.99</v>
      </c>
      <c r="G2882" s="10">
        <f t="shared" si="9"/>
        <v>40864.64583</v>
      </c>
      <c r="H2882" s="6" t="str">
        <f t="shared" si="6"/>
        <v/>
      </c>
      <c r="I2882" s="2">
        <f t="shared" si="7"/>
        <v>1426.89</v>
      </c>
      <c r="M2882" s="10">
        <f>IFERROR(__xludf.DUMMYFUNCTION("""COMPUTED_VALUE"""),42160.66666666667)</f>
        <v>42160.66667</v>
      </c>
      <c r="N2882" s="2">
        <f>IFERROR(__xludf.DUMMYFUNCTION("""COMPUTED_VALUE"""),5068.46)</f>
        <v>5068.46</v>
      </c>
    </row>
    <row r="2883">
      <c r="A2883" s="10">
        <f t="shared" si="8"/>
        <v>40865.66667</v>
      </c>
      <c r="B2883" s="2" t="str">
        <f t="shared" si="2"/>
        <v/>
      </c>
      <c r="C2883" s="2" t="str">
        <f t="shared" si="3"/>
        <v>SP500</v>
      </c>
      <c r="D2883" s="2">
        <f t="shared" si="4"/>
        <v>2572.5</v>
      </c>
      <c r="E2883" s="2">
        <f t="shared" si="5"/>
        <v>2572.5</v>
      </c>
      <c r="G2883" s="10">
        <f t="shared" si="9"/>
        <v>40865.64583</v>
      </c>
      <c r="H2883" s="6" t="str">
        <f t="shared" si="6"/>
        <v/>
      </c>
      <c r="I2883" s="2">
        <f t="shared" si="7"/>
        <v>1426.89</v>
      </c>
      <c r="M2883" s="10">
        <f>IFERROR(__xludf.DUMMYFUNCTION("""COMPUTED_VALUE"""),42163.66666666667)</f>
        <v>42163.66667</v>
      </c>
      <c r="N2883" s="2">
        <f>IFERROR(__xludf.DUMMYFUNCTION("""COMPUTED_VALUE"""),5021.63)</f>
        <v>5021.63</v>
      </c>
    </row>
    <row r="2884">
      <c r="A2884" s="10">
        <f t="shared" si="8"/>
        <v>40866.66667</v>
      </c>
      <c r="B2884" s="2" t="str">
        <f t="shared" si="2"/>
        <v/>
      </c>
      <c r="C2884" s="2" t="str">
        <f t="shared" si="3"/>
        <v>SP500</v>
      </c>
      <c r="D2884" s="2" t="str">
        <f t="shared" si="4"/>
        <v/>
      </c>
      <c r="E2884" s="2">
        <f t="shared" si="5"/>
        <v>2572.5</v>
      </c>
      <c r="G2884" s="10">
        <f t="shared" si="9"/>
        <v>40866.64583</v>
      </c>
      <c r="H2884" s="6" t="str">
        <f t="shared" si="6"/>
        <v/>
      </c>
      <c r="I2884" s="2">
        <f t="shared" si="7"/>
        <v>1426.89</v>
      </c>
      <c r="M2884" s="10">
        <f>IFERROR(__xludf.DUMMYFUNCTION("""COMPUTED_VALUE"""),42164.66666666667)</f>
        <v>42164.66667</v>
      </c>
      <c r="N2884" s="2">
        <f>IFERROR(__xludf.DUMMYFUNCTION("""COMPUTED_VALUE"""),5013.87)</f>
        <v>5013.87</v>
      </c>
    </row>
    <row r="2885">
      <c r="A2885" s="10">
        <f t="shared" si="8"/>
        <v>40867.66667</v>
      </c>
      <c r="B2885" s="2" t="str">
        <f t="shared" si="2"/>
        <v/>
      </c>
      <c r="C2885" s="2" t="str">
        <f t="shared" si="3"/>
        <v>SP500</v>
      </c>
      <c r="D2885" s="2" t="str">
        <f t="shared" si="4"/>
        <v/>
      </c>
      <c r="E2885" s="2">
        <f t="shared" si="5"/>
        <v>2572.5</v>
      </c>
      <c r="G2885" s="10">
        <f t="shared" si="9"/>
        <v>40867.64583</v>
      </c>
      <c r="H2885" s="6" t="str">
        <f t="shared" si="6"/>
        <v/>
      </c>
      <c r="I2885" s="2">
        <f t="shared" si="7"/>
        <v>1426.89</v>
      </c>
      <c r="M2885" s="10">
        <f>IFERROR(__xludf.DUMMYFUNCTION("""COMPUTED_VALUE"""),42165.66666666667)</f>
        <v>42165.66667</v>
      </c>
      <c r="N2885" s="2">
        <f>IFERROR(__xludf.DUMMYFUNCTION("""COMPUTED_VALUE"""),5076.69)</f>
        <v>5076.69</v>
      </c>
    </row>
    <row r="2886">
      <c r="A2886" s="10">
        <f t="shared" si="8"/>
        <v>40868.66667</v>
      </c>
      <c r="B2886" s="2" t="str">
        <f t="shared" si="2"/>
        <v/>
      </c>
      <c r="C2886" s="2" t="str">
        <f t="shared" si="3"/>
        <v>SP500</v>
      </c>
      <c r="D2886" s="2">
        <f t="shared" si="4"/>
        <v>2523.14</v>
      </c>
      <c r="E2886" s="2">
        <f t="shared" si="5"/>
        <v>2523.14</v>
      </c>
      <c r="G2886" s="10">
        <f t="shared" si="9"/>
        <v>40868.64583</v>
      </c>
      <c r="H2886" s="6" t="str">
        <f t="shared" si="6"/>
        <v/>
      </c>
      <c r="I2886" s="2">
        <f t="shared" si="7"/>
        <v>1426.89</v>
      </c>
      <c r="M2886" s="10">
        <f>IFERROR(__xludf.DUMMYFUNCTION("""COMPUTED_VALUE"""),42166.66666666667)</f>
        <v>42166.66667</v>
      </c>
      <c r="N2886" s="2">
        <f>IFERROR(__xludf.DUMMYFUNCTION("""COMPUTED_VALUE"""),5082.51)</f>
        <v>5082.51</v>
      </c>
    </row>
    <row r="2887">
      <c r="A2887" s="10">
        <f t="shared" si="8"/>
        <v>40869.66667</v>
      </c>
      <c r="B2887" s="2" t="str">
        <f t="shared" si="2"/>
        <v/>
      </c>
      <c r="C2887" s="2" t="str">
        <f t="shared" si="3"/>
        <v>SP500</v>
      </c>
      <c r="D2887" s="2">
        <f t="shared" si="4"/>
        <v>2521.28</v>
      </c>
      <c r="E2887" s="2">
        <f t="shared" si="5"/>
        <v>2521.28</v>
      </c>
      <c r="G2887" s="10">
        <f t="shared" si="9"/>
        <v>40869.64583</v>
      </c>
      <c r="H2887" s="6" t="str">
        <f t="shared" si="6"/>
        <v/>
      </c>
      <c r="I2887" s="2">
        <f t="shared" si="7"/>
        <v>1426.89</v>
      </c>
      <c r="M2887" s="10">
        <f>IFERROR(__xludf.DUMMYFUNCTION("""COMPUTED_VALUE"""),42167.66666666667)</f>
        <v>42167.66667</v>
      </c>
      <c r="N2887" s="2">
        <f>IFERROR(__xludf.DUMMYFUNCTION("""COMPUTED_VALUE"""),5051.1)</f>
        <v>5051.1</v>
      </c>
    </row>
    <row r="2888">
      <c r="A2888" s="10">
        <f t="shared" si="8"/>
        <v>40870.66667</v>
      </c>
      <c r="B2888" s="2" t="str">
        <f t="shared" si="2"/>
        <v/>
      </c>
      <c r="C2888" s="2" t="str">
        <f t="shared" si="3"/>
        <v>SP500</v>
      </c>
      <c r="D2888" s="2">
        <f t="shared" si="4"/>
        <v>2460.08</v>
      </c>
      <c r="E2888" s="2">
        <f t="shared" si="5"/>
        <v>2460.08</v>
      </c>
      <c r="G2888" s="10">
        <f t="shared" si="9"/>
        <v>40870.64583</v>
      </c>
      <c r="H2888" s="6" t="str">
        <f t="shared" si="6"/>
        <v/>
      </c>
      <c r="I2888" s="2">
        <f t="shared" si="7"/>
        <v>1426.89</v>
      </c>
      <c r="M2888" s="10">
        <f>IFERROR(__xludf.DUMMYFUNCTION("""COMPUTED_VALUE"""),42170.66666666667)</f>
        <v>42170.66667</v>
      </c>
      <c r="N2888" s="2">
        <f>IFERROR(__xludf.DUMMYFUNCTION("""COMPUTED_VALUE"""),5029.97)</f>
        <v>5029.97</v>
      </c>
    </row>
    <row r="2889">
      <c r="A2889" s="10">
        <f t="shared" si="8"/>
        <v>40871.66667</v>
      </c>
      <c r="B2889" s="2" t="str">
        <f t="shared" si="2"/>
        <v/>
      </c>
      <c r="C2889" s="2" t="str">
        <f t="shared" si="3"/>
        <v>SP500</v>
      </c>
      <c r="D2889" s="2" t="str">
        <f t="shared" si="4"/>
        <v/>
      </c>
      <c r="E2889" s="2">
        <f t="shared" si="5"/>
        <v>2460.08</v>
      </c>
      <c r="G2889" s="10">
        <f t="shared" si="9"/>
        <v>40871.64583</v>
      </c>
      <c r="H2889" s="6" t="str">
        <f t="shared" si="6"/>
        <v/>
      </c>
      <c r="I2889" s="2">
        <f t="shared" si="7"/>
        <v>1426.89</v>
      </c>
      <c r="M2889" s="10">
        <f>IFERROR(__xludf.DUMMYFUNCTION("""COMPUTED_VALUE"""),42171.66666666667)</f>
        <v>42171.66667</v>
      </c>
      <c r="N2889" s="2">
        <f>IFERROR(__xludf.DUMMYFUNCTION("""COMPUTED_VALUE"""),5055.55)</f>
        <v>5055.55</v>
      </c>
    </row>
    <row r="2890">
      <c r="A2890" s="10">
        <f t="shared" si="8"/>
        <v>40872.66667</v>
      </c>
      <c r="B2890" s="2" t="str">
        <f t="shared" si="2"/>
        <v/>
      </c>
      <c r="C2890" s="2" t="str">
        <f t="shared" si="3"/>
        <v>SP500</v>
      </c>
      <c r="D2890" s="2">
        <f t="shared" si="4"/>
        <v>2441.51</v>
      </c>
      <c r="E2890" s="2">
        <f t="shared" si="5"/>
        <v>2441.51</v>
      </c>
      <c r="G2890" s="10">
        <f t="shared" si="9"/>
        <v>40872.64583</v>
      </c>
      <c r="H2890" s="6" t="str">
        <f t="shared" si="6"/>
        <v/>
      </c>
      <c r="I2890" s="2">
        <f t="shared" si="7"/>
        <v>1426.89</v>
      </c>
      <c r="M2890" s="10">
        <f>IFERROR(__xludf.DUMMYFUNCTION("""COMPUTED_VALUE"""),42172.66666666667)</f>
        <v>42172.66667</v>
      </c>
      <c r="N2890" s="2">
        <f>IFERROR(__xludf.DUMMYFUNCTION("""COMPUTED_VALUE"""),5064.88)</f>
        <v>5064.88</v>
      </c>
    </row>
    <row r="2891">
      <c r="A2891" s="10">
        <f t="shared" si="8"/>
        <v>40873.66667</v>
      </c>
      <c r="B2891" s="2" t="str">
        <f t="shared" si="2"/>
        <v/>
      </c>
      <c r="C2891" s="2" t="str">
        <f t="shared" si="3"/>
        <v>SP500</v>
      </c>
      <c r="D2891" s="2" t="str">
        <f t="shared" si="4"/>
        <v/>
      </c>
      <c r="E2891" s="2">
        <f t="shared" si="5"/>
        <v>2441.51</v>
      </c>
      <c r="G2891" s="10">
        <f t="shared" si="9"/>
        <v>40873.64583</v>
      </c>
      <c r="H2891" s="6" t="str">
        <f t="shared" si="6"/>
        <v/>
      </c>
      <c r="I2891" s="2">
        <f t="shared" si="7"/>
        <v>1426.89</v>
      </c>
      <c r="M2891" s="10">
        <f>IFERROR(__xludf.DUMMYFUNCTION("""COMPUTED_VALUE"""),42173.66666666667)</f>
        <v>42173.66667</v>
      </c>
      <c r="N2891" s="2">
        <f>IFERROR(__xludf.DUMMYFUNCTION("""COMPUTED_VALUE"""),5132.95)</f>
        <v>5132.95</v>
      </c>
    </row>
    <row r="2892">
      <c r="A2892" s="10">
        <f t="shared" si="8"/>
        <v>40874.66667</v>
      </c>
      <c r="B2892" s="2" t="str">
        <f t="shared" si="2"/>
        <v/>
      </c>
      <c r="C2892" s="2" t="str">
        <f t="shared" si="3"/>
        <v>SP500</v>
      </c>
      <c r="D2892" s="2" t="str">
        <f t="shared" si="4"/>
        <v/>
      </c>
      <c r="E2892" s="2">
        <f t="shared" si="5"/>
        <v>2441.51</v>
      </c>
      <c r="G2892" s="10">
        <f t="shared" si="9"/>
        <v>40874.64583</v>
      </c>
      <c r="H2892" s="6" t="str">
        <f t="shared" si="6"/>
        <v/>
      </c>
      <c r="I2892" s="2">
        <f t="shared" si="7"/>
        <v>1426.89</v>
      </c>
      <c r="M2892" s="10">
        <f>IFERROR(__xludf.DUMMYFUNCTION("""COMPUTED_VALUE"""),42174.66666666667)</f>
        <v>42174.66667</v>
      </c>
      <c r="N2892" s="2">
        <f>IFERROR(__xludf.DUMMYFUNCTION("""COMPUTED_VALUE"""),5117.0)</f>
        <v>5117</v>
      </c>
    </row>
    <row r="2893">
      <c r="A2893" s="10">
        <f t="shared" si="8"/>
        <v>40875.66667</v>
      </c>
      <c r="B2893" s="2" t="str">
        <f t="shared" si="2"/>
        <v/>
      </c>
      <c r="C2893" s="2" t="str">
        <f t="shared" si="3"/>
        <v>SP500</v>
      </c>
      <c r="D2893" s="2">
        <f t="shared" si="4"/>
        <v>2527.34</v>
      </c>
      <c r="E2893" s="2">
        <f t="shared" si="5"/>
        <v>2527.34</v>
      </c>
      <c r="G2893" s="10">
        <f t="shared" si="9"/>
        <v>40875.64583</v>
      </c>
      <c r="H2893" s="6" t="str">
        <f t="shared" si="6"/>
        <v/>
      </c>
      <c r="I2893" s="2">
        <f t="shared" si="7"/>
        <v>1426.89</v>
      </c>
      <c r="M2893" s="10">
        <f>IFERROR(__xludf.DUMMYFUNCTION("""COMPUTED_VALUE"""),42177.66666666667)</f>
        <v>42177.66667</v>
      </c>
      <c r="N2893" s="2">
        <f>IFERROR(__xludf.DUMMYFUNCTION("""COMPUTED_VALUE"""),5153.97)</f>
        <v>5153.97</v>
      </c>
    </row>
    <row r="2894">
      <c r="A2894" s="10">
        <f t="shared" si="8"/>
        <v>40876.66667</v>
      </c>
      <c r="B2894" s="2" t="str">
        <f t="shared" si="2"/>
        <v/>
      </c>
      <c r="C2894" s="2" t="str">
        <f t="shared" si="3"/>
        <v>SP500</v>
      </c>
      <c r="D2894" s="2">
        <f t="shared" si="4"/>
        <v>2515.51</v>
      </c>
      <c r="E2894" s="2">
        <f t="shared" si="5"/>
        <v>2515.51</v>
      </c>
      <c r="G2894" s="10">
        <f t="shared" si="9"/>
        <v>40876.64583</v>
      </c>
      <c r="H2894" s="6" t="str">
        <f t="shared" si="6"/>
        <v/>
      </c>
      <c r="I2894" s="2">
        <f t="shared" si="7"/>
        <v>1426.89</v>
      </c>
      <c r="M2894" s="10">
        <f>IFERROR(__xludf.DUMMYFUNCTION("""COMPUTED_VALUE"""),42178.66666666667)</f>
        <v>42178.66667</v>
      </c>
      <c r="N2894" s="2">
        <f>IFERROR(__xludf.DUMMYFUNCTION("""COMPUTED_VALUE"""),5160.09)</f>
        <v>5160.09</v>
      </c>
    </row>
    <row r="2895">
      <c r="A2895" s="10">
        <f t="shared" si="8"/>
        <v>40877.66667</v>
      </c>
      <c r="B2895" s="2" t="str">
        <f t="shared" si="2"/>
        <v/>
      </c>
      <c r="C2895" s="2" t="str">
        <f t="shared" si="3"/>
        <v>SP500</v>
      </c>
      <c r="D2895" s="2">
        <f t="shared" si="4"/>
        <v>2620.34</v>
      </c>
      <c r="E2895" s="2">
        <f t="shared" si="5"/>
        <v>2620.34</v>
      </c>
      <c r="G2895" s="10">
        <f t="shared" si="9"/>
        <v>40877.64583</v>
      </c>
      <c r="H2895" s="6" t="str">
        <f t="shared" si="6"/>
        <v/>
      </c>
      <c r="I2895" s="2">
        <f t="shared" si="7"/>
        <v>1426.89</v>
      </c>
      <c r="M2895" s="10">
        <f>IFERROR(__xludf.DUMMYFUNCTION("""COMPUTED_VALUE"""),42179.66666666667)</f>
        <v>42179.66667</v>
      </c>
      <c r="N2895" s="2">
        <f>IFERROR(__xludf.DUMMYFUNCTION("""COMPUTED_VALUE"""),5122.41)</f>
        <v>5122.41</v>
      </c>
    </row>
    <row r="2896">
      <c r="A2896" s="10">
        <f t="shared" si="8"/>
        <v>40878.66667</v>
      </c>
      <c r="B2896" s="2" t="str">
        <f t="shared" si="2"/>
        <v/>
      </c>
      <c r="C2896" s="2" t="str">
        <f t="shared" si="3"/>
        <v>SP500</v>
      </c>
      <c r="D2896" s="2">
        <f t="shared" si="4"/>
        <v>2626.2</v>
      </c>
      <c r="E2896" s="2">
        <f t="shared" si="5"/>
        <v>2626.2</v>
      </c>
      <c r="G2896" s="10">
        <f t="shared" si="9"/>
        <v>40878.64583</v>
      </c>
      <c r="H2896" s="6" t="str">
        <f t="shared" si="6"/>
        <v/>
      </c>
      <c r="I2896" s="2">
        <f t="shared" si="7"/>
        <v>1426.89</v>
      </c>
      <c r="M2896" s="10">
        <f>IFERROR(__xludf.DUMMYFUNCTION("""COMPUTED_VALUE"""),42180.66666666667)</f>
        <v>42180.66667</v>
      </c>
      <c r="N2896" s="2">
        <f>IFERROR(__xludf.DUMMYFUNCTION("""COMPUTED_VALUE"""),5112.19)</f>
        <v>5112.19</v>
      </c>
    </row>
    <row r="2897">
      <c r="A2897" s="10">
        <f t="shared" si="8"/>
        <v>40879.66667</v>
      </c>
      <c r="B2897" s="2" t="str">
        <f t="shared" si="2"/>
        <v/>
      </c>
      <c r="C2897" s="2" t="str">
        <f t="shared" si="3"/>
        <v>SP500</v>
      </c>
      <c r="D2897" s="2">
        <f t="shared" si="4"/>
        <v>2626.93</v>
      </c>
      <c r="E2897" s="2">
        <f t="shared" si="5"/>
        <v>2626.93</v>
      </c>
      <c r="G2897" s="10">
        <f t="shared" si="9"/>
        <v>40879.64583</v>
      </c>
      <c r="H2897" s="6" t="str">
        <f t="shared" si="6"/>
        <v/>
      </c>
      <c r="I2897" s="2">
        <f t="shared" si="7"/>
        <v>1426.89</v>
      </c>
      <c r="M2897" s="10">
        <f>IFERROR(__xludf.DUMMYFUNCTION("""COMPUTED_VALUE"""),42181.66666666667)</f>
        <v>42181.66667</v>
      </c>
      <c r="N2897" s="2">
        <f>IFERROR(__xludf.DUMMYFUNCTION("""COMPUTED_VALUE"""),5080.51)</f>
        <v>5080.51</v>
      </c>
    </row>
    <row r="2898">
      <c r="A2898" s="10">
        <f t="shared" si="8"/>
        <v>40880.66667</v>
      </c>
      <c r="B2898" s="2" t="str">
        <f t="shared" si="2"/>
        <v/>
      </c>
      <c r="C2898" s="2" t="str">
        <f t="shared" si="3"/>
        <v>SP500</v>
      </c>
      <c r="D2898" s="2" t="str">
        <f t="shared" si="4"/>
        <v/>
      </c>
      <c r="E2898" s="2">
        <f t="shared" si="5"/>
        <v>2626.93</v>
      </c>
      <c r="G2898" s="10">
        <f t="shared" si="9"/>
        <v>40880.64583</v>
      </c>
      <c r="H2898" s="6" t="str">
        <f t="shared" si="6"/>
        <v/>
      </c>
      <c r="I2898" s="2">
        <f t="shared" si="7"/>
        <v>1426.89</v>
      </c>
      <c r="M2898" s="10">
        <f>IFERROR(__xludf.DUMMYFUNCTION("""COMPUTED_VALUE"""),42184.66666666667)</f>
        <v>42184.66667</v>
      </c>
      <c r="N2898" s="2">
        <f>IFERROR(__xludf.DUMMYFUNCTION("""COMPUTED_VALUE"""),4958.47)</f>
        <v>4958.47</v>
      </c>
    </row>
    <row r="2899">
      <c r="A2899" s="10">
        <f t="shared" si="8"/>
        <v>40881.66667</v>
      </c>
      <c r="B2899" s="2" t="str">
        <f t="shared" si="2"/>
        <v/>
      </c>
      <c r="C2899" s="2" t="str">
        <f t="shared" si="3"/>
        <v>SP500</v>
      </c>
      <c r="D2899" s="2" t="str">
        <f t="shared" si="4"/>
        <v/>
      </c>
      <c r="E2899" s="2">
        <f t="shared" si="5"/>
        <v>2626.93</v>
      </c>
      <c r="G2899" s="10">
        <f t="shared" si="9"/>
        <v>40881.64583</v>
      </c>
      <c r="H2899" s="6" t="str">
        <f t="shared" si="6"/>
        <v/>
      </c>
      <c r="I2899" s="2">
        <f t="shared" si="7"/>
        <v>1426.89</v>
      </c>
      <c r="M2899" s="10">
        <f>IFERROR(__xludf.DUMMYFUNCTION("""COMPUTED_VALUE"""),42185.66666666667)</f>
        <v>42185.66667</v>
      </c>
      <c r="N2899" s="2">
        <f>IFERROR(__xludf.DUMMYFUNCTION("""COMPUTED_VALUE"""),4986.87)</f>
        <v>4986.87</v>
      </c>
    </row>
    <row r="2900">
      <c r="A2900" s="10">
        <f t="shared" si="8"/>
        <v>40882.66667</v>
      </c>
      <c r="B2900" s="2" t="str">
        <f t="shared" si="2"/>
        <v/>
      </c>
      <c r="C2900" s="2" t="str">
        <f t="shared" si="3"/>
        <v>SP500</v>
      </c>
      <c r="D2900" s="2">
        <f t="shared" si="4"/>
        <v>2655.76</v>
      </c>
      <c r="E2900" s="2">
        <f t="shared" si="5"/>
        <v>2655.76</v>
      </c>
      <c r="G2900" s="10">
        <f t="shared" si="9"/>
        <v>40882.64583</v>
      </c>
      <c r="H2900" s="6" t="str">
        <f t="shared" si="6"/>
        <v/>
      </c>
      <c r="I2900" s="2">
        <f t="shared" si="7"/>
        <v>1426.89</v>
      </c>
      <c r="M2900" s="10">
        <f>IFERROR(__xludf.DUMMYFUNCTION("""COMPUTED_VALUE"""),42186.66666666667)</f>
        <v>42186.66667</v>
      </c>
      <c r="N2900" s="2">
        <f>IFERROR(__xludf.DUMMYFUNCTION("""COMPUTED_VALUE"""),5013.12)</f>
        <v>5013.12</v>
      </c>
    </row>
    <row r="2901">
      <c r="A2901" s="10">
        <f t="shared" si="8"/>
        <v>40883.66667</v>
      </c>
      <c r="B2901" s="2" t="str">
        <f t="shared" si="2"/>
        <v/>
      </c>
      <c r="C2901" s="2" t="str">
        <f t="shared" si="3"/>
        <v>SP500</v>
      </c>
      <c r="D2901" s="2">
        <f t="shared" si="4"/>
        <v>2649.56</v>
      </c>
      <c r="E2901" s="2">
        <f t="shared" si="5"/>
        <v>2649.56</v>
      </c>
      <c r="G2901" s="10">
        <f t="shared" si="9"/>
        <v>40883.64583</v>
      </c>
      <c r="H2901" s="6" t="str">
        <f t="shared" si="6"/>
        <v/>
      </c>
      <c r="I2901" s="2">
        <f t="shared" si="7"/>
        <v>1426.89</v>
      </c>
      <c r="M2901" s="10">
        <f>IFERROR(__xludf.DUMMYFUNCTION("""COMPUTED_VALUE"""),42187.66666666667)</f>
        <v>42187.66667</v>
      </c>
      <c r="N2901" s="2">
        <f>IFERROR(__xludf.DUMMYFUNCTION("""COMPUTED_VALUE"""),5009.21)</f>
        <v>5009.21</v>
      </c>
    </row>
    <row r="2902">
      <c r="A2902" s="10">
        <f t="shared" si="8"/>
        <v>40884.66667</v>
      </c>
      <c r="B2902" s="2" t="str">
        <f t="shared" si="2"/>
        <v/>
      </c>
      <c r="C2902" s="2" t="str">
        <f t="shared" si="3"/>
        <v>SP500</v>
      </c>
      <c r="D2902" s="2">
        <f t="shared" si="4"/>
        <v>2649.21</v>
      </c>
      <c r="E2902" s="2">
        <f t="shared" si="5"/>
        <v>2649.21</v>
      </c>
      <c r="G2902" s="10">
        <f t="shared" si="9"/>
        <v>40884.64583</v>
      </c>
      <c r="H2902" s="6" t="str">
        <f t="shared" si="6"/>
        <v/>
      </c>
      <c r="I2902" s="2">
        <f t="shared" si="7"/>
        <v>1426.89</v>
      </c>
      <c r="M2902" s="10">
        <f>IFERROR(__xludf.DUMMYFUNCTION("""COMPUTED_VALUE"""),42191.66666666667)</f>
        <v>42191.66667</v>
      </c>
      <c r="N2902" s="2">
        <f>IFERROR(__xludf.DUMMYFUNCTION("""COMPUTED_VALUE"""),4991.94)</f>
        <v>4991.94</v>
      </c>
    </row>
    <row r="2903">
      <c r="A2903" s="10">
        <f t="shared" si="8"/>
        <v>40885.66667</v>
      </c>
      <c r="B2903" s="2" t="str">
        <f t="shared" si="2"/>
        <v/>
      </c>
      <c r="C2903" s="2" t="str">
        <f t="shared" si="3"/>
        <v>SP500</v>
      </c>
      <c r="D2903" s="2">
        <f t="shared" si="4"/>
        <v>2596.38</v>
      </c>
      <c r="E2903" s="2">
        <f t="shared" si="5"/>
        <v>2596.38</v>
      </c>
      <c r="G2903" s="10">
        <f t="shared" si="9"/>
        <v>40885.64583</v>
      </c>
      <c r="H2903" s="6" t="str">
        <f t="shared" si="6"/>
        <v/>
      </c>
      <c r="I2903" s="2">
        <f t="shared" si="7"/>
        <v>1426.89</v>
      </c>
      <c r="M2903" s="10">
        <f>IFERROR(__xludf.DUMMYFUNCTION("""COMPUTED_VALUE"""),42192.66666666667)</f>
        <v>42192.66667</v>
      </c>
      <c r="N2903" s="2">
        <f>IFERROR(__xludf.DUMMYFUNCTION("""COMPUTED_VALUE"""),4997.46)</f>
        <v>4997.46</v>
      </c>
    </row>
    <row r="2904">
      <c r="A2904" s="10">
        <f t="shared" si="8"/>
        <v>40886.66667</v>
      </c>
      <c r="B2904" s="2" t="str">
        <f t="shared" si="2"/>
        <v/>
      </c>
      <c r="C2904" s="2" t="str">
        <f t="shared" si="3"/>
        <v>SP500</v>
      </c>
      <c r="D2904" s="2">
        <f t="shared" si="4"/>
        <v>2646.85</v>
      </c>
      <c r="E2904" s="2">
        <f t="shared" si="5"/>
        <v>2646.85</v>
      </c>
      <c r="G2904" s="10">
        <f t="shared" si="9"/>
        <v>40886.64583</v>
      </c>
      <c r="H2904" s="6" t="str">
        <f t="shared" si="6"/>
        <v/>
      </c>
      <c r="I2904" s="2">
        <f t="shared" si="7"/>
        <v>1426.89</v>
      </c>
      <c r="M2904" s="10">
        <f>IFERROR(__xludf.DUMMYFUNCTION("""COMPUTED_VALUE"""),42193.66666666667)</f>
        <v>42193.66667</v>
      </c>
      <c r="N2904" s="2">
        <f>IFERROR(__xludf.DUMMYFUNCTION("""COMPUTED_VALUE"""),4909.76)</f>
        <v>4909.76</v>
      </c>
    </row>
    <row r="2905">
      <c r="A2905" s="10">
        <f t="shared" si="8"/>
        <v>40887.66667</v>
      </c>
      <c r="B2905" s="2" t="str">
        <f t="shared" si="2"/>
        <v/>
      </c>
      <c r="C2905" s="2" t="str">
        <f t="shared" si="3"/>
        <v>SP500</v>
      </c>
      <c r="D2905" s="2" t="str">
        <f t="shared" si="4"/>
        <v/>
      </c>
      <c r="E2905" s="2">
        <f t="shared" si="5"/>
        <v>2646.85</v>
      </c>
      <c r="G2905" s="10">
        <f t="shared" si="9"/>
        <v>40887.64583</v>
      </c>
      <c r="H2905" s="6" t="str">
        <f t="shared" si="6"/>
        <v/>
      </c>
      <c r="I2905" s="2">
        <f t="shared" si="7"/>
        <v>1426.89</v>
      </c>
      <c r="M2905" s="10">
        <f>IFERROR(__xludf.DUMMYFUNCTION("""COMPUTED_VALUE"""),42194.66666666667)</f>
        <v>42194.66667</v>
      </c>
      <c r="N2905" s="2">
        <f>IFERROR(__xludf.DUMMYFUNCTION("""COMPUTED_VALUE"""),4922.4)</f>
        <v>4922.4</v>
      </c>
    </row>
    <row r="2906">
      <c r="A2906" s="10">
        <f t="shared" si="8"/>
        <v>40888.66667</v>
      </c>
      <c r="B2906" s="2" t="str">
        <f t="shared" si="2"/>
        <v/>
      </c>
      <c r="C2906" s="2" t="str">
        <f t="shared" si="3"/>
        <v>SP500</v>
      </c>
      <c r="D2906" s="2" t="str">
        <f t="shared" si="4"/>
        <v/>
      </c>
      <c r="E2906" s="2">
        <f t="shared" si="5"/>
        <v>2646.85</v>
      </c>
      <c r="G2906" s="10">
        <f t="shared" si="9"/>
        <v>40888.64583</v>
      </c>
      <c r="H2906" s="6" t="str">
        <f t="shared" si="6"/>
        <v/>
      </c>
      <c r="I2906" s="2">
        <f t="shared" si="7"/>
        <v>1426.89</v>
      </c>
      <c r="M2906" s="10">
        <f>IFERROR(__xludf.DUMMYFUNCTION("""COMPUTED_VALUE"""),42195.66666666667)</f>
        <v>42195.66667</v>
      </c>
      <c r="N2906" s="2">
        <f>IFERROR(__xludf.DUMMYFUNCTION("""COMPUTED_VALUE"""),4997.7)</f>
        <v>4997.7</v>
      </c>
    </row>
    <row r="2907">
      <c r="A2907" s="10">
        <f t="shared" si="8"/>
        <v>40889.66667</v>
      </c>
      <c r="B2907" s="2" t="str">
        <f t="shared" si="2"/>
        <v/>
      </c>
      <c r="C2907" s="2" t="str">
        <f t="shared" si="3"/>
        <v>SP500</v>
      </c>
      <c r="D2907" s="2">
        <f t="shared" si="4"/>
        <v>2612.26</v>
      </c>
      <c r="E2907" s="2">
        <f t="shared" si="5"/>
        <v>2612.26</v>
      </c>
      <c r="G2907" s="10">
        <f t="shared" si="9"/>
        <v>40889.64583</v>
      </c>
      <c r="H2907" s="6" t="str">
        <f t="shared" si="6"/>
        <v/>
      </c>
      <c r="I2907" s="2">
        <f t="shared" si="7"/>
        <v>1426.89</v>
      </c>
      <c r="M2907" s="10">
        <f>IFERROR(__xludf.DUMMYFUNCTION("""COMPUTED_VALUE"""),42198.66666666667)</f>
        <v>42198.66667</v>
      </c>
      <c r="N2907" s="2">
        <f>IFERROR(__xludf.DUMMYFUNCTION("""COMPUTED_VALUE"""),5071.51)</f>
        <v>5071.51</v>
      </c>
    </row>
    <row r="2908">
      <c r="A2908" s="10">
        <f t="shared" si="8"/>
        <v>40890.66667</v>
      </c>
      <c r="B2908" s="2" t="str">
        <f t="shared" si="2"/>
        <v/>
      </c>
      <c r="C2908" s="2" t="str">
        <f t="shared" si="3"/>
        <v>SP500</v>
      </c>
      <c r="D2908" s="2">
        <f t="shared" si="4"/>
        <v>2579.27</v>
      </c>
      <c r="E2908" s="2">
        <f t="shared" si="5"/>
        <v>2579.27</v>
      </c>
      <c r="G2908" s="10">
        <f t="shared" si="9"/>
        <v>40890.64583</v>
      </c>
      <c r="H2908" s="6" t="str">
        <f t="shared" si="6"/>
        <v/>
      </c>
      <c r="I2908" s="2">
        <f t="shared" si="7"/>
        <v>1426.89</v>
      </c>
      <c r="M2908" s="10">
        <f>IFERROR(__xludf.DUMMYFUNCTION("""COMPUTED_VALUE"""),42199.66666666667)</f>
        <v>42199.66667</v>
      </c>
      <c r="N2908" s="2">
        <f>IFERROR(__xludf.DUMMYFUNCTION("""COMPUTED_VALUE"""),5104.89)</f>
        <v>5104.89</v>
      </c>
    </row>
    <row r="2909">
      <c r="A2909" s="10">
        <f t="shared" si="8"/>
        <v>40891.66667</v>
      </c>
      <c r="B2909" s="2" t="str">
        <f t="shared" si="2"/>
        <v/>
      </c>
      <c r="C2909" s="2" t="str">
        <f t="shared" si="3"/>
        <v>SP500</v>
      </c>
      <c r="D2909" s="2">
        <f t="shared" si="4"/>
        <v>2539.31</v>
      </c>
      <c r="E2909" s="2">
        <f t="shared" si="5"/>
        <v>2539.31</v>
      </c>
      <c r="G2909" s="10">
        <f t="shared" si="9"/>
        <v>40891.64583</v>
      </c>
      <c r="H2909" s="6" t="str">
        <f t="shared" si="6"/>
        <v/>
      </c>
      <c r="I2909" s="2">
        <f t="shared" si="7"/>
        <v>1426.89</v>
      </c>
      <c r="M2909" s="10">
        <f>IFERROR(__xludf.DUMMYFUNCTION("""COMPUTED_VALUE"""),42200.66666666667)</f>
        <v>42200.66667</v>
      </c>
      <c r="N2909" s="2">
        <f>IFERROR(__xludf.DUMMYFUNCTION("""COMPUTED_VALUE"""),5098.94)</f>
        <v>5098.94</v>
      </c>
    </row>
    <row r="2910">
      <c r="A2910" s="10">
        <f t="shared" si="8"/>
        <v>40892.66667</v>
      </c>
      <c r="B2910" s="2" t="str">
        <f t="shared" si="2"/>
        <v/>
      </c>
      <c r="C2910" s="2" t="str">
        <f t="shared" si="3"/>
        <v>SP500</v>
      </c>
      <c r="D2910" s="2">
        <f t="shared" si="4"/>
        <v>2541.01</v>
      </c>
      <c r="E2910" s="2">
        <f t="shared" si="5"/>
        <v>2541.01</v>
      </c>
      <c r="G2910" s="10">
        <f t="shared" si="9"/>
        <v>40892.64583</v>
      </c>
      <c r="H2910" s="6" t="str">
        <f t="shared" si="6"/>
        <v/>
      </c>
      <c r="I2910" s="2">
        <f t="shared" si="7"/>
        <v>1426.89</v>
      </c>
      <c r="M2910" s="10">
        <f>IFERROR(__xludf.DUMMYFUNCTION("""COMPUTED_VALUE"""),42201.66666666667)</f>
        <v>42201.66667</v>
      </c>
      <c r="N2910" s="2">
        <f>IFERROR(__xludf.DUMMYFUNCTION("""COMPUTED_VALUE"""),5163.18)</f>
        <v>5163.18</v>
      </c>
    </row>
    <row r="2911">
      <c r="A2911" s="10">
        <f t="shared" si="8"/>
        <v>40893.66667</v>
      </c>
      <c r="B2911" s="2" t="str">
        <f t="shared" si="2"/>
        <v/>
      </c>
      <c r="C2911" s="2" t="str">
        <f t="shared" si="3"/>
        <v>SP500</v>
      </c>
      <c r="D2911" s="2">
        <f t="shared" si="4"/>
        <v>2555.33</v>
      </c>
      <c r="E2911" s="2">
        <f t="shared" si="5"/>
        <v>2555.33</v>
      </c>
      <c r="G2911" s="10">
        <f t="shared" si="9"/>
        <v>40893.64583</v>
      </c>
      <c r="H2911" s="6" t="str">
        <f t="shared" si="6"/>
        <v/>
      </c>
      <c r="I2911" s="2">
        <f t="shared" si="7"/>
        <v>1426.89</v>
      </c>
      <c r="M2911" s="10">
        <f>IFERROR(__xludf.DUMMYFUNCTION("""COMPUTED_VALUE"""),42202.66666666667)</f>
        <v>42202.66667</v>
      </c>
      <c r="N2911" s="2">
        <f>IFERROR(__xludf.DUMMYFUNCTION("""COMPUTED_VALUE"""),5210.14)</f>
        <v>5210.14</v>
      </c>
    </row>
    <row r="2912">
      <c r="A2912" s="10">
        <f t="shared" si="8"/>
        <v>40894.66667</v>
      </c>
      <c r="B2912" s="2" t="str">
        <f t="shared" si="2"/>
        <v/>
      </c>
      <c r="C2912" s="2" t="str">
        <f t="shared" si="3"/>
        <v>SP500</v>
      </c>
      <c r="D2912" s="2" t="str">
        <f t="shared" si="4"/>
        <v/>
      </c>
      <c r="E2912" s="2">
        <f t="shared" si="5"/>
        <v>2555.33</v>
      </c>
      <c r="G2912" s="10">
        <f t="shared" si="9"/>
        <v>40894.64583</v>
      </c>
      <c r="H2912" s="6" t="str">
        <f t="shared" si="6"/>
        <v/>
      </c>
      <c r="I2912" s="2">
        <f t="shared" si="7"/>
        <v>1426.89</v>
      </c>
      <c r="M2912" s="10">
        <f>IFERROR(__xludf.DUMMYFUNCTION("""COMPUTED_VALUE"""),42205.66666666667)</f>
        <v>42205.66667</v>
      </c>
      <c r="N2912" s="2">
        <f>IFERROR(__xludf.DUMMYFUNCTION("""COMPUTED_VALUE"""),5218.86)</f>
        <v>5218.86</v>
      </c>
    </row>
    <row r="2913">
      <c r="A2913" s="10">
        <f t="shared" si="8"/>
        <v>40895.66667</v>
      </c>
      <c r="B2913" s="2" t="str">
        <f t="shared" si="2"/>
        <v/>
      </c>
      <c r="C2913" s="2" t="str">
        <f t="shared" si="3"/>
        <v>SP500</v>
      </c>
      <c r="D2913" s="2" t="str">
        <f t="shared" si="4"/>
        <v/>
      </c>
      <c r="E2913" s="2">
        <f t="shared" si="5"/>
        <v>2555.33</v>
      </c>
      <c r="G2913" s="10">
        <f t="shared" si="9"/>
        <v>40895.64583</v>
      </c>
      <c r="H2913" s="6" t="str">
        <f t="shared" si="6"/>
        <v/>
      </c>
      <c r="I2913" s="2">
        <f t="shared" si="7"/>
        <v>1426.89</v>
      </c>
      <c r="M2913" s="10">
        <f>IFERROR(__xludf.DUMMYFUNCTION("""COMPUTED_VALUE"""),42206.66666666667)</f>
        <v>42206.66667</v>
      </c>
      <c r="N2913" s="2">
        <f>IFERROR(__xludf.DUMMYFUNCTION("""COMPUTED_VALUE"""),5208.12)</f>
        <v>5208.12</v>
      </c>
    </row>
    <row r="2914">
      <c r="A2914" s="10">
        <f t="shared" si="8"/>
        <v>40896.66667</v>
      </c>
      <c r="B2914" s="2" t="str">
        <f t="shared" si="2"/>
        <v/>
      </c>
      <c r="C2914" s="2" t="str">
        <f t="shared" si="3"/>
        <v>SP500</v>
      </c>
      <c r="D2914" s="2">
        <f t="shared" si="4"/>
        <v>2523.14</v>
      </c>
      <c r="E2914" s="2">
        <f t="shared" si="5"/>
        <v>2523.14</v>
      </c>
      <c r="G2914" s="10">
        <f t="shared" si="9"/>
        <v>40896.64583</v>
      </c>
      <c r="H2914" s="6" t="str">
        <f t="shared" si="6"/>
        <v/>
      </c>
      <c r="I2914" s="2">
        <f t="shared" si="7"/>
        <v>1426.89</v>
      </c>
      <c r="M2914" s="10">
        <f>IFERROR(__xludf.DUMMYFUNCTION("""COMPUTED_VALUE"""),42207.66666666667)</f>
        <v>42207.66667</v>
      </c>
      <c r="N2914" s="2">
        <f>IFERROR(__xludf.DUMMYFUNCTION("""COMPUTED_VALUE"""),5171.77)</f>
        <v>5171.77</v>
      </c>
    </row>
    <row r="2915">
      <c r="A2915" s="10">
        <f t="shared" si="8"/>
        <v>40897.66667</v>
      </c>
      <c r="B2915" s="2" t="str">
        <f t="shared" si="2"/>
        <v/>
      </c>
      <c r="C2915" s="2" t="str">
        <f t="shared" si="3"/>
        <v>SP500</v>
      </c>
      <c r="D2915" s="2">
        <f t="shared" si="4"/>
        <v>2603.73</v>
      </c>
      <c r="E2915" s="2">
        <f t="shared" si="5"/>
        <v>2603.73</v>
      </c>
      <c r="G2915" s="10">
        <f t="shared" si="9"/>
        <v>40897.64583</v>
      </c>
      <c r="H2915" s="6" t="str">
        <f t="shared" si="6"/>
        <v/>
      </c>
      <c r="I2915" s="2">
        <f t="shared" si="7"/>
        <v>1426.89</v>
      </c>
      <c r="M2915" s="10">
        <f>IFERROR(__xludf.DUMMYFUNCTION("""COMPUTED_VALUE"""),42208.66666666667)</f>
        <v>42208.66667</v>
      </c>
      <c r="N2915" s="2">
        <f>IFERROR(__xludf.DUMMYFUNCTION("""COMPUTED_VALUE"""),5146.41)</f>
        <v>5146.41</v>
      </c>
    </row>
    <row r="2916">
      <c r="A2916" s="10">
        <f t="shared" si="8"/>
        <v>40898.66667</v>
      </c>
      <c r="B2916" s="2" t="str">
        <f t="shared" si="2"/>
        <v/>
      </c>
      <c r="C2916" s="2" t="str">
        <f t="shared" si="3"/>
        <v>SP500</v>
      </c>
      <c r="D2916" s="2">
        <f t="shared" si="4"/>
        <v>2577.97</v>
      </c>
      <c r="E2916" s="2">
        <f t="shared" si="5"/>
        <v>2577.97</v>
      </c>
      <c r="G2916" s="10">
        <f t="shared" si="9"/>
        <v>40898.64583</v>
      </c>
      <c r="H2916" s="6" t="str">
        <f t="shared" si="6"/>
        <v/>
      </c>
      <c r="I2916" s="2">
        <f t="shared" si="7"/>
        <v>1426.89</v>
      </c>
      <c r="M2916" s="10">
        <f>IFERROR(__xludf.DUMMYFUNCTION("""COMPUTED_VALUE"""),42209.66666666667)</f>
        <v>42209.66667</v>
      </c>
      <c r="N2916" s="2">
        <f>IFERROR(__xludf.DUMMYFUNCTION("""COMPUTED_VALUE"""),5088.63)</f>
        <v>5088.63</v>
      </c>
    </row>
    <row r="2917">
      <c r="A2917" s="10">
        <f t="shared" si="8"/>
        <v>40899.66667</v>
      </c>
      <c r="B2917" s="2" t="str">
        <f t="shared" si="2"/>
        <v/>
      </c>
      <c r="C2917" s="2" t="str">
        <f t="shared" si="3"/>
        <v>SP500</v>
      </c>
      <c r="D2917" s="2">
        <f t="shared" si="4"/>
        <v>2599.45</v>
      </c>
      <c r="E2917" s="2">
        <f t="shared" si="5"/>
        <v>2599.45</v>
      </c>
      <c r="G2917" s="10">
        <f t="shared" si="9"/>
        <v>40899.64583</v>
      </c>
      <c r="H2917" s="6" t="str">
        <f t="shared" si="6"/>
        <v/>
      </c>
      <c r="I2917" s="2">
        <f t="shared" si="7"/>
        <v>1426.89</v>
      </c>
      <c r="M2917" s="10">
        <f>IFERROR(__xludf.DUMMYFUNCTION("""COMPUTED_VALUE"""),42212.66666666667)</f>
        <v>42212.66667</v>
      </c>
      <c r="N2917" s="2">
        <f>IFERROR(__xludf.DUMMYFUNCTION("""COMPUTED_VALUE"""),5039.78)</f>
        <v>5039.78</v>
      </c>
    </row>
    <row r="2918">
      <c r="A2918" s="10">
        <f t="shared" si="8"/>
        <v>40900.66667</v>
      </c>
      <c r="B2918" s="2" t="str">
        <f t="shared" si="2"/>
        <v/>
      </c>
      <c r="C2918" s="2" t="str">
        <f t="shared" si="3"/>
        <v>SP500</v>
      </c>
      <c r="D2918" s="2">
        <f t="shared" si="4"/>
        <v>2618.64</v>
      </c>
      <c r="E2918" s="2">
        <f t="shared" si="5"/>
        <v>2618.64</v>
      </c>
      <c r="G2918" s="10">
        <f t="shared" si="9"/>
        <v>40900.64583</v>
      </c>
      <c r="H2918" s="6" t="str">
        <f t="shared" si="6"/>
        <v/>
      </c>
      <c r="I2918" s="2">
        <f t="shared" si="7"/>
        <v>1426.89</v>
      </c>
      <c r="M2918" s="10">
        <f>IFERROR(__xludf.DUMMYFUNCTION("""COMPUTED_VALUE"""),42213.66666666667)</f>
        <v>42213.66667</v>
      </c>
      <c r="N2918" s="2">
        <f>IFERROR(__xludf.DUMMYFUNCTION("""COMPUTED_VALUE"""),5089.21)</f>
        <v>5089.21</v>
      </c>
    </row>
    <row r="2919">
      <c r="A2919" s="10">
        <f t="shared" si="8"/>
        <v>40901.66667</v>
      </c>
      <c r="B2919" s="2" t="str">
        <f t="shared" si="2"/>
        <v/>
      </c>
      <c r="C2919" s="2" t="str">
        <f t="shared" si="3"/>
        <v>SP500</v>
      </c>
      <c r="D2919" s="2" t="str">
        <f t="shared" si="4"/>
        <v/>
      </c>
      <c r="E2919" s="2">
        <f t="shared" si="5"/>
        <v>2618.64</v>
      </c>
      <c r="G2919" s="10">
        <f t="shared" si="9"/>
        <v>40901.64583</v>
      </c>
      <c r="H2919" s="6" t="str">
        <f t="shared" si="6"/>
        <v/>
      </c>
      <c r="I2919" s="2">
        <f t="shared" si="7"/>
        <v>1426.89</v>
      </c>
      <c r="M2919" s="10">
        <f>IFERROR(__xludf.DUMMYFUNCTION("""COMPUTED_VALUE"""),42214.66666666667)</f>
        <v>42214.66667</v>
      </c>
      <c r="N2919" s="2">
        <f>IFERROR(__xludf.DUMMYFUNCTION("""COMPUTED_VALUE"""),5111.73)</f>
        <v>5111.73</v>
      </c>
    </row>
    <row r="2920">
      <c r="A2920" s="10">
        <f t="shared" si="8"/>
        <v>40902.66667</v>
      </c>
      <c r="B2920" s="2" t="str">
        <f t="shared" si="2"/>
        <v/>
      </c>
      <c r="C2920" s="2" t="str">
        <f t="shared" si="3"/>
        <v>SP500</v>
      </c>
      <c r="D2920" s="2" t="str">
        <f t="shared" si="4"/>
        <v/>
      </c>
      <c r="E2920" s="2">
        <f t="shared" si="5"/>
        <v>2618.64</v>
      </c>
      <c r="G2920" s="10">
        <f t="shared" si="9"/>
        <v>40902.64583</v>
      </c>
      <c r="H2920" s="6" t="str">
        <f t="shared" si="6"/>
        <v/>
      </c>
      <c r="I2920" s="2">
        <f t="shared" si="7"/>
        <v>1426.89</v>
      </c>
      <c r="M2920" s="10">
        <f>IFERROR(__xludf.DUMMYFUNCTION("""COMPUTED_VALUE"""),42215.66666666667)</f>
        <v>42215.66667</v>
      </c>
      <c r="N2920" s="2">
        <f>IFERROR(__xludf.DUMMYFUNCTION("""COMPUTED_VALUE"""),5128.78)</f>
        <v>5128.78</v>
      </c>
    </row>
    <row r="2921">
      <c r="A2921" s="10">
        <f t="shared" si="8"/>
        <v>40903.66667</v>
      </c>
      <c r="B2921" s="2" t="str">
        <f t="shared" si="2"/>
        <v/>
      </c>
      <c r="C2921" s="2" t="str">
        <f t="shared" si="3"/>
        <v>SP500</v>
      </c>
      <c r="D2921" s="2" t="str">
        <f t="shared" si="4"/>
        <v/>
      </c>
      <c r="E2921" s="2">
        <f t="shared" si="5"/>
        <v>2618.64</v>
      </c>
      <c r="G2921" s="10">
        <f t="shared" si="9"/>
        <v>40903.64583</v>
      </c>
      <c r="H2921" s="6" t="str">
        <f t="shared" si="6"/>
        <v/>
      </c>
      <c r="I2921" s="2">
        <f t="shared" si="7"/>
        <v>1426.89</v>
      </c>
      <c r="M2921" s="10">
        <f>IFERROR(__xludf.DUMMYFUNCTION("""COMPUTED_VALUE"""),42216.66666666667)</f>
        <v>42216.66667</v>
      </c>
      <c r="N2921" s="2">
        <f>IFERROR(__xludf.DUMMYFUNCTION("""COMPUTED_VALUE"""),5128.28)</f>
        <v>5128.28</v>
      </c>
    </row>
    <row r="2922">
      <c r="A2922" s="10">
        <f t="shared" si="8"/>
        <v>40904.66667</v>
      </c>
      <c r="B2922" s="2" t="str">
        <f t="shared" si="2"/>
        <v/>
      </c>
      <c r="C2922" s="2" t="str">
        <f t="shared" si="3"/>
        <v>SP500</v>
      </c>
      <c r="D2922" s="2">
        <f t="shared" si="4"/>
        <v>2625.2</v>
      </c>
      <c r="E2922" s="2">
        <f t="shared" si="5"/>
        <v>2625.2</v>
      </c>
      <c r="G2922" s="10">
        <f t="shared" si="9"/>
        <v>40904.64583</v>
      </c>
      <c r="H2922" s="6" t="str">
        <f t="shared" si="6"/>
        <v/>
      </c>
      <c r="I2922" s="2">
        <f t="shared" si="7"/>
        <v>1426.89</v>
      </c>
      <c r="M2922" s="10">
        <f>IFERROR(__xludf.DUMMYFUNCTION("""COMPUTED_VALUE"""),42219.66666666667)</f>
        <v>42219.66667</v>
      </c>
      <c r="N2922" s="2">
        <f>IFERROR(__xludf.DUMMYFUNCTION("""COMPUTED_VALUE"""),5115.38)</f>
        <v>5115.38</v>
      </c>
    </row>
    <row r="2923">
      <c r="A2923" s="10">
        <f t="shared" si="8"/>
        <v>40905.66667</v>
      </c>
      <c r="B2923" s="2" t="str">
        <f t="shared" si="2"/>
        <v/>
      </c>
      <c r="C2923" s="2" t="str">
        <f t="shared" si="3"/>
        <v>SP500</v>
      </c>
      <c r="D2923" s="2">
        <f t="shared" si="4"/>
        <v>2589.98</v>
      </c>
      <c r="E2923" s="2">
        <f t="shared" si="5"/>
        <v>2589.98</v>
      </c>
      <c r="G2923" s="10">
        <f t="shared" si="9"/>
        <v>40905.64583</v>
      </c>
      <c r="H2923" s="6" t="str">
        <f t="shared" si="6"/>
        <v/>
      </c>
      <c r="I2923" s="2">
        <f t="shared" si="7"/>
        <v>1426.89</v>
      </c>
      <c r="M2923" s="10">
        <f>IFERROR(__xludf.DUMMYFUNCTION("""COMPUTED_VALUE"""),42220.66666666667)</f>
        <v>42220.66667</v>
      </c>
      <c r="N2923" s="2">
        <f>IFERROR(__xludf.DUMMYFUNCTION("""COMPUTED_VALUE"""),5105.55)</f>
        <v>5105.55</v>
      </c>
    </row>
    <row r="2924">
      <c r="A2924" s="10">
        <f t="shared" si="8"/>
        <v>40906.66667</v>
      </c>
      <c r="B2924" s="2" t="str">
        <f t="shared" si="2"/>
        <v/>
      </c>
      <c r="C2924" s="2" t="str">
        <f t="shared" si="3"/>
        <v>SP500</v>
      </c>
      <c r="D2924" s="2">
        <f t="shared" si="4"/>
        <v>2613.74</v>
      </c>
      <c r="E2924" s="2">
        <f t="shared" si="5"/>
        <v>2613.74</v>
      </c>
      <c r="G2924" s="10">
        <f t="shared" si="9"/>
        <v>40906.64583</v>
      </c>
      <c r="H2924" s="6" t="str">
        <f t="shared" si="6"/>
        <v/>
      </c>
      <c r="I2924" s="2">
        <f t="shared" si="7"/>
        <v>1426.89</v>
      </c>
      <c r="M2924" s="10">
        <f>IFERROR(__xludf.DUMMYFUNCTION("""COMPUTED_VALUE"""),42221.66666666667)</f>
        <v>42221.66667</v>
      </c>
      <c r="N2924" s="2">
        <f>IFERROR(__xludf.DUMMYFUNCTION("""COMPUTED_VALUE"""),5139.94)</f>
        <v>5139.94</v>
      </c>
    </row>
    <row r="2925">
      <c r="A2925" s="10">
        <f t="shared" si="8"/>
        <v>40907.66667</v>
      </c>
      <c r="B2925" s="2" t="str">
        <f t="shared" si="2"/>
        <v/>
      </c>
      <c r="C2925" s="2" t="str">
        <f t="shared" si="3"/>
        <v>SP500</v>
      </c>
      <c r="D2925" s="2">
        <f t="shared" si="4"/>
        <v>2605.15</v>
      </c>
      <c r="E2925" s="2">
        <f t="shared" si="5"/>
        <v>2605.15</v>
      </c>
      <c r="G2925" s="10">
        <f t="shared" si="9"/>
        <v>40907.64583</v>
      </c>
      <c r="H2925" s="6" t="str">
        <f t="shared" si="6"/>
        <v/>
      </c>
      <c r="I2925" s="2">
        <f t="shared" si="7"/>
        <v>1426.89</v>
      </c>
      <c r="M2925" s="10">
        <f>IFERROR(__xludf.DUMMYFUNCTION("""COMPUTED_VALUE"""),42222.66666666667)</f>
        <v>42222.66667</v>
      </c>
      <c r="N2925" s="2">
        <f>IFERROR(__xludf.DUMMYFUNCTION("""COMPUTED_VALUE"""),5056.44)</f>
        <v>5056.44</v>
      </c>
    </row>
    <row r="2926">
      <c r="A2926" s="10">
        <f t="shared" si="8"/>
        <v>40908.66667</v>
      </c>
      <c r="B2926" s="2" t="str">
        <f t="shared" si="2"/>
        <v/>
      </c>
      <c r="C2926" s="2" t="str">
        <f t="shared" si="3"/>
        <v>SP500</v>
      </c>
      <c r="D2926" s="2" t="str">
        <f t="shared" si="4"/>
        <v/>
      </c>
      <c r="E2926" s="2">
        <f t="shared" si="5"/>
        <v>2605.15</v>
      </c>
      <c r="G2926" s="10">
        <f t="shared" si="9"/>
        <v>40908.64583</v>
      </c>
      <c r="H2926" s="6" t="str">
        <f t="shared" si="6"/>
        <v/>
      </c>
      <c r="I2926" s="2">
        <f t="shared" si="7"/>
        <v>1426.89</v>
      </c>
      <c r="M2926" s="10">
        <f>IFERROR(__xludf.DUMMYFUNCTION("""COMPUTED_VALUE"""),42223.66666666667)</f>
        <v>42223.66667</v>
      </c>
      <c r="N2926" s="2">
        <f>IFERROR(__xludf.DUMMYFUNCTION("""COMPUTED_VALUE"""),5043.54)</f>
        <v>5043.54</v>
      </c>
    </row>
    <row r="2927">
      <c r="A2927" s="10">
        <f t="shared" si="8"/>
        <v>40909.66667</v>
      </c>
      <c r="B2927" s="2" t="str">
        <f t="shared" si="2"/>
        <v/>
      </c>
      <c r="C2927" s="2" t="str">
        <f t="shared" si="3"/>
        <v>SP500</v>
      </c>
      <c r="D2927" s="2" t="str">
        <f t="shared" si="4"/>
        <v/>
      </c>
      <c r="E2927" s="2">
        <f t="shared" si="5"/>
        <v>2605.15</v>
      </c>
      <c r="G2927" s="10">
        <f t="shared" si="9"/>
        <v>40909.64583</v>
      </c>
      <c r="H2927" s="6" t="str">
        <f t="shared" si="6"/>
        <v/>
      </c>
      <c r="I2927" s="2">
        <f t="shared" si="7"/>
        <v>1426.89</v>
      </c>
      <c r="M2927" s="10">
        <f>IFERROR(__xludf.DUMMYFUNCTION("""COMPUTED_VALUE"""),42226.66666666667)</f>
        <v>42226.66667</v>
      </c>
      <c r="N2927" s="2">
        <f>IFERROR(__xludf.DUMMYFUNCTION("""COMPUTED_VALUE"""),5101.8)</f>
        <v>5101.8</v>
      </c>
    </row>
    <row r="2928">
      <c r="A2928" s="10">
        <f t="shared" si="8"/>
        <v>40910.66667</v>
      </c>
      <c r="B2928" s="2" t="str">
        <f t="shared" si="2"/>
        <v/>
      </c>
      <c r="C2928" s="2" t="str">
        <f t="shared" si="3"/>
        <v>SP500</v>
      </c>
      <c r="D2928" s="2" t="str">
        <f t="shared" si="4"/>
        <v/>
      </c>
      <c r="E2928" s="2">
        <f t="shared" si="5"/>
        <v>2605.15</v>
      </c>
      <c r="G2928" s="10">
        <f t="shared" si="9"/>
        <v>40910.64583</v>
      </c>
      <c r="H2928" s="6" t="str">
        <f t="shared" si="6"/>
        <v/>
      </c>
      <c r="I2928" s="2">
        <f t="shared" si="7"/>
        <v>1426.89</v>
      </c>
      <c r="M2928" s="10">
        <f>IFERROR(__xludf.DUMMYFUNCTION("""COMPUTED_VALUE"""),42227.66666666667)</f>
        <v>42227.66667</v>
      </c>
      <c r="N2928" s="2">
        <f>IFERROR(__xludf.DUMMYFUNCTION("""COMPUTED_VALUE"""),5036.79)</f>
        <v>5036.79</v>
      </c>
    </row>
    <row r="2929">
      <c r="A2929" s="10">
        <f t="shared" si="8"/>
        <v>40911.66667</v>
      </c>
      <c r="B2929" s="2" t="str">
        <f t="shared" si="2"/>
        <v/>
      </c>
      <c r="C2929" s="2" t="str">
        <f t="shared" si="3"/>
        <v>SP500</v>
      </c>
      <c r="D2929" s="2">
        <f t="shared" si="4"/>
        <v>2648.72</v>
      </c>
      <c r="E2929" s="2">
        <f t="shared" si="5"/>
        <v>2648.72</v>
      </c>
      <c r="G2929" s="10">
        <f t="shared" si="9"/>
        <v>40911.64583</v>
      </c>
      <c r="H2929" s="6" t="str">
        <f t="shared" si="6"/>
        <v/>
      </c>
      <c r="I2929" s="2">
        <f t="shared" si="7"/>
        <v>1426.89</v>
      </c>
      <c r="M2929" s="10">
        <f>IFERROR(__xludf.DUMMYFUNCTION("""COMPUTED_VALUE"""),42228.66666666667)</f>
        <v>42228.66667</v>
      </c>
      <c r="N2929" s="2">
        <f>IFERROR(__xludf.DUMMYFUNCTION("""COMPUTED_VALUE"""),5044.39)</f>
        <v>5044.39</v>
      </c>
    </row>
    <row r="2930">
      <c r="A2930" s="10">
        <f t="shared" si="8"/>
        <v>40912.66667</v>
      </c>
      <c r="B2930" s="2" t="str">
        <f t="shared" si="2"/>
        <v/>
      </c>
      <c r="C2930" s="2" t="str">
        <f t="shared" si="3"/>
        <v>SP500</v>
      </c>
      <c r="D2930" s="2">
        <f t="shared" si="4"/>
        <v>2648.36</v>
      </c>
      <c r="E2930" s="2">
        <f t="shared" si="5"/>
        <v>2648.36</v>
      </c>
      <c r="G2930" s="10">
        <f t="shared" si="9"/>
        <v>40912.64583</v>
      </c>
      <c r="H2930" s="6" t="str">
        <f t="shared" si="6"/>
        <v/>
      </c>
      <c r="I2930" s="2">
        <f t="shared" si="7"/>
        <v>1426.89</v>
      </c>
      <c r="M2930" s="10">
        <f>IFERROR(__xludf.DUMMYFUNCTION("""COMPUTED_VALUE"""),42229.66666666667)</f>
        <v>42229.66667</v>
      </c>
      <c r="N2930" s="2">
        <f>IFERROR(__xludf.DUMMYFUNCTION("""COMPUTED_VALUE"""),5033.56)</f>
        <v>5033.56</v>
      </c>
    </row>
    <row r="2931">
      <c r="A2931" s="10">
        <f t="shared" si="8"/>
        <v>40913.66667</v>
      </c>
      <c r="B2931" s="2" t="str">
        <f t="shared" si="2"/>
        <v/>
      </c>
      <c r="C2931" s="2" t="str">
        <f t="shared" si="3"/>
        <v>SP500</v>
      </c>
      <c r="D2931" s="2">
        <f t="shared" si="4"/>
        <v>2669.86</v>
      </c>
      <c r="E2931" s="2">
        <f t="shared" si="5"/>
        <v>2669.86</v>
      </c>
      <c r="G2931" s="10">
        <f t="shared" si="9"/>
        <v>40913.64583</v>
      </c>
      <c r="H2931" s="6" t="str">
        <f t="shared" si="6"/>
        <v/>
      </c>
      <c r="I2931" s="2">
        <f t="shared" si="7"/>
        <v>1426.89</v>
      </c>
      <c r="M2931" s="10">
        <f>IFERROR(__xludf.DUMMYFUNCTION("""COMPUTED_VALUE"""),42230.66666666667)</f>
        <v>42230.66667</v>
      </c>
      <c r="N2931" s="2">
        <f>IFERROR(__xludf.DUMMYFUNCTION("""COMPUTED_VALUE"""),5048.24)</f>
        <v>5048.24</v>
      </c>
    </row>
    <row r="2932">
      <c r="A2932" s="10">
        <f t="shared" si="8"/>
        <v>40914.66667</v>
      </c>
      <c r="B2932" s="2" t="str">
        <f t="shared" si="2"/>
        <v/>
      </c>
      <c r="C2932" s="2" t="str">
        <f t="shared" si="3"/>
        <v>SP500</v>
      </c>
      <c r="D2932" s="2">
        <f t="shared" si="4"/>
        <v>2674.22</v>
      </c>
      <c r="E2932" s="2">
        <f t="shared" si="5"/>
        <v>2674.22</v>
      </c>
      <c r="G2932" s="10">
        <f t="shared" si="9"/>
        <v>40914.64583</v>
      </c>
      <c r="H2932" s="6" t="str">
        <f t="shared" si="6"/>
        <v/>
      </c>
      <c r="I2932" s="2">
        <f t="shared" si="7"/>
        <v>1426.89</v>
      </c>
      <c r="M2932" s="10">
        <f>IFERROR(__xludf.DUMMYFUNCTION("""COMPUTED_VALUE"""),42233.66666666667)</f>
        <v>42233.66667</v>
      </c>
      <c r="N2932" s="2">
        <f>IFERROR(__xludf.DUMMYFUNCTION("""COMPUTED_VALUE"""),5091.7)</f>
        <v>5091.7</v>
      </c>
    </row>
    <row r="2933">
      <c r="A2933" s="10">
        <f t="shared" si="8"/>
        <v>40915.66667</v>
      </c>
      <c r="B2933" s="2" t="str">
        <f t="shared" si="2"/>
        <v/>
      </c>
      <c r="C2933" s="2" t="str">
        <f t="shared" si="3"/>
        <v>SP500</v>
      </c>
      <c r="D2933" s="2" t="str">
        <f t="shared" si="4"/>
        <v/>
      </c>
      <c r="E2933" s="2">
        <f t="shared" si="5"/>
        <v>2674.22</v>
      </c>
      <c r="G2933" s="10">
        <f t="shared" si="9"/>
        <v>40915.64583</v>
      </c>
      <c r="H2933" s="6" t="str">
        <f t="shared" si="6"/>
        <v/>
      </c>
      <c r="I2933" s="2">
        <f t="shared" si="7"/>
        <v>1426.89</v>
      </c>
      <c r="M2933" s="10">
        <f>IFERROR(__xludf.DUMMYFUNCTION("""COMPUTED_VALUE"""),42234.66666666667)</f>
        <v>42234.66667</v>
      </c>
      <c r="N2933" s="2">
        <f>IFERROR(__xludf.DUMMYFUNCTION("""COMPUTED_VALUE"""),5059.35)</f>
        <v>5059.35</v>
      </c>
    </row>
    <row r="2934">
      <c r="A2934" s="10">
        <f t="shared" si="8"/>
        <v>40916.66667</v>
      </c>
      <c r="B2934" s="2" t="str">
        <f t="shared" si="2"/>
        <v/>
      </c>
      <c r="C2934" s="2" t="str">
        <f t="shared" si="3"/>
        <v>SP500</v>
      </c>
      <c r="D2934" s="2" t="str">
        <f t="shared" si="4"/>
        <v/>
      </c>
      <c r="E2934" s="2">
        <f t="shared" si="5"/>
        <v>2674.22</v>
      </c>
      <c r="G2934" s="10">
        <f t="shared" si="9"/>
        <v>40916.64583</v>
      </c>
      <c r="H2934" s="6" t="str">
        <f t="shared" si="6"/>
        <v/>
      </c>
      <c r="I2934" s="2">
        <f t="shared" si="7"/>
        <v>1426.89</v>
      </c>
      <c r="M2934" s="10">
        <f>IFERROR(__xludf.DUMMYFUNCTION("""COMPUTED_VALUE"""),42235.66666666667)</f>
        <v>42235.66667</v>
      </c>
      <c r="N2934" s="2">
        <f>IFERROR(__xludf.DUMMYFUNCTION("""COMPUTED_VALUE"""),5019.05)</f>
        <v>5019.05</v>
      </c>
    </row>
    <row r="2935">
      <c r="A2935" s="10">
        <f t="shared" si="8"/>
        <v>40917.66667</v>
      </c>
      <c r="B2935" s="2" t="str">
        <f t="shared" si="2"/>
        <v/>
      </c>
      <c r="C2935" s="2" t="str">
        <f t="shared" si="3"/>
        <v>SP500</v>
      </c>
      <c r="D2935" s="2">
        <f t="shared" si="4"/>
        <v>2676.56</v>
      </c>
      <c r="E2935" s="2">
        <f t="shared" si="5"/>
        <v>2676.56</v>
      </c>
      <c r="G2935" s="10">
        <f t="shared" si="9"/>
        <v>40917.64583</v>
      </c>
      <c r="H2935" s="6" t="str">
        <f t="shared" si="6"/>
        <v/>
      </c>
      <c r="I2935" s="2">
        <f t="shared" si="7"/>
        <v>1426.89</v>
      </c>
      <c r="M2935" s="10">
        <f>IFERROR(__xludf.DUMMYFUNCTION("""COMPUTED_VALUE"""),42236.66666666667)</f>
        <v>42236.66667</v>
      </c>
      <c r="N2935" s="2">
        <f>IFERROR(__xludf.DUMMYFUNCTION("""COMPUTED_VALUE"""),4877.49)</f>
        <v>4877.49</v>
      </c>
    </row>
    <row r="2936">
      <c r="A2936" s="10">
        <f t="shared" si="8"/>
        <v>40918.66667</v>
      </c>
      <c r="B2936" s="2" t="str">
        <f t="shared" si="2"/>
        <v/>
      </c>
      <c r="C2936" s="2" t="str">
        <f t="shared" si="3"/>
        <v>SP500</v>
      </c>
      <c r="D2936" s="2">
        <f t="shared" si="4"/>
        <v>2702.5</v>
      </c>
      <c r="E2936" s="2">
        <f t="shared" si="5"/>
        <v>2702.5</v>
      </c>
      <c r="G2936" s="10">
        <f t="shared" si="9"/>
        <v>40918.64583</v>
      </c>
      <c r="H2936" s="6" t="str">
        <f t="shared" si="6"/>
        <v/>
      </c>
      <c r="I2936" s="2">
        <f t="shared" si="7"/>
        <v>1426.89</v>
      </c>
      <c r="M2936" s="10">
        <f>IFERROR(__xludf.DUMMYFUNCTION("""COMPUTED_VALUE"""),42237.66666666667)</f>
        <v>42237.66667</v>
      </c>
      <c r="N2936" s="2">
        <f>IFERROR(__xludf.DUMMYFUNCTION("""COMPUTED_VALUE"""),4706.04)</f>
        <v>4706.04</v>
      </c>
    </row>
    <row r="2937">
      <c r="A2937" s="10">
        <f t="shared" si="8"/>
        <v>40919.66667</v>
      </c>
      <c r="B2937" s="2" t="str">
        <f t="shared" si="2"/>
        <v/>
      </c>
      <c r="C2937" s="2" t="str">
        <f t="shared" si="3"/>
        <v>SP500</v>
      </c>
      <c r="D2937" s="2">
        <f t="shared" si="4"/>
        <v>2710.76</v>
      </c>
      <c r="E2937" s="2">
        <f t="shared" si="5"/>
        <v>2710.76</v>
      </c>
      <c r="G2937" s="10">
        <f t="shared" si="9"/>
        <v>40919.64583</v>
      </c>
      <c r="H2937" s="6" t="str">
        <f t="shared" si="6"/>
        <v/>
      </c>
      <c r="I2937" s="2">
        <f t="shared" si="7"/>
        <v>1426.89</v>
      </c>
      <c r="M2937" s="10">
        <f>IFERROR(__xludf.DUMMYFUNCTION("""COMPUTED_VALUE"""),42240.66666666667)</f>
        <v>42240.66667</v>
      </c>
      <c r="N2937" s="2">
        <f>IFERROR(__xludf.DUMMYFUNCTION("""COMPUTED_VALUE"""),4526.25)</f>
        <v>4526.25</v>
      </c>
    </row>
    <row r="2938">
      <c r="A2938" s="10">
        <f t="shared" si="8"/>
        <v>40920.66667</v>
      </c>
      <c r="B2938" s="2" t="str">
        <f t="shared" si="2"/>
        <v/>
      </c>
      <c r="C2938" s="2" t="str">
        <f t="shared" si="3"/>
        <v>SP500</v>
      </c>
      <c r="D2938" s="2">
        <f t="shared" si="4"/>
        <v>2724.7</v>
      </c>
      <c r="E2938" s="2">
        <f t="shared" si="5"/>
        <v>2724.7</v>
      </c>
      <c r="G2938" s="10">
        <f t="shared" si="9"/>
        <v>40920.64583</v>
      </c>
      <c r="H2938" s="6" t="str">
        <f t="shared" si="6"/>
        <v/>
      </c>
      <c r="I2938" s="2">
        <f t="shared" si="7"/>
        <v>1426.89</v>
      </c>
      <c r="M2938" s="10">
        <f>IFERROR(__xludf.DUMMYFUNCTION("""COMPUTED_VALUE"""),42241.66666666667)</f>
        <v>42241.66667</v>
      </c>
      <c r="N2938" s="2">
        <f>IFERROR(__xludf.DUMMYFUNCTION("""COMPUTED_VALUE"""),4506.49)</f>
        <v>4506.49</v>
      </c>
    </row>
    <row r="2939">
      <c r="A2939" s="10">
        <f t="shared" si="8"/>
        <v>40921.66667</v>
      </c>
      <c r="B2939" s="2" t="str">
        <f t="shared" si="2"/>
        <v/>
      </c>
      <c r="C2939" s="2" t="str">
        <f t="shared" si="3"/>
        <v>SP500</v>
      </c>
      <c r="D2939" s="2">
        <f t="shared" si="4"/>
        <v>2710.67</v>
      </c>
      <c r="E2939" s="2">
        <f t="shared" si="5"/>
        <v>2710.67</v>
      </c>
      <c r="G2939" s="10">
        <f t="shared" si="9"/>
        <v>40921.64583</v>
      </c>
      <c r="H2939" s="6" t="str">
        <f t="shared" si="6"/>
        <v/>
      </c>
      <c r="I2939" s="2">
        <f t="shared" si="7"/>
        <v>1426.89</v>
      </c>
      <c r="M2939" s="10">
        <f>IFERROR(__xludf.DUMMYFUNCTION("""COMPUTED_VALUE"""),42242.66666666667)</f>
        <v>42242.66667</v>
      </c>
      <c r="N2939" s="2">
        <f>IFERROR(__xludf.DUMMYFUNCTION("""COMPUTED_VALUE"""),4697.54)</f>
        <v>4697.54</v>
      </c>
    </row>
    <row r="2940">
      <c r="A2940" s="10">
        <f t="shared" si="8"/>
        <v>40922.66667</v>
      </c>
      <c r="B2940" s="2" t="str">
        <f t="shared" si="2"/>
        <v/>
      </c>
      <c r="C2940" s="2" t="str">
        <f t="shared" si="3"/>
        <v>SP500</v>
      </c>
      <c r="D2940" s="2" t="str">
        <f t="shared" si="4"/>
        <v/>
      </c>
      <c r="E2940" s="2">
        <f t="shared" si="5"/>
        <v>2710.67</v>
      </c>
      <c r="G2940" s="10">
        <f t="shared" si="9"/>
        <v>40922.64583</v>
      </c>
      <c r="H2940" s="6" t="str">
        <f t="shared" si="6"/>
        <v/>
      </c>
      <c r="I2940" s="2">
        <f t="shared" si="7"/>
        <v>1426.89</v>
      </c>
      <c r="M2940" s="10">
        <f>IFERROR(__xludf.DUMMYFUNCTION("""COMPUTED_VALUE"""),42243.66666666667)</f>
        <v>42243.66667</v>
      </c>
      <c r="N2940" s="2">
        <f>IFERROR(__xludf.DUMMYFUNCTION("""COMPUTED_VALUE"""),4812.71)</f>
        <v>4812.71</v>
      </c>
    </row>
    <row r="2941">
      <c r="A2941" s="10">
        <f t="shared" si="8"/>
        <v>40923.66667</v>
      </c>
      <c r="B2941" s="2" t="str">
        <f t="shared" si="2"/>
        <v/>
      </c>
      <c r="C2941" s="2" t="str">
        <f t="shared" si="3"/>
        <v>SP500</v>
      </c>
      <c r="D2941" s="2" t="str">
        <f t="shared" si="4"/>
        <v/>
      </c>
      <c r="E2941" s="2">
        <f t="shared" si="5"/>
        <v>2710.67</v>
      </c>
      <c r="G2941" s="10">
        <f t="shared" si="9"/>
        <v>40923.64583</v>
      </c>
      <c r="H2941" s="6" t="str">
        <f t="shared" si="6"/>
        <v/>
      </c>
      <c r="I2941" s="2">
        <f t="shared" si="7"/>
        <v>1426.89</v>
      </c>
      <c r="M2941" s="10">
        <f>IFERROR(__xludf.DUMMYFUNCTION("""COMPUTED_VALUE"""),42244.66666666667)</f>
        <v>42244.66667</v>
      </c>
      <c r="N2941" s="2">
        <f>IFERROR(__xludf.DUMMYFUNCTION("""COMPUTED_VALUE"""),4828.32)</f>
        <v>4828.32</v>
      </c>
    </row>
    <row r="2942">
      <c r="A2942" s="10">
        <f t="shared" si="8"/>
        <v>40924.66667</v>
      </c>
      <c r="B2942" s="2" t="str">
        <f t="shared" si="2"/>
        <v/>
      </c>
      <c r="C2942" s="2" t="str">
        <f t="shared" si="3"/>
        <v>SP500</v>
      </c>
      <c r="D2942" s="2" t="str">
        <f t="shared" si="4"/>
        <v/>
      </c>
      <c r="E2942" s="2">
        <f t="shared" si="5"/>
        <v>2710.67</v>
      </c>
      <c r="G2942" s="10">
        <f t="shared" si="9"/>
        <v>40924.64583</v>
      </c>
      <c r="H2942" s="6" t="str">
        <f t="shared" si="6"/>
        <v/>
      </c>
      <c r="I2942" s="2">
        <f t="shared" si="7"/>
        <v>1426.89</v>
      </c>
      <c r="M2942" s="10">
        <f>IFERROR(__xludf.DUMMYFUNCTION("""COMPUTED_VALUE"""),42247.66666666667)</f>
        <v>42247.66667</v>
      </c>
      <c r="N2942" s="2">
        <f>IFERROR(__xludf.DUMMYFUNCTION("""COMPUTED_VALUE"""),4776.51)</f>
        <v>4776.51</v>
      </c>
    </row>
    <row r="2943">
      <c r="A2943" s="10">
        <f t="shared" si="8"/>
        <v>40925.66667</v>
      </c>
      <c r="B2943" s="2" t="str">
        <f t="shared" si="2"/>
        <v/>
      </c>
      <c r="C2943" s="2" t="str">
        <f t="shared" si="3"/>
        <v>SP500</v>
      </c>
      <c r="D2943" s="2">
        <f t="shared" si="4"/>
        <v>2728.08</v>
      </c>
      <c r="E2943" s="2">
        <f t="shared" si="5"/>
        <v>2728.08</v>
      </c>
      <c r="G2943" s="10">
        <f t="shared" si="9"/>
        <v>40925.64583</v>
      </c>
      <c r="H2943" s="6" t="str">
        <f t="shared" si="6"/>
        <v/>
      </c>
      <c r="I2943" s="2">
        <f t="shared" si="7"/>
        <v>1426.89</v>
      </c>
      <c r="M2943" s="10">
        <f>IFERROR(__xludf.DUMMYFUNCTION("""COMPUTED_VALUE"""),42248.66666666667)</f>
        <v>42248.66667</v>
      </c>
      <c r="N2943" s="2">
        <f>IFERROR(__xludf.DUMMYFUNCTION("""COMPUTED_VALUE"""),4636.1)</f>
        <v>4636.1</v>
      </c>
    </row>
    <row r="2944">
      <c r="A2944" s="10">
        <f t="shared" si="8"/>
        <v>40926.66667</v>
      </c>
      <c r="B2944" s="2" t="str">
        <f t="shared" si="2"/>
        <v/>
      </c>
      <c r="C2944" s="2" t="str">
        <f t="shared" si="3"/>
        <v>SP500</v>
      </c>
      <c r="D2944" s="2">
        <f t="shared" si="4"/>
        <v>2769.71</v>
      </c>
      <c r="E2944" s="2">
        <f t="shared" si="5"/>
        <v>2769.71</v>
      </c>
      <c r="G2944" s="10">
        <f t="shared" si="9"/>
        <v>40926.64583</v>
      </c>
      <c r="H2944" s="6" t="str">
        <f t="shared" si="6"/>
        <v/>
      </c>
      <c r="I2944" s="2">
        <f t="shared" si="7"/>
        <v>1426.89</v>
      </c>
      <c r="M2944" s="10">
        <f>IFERROR(__xludf.DUMMYFUNCTION("""COMPUTED_VALUE"""),42249.66666666667)</f>
        <v>42249.66667</v>
      </c>
      <c r="N2944" s="2">
        <f>IFERROR(__xludf.DUMMYFUNCTION("""COMPUTED_VALUE"""),4749.98)</f>
        <v>4749.98</v>
      </c>
    </row>
    <row r="2945">
      <c r="A2945" s="10">
        <f t="shared" si="8"/>
        <v>40927.66667</v>
      </c>
      <c r="B2945" s="2" t="str">
        <f t="shared" si="2"/>
        <v/>
      </c>
      <c r="C2945" s="2" t="str">
        <f t="shared" si="3"/>
        <v>SP500</v>
      </c>
      <c r="D2945" s="2">
        <f t="shared" si="4"/>
        <v>2788.33</v>
      </c>
      <c r="E2945" s="2">
        <f t="shared" si="5"/>
        <v>2788.33</v>
      </c>
      <c r="G2945" s="10">
        <f t="shared" si="9"/>
        <v>40927.64583</v>
      </c>
      <c r="H2945" s="6" t="str">
        <f t="shared" si="6"/>
        <v/>
      </c>
      <c r="I2945" s="2">
        <f t="shared" si="7"/>
        <v>1426.89</v>
      </c>
      <c r="M2945" s="10">
        <f>IFERROR(__xludf.DUMMYFUNCTION("""COMPUTED_VALUE"""),42250.66666666667)</f>
        <v>42250.66667</v>
      </c>
      <c r="N2945" s="2">
        <f>IFERROR(__xludf.DUMMYFUNCTION("""COMPUTED_VALUE"""),4733.5)</f>
        <v>4733.5</v>
      </c>
    </row>
    <row r="2946">
      <c r="A2946" s="10">
        <f t="shared" si="8"/>
        <v>40928.66667</v>
      </c>
      <c r="B2946" s="2" t="str">
        <f t="shared" si="2"/>
        <v/>
      </c>
      <c r="C2946" s="2" t="str">
        <f t="shared" si="3"/>
        <v>SP500</v>
      </c>
      <c r="D2946" s="2">
        <f t="shared" si="4"/>
        <v>2786.7</v>
      </c>
      <c r="E2946" s="2">
        <f t="shared" si="5"/>
        <v>2786.7</v>
      </c>
      <c r="G2946" s="10">
        <f t="shared" si="9"/>
        <v>40928.64583</v>
      </c>
      <c r="H2946" s="6" t="str">
        <f t="shared" si="6"/>
        <v/>
      </c>
      <c r="I2946" s="2">
        <f t="shared" si="7"/>
        <v>1426.89</v>
      </c>
      <c r="M2946" s="10">
        <f>IFERROR(__xludf.DUMMYFUNCTION("""COMPUTED_VALUE"""),42251.66666666667)</f>
        <v>42251.66667</v>
      </c>
      <c r="N2946" s="2">
        <f>IFERROR(__xludf.DUMMYFUNCTION("""COMPUTED_VALUE"""),4683.92)</f>
        <v>4683.92</v>
      </c>
    </row>
    <row r="2947">
      <c r="A2947" s="10">
        <f t="shared" si="8"/>
        <v>40929.66667</v>
      </c>
      <c r="B2947" s="2" t="str">
        <f t="shared" si="2"/>
        <v/>
      </c>
      <c r="C2947" s="2" t="str">
        <f t="shared" si="3"/>
        <v>SP500</v>
      </c>
      <c r="D2947" s="2" t="str">
        <f t="shared" si="4"/>
        <v/>
      </c>
      <c r="E2947" s="2">
        <f t="shared" si="5"/>
        <v>2786.7</v>
      </c>
      <c r="G2947" s="10">
        <f t="shared" si="9"/>
        <v>40929.64583</v>
      </c>
      <c r="H2947" s="6" t="str">
        <f t="shared" si="6"/>
        <v/>
      </c>
      <c r="I2947" s="2">
        <f t="shared" si="7"/>
        <v>1426.89</v>
      </c>
      <c r="M2947" s="10">
        <f>IFERROR(__xludf.DUMMYFUNCTION("""COMPUTED_VALUE"""),42255.66666666667)</f>
        <v>42255.66667</v>
      </c>
      <c r="N2947" s="2">
        <f>IFERROR(__xludf.DUMMYFUNCTION("""COMPUTED_VALUE"""),4811.93)</f>
        <v>4811.93</v>
      </c>
    </row>
    <row r="2948">
      <c r="A2948" s="10">
        <f t="shared" si="8"/>
        <v>40930.66667</v>
      </c>
      <c r="B2948" s="2" t="str">
        <f t="shared" si="2"/>
        <v/>
      </c>
      <c r="C2948" s="2" t="str">
        <f t="shared" si="3"/>
        <v>SP500</v>
      </c>
      <c r="D2948" s="2" t="str">
        <f t="shared" si="4"/>
        <v/>
      </c>
      <c r="E2948" s="2">
        <f t="shared" si="5"/>
        <v>2786.7</v>
      </c>
      <c r="G2948" s="10">
        <f t="shared" si="9"/>
        <v>40930.64583</v>
      </c>
      <c r="H2948" s="6" t="str">
        <f t="shared" si="6"/>
        <v/>
      </c>
      <c r="I2948" s="2">
        <f t="shared" si="7"/>
        <v>1426.89</v>
      </c>
      <c r="M2948" s="10">
        <f>IFERROR(__xludf.DUMMYFUNCTION("""COMPUTED_VALUE"""),42256.66666666667)</f>
        <v>42256.66667</v>
      </c>
      <c r="N2948" s="2">
        <f>IFERROR(__xludf.DUMMYFUNCTION("""COMPUTED_VALUE"""),4756.53)</f>
        <v>4756.53</v>
      </c>
    </row>
    <row r="2949">
      <c r="A2949" s="10">
        <f t="shared" si="8"/>
        <v>40931.66667</v>
      </c>
      <c r="B2949" s="2" t="str">
        <f t="shared" si="2"/>
        <v/>
      </c>
      <c r="C2949" s="2" t="str">
        <f t="shared" si="3"/>
        <v>SP500</v>
      </c>
      <c r="D2949" s="2">
        <f t="shared" si="4"/>
        <v>2784.17</v>
      </c>
      <c r="E2949" s="2">
        <f t="shared" si="5"/>
        <v>2784.17</v>
      </c>
      <c r="G2949" s="10">
        <f t="shared" si="9"/>
        <v>40931.64583</v>
      </c>
      <c r="H2949" s="6" t="str">
        <f t="shared" si="6"/>
        <v/>
      </c>
      <c r="I2949" s="2">
        <f t="shared" si="7"/>
        <v>1426.89</v>
      </c>
      <c r="M2949" s="10">
        <f>IFERROR(__xludf.DUMMYFUNCTION("""COMPUTED_VALUE"""),42257.66666666667)</f>
        <v>42257.66667</v>
      </c>
      <c r="N2949" s="2">
        <f>IFERROR(__xludf.DUMMYFUNCTION("""COMPUTED_VALUE"""),4796.25)</f>
        <v>4796.25</v>
      </c>
    </row>
    <row r="2950">
      <c r="A2950" s="10">
        <f t="shared" si="8"/>
        <v>40932.66667</v>
      </c>
      <c r="B2950" s="2" t="str">
        <f t="shared" si="2"/>
        <v/>
      </c>
      <c r="C2950" s="2" t="str">
        <f t="shared" si="3"/>
        <v>SP500</v>
      </c>
      <c r="D2950" s="2">
        <f t="shared" si="4"/>
        <v>2786.64</v>
      </c>
      <c r="E2950" s="2">
        <f t="shared" si="5"/>
        <v>2786.64</v>
      </c>
      <c r="G2950" s="10">
        <f t="shared" si="9"/>
        <v>40932.64583</v>
      </c>
      <c r="H2950" s="6" t="str">
        <f t="shared" si="6"/>
        <v/>
      </c>
      <c r="I2950" s="2">
        <f t="shared" si="7"/>
        <v>1426.89</v>
      </c>
      <c r="M2950" s="10">
        <f>IFERROR(__xludf.DUMMYFUNCTION("""COMPUTED_VALUE"""),42258.66666666667)</f>
        <v>42258.66667</v>
      </c>
      <c r="N2950" s="2">
        <f>IFERROR(__xludf.DUMMYFUNCTION("""COMPUTED_VALUE"""),4822.34)</f>
        <v>4822.34</v>
      </c>
    </row>
    <row r="2951">
      <c r="A2951" s="10">
        <f t="shared" si="8"/>
        <v>40933.66667</v>
      </c>
      <c r="B2951" s="2" t="str">
        <f t="shared" si="2"/>
        <v/>
      </c>
      <c r="C2951" s="2" t="str">
        <f t="shared" si="3"/>
        <v>SP500</v>
      </c>
      <c r="D2951" s="2">
        <f t="shared" si="4"/>
        <v>2818.31</v>
      </c>
      <c r="E2951" s="2">
        <f t="shared" si="5"/>
        <v>2818.31</v>
      </c>
      <c r="G2951" s="10">
        <f t="shared" si="9"/>
        <v>40933.64583</v>
      </c>
      <c r="H2951" s="6" t="str">
        <f t="shared" si="6"/>
        <v/>
      </c>
      <c r="I2951" s="2">
        <f t="shared" si="7"/>
        <v>1426.89</v>
      </c>
      <c r="M2951" s="10">
        <f>IFERROR(__xludf.DUMMYFUNCTION("""COMPUTED_VALUE"""),42261.66666666667)</f>
        <v>42261.66667</v>
      </c>
      <c r="N2951" s="2">
        <f>IFERROR(__xludf.DUMMYFUNCTION("""COMPUTED_VALUE"""),4805.76)</f>
        <v>4805.76</v>
      </c>
    </row>
    <row r="2952">
      <c r="A2952" s="10">
        <f t="shared" si="8"/>
        <v>40934.66667</v>
      </c>
      <c r="B2952" s="2" t="str">
        <f t="shared" si="2"/>
        <v/>
      </c>
      <c r="C2952" s="2" t="str">
        <f t="shared" si="3"/>
        <v>SP500</v>
      </c>
      <c r="D2952" s="2">
        <f t="shared" si="4"/>
        <v>2805.28</v>
      </c>
      <c r="E2952" s="2">
        <f t="shared" si="5"/>
        <v>2805.28</v>
      </c>
      <c r="G2952" s="10">
        <f t="shared" si="9"/>
        <v>40934.64583</v>
      </c>
      <c r="H2952" s="6" t="str">
        <f t="shared" si="6"/>
        <v/>
      </c>
      <c r="I2952" s="2">
        <f t="shared" si="7"/>
        <v>1426.89</v>
      </c>
      <c r="M2952" s="10">
        <f>IFERROR(__xludf.DUMMYFUNCTION("""COMPUTED_VALUE"""),42262.66666666667)</f>
        <v>42262.66667</v>
      </c>
      <c r="N2952" s="2">
        <f>IFERROR(__xludf.DUMMYFUNCTION("""COMPUTED_VALUE"""),4860.52)</f>
        <v>4860.52</v>
      </c>
    </row>
    <row r="2953">
      <c r="A2953" s="10">
        <f t="shared" si="8"/>
        <v>40935.66667</v>
      </c>
      <c r="B2953" s="2" t="str">
        <f t="shared" si="2"/>
        <v/>
      </c>
      <c r="C2953" s="2" t="str">
        <f t="shared" si="3"/>
        <v>SP500</v>
      </c>
      <c r="D2953" s="2">
        <f t="shared" si="4"/>
        <v>2816.55</v>
      </c>
      <c r="E2953" s="2">
        <f t="shared" si="5"/>
        <v>2816.55</v>
      </c>
      <c r="G2953" s="10">
        <f t="shared" si="9"/>
        <v>40935.64583</v>
      </c>
      <c r="H2953" s="6" t="str">
        <f t="shared" si="6"/>
        <v/>
      </c>
      <c r="I2953" s="2">
        <f t="shared" si="7"/>
        <v>1426.89</v>
      </c>
      <c r="M2953" s="10">
        <f>IFERROR(__xludf.DUMMYFUNCTION("""COMPUTED_VALUE"""),42263.66666666667)</f>
        <v>42263.66667</v>
      </c>
      <c r="N2953" s="2">
        <f>IFERROR(__xludf.DUMMYFUNCTION("""COMPUTED_VALUE"""),4889.24)</f>
        <v>4889.24</v>
      </c>
    </row>
    <row r="2954">
      <c r="A2954" s="10">
        <f t="shared" si="8"/>
        <v>40936.66667</v>
      </c>
      <c r="B2954" s="2" t="str">
        <f t="shared" si="2"/>
        <v/>
      </c>
      <c r="C2954" s="2" t="str">
        <f t="shared" si="3"/>
        <v>SP500</v>
      </c>
      <c r="D2954" s="2" t="str">
        <f t="shared" si="4"/>
        <v/>
      </c>
      <c r="E2954" s="2">
        <f t="shared" si="5"/>
        <v>2816.55</v>
      </c>
      <c r="G2954" s="10">
        <f t="shared" si="9"/>
        <v>40936.64583</v>
      </c>
      <c r="H2954" s="6" t="str">
        <f t="shared" si="6"/>
        <v/>
      </c>
      <c r="I2954" s="2">
        <f t="shared" si="7"/>
        <v>1426.89</v>
      </c>
      <c r="M2954" s="10">
        <f>IFERROR(__xludf.DUMMYFUNCTION("""COMPUTED_VALUE"""),42264.66666666667)</f>
        <v>42264.66667</v>
      </c>
      <c r="N2954" s="2">
        <f>IFERROR(__xludf.DUMMYFUNCTION("""COMPUTED_VALUE"""),4893.95)</f>
        <v>4893.95</v>
      </c>
    </row>
    <row r="2955">
      <c r="A2955" s="10">
        <f t="shared" si="8"/>
        <v>40937.66667</v>
      </c>
      <c r="B2955" s="2" t="str">
        <f t="shared" si="2"/>
        <v/>
      </c>
      <c r="C2955" s="2" t="str">
        <f t="shared" si="3"/>
        <v>SP500</v>
      </c>
      <c r="D2955" s="2" t="str">
        <f t="shared" si="4"/>
        <v/>
      </c>
      <c r="E2955" s="2">
        <f t="shared" si="5"/>
        <v>2816.55</v>
      </c>
      <c r="G2955" s="10">
        <f t="shared" si="9"/>
        <v>40937.64583</v>
      </c>
      <c r="H2955" s="6" t="str">
        <f t="shared" si="6"/>
        <v/>
      </c>
      <c r="I2955" s="2">
        <f t="shared" si="7"/>
        <v>1426.89</v>
      </c>
      <c r="M2955" s="10">
        <f>IFERROR(__xludf.DUMMYFUNCTION("""COMPUTED_VALUE"""),42265.66666666667)</f>
        <v>42265.66667</v>
      </c>
      <c r="N2955" s="2">
        <f>IFERROR(__xludf.DUMMYFUNCTION("""COMPUTED_VALUE"""),4827.23)</f>
        <v>4827.23</v>
      </c>
    </row>
    <row r="2956">
      <c r="A2956" s="10">
        <f t="shared" si="8"/>
        <v>40938.66667</v>
      </c>
      <c r="B2956" s="2" t="str">
        <f t="shared" si="2"/>
        <v/>
      </c>
      <c r="C2956" s="2" t="str">
        <f t="shared" si="3"/>
        <v>SP500</v>
      </c>
      <c r="D2956" s="2">
        <f t="shared" si="4"/>
        <v>2811.94</v>
      </c>
      <c r="E2956" s="2">
        <f t="shared" si="5"/>
        <v>2811.94</v>
      </c>
      <c r="G2956" s="10">
        <f t="shared" si="9"/>
        <v>40938.64583</v>
      </c>
      <c r="H2956" s="6" t="str">
        <f t="shared" si="6"/>
        <v/>
      </c>
      <c r="I2956" s="2">
        <f t="shared" si="7"/>
        <v>1426.89</v>
      </c>
      <c r="M2956" s="10">
        <f>IFERROR(__xludf.DUMMYFUNCTION("""COMPUTED_VALUE"""),42268.66666666667)</f>
        <v>42268.66667</v>
      </c>
      <c r="N2956" s="2">
        <f>IFERROR(__xludf.DUMMYFUNCTION("""COMPUTED_VALUE"""),4828.95)</f>
        <v>4828.95</v>
      </c>
    </row>
    <row r="2957">
      <c r="A2957" s="10">
        <f t="shared" si="8"/>
        <v>40939.66667</v>
      </c>
      <c r="B2957" s="2" t="str">
        <f t="shared" si="2"/>
        <v/>
      </c>
      <c r="C2957" s="2" t="str">
        <f t="shared" si="3"/>
        <v>SP500</v>
      </c>
      <c r="D2957" s="2">
        <f t="shared" si="4"/>
        <v>2813.84</v>
      </c>
      <c r="E2957" s="2">
        <f t="shared" si="5"/>
        <v>2813.84</v>
      </c>
      <c r="G2957" s="10">
        <f t="shared" si="9"/>
        <v>40939.64583</v>
      </c>
      <c r="H2957" s="6" t="str">
        <f t="shared" si="6"/>
        <v/>
      </c>
      <c r="I2957" s="2">
        <f t="shared" si="7"/>
        <v>1426.89</v>
      </c>
      <c r="M2957" s="10">
        <f>IFERROR(__xludf.DUMMYFUNCTION("""COMPUTED_VALUE"""),42269.66666666667)</f>
        <v>42269.66667</v>
      </c>
      <c r="N2957" s="2">
        <f>IFERROR(__xludf.DUMMYFUNCTION("""COMPUTED_VALUE"""),4756.72)</f>
        <v>4756.72</v>
      </c>
    </row>
    <row r="2958">
      <c r="A2958" s="10">
        <f t="shared" si="8"/>
        <v>40940.66667</v>
      </c>
      <c r="B2958" s="2" t="str">
        <f t="shared" si="2"/>
        <v/>
      </c>
      <c r="C2958" s="2" t="str">
        <f t="shared" si="3"/>
        <v>SP500</v>
      </c>
      <c r="D2958" s="2">
        <f t="shared" si="4"/>
        <v>2848.27</v>
      </c>
      <c r="E2958" s="2">
        <f t="shared" si="5"/>
        <v>2848.27</v>
      </c>
      <c r="G2958" s="10">
        <f t="shared" si="9"/>
        <v>40940.64583</v>
      </c>
      <c r="H2958" s="6" t="str">
        <f t="shared" si="6"/>
        <v/>
      </c>
      <c r="I2958" s="2">
        <f t="shared" si="7"/>
        <v>1426.89</v>
      </c>
      <c r="M2958" s="10">
        <f>IFERROR(__xludf.DUMMYFUNCTION("""COMPUTED_VALUE"""),42270.66666666667)</f>
        <v>42270.66667</v>
      </c>
      <c r="N2958" s="2">
        <f>IFERROR(__xludf.DUMMYFUNCTION("""COMPUTED_VALUE"""),4752.74)</f>
        <v>4752.74</v>
      </c>
    </row>
    <row r="2959">
      <c r="A2959" s="10">
        <f t="shared" si="8"/>
        <v>40941.66667</v>
      </c>
      <c r="B2959" s="2" t="str">
        <f t="shared" si="2"/>
        <v/>
      </c>
      <c r="C2959" s="2" t="str">
        <f t="shared" si="3"/>
        <v>SP500</v>
      </c>
      <c r="D2959" s="2">
        <f t="shared" si="4"/>
        <v>2859.68</v>
      </c>
      <c r="E2959" s="2">
        <f t="shared" si="5"/>
        <v>2859.68</v>
      </c>
      <c r="G2959" s="10">
        <f t="shared" si="9"/>
        <v>40941.64583</v>
      </c>
      <c r="H2959" s="6" t="str">
        <f t="shared" si="6"/>
        <v/>
      </c>
      <c r="I2959" s="2">
        <f t="shared" si="7"/>
        <v>1426.89</v>
      </c>
      <c r="M2959" s="10">
        <f>IFERROR(__xludf.DUMMYFUNCTION("""COMPUTED_VALUE"""),42271.66666666667)</f>
        <v>42271.66667</v>
      </c>
      <c r="N2959" s="2">
        <f>IFERROR(__xludf.DUMMYFUNCTION("""COMPUTED_VALUE"""),4734.48)</f>
        <v>4734.48</v>
      </c>
    </row>
    <row r="2960">
      <c r="A2960" s="10">
        <f t="shared" si="8"/>
        <v>40942.66667</v>
      </c>
      <c r="B2960" s="2" t="str">
        <f t="shared" si="2"/>
        <v/>
      </c>
      <c r="C2960" s="2" t="str">
        <f t="shared" si="3"/>
        <v>SP500</v>
      </c>
      <c r="D2960" s="2">
        <f t="shared" si="4"/>
        <v>2905.66</v>
      </c>
      <c r="E2960" s="2">
        <f t="shared" si="5"/>
        <v>2905.66</v>
      </c>
      <c r="G2960" s="10">
        <f t="shared" si="9"/>
        <v>40942.64583</v>
      </c>
      <c r="H2960" s="6" t="str">
        <f t="shared" si="6"/>
        <v/>
      </c>
      <c r="I2960" s="2">
        <f t="shared" si="7"/>
        <v>1426.89</v>
      </c>
      <c r="M2960" s="10">
        <f>IFERROR(__xludf.DUMMYFUNCTION("""COMPUTED_VALUE"""),42272.66666666667)</f>
        <v>42272.66667</v>
      </c>
      <c r="N2960" s="2">
        <f>IFERROR(__xludf.DUMMYFUNCTION("""COMPUTED_VALUE"""),4686.5)</f>
        <v>4686.5</v>
      </c>
    </row>
    <row r="2961">
      <c r="A2961" s="10">
        <f t="shared" si="8"/>
        <v>40943.66667</v>
      </c>
      <c r="B2961" s="2" t="str">
        <f t="shared" si="2"/>
        <v/>
      </c>
      <c r="C2961" s="2" t="str">
        <f t="shared" si="3"/>
        <v>SP500</v>
      </c>
      <c r="D2961" s="2" t="str">
        <f t="shared" si="4"/>
        <v/>
      </c>
      <c r="E2961" s="2">
        <f t="shared" si="5"/>
        <v>2905.66</v>
      </c>
      <c r="G2961" s="10">
        <f t="shared" si="9"/>
        <v>40943.64583</v>
      </c>
      <c r="H2961" s="6" t="str">
        <f t="shared" si="6"/>
        <v/>
      </c>
      <c r="I2961" s="2">
        <f t="shared" si="7"/>
        <v>1426.89</v>
      </c>
      <c r="M2961" s="10">
        <f>IFERROR(__xludf.DUMMYFUNCTION("""COMPUTED_VALUE"""),42275.66666666667)</f>
        <v>42275.66667</v>
      </c>
      <c r="N2961" s="2">
        <f>IFERROR(__xludf.DUMMYFUNCTION("""COMPUTED_VALUE"""),4543.97)</f>
        <v>4543.97</v>
      </c>
    </row>
    <row r="2962">
      <c r="A2962" s="10">
        <f t="shared" si="8"/>
        <v>40944.66667</v>
      </c>
      <c r="B2962" s="2" t="str">
        <f t="shared" si="2"/>
        <v/>
      </c>
      <c r="C2962" s="2" t="str">
        <f t="shared" si="3"/>
        <v>SP500</v>
      </c>
      <c r="D2962" s="2" t="str">
        <f t="shared" si="4"/>
        <v/>
      </c>
      <c r="E2962" s="2">
        <f t="shared" si="5"/>
        <v>2905.66</v>
      </c>
      <c r="G2962" s="10">
        <f t="shared" si="9"/>
        <v>40944.64583</v>
      </c>
      <c r="H2962" s="6" t="str">
        <f t="shared" si="6"/>
        <v/>
      </c>
      <c r="I2962" s="2">
        <f t="shared" si="7"/>
        <v>1426.89</v>
      </c>
      <c r="M2962" s="10">
        <f>IFERROR(__xludf.DUMMYFUNCTION("""COMPUTED_VALUE"""),42276.66666666667)</f>
        <v>42276.66667</v>
      </c>
      <c r="N2962" s="2">
        <f>IFERROR(__xludf.DUMMYFUNCTION("""COMPUTED_VALUE"""),4517.32)</f>
        <v>4517.32</v>
      </c>
    </row>
    <row r="2963">
      <c r="A2963" s="10">
        <f t="shared" si="8"/>
        <v>40945.66667</v>
      </c>
      <c r="B2963" s="2" t="str">
        <f t="shared" si="2"/>
        <v/>
      </c>
      <c r="C2963" s="2" t="str">
        <f t="shared" si="3"/>
        <v>SP500</v>
      </c>
      <c r="D2963" s="2">
        <f t="shared" si="4"/>
        <v>2901.99</v>
      </c>
      <c r="E2963" s="2">
        <f t="shared" si="5"/>
        <v>2901.99</v>
      </c>
      <c r="G2963" s="10">
        <f t="shared" si="9"/>
        <v>40945.64583</v>
      </c>
      <c r="H2963" s="6" t="str">
        <f t="shared" si="6"/>
        <v/>
      </c>
      <c r="I2963" s="2">
        <f t="shared" si="7"/>
        <v>1426.89</v>
      </c>
      <c r="M2963" s="10">
        <f>IFERROR(__xludf.DUMMYFUNCTION("""COMPUTED_VALUE"""),42277.66666666667)</f>
        <v>42277.66667</v>
      </c>
      <c r="N2963" s="2">
        <f>IFERROR(__xludf.DUMMYFUNCTION("""COMPUTED_VALUE"""),4620.16)</f>
        <v>4620.16</v>
      </c>
    </row>
    <row r="2964">
      <c r="A2964" s="10">
        <f t="shared" si="8"/>
        <v>40946.66667</v>
      </c>
      <c r="B2964" s="2" t="str">
        <f t="shared" si="2"/>
        <v/>
      </c>
      <c r="C2964" s="2" t="str">
        <f t="shared" si="3"/>
        <v>SP500</v>
      </c>
      <c r="D2964" s="2">
        <f t="shared" si="4"/>
        <v>2904.08</v>
      </c>
      <c r="E2964" s="2">
        <f t="shared" si="5"/>
        <v>2904.08</v>
      </c>
      <c r="G2964" s="10">
        <f t="shared" si="9"/>
        <v>40946.64583</v>
      </c>
      <c r="H2964" s="6" t="str">
        <f t="shared" si="6"/>
        <v/>
      </c>
      <c r="I2964" s="2">
        <f t="shared" si="7"/>
        <v>1426.89</v>
      </c>
      <c r="M2964" s="10">
        <f>IFERROR(__xludf.DUMMYFUNCTION("""COMPUTED_VALUE"""),42278.66666666667)</f>
        <v>42278.66667</v>
      </c>
      <c r="N2964" s="2">
        <f>IFERROR(__xludf.DUMMYFUNCTION("""COMPUTED_VALUE"""),4627.08)</f>
        <v>4627.08</v>
      </c>
    </row>
    <row r="2965">
      <c r="A2965" s="10">
        <f t="shared" si="8"/>
        <v>40947.66667</v>
      </c>
      <c r="B2965" s="2" t="str">
        <f t="shared" si="2"/>
        <v/>
      </c>
      <c r="C2965" s="2" t="str">
        <f t="shared" si="3"/>
        <v>SP500</v>
      </c>
      <c r="D2965" s="2">
        <f t="shared" si="4"/>
        <v>2915.86</v>
      </c>
      <c r="E2965" s="2">
        <f t="shared" si="5"/>
        <v>2915.86</v>
      </c>
      <c r="G2965" s="10">
        <f t="shared" si="9"/>
        <v>40947.64583</v>
      </c>
      <c r="H2965" s="6" t="str">
        <f t="shared" si="6"/>
        <v/>
      </c>
      <c r="I2965" s="2">
        <f t="shared" si="7"/>
        <v>1426.89</v>
      </c>
      <c r="M2965" s="10">
        <f>IFERROR(__xludf.DUMMYFUNCTION("""COMPUTED_VALUE"""),42279.66666666667)</f>
        <v>42279.66667</v>
      </c>
      <c r="N2965" s="2">
        <f>IFERROR(__xludf.DUMMYFUNCTION("""COMPUTED_VALUE"""),4707.78)</f>
        <v>4707.78</v>
      </c>
    </row>
    <row r="2966">
      <c r="A2966" s="10">
        <f t="shared" si="8"/>
        <v>40948.66667</v>
      </c>
      <c r="B2966" s="2" t="str">
        <f t="shared" si="2"/>
        <v/>
      </c>
      <c r="C2966" s="2" t="str">
        <f t="shared" si="3"/>
        <v>SP500</v>
      </c>
      <c r="D2966" s="2">
        <f t="shared" si="4"/>
        <v>2927.23</v>
      </c>
      <c r="E2966" s="2">
        <f t="shared" si="5"/>
        <v>2927.23</v>
      </c>
      <c r="G2966" s="10">
        <f t="shared" si="9"/>
        <v>40948.64583</v>
      </c>
      <c r="H2966" s="6" t="str">
        <f t="shared" si="6"/>
        <v/>
      </c>
      <c r="I2966" s="2">
        <f t="shared" si="7"/>
        <v>1426.89</v>
      </c>
      <c r="M2966" s="10">
        <f>IFERROR(__xludf.DUMMYFUNCTION("""COMPUTED_VALUE"""),42282.66666666667)</f>
        <v>42282.66667</v>
      </c>
      <c r="N2966" s="2">
        <f>IFERROR(__xludf.DUMMYFUNCTION("""COMPUTED_VALUE"""),4781.26)</f>
        <v>4781.26</v>
      </c>
    </row>
    <row r="2967">
      <c r="A2967" s="10">
        <f t="shared" si="8"/>
        <v>40949.66667</v>
      </c>
      <c r="B2967" s="2" t="str">
        <f t="shared" si="2"/>
        <v/>
      </c>
      <c r="C2967" s="2" t="str">
        <f t="shared" si="3"/>
        <v>SP500</v>
      </c>
      <c r="D2967" s="2">
        <f t="shared" si="4"/>
        <v>2903.88</v>
      </c>
      <c r="E2967" s="2">
        <f t="shared" si="5"/>
        <v>2903.88</v>
      </c>
      <c r="G2967" s="10">
        <f t="shared" si="9"/>
        <v>40949.64583</v>
      </c>
      <c r="H2967" s="6" t="str">
        <f t="shared" si="6"/>
        <v/>
      </c>
      <c r="I2967" s="2">
        <f t="shared" si="7"/>
        <v>1426.89</v>
      </c>
      <c r="M2967" s="10">
        <f>IFERROR(__xludf.DUMMYFUNCTION("""COMPUTED_VALUE"""),42283.66666666667)</f>
        <v>42283.66667</v>
      </c>
      <c r="N2967" s="2">
        <f>IFERROR(__xludf.DUMMYFUNCTION("""COMPUTED_VALUE"""),4748.36)</f>
        <v>4748.36</v>
      </c>
    </row>
    <row r="2968">
      <c r="A2968" s="10">
        <f t="shared" si="8"/>
        <v>40950.66667</v>
      </c>
      <c r="B2968" s="2" t="str">
        <f t="shared" si="2"/>
        <v/>
      </c>
      <c r="C2968" s="2" t="str">
        <f t="shared" si="3"/>
        <v>SP500</v>
      </c>
      <c r="D2968" s="2" t="str">
        <f t="shared" si="4"/>
        <v/>
      </c>
      <c r="E2968" s="2">
        <f t="shared" si="5"/>
        <v>2903.88</v>
      </c>
      <c r="G2968" s="10">
        <f t="shared" si="9"/>
        <v>40950.64583</v>
      </c>
      <c r="H2968" s="6" t="str">
        <f t="shared" si="6"/>
        <v/>
      </c>
      <c r="I2968" s="2">
        <f t="shared" si="7"/>
        <v>1426.89</v>
      </c>
      <c r="M2968" s="10">
        <f>IFERROR(__xludf.DUMMYFUNCTION("""COMPUTED_VALUE"""),42284.66666666667)</f>
        <v>42284.66667</v>
      </c>
      <c r="N2968" s="2">
        <f>IFERROR(__xludf.DUMMYFUNCTION("""COMPUTED_VALUE"""),4791.15)</f>
        <v>4791.15</v>
      </c>
    </row>
    <row r="2969">
      <c r="A2969" s="10">
        <f t="shared" si="8"/>
        <v>40951.66667</v>
      </c>
      <c r="B2969" s="2" t="str">
        <f t="shared" si="2"/>
        <v/>
      </c>
      <c r="C2969" s="2" t="str">
        <f t="shared" si="3"/>
        <v>SP500</v>
      </c>
      <c r="D2969" s="2" t="str">
        <f t="shared" si="4"/>
        <v/>
      </c>
      <c r="E2969" s="2">
        <f t="shared" si="5"/>
        <v>2903.88</v>
      </c>
      <c r="G2969" s="10">
        <f t="shared" si="9"/>
        <v>40951.64583</v>
      </c>
      <c r="H2969" s="6" t="str">
        <f t="shared" si="6"/>
        <v/>
      </c>
      <c r="I2969" s="2">
        <f t="shared" si="7"/>
        <v>1426.89</v>
      </c>
      <c r="M2969" s="10">
        <f>IFERROR(__xludf.DUMMYFUNCTION("""COMPUTED_VALUE"""),42285.66666666667)</f>
        <v>42285.66667</v>
      </c>
      <c r="N2969" s="2">
        <f>IFERROR(__xludf.DUMMYFUNCTION("""COMPUTED_VALUE"""),4810.79)</f>
        <v>4810.79</v>
      </c>
    </row>
    <row r="2970">
      <c r="A2970" s="10">
        <f t="shared" si="8"/>
        <v>40952.66667</v>
      </c>
      <c r="B2970" s="2" t="str">
        <f t="shared" si="2"/>
        <v/>
      </c>
      <c r="C2970" s="2" t="str">
        <f t="shared" si="3"/>
        <v>SP500</v>
      </c>
      <c r="D2970" s="2">
        <f t="shared" si="4"/>
        <v>2931.39</v>
      </c>
      <c r="E2970" s="2">
        <f t="shared" si="5"/>
        <v>2931.39</v>
      </c>
      <c r="G2970" s="10">
        <f t="shared" si="9"/>
        <v>40952.64583</v>
      </c>
      <c r="H2970" s="6" t="str">
        <f t="shared" si="6"/>
        <v/>
      </c>
      <c r="I2970" s="2">
        <f t="shared" si="7"/>
        <v>1426.89</v>
      </c>
      <c r="M2970" s="10">
        <f>IFERROR(__xludf.DUMMYFUNCTION("""COMPUTED_VALUE"""),42286.66666666667)</f>
        <v>42286.66667</v>
      </c>
      <c r="N2970" s="2">
        <f>IFERROR(__xludf.DUMMYFUNCTION("""COMPUTED_VALUE"""),4830.47)</f>
        <v>4830.47</v>
      </c>
    </row>
    <row r="2971">
      <c r="A2971" s="10">
        <f t="shared" si="8"/>
        <v>40953.66667</v>
      </c>
      <c r="B2971" s="2" t="str">
        <f t="shared" si="2"/>
        <v/>
      </c>
      <c r="C2971" s="2" t="str">
        <f t="shared" si="3"/>
        <v>SP500</v>
      </c>
      <c r="D2971" s="2">
        <f t="shared" si="4"/>
        <v>2931.83</v>
      </c>
      <c r="E2971" s="2">
        <f t="shared" si="5"/>
        <v>2931.83</v>
      </c>
      <c r="G2971" s="10">
        <f t="shared" si="9"/>
        <v>40953.64583</v>
      </c>
      <c r="H2971" s="6" t="str">
        <f t="shared" si="6"/>
        <v/>
      </c>
      <c r="I2971" s="2">
        <f t="shared" si="7"/>
        <v>1426.89</v>
      </c>
      <c r="M2971" s="10">
        <f>IFERROR(__xludf.DUMMYFUNCTION("""COMPUTED_VALUE"""),42289.66666666667)</f>
        <v>42289.66667</v>
      </c>
      <c r="N2971" s="2">
        <f>IFERROR(__xludf.DUMMYFUNCTION("""COMPUTED_VALUE"""),4838.64)</f>
        <v>4838.64</v>
      </c>
    </row>
    <row r="2972">
      <c r="A2972" s="10">
        <f t="shared" si="8"/>
        <v>40954.66667</v>
      </c>
      <c r="B2972" s="2" t="str">
        <f t="shared" si="2"/>
        <v/>
      </c>
      <c r="C2972" s="2" t="str">
        <f t="shared" si="3"/>
        <v>SP500</v>
      </c>
      <c r="D2972" s="2">
        <f t="shared" si="4"/>
        <v>2915.83</v>
      </c>
      <c r="E2972" s="2">
        <f t="shared" si="5"/>
        <v>2915.83</v>
      </c>
      <c r="G2972" s="10">
        <f t="shared" si="9"/>
        <v>40954.64583</v>
      </c>
      <c r="H2972" s="6" t="str">
        <f t="shared" si="6"/>
        <v/>
      </c>
      <c r="I2972" s="2">
        <f t="shared" si="7"/>
        <v>1426.89</v>
      </c>
      <c r="M2972" s="10">
        <f>IFERROR(__xludf.DUMMYFUNCTION("""COMPUTED_VALUE"""),42290.66666666667)</f>
        <v>42290.66667</v>
      </c>
      <c r="N2972" s="2">
        <f>IFERROR(__xludf.DUMMYFUNCTION("""COMPUTED_VALUE"""),4796.61)</f>
        <v>4796.61</v>
      </c>
    </row>
    <row r="2973">
      <c r="A2973" s="10">
        <f t="shared" si="8"/>
        <v>40955.66667</v>
      </c>
      <c r="B2973" s="2" t="str">
        <f t="shared" si="2"/>
        <v/>
      </c>
      <c r="C2973" s="2" t="str">
        <f t="shared" si="3"/>
        <v>SP500</v>
      </c>
      <c r="D2973" s="2">
        <f t="shared" si="4"/>
        <v>2959.85</v>
      </c>
      <c r="E2973" s="2">
        <f t="shared" si="5"/>
        <v>2959.85</v>
      </c>
      <c r="G2973" s="10">
        <f t="shared" si="9"/>
        <v>40955.64583</v>
      </c>
      <c r="H2973" s="6" t="str">
        <f t="shared" si="6"/>
        <v/>
      </c>
      <c r="I2973" s="2">
        <f t="shared" si="7"/>
        <v>1426.89</v>
      </c>
      <c r="M2973" s="10">
        <f>IFERROR(__xludf.DUMMYFUNCTION("""COMPUTED_VALUE"""),42291.66666666667)</f>
        <v>42291.66667</v>
      </c>
      <c r="N2973" s="2">
        <f>IFERROR(__xludf.DUMMYFUNCTION("""COMPUTED_VALUE"""),4782.85)</f>
        <v>4782.85</v>
      </c>
    </row>
    <row r="2974">
      <c r="A2974" s="10">
        <f t="shared" si="8"/>
        <v>40956.66667</v>
      </c>
      <c r="B2974" s="2" t="str">
        <f t="shared" si="2"/>
        <v/>
      </c>
      <c r="C2974" s="2" t="str">
        <f t="shared" si="3"/>
        <v>SP500</v>
      </c>
      <c r="D2974" s="2">
        <f t="shared" si="4"/>
        <v>2951.78</v>
      </c>
      <c r="E2974" s="2">
        <f t="shared" si="5"/>
        <v>2951.78</v>
      </c>
      <c r="G2974" s="10">
        <f t="shared" si="9"/>
        <v>40956.64583</v>
      </c>
      <c r="H2974" s="6" t="str">
        <f t="shared" si="6"/>
        <v/>
      </c>
      <c r="I2974" s="2">
        <f t="shared" si="7"/>
        <v>1426.89</v>
      </c>
      <c r="M2974" s="10">
        <f>IFERROR(__xludf.DUMMYFUNCTION("""COMPUTED_VALUE"""),42292.66666666667)</f>
        <v>42292.66667</v>
      </c>
      <c r="N2974" s="2">
        <f>IFERROR(__xludf.DUMMYFUNCTION("""COMPUTED_VALUE"""),4870.1)</f>
        <v>4870.1</v>
      </c>
    </row>
    <row r="2975">
      <c r="A2975" s="10">
        <f t="shared" si="8"/>
        <v>40957.66667</v>
      </c>
      <c r="B2975" s="2" t="str">
        <f t="shared" si="2"/>
        <v/>
      </c>
      <c r="C2975" s="2" t="str">
        <f t="shared" si="3"/>
        <v>SP500</v>
      </c>
      <c r="D2975" s="2" t="str">
        <f t="shared" si="4"/>
        <v/>
      </c>
      <c r="E2975" s="2">
        <f t="shared" si="5"/>
        <v>2951.78</v>
      </c>
      <c r="G2975" s="10">
        <f t="shared" si="9"/>
        <v>40957.64583</v>
      </c>
      <c r="H2975" s="6" t="str">
        <f t="shared" si="6"/>
        <v/>
      </c>
      <c r="I2975" s="2">
        <f t="shared" si="7"/>
        <v>1426.89</v>
      </c>
      <c r="M2975" s="10">
        <f>IFERROR(__xludf.DUMMYFUNCTION("""COMPUTED_VALUE"""),42293.66666666667)</f>
        <v>42293.66667</v>
      </c>
      <c r="N2975" s="2">
        <f>IFERROR(__xludf.DUMMYFUNCTION("""COMPUTED_VALUE"""),4886.69)</f>
        <v>4886.69</v>
      </c>
    </row>
    <row r="2976">
      <c r="A2976" s="10">
        <f t="shared" si="8"/>
        <v>40958.66667</v>
      </c>
      <c r="B2976" s="2" t="str">
        <f t="shared" si="2"/>
        <v/>
      </c>
      <c r="C2976" s="2" t="str">
        <f t="shared" si="3"/>
        <v>SP500</v>
      </c>
      <c r="D2976" s="2" t="str">
        <f t="shared" si="4"/>
        <v/>
      </c>
      <c r="E2976" s="2">
        <f t="shared" si="5"/>
        <v>2951.78</v>
      </c>
      <c r="G2976" s="10">
        <f t="shared" si="9"/>
        <v>40958.64583</v>
      </c>
      <c r="H2976" s="6" t="str">
        <f t="shared" si="6"/>
        <v/>
      </c>
      <c r="I2976" s="2">
        <f t="shared" si="7"/>
        <v>1426.89</v>
      </c>
      <c r="M2976" s="10">
        <f>IFERROR(__xludf.DUMMYFUNCTION("""COMPUTED_VALUE"""),42296.66666666667)</f>
        <v>42296.66667</v>
      </c>
      <c r="N2976" s="2">
        <f>IFERROR(__xludf.DUMMYFUNCTION("""COMPUTED_VALUE"""),4905.47)</f>
        <v>4905.47</v>
      </c>
    </row>
    <row r="2977">
      <c r="A2977" s="10">
        <f t="shared" si="8"/>
        <v>40959.66667</v>
      </c>
      <c r="B2977" s="2" t="str">
        <f t="shared" si="2"/>
        <v/>
      </c>
      <c r="C2977" s="2" t="str">
        <f t="shared" si="3"/>
        <v>SP500</v>
      </c>
      <c r="D2977" s="2" t="str">
        <f t="shared" si="4"/>
        <v/>
      </c>
      <c r="E2977" s="2">
        <f t="shared" si="5"/>
        <v>2951.78</v>
      </c>
      <c r="G2977" s="10">
        <f t="shared" si="9"/>
        <v>40959.64583</v>
      </c>
      <c r="H2977" s="6" t="str">
        <f t="shared" si="6"/>
        <v/>
      </c>
      <c r="I2977" s="2">
        <f t="shared" si="7"/>
        <v>1426.89</v>
      </c>
      <c r="M2977" s="10">
        <f>IFERROR(__xludf.DUMMYFUNCTION("""COMPUTED_VALUE"""),42297.66666666667)</f>
        <v>42297.66667</v>
      </c>
      <c r="N2977" s="2">
        <f>IFERROR(__xludf.DUMMYFUNCTION("""COMPUTED_VALUE"""),4880.97)</f>
        <v>4880.97</v>
      </c>
    </row>
    <row r="2978">
      <c r="A2978" s="10">
        <f t="shared" si="8"/>
        <v>40960.66667</v>
      </c>
      <c r="B2978" s="2" t="str">
        <f t="shared" si="2"/>
        <v/>
      </c>
      <c r="C2978" s="2" t="str">
        <f t="shared" si="3"/>
        <v>SP500</v>
      </c>
      <c r="D2978" s="2">
        <f t="shared" si="4"/>
        <v>2948.57</v>
      </c>
      <c r="E2978" s="2">
        <f t="shared" si="5"/>
        <v>2948.57</v>
      </c>
      <c r="G2978" s="10">
        <f t="shared" si="9"/>
        <v>40960.64583</v>
      </c>
      <c r="H2978" s="6" t="str">
        <f t="shared" si="6"/>
        <v/>
      </c>
      <c r="I2978" s="2">
        <f t="shared" si="7"/>
        <v>1426.89</v>
      </c>
      <c r="M2978" s="10">
        <f>IFERROR(__xludf.DUMMYFUNCTION("""COMPUTED_VALUE"""),42298.66666666667)</f>
        <v>42298.66667</v>
      </c>
      <c r="N2978" s="2">
        <f>IFERROR(__xludf.DUMMYFUNCTION("""COMPUTED_VALUE"""),4840.12)</f>
        <v>4840.12</v>
      </c>
    </row>
    <row r="2979">
      <c r="A2979" s="10">
        <f t="shared" si="8"/>
        <v>40961.66667</v>
      </c>
      <c r="B2979" s="2" t="str">
        <f t="shared" si="2"/>
        <v/>
      </c>
      <c r="C2979" s="2" t="str">
        <f t="shared" si="3"/>
        <v>SP500</v>
      </c>
      <c r="D2979" s="2">
        <f t="shared" si="4"/>
        <v>2933.17</v>
      </c>
      <c r="E2979" s="2">
        <f t="shared" si="5"/>
        <v>2933.17</v>
      </c>
      <c r="G2979" s="10">
        <f t="shared" si="9"/>
        <v>40961.64583</v>
      </c>
      <c r="H2979" s="6" t="str">
        <f t="shared" si="6"/>
        <v/>
      </c>
      <c r="I2979" s="2">
        <f t="shared" si="7"/>
        <v>1426.89</v>
      </c>
      <c r="M2979" s="10">
        <f>IFERROR(__xludf.DUMMYFUNCTION("""COMPUTED_VALUE"""),42299.66666666667)</f>
        <v>42299.66667</v>
      </c>
      <c r="N2979" s="2">
        <f>IFERROR(__xludf.DUMMYFUNCTION("""COMPUTED_VALUE"""),4920.05)</f>
        <v>4920.05</v>
      </c>
    </row>
    <row r="2980">
      <c r="A2980" s="10">
        <f t="shared" si="8"/>
        <v>40962.66667</v>
      </c>
      <c r="B2980" s="2" t="str">
        <f t="shared" si="2"/>
        <v/>
      </c>
      <c r="C2980" s="2" t="str">
        <f t="shared" si="3"/>
        <v>SP500</v>
      </c>
      <c r="D2980" s="2">
        <f t="shared" si="4"/>
        <v>2956.98</v>
      </c>
      <c r="E2980" s="2">
        <f t="shared" si="5"/>
        <v>2956.98</v>
      </c>
      <c r="G2980" s="10">
        <f t="shared" si="9"/>
        <v>40962.64583</v>
      </c>
      <c r="H2980" s="6" t="str">
        <f t="shared" si="6"/>
        <v/>
      </c>
      <c r="I2980" s="2">
        <f t="shared" si="7"/>
        <v>1426.89</v>
      </c>
      <c r="M2980" s="10">
        <f>IFERROR(__xludf.DUMMYFUNCTION("""COMPUTED_VALUE"""),42300.66666666667)</f>
        <v>42300.66667</v>
      </c>
      <c r="N2980" s="2">
        <f>IFERROR(__xludf.DUMMYFUNCTION("""COMPUTED_VALUE"""),5031.86)</f>
        <v>5031.86</v>
      </c>
    </row>
    <row r="2981">
      <c r="A2981" s="10">
        <f t="shared" si="8"/>
        <v>40963.66667</v>
      </c>
      <c r="B2981" s="2" t="str">
        <f t="shared" si="2"/>
        <v/>
      </c>
      <c r="C2981" s="2" t="str">
        <f t="shared" si="3"/>
        <v>SP500</v>
      </c>
      <c r="D2981" s="2">
        <f t="shared" si="4"/>
        <v>2963.75</v>
      </c>
      <c r="E2981" s="2">
        <f t="shared" si="5"/>
        <v>2963.75</v>
      </c>
      <c r="G2981" s="10">
        <f t="shared" si="9"/>
        <v>40963.64583</v>
      </c>
      <c r="H2981" s="6" t="str">
        <f t="shared" si="6"/>
        <v/>
      </c>
      <c r="I2981" s="2">
        <f t="shared" si="7"/>
        <v>1426.89</v>
      </c>
      <c r="M2981" s="10">
        <f>IFERROR(__xludf.DUMMYFUNCTION("""COMPUTED_VALUE"""),42303.66666666667)</f>
        <v>42303.66667</v>
      </c>
      <c r="N2981" s="2">
        <f>IFERROR(__xludf.DUMMYFUNCTION("""COMPUTED_VALUE"""),5034.7)</f>
        <v>5034.7</v>
      </c>
    </row>
    <row r="2982">
      <c r="A2982" s="10">
        <f t="shared" si="8"/>
        <v>40964.66667</v>
      </c>
      <c r="B2982" s="2" t="str">
        <f t="shared" si="2"/>
        <v/>
      </c>
      <c r="C2982" s="2" t="str">
        <f t="shared" si="3"/>
        <v>SP500</v>
      </c>
      <c r="D2982" s="2" t="str">
        <f t="shared" si="4"/>
        <v/>
      </c>
      <c r="E2982" s="2">
        <f t="shared" si="5"/>
        <v>2963.75</v>
      </c>
      <c r="G2982" s="10">
        <f t="shared" si="9"/>
        <v>40964.64583</v>
      </c>
      <c r="H2982" s="6" t="str">
        <f t="shared" si="6"/>
        <v/>
      </c>
      <c r="I2982" s="2">
        <f t="shared" si="7"/>
        <v>1426.89</v>
      </c>
      <c r="M2982" s="10">
        <f>IFERROR(__xludf.DUMMYFUNCTION("""COMPUTED_VALUE"""),42304.66666666667)</f>
        <v>42304.66667</v>
      </c>
      <c r="N2982" s="2">
        <f>IFERROR(__xludf.DUMMYFUNCTION("""COMPUTED_VALUE"""),5030.15)</f>
        <v>5030.15</v>
      </c>
    </row>
    <row r="2983">
      <c r="A2983" s="10">
        <f t="shared" si="8"/>
        <v>40965.66667</v>
      </c>
      <c r="B2983" s="2" t="str">
        <f t="shared" si="2"/>
        <v/>
      </c>
      <c r="C2983" s="2" t="str">
        <f t="shared" si="3"/>
        <v>SP500</v>
      </c>
      <c r="D2983" s="2" t="str">
        <f t="shared" si="4"/>
        <v/>
      </c>
      <c r="E2983" s="2">
        <f t="shared" si="5"/>
        <v>2963.75</v>
      </c>
      <c r="G2983" s="10">
        <f t="shared" si="9"/>
        <v>40965.64583</v>
      </c>
      <c r="H2983" s="6" t="str">
        <f t="shared" si="6"/>
        <v/>
      </c>
      <c r="I2983" s="2">
        <f t="shared" si="7"/>
        <v>1426.89</v>
      </c>
      <c r="M2983" s="10">
        <f>IFERROR(__xludf.DUMMYFUNCTION("""COMPUTED_VALUE"""),42305.66666666667)</f>
        <v>42305.66667</v>
      </c>
      <c r="N2983" s="2">
        <f>IFERROR(__xludf.DUMMYFUNCTION("""COMPUTED_VALUE"""),5095.69)</f>
        <v>5095.69</v>
      </c>
    </row>
    <row r="2984">
      <c r="A2984" s="10">
        <f t="shared" si="8"/>
        <v>40966.66667</v>
      </c>
      <c r="B2984" s="2" t="str">
        <f t="shared" si="2"/>
        <v/>
      </c>
      <c r="C2984" s="2" t="str">
        <f t="shared" si="3"/>
        <v>SP500</v>
      </c>
      <c r="D2984" s="2">
        <f t="shared" si="4"/>
        <v>2966.16</v>
      </c>
      <c r="E2984" s="2">
        <f t="shared" si="5"/>
        <v>2966.16</v>
      </c>
      <c r="G2984" s="10">
        <f t="shared" si="9"/>
        <v>40966.64583</v>
      </c>
      <c r="H2984" s="6" t="str">
        <f t="shared" si="6"/>
        <v/>
      </c>
      <c r="I2984" s="2">
        <f t="shared" si="7"/>
        <v>1426.89</v>
      </c>
      <c r="M2984" s="10">
        <f>IFERROR(__xludf.DUMMYFUNCTION("""COMPUTED_VALUE"""),42306.66666666667)</f>
        <v>42306.66667</v>
      </c>
      <c r="N2984" s="2">
        <f>IFERROR(__xludf.DUMMYFUNCTION("""COMPUTED_VALUE"""),5074.27)</f>
        <v>5074.27</v>
      </c>
    </row>
    <row r="2985">
      <c r="A2985" s="10">
        <f t="shared" si="8"/>
        <v>40967.66667</v>
      </c>
      <c r="B2985" s="2" t="str">
        <f t="shared" si="2"/>
        <v/>
      </c>
      <c r="C2985" s="2" t="str">
        <f t="shared" si="3"/>
        <v>SP500</v>
      </c>
      <c r="D2985" s="2">
        <f t="shared" si="4"/>
        <v>2986.76</v>
      </c>
      <c r="E2985" s="2">
        <f t="shared" si="5"/>
        <v>2986.76</v>
      </c>
      <c r="G2985" s="10">
        <f t="shared" si="9"/>
        <v>40967.64583</v>
      </c>
      <c r="H2985" s="6" t="str">
        <f t="shared" si="6"/>
        <v/>
      </c>
      <c r="I2985" s="2">
        <f t="shared" si="7"/>
        <v>1426.89</v>
      </c>
      <c r="M2985" s="10">
        <f>IFERROR(__xludf.DUMMYFUNCTION("""COMPUTED_VALUE"""),42307.66666666667)</f>
        <v>42307.66667</v>
      </c>
      <c r="N2985" s="2">
        <f>IFERROR(__xludf.DUMMYFUNCTION("""COMPUTED_VALUE"""),5053.75)</f>
        <v>5053.75</v>
      </c>
    </row>
    <row r="2986">
      <c r="A2986" s="10">
        <f t="shared" si="8"/>
        <v>40968.66667</v>
      </c>
      <c r="B2986" s="2" t="str">
        <f t="shared" si="2"/>
        <v/>
      </c>
      <c r="C2986" s="2" t="str">
        <f t="shared" si="3"/>
        <v>SP500</v>
      </c>
      <c r="D2986" s="2">
        <f t="shared" si="4"/>
        <v>2966.89</v>
      </c>
      <c r="E2986" s="2">
        <f t="shared" si="5"/>
        <v>2966.89</v>
      </c>
      <c r="G2986" s="10">
        <f t="shared" si="9"/>
        <v>40968.64583</v>
      </c>
      <c r="H2986" s="6" t="str">
        <f t="shared" si="6"/>
        <v/>
      </c>
      <c r="I2986" s="2">
        <f t="shared" si="7"/>
        <v>1426.89</v>
      </c>
      <c r="M2986" s="10">
        <f>IFERROR(__xludf.DUMMYFUNCTION("""COMPUTED_VALUE"""),42310.66666666667)</f>
        <v>42310.66667</v>
      </c>
      <c r="N2986" s="2">
        <f>IFERROR(__xludf.DUMMYFUNCTION("""COMPUTED_VALUE"""),5127.15)</f>
        <v>5127.15</v>
      </c>
    </row>
    <row r="2987">
      <c r="A2987" s="10">
        <f t="shared" si="8"/>
        <v>40969.66667</v>
      </c>
      <c r="B2987" s="2" t="str">
        <f t="shared" si="2"/>
        <v/>
      </c>
      <c r="C2987" s="2" t="str">
        <f t="shared" si="3"/>
        <v>SP500</v>
      </c>
      <c r="D2987" s="2">
        <f t="shared" si="4"/>
        <v>2988.97</v>
      </c>
      <c r="E2987" s="2">
        <f t="shared" si="5"/>
        <v>2988.97</v>
      </c>
      <c r="G2987" s="10">
        <f t="shared" si="9"/>
        <v>40969.64583</v>
      </c>
      <c r="H2987" s="6" t="str">
        <f t="shared" si="6"/>
        <v/>
      </c>
      <c r="I2987" s="2">
        <f t="shared" si="7"/>
        <v>1426.89</v>
      </c>
      <c r="M2987" s="10">
        <f>IFERROR(__xludf.DUMMYFUNCTION("""COMPUTED_VALUE"""),42311.66666666667)</f>
        <v>42311.66667</v>
      </c>
      <c r="N2987" s="2">
        <f>IFERROR(__xludf.DUMMYFUNCTION("""COMPUTED_VALUE"""),5145.13)</f>
        <v>5145.13</v>
      </c>
    </row>
    <row r="2988">
      <c r="A2988" s="10">
        <f t="shared" si="8"/>
        <v>40970.66667</v>
      </c>
      <c r="B2988" s="2" t="str">
        <f t="shared" si="2"/>
        <v/>
      </c>
      <c r="C2988" s="2" t="str">
        <f t="shared" si="3"/>
        <v>SP500</v>
      </c>
      <c r="D2988" s="2">
        <f t="shared" si="4"/>
        <v>2976.19</v>
      </c>
      <c r="E2988" s="2">
        <f t="shared" si="5"/>
        <v>2976.19</v>
      </c>
      <c r="G2988" s="10">
        <f t="shared" si="9"/>
        <v>40970.64583</v>
      </c>
      <c r="H2988" s="6" t="str">
        <f t="shared" si="6"/>
        <v/>
      </c>
      <c r="I2988" s="2">
        <f t="shared" si="7"/>
        <v>1426.89</v>
      </c>
      <c r="M2988" s="10">
        <f>IFERROR(__xludf.DUMMYFUNCTION("""COMPUTED_VALUE"""),42312.66666666667)</f>
        <v>42312.66667</v>
      </c>
      <c r="N2988" s="2">
        <f>IFERROR(__xludf.DUMMYFUNCTION("""COMPUTED_VALUE"""),5142.48)</f>
        <v>5142.48</v>
      </c>
    </row>
    <row r="2989">
      <c r="A2989" s="10">
        <f t="shared" si="8"/>
        <v>40971.66667</v>
      </c>
      <c r="B2989" s="2" t="str">
        <f t="shared" si="2"/>
        <v/>
      </c>
      <c r="C2989" s="2" t="str">
        <f t="shared" si="3"/>
        <v>SP500</v>
      </c>
      <c r="D2989" s="2" t="str">
        <f t="shared" si="4"/>
        <v/>
      </c>
      <c r="E2989" s="2">
        <f t="shared" si="5"/>
        <v>2976.19</v>
      </c>
      <c r="G2989" s="10">
        <f t="shared" si="9"/>
        <v>40971.64583</v>
      </c>
      <c r="H2989" s="6" t="str">
        <f t="shared" si="6"/>
        <v/>
      </c>
      <c r="I2989" s="2">
        <f t="shared" si="7"/>
        <v>1426.89</v>
      </c>
      <c r="M2989" s="10">
        <f>IFERROR(__xludf.DUMMYFUNCTION("""COMPUTED_VALUE"""),42313.66666666667)</f>
        <v>42313.66667</v>
      </c>
      <c r="N2989" s="2">
        <f>IFERROR(__xludf.DUMMYFUNCTION("""COMPUTED_VALUE"""),5127.74)</f>
        <v>5127.74</v>
      </c>
    </row>
    <row r="2990">
      <c r="A2990" s="10">
        <f t="shared" si="8"/>
        <v>40972.66667</v>
      </c>
      <c r="B2990" s="2" t="str">
        <f t="shared" si="2"/>
        <v/>
      </c>
      <c r="C2990" s="2" t="str">
        <f t="shared" si="3"/>
        <v>SP500</v>
      </c>
      <c r="D2990" s="2" t="str">
        <f t="shared" si="4"/>
        <v/>
      </c>
      <c r="E2990" s="2">
        <f t="shared" si="5"/>
        <v>2976.19</v>
      </c>
      <c r="G2990" s="10">
        <f t="shared" si="9"/>
        <v>40972.64583</v>
      </c>
      <c r="H2990" s="6" t="str">
        <f t="shared" si="6"/>
        <v/>
      </c>
      <c r="I2990" s="2">
        <f t="shared" si="7"/>
        <v>1426.89</v>
      </c>
      <c r="M2990" s="10">
        <f>IFERROR(__xludf.DUMMYFUNCTION("""COMPUTED_VALUE"""),42314.66666666667)</f>
        <v>42314.66667</v>
      </c>
      <c r="N2990" s="2">
        <f>IFERROR(__xludf.DUMMYFUNCTION("""COMPUTED_VALUE"""),5147.12)</f>
        <v>5147.12</v>
      </c>
    </row>
    <row r="2991">
      <c r="A2991" s="10">
        <f t="shared" si="8"/>
        <v>40973.66667</v>
      </c>
      <c r="B2991" s="2" t="str">
        <f t="shared" si="2"/>
        <v/>
      </c>
      <c r="C2991" s="2" t="str">
        <f t="shared" si="3"/>
        <v>SP500</v>
      </c>
      <c r="D2991" s="2">
        <f t="shared" si="4"/>
        <v>2950.48</v>
      </c>
      <c r="E2991" s="2">
        <f t="shared" si="5"/>
        <v>2950.48</v>
      </c>
      <c r="G2991" s="10">
        <f t="shared" si="9"/>
        <v>40973.64583</v>
      </c>
      <c r="H2991" s="6" t="str">
        <f t="shared" si="6"/>
        <v/>
      </c>
      <c r="I2991" s="2">
        <f t="shared" si="7"/>
        <v>1426.89</v>
      </c>
      <c r="M2991" s="10">
        <f>IFERROR(__xludf.DUMMYFUNCTION("""COMPUTED_VALUE"""),42317.66666666667)</f>
        <v>42317.66667</v>
      </c>
      <c r="N2991" s="2">
        <f>IFERROR(__xludf.DUMMYFUNCTION("""COMPUTED_VALUE"""),5095.3)</f>
        <v>5095.3</v>
      </c>
    </row>
    <row r="2992">
      <c r="A2992" s="10">
        <f t="shared" si="8"/>
        <v>40974.66667</v>
      </c>
      <c r="B2992" s="2" t="str">
        <f t="shared" si="2"/>
        <v/>
      </c>
      <c r="C2992" s="2" t="str">
        <f t="shared" si="3"/>
        <v>SP500</v>
      </c>
      <c r="D2992" s="2">
        <f t="shared" si="4"/>
        <v>2910.32</v>
      </c>
      <c r="E2992" s="2">
        <f t="shared" si="5"/>
        <v>2910.32</v>
      </c>
      <c r="G2992" s="10">
        <f t="shared" si="9"/>
        <v>40974.64583</v>
      </c>
      <c r="H2992" s="6" t="str">
        <f t="shared" si="6"/>
        <v/>
      </c>
      <c r="I2992" s="2">
        <f t="shared" si="7"/>
        <v>1426.89</v>
      </c>
      <c r="M2992" s="10">
        <f>IFERROR(__xludf.DUMMYFUNCTION("""COMPUTED_VALUE"""),42318.66666666667)</f>
        <v>42318.66667</v>
      </c>
      <c r="N2992" s="2">
        <f>IFERROR(__xludf.DUMMYFUNCTION("""COMPUTED_VALUE"""),5083.24)</f>
        <v>5083.24</v>
      </c>
    </row>
    <row r="2993">
      <c r="A2993" s="10">
        <f t="shared" si="8"/>
        <v>40975.66667</v>
      </c>
      <c r="B2993" s="2" t="str">
        <f t="shared" si="2"/>
        <v/>
      </c>
      <c r="C2993" s="2" t="str">
        <f t="shared" si="3"/>
        <v>SP500</v>
      </c>
      <c r="D2993" s="2">
        <f t="shared" si="4"/>
        <v>2935.69</v>
      </c>
      <c r="E2993" s="2">
        <f t="shared" si="5"/>
        <v>2935.69</v>
      </c>
      <c r="G2993" s="10">
        <f t="shared" si="9"/>
        <v>40975.64583</v>
      </c>
      <c r="H2993" s="6" t="str">
        <f t="shared" si="6"/>
        <v/>
      </c>
      <c r="I2993" s="2">
        <f t="shared" si="7"/>
        <v>1426.89</v>
      </c>
      <c r="M2993" s="10">
        <f>IFERROR(__xludf.DUMMYFUNCTION("""COMPUTED_VALUE"""),42319.66666666667)</f>
        <v>42319.66667</v>
      </c>
      <c r="N2993" s="2">
        <f>IFERROR(__xludf.DUMMYFUNCTION("""COMPUTED_VALUE"""),5067.02)</f>
        <v>5067.02</v>
      </c>
    </row>
    <row r="2994">
      <c r="A2994" s="10">
        <f t="shared" si="8"/>
        <v>40976.66667</v>
      </c>
      <c r="B2994" s="2" t="str">
        <f t="shared" si="2"/>
        <v/>
      </c>
      <c r="C2994" s="2" t="str">
        <f t="shared" si="3"/>
        <v>SP500</v>
      </c>
      <c r="D2994" s="2">
        <f t="shared" si="4"/>
        <v>2970.42</v>
      </c>
      <c r="E2994" s="2">
        <f t="shared" si="5"/>
        <v>2970.42</v>
      </c>
      <c r="G2994" s="10">
        <f t="shared" si="9"/>
        <v>40976.64583</v>
      </c>
      <c r="H2994" s="6" t="str">
        <f t="shared" si="6"/>
        <v/>
      </c>
      <c r="I2994" s="2">
        <f t="shared" si="7"/>
        <v>1426.89</v>
      </c>
      <c r="M2994" s="10">
        <f>IFERROR(__xludf.DUMMYFUNCTION("""COMPUTED_VALUE"""),42320.66666666667)</f>
        <v>42320.66667</v>
      </c>
      <c r="N2994" s="2">
        <f>IFERROR(__xludf.DUMMYFUNCTION("""COMPUTED_VALUE"""),5005.08)</f>
        <v>5005.08</v>
      </c>
    </row>
    <row r="2995">
      <c r="A2995" s="10">
        <f t="shared" si="8"/>
        <v>40977.66667</v>
      </c>
      <c r="B2995" s="2" t="str">
        <f t="shared" si="2"/>
        <v/>
      </c>
      <c r="C2995" s="2" t="str">
        <f t="shared" si="3"/>
        <v>SP500</v>
      </c>
      <c r="D2995" s="2">
        <f t="shared" si="4"/>
        <v>2988.34</v>
      </c>
      <c r="E2995" s="2">
        <f t="shared" si="5"/>
        <v>2988.34</v>
      </c>
      <c r="G2995" s="10">
        <f t="shared" si="9"/>
        <v>40977.64583</v>
      </c>
      <c r="H2995" s="6" t="str">
        <f t="shared" si="6"/>
        <v/>
      </c>
      <c r="I2995" s="2">
        <f t="shared" si="7"/>
        <v>1426.89</v>
      </c>
      <c r="M2995" s="10">
        <f>IFERROR(__xludf.DUMMYFUNCTION("""COMPUTED_VALUE"""),42321.66666666667)</f>
        <v>42321.66667</v>
      </c>
      <c r="N2995" s="2">
        <f>IFERROR(__xludf.DUMMYFUNCTION("""COMPUTED_VALUE"""),4927.88)</f>
        <v>4927.88</v>
      </c>
    </row>
    <row r="2996">
      <c r="A2996" s="10">
        <f t="shared" si="8"/>
        <v>40978.66667</v>
      </c>
      <c r="B2996" s="2" t="str">
        <f t="shared" si="2"/>
        <v/>
      </c>
      <c r="C2996" s="2" t="str">
        <f t="shared" si="3"/>
        <v>SP500</v>
      </c>
      <c r="D2996" s="2" t="str">
        <f t="shared" si="4"/>
        <v/>
      </c>
      <c r="E2996" s="2">
        <f t="shared" si="5"/>
        <v>2988.34</v>
      </c>
      <c r="G2996" s="10">
        <f t="shared" si="9"/>
        <v>40978.64583</v>
      </c>
      <c r="H2996" s="6" t="str">
        <f t="shared" si="6"/>
        <v/>
      </c>
      <c r="I2996" s="2">
        <f t="shared" si="7"/>
        <v>1426.89</v>
      </c>
      <c r="M2996" s="10">
        <f>IFERROR(__xludf.DUMMYFUNCTION("""COMPUTED_VALUE"""),42324.66666666667)</f>
        <v>42324.66667</v>
      </c>
      <c r="N2996" s="2">
        <f>IFERROR(__xludf.DUMMYFUNCTION("""COMPUTED_VALUE"""),4984.62)</f>
        <v>4984.62</v>
      </c>
    </row>
    <row r="2997">
      <c r="A2997" s="10">
        <f t="shared" si="8"/>
        <v>40979.66667</v>
      </c>
      <c r="B2997" s="2" t="str">
        <f t="shared" si="2"/>
        <v/>
      </c>
      <c r="C2997" s="2" t="str">
        <f t="shared" si="3"/>
        <v>SP500</v>
      </c>
      <c r="D2997" s="2" t="str">
        <f t="shared" si="4"/>
        <v/>
      </c>
      <c r="E2997" s="2">
        <f t="shared" si="5"/>
        <v>2988.34</v>
      </c>
      <c r="G2997" s="10">
        <f t="shared" si="9"/>
        <v>40979.64583</v>
      </c>
      <c r="H2997" s="6" t="str">
        <f t="shared" si="6"/>
        <v/>
      </c>
      <c r="I2997" s="2">
        <f t="shared" si="7"/>
        <v>1426.89</v>
      </c>
      <c r="M2997" s="10">
        <f>IFERROR(__xludf.DUMMYFUNCTION("""COMPUTED_VALUE"""),42325.66666666667)</f>
        <v>42325.66667</v>
      </c>
      <c r="N2997" s="2">
        <f>IFERROR(__xludf.DUMMYFUNCTION("""COMPUTED_VALUE"""),4986.02)</f>
        <v>4986.02</v>
      </c>
    </row>
    <row r="2998">
      <c r="A2998" s="10">
        <f t="shared" si="8"/>
        <v>40980.66667</v>
      </c>
      <c r="B2998" s="2" t="str">
        <f t="shared" si="2"/>
        <v/>
      </c>
      <c r="C2998" s="2" t="str">
        <f t="shared" si="3"/>
        <v>SP500</v>
      </c>
      <c r="D2998" s="2">
        <f t="shared" si="4"/>
        <v>2983.66</v>
      </c>
      <c r="E2998" s="2">
        <f t="shared" si="5"/>
        <v>2983.66</v>
      </c>
      <c r="G2998" s="10">
        <f t="shared" si="9"/>
        <v>40980.64583</v>
      </c>
      <c r="H2998" s="6" t="str">
        <f t="shared" si="6"/>
        <v/>
      </c>
      <c r="I2998" s="2">
        <f t="shared" si="7"/>
        <v>1426.89</v>
      </c>
      <c r="M2998" s="10">
        <f>IFERROR(__xludf.DUMMYFUNCTION("""COMPUTED_VALUE"""),42326.66666666667)</f>
        <v>42326.66667</v>
      </c>
      <c r="N2998" s="2">
        <f>IFERROR(__xludf.DUMMYFUNCTION("""COMPUTED_VALUE"""),5075.2)</f>
        <v>5075.2</v>
      </c>
    </row>
    <row r="2999">
      <c r="A2999" s="10">
        <f t="shared" si="8"/>
        <v>40981.66667</v>
      </c>
      <c r="B2999" s="2" t="str">
        <f t="shared" si="2"/>
        <v/>
      </c>
      <c r="C2999" s="2" t="str">
        <f t="shared" si="3"/>
        <v>SP500</v>
      </c>
      <c r="D2999" s="2">
        <f t="shared" si="4"/>
        <v>3039.88</v>
      </c>
      <c r="E2999" s="2">
        <f t="shared" si="5"/>
        <v>3039.88</v>
      </c>
      <c r="G2999" s="10">
        <f t="shared" si="9"/>
        <v>40981.64583</v>
      </c>
      <c r="H2999" s="6" t="str">
        <f t="shared" si="6"/>
        <v/>
      </c>
      <c r="I2999" s="2">
        <f t="shared" si="7"/>
        <v>1426.89</v>
      </c>
      <c r="M2999" s="10">
        <f>IFERROR(__xludf.DUMMYFUNCTION("""COMPUTED_VALUE"""),42327.66666666667)</f>
        <v>42327.66667</v>
      </c>
      <c r="N2999" s="2">
        <f>IFERROR(__xludf.DUMMYFUNCTION("""COMPUTED_VALUE"""),5073.64)</f>
        <v>5073.64</v>
      </c>
    </row>
    <row r="3000">
      <c r="A3000" s="10">
        <f t="shared" si="8"/>
        <v>40982.66667</v>
      </c>
      <c r="B3000" s="2" t="str">
        <f t="shared" si="2"/>
        <v/>
      </c>
      <c r="C3000" s="2" t="str">
        <f t="shared" si="3"/>
        <v>SP500</v>
      </c>
      <c r="D3000" s="2">
        <f t="shared" si="4"/>
        <v>3040.73</v>
      </c>
      <c r="E3000" s="2">
        <f t="shared" si="5"/>
        <v>3040.73</v>
      </c>
      <c r="G3000" s="10">
        <f t="shared" si="9"/>
        <v>40982.64583</v>
      </c>
      <c r="H3000" s="6" t="str">
        <f t="shared" si="6"/>
        <v/>
      </c>
      <c r="I3000" s="2">
        <f t="shared" si="7"/>
        <v>1426.89</v>
      </c>
      <c r="M3000" s="10">
        <f>IFERROR(__xludf.DUMMYFUNCTION("""COMPUTED_VALUE"""),42328.66666666667)</f>
        <v>42328.66667</v>
      </c>
      <c r="N3000" s="2">
        <f>IFERROR(__xludf.DUMMYFUNCTION("""COMPUTED_VALUE"""),5104.92)</f>
        <v>5104.92</v>
      </c>
    </row>
    <row r="3001">
      <c r="A3001" s="10">
        <f t="shared" si="8"/>
        <v>40983.66667</v>
      </c>
      <c r="B3001" s="2" t="str">
        <f t="shared" si="2"/>
        <v/>
      </c>
      <c r="C3001" s="2" t="str">
        <f t="shared" si="3"/>
        <v>SP500</v>
      </c>
      <c r="D3001" s="2">
        <f t="shared" si="4"/>
        <v>3056.37</v>
      </c>
      <c r="E3001" s="2">
        <f t="shared" si="5"/>
        <v>3056.37</v>
      </c>
      <c r="G3001" s="10">
        <f t="shared" si="9"/>
        <v>40983.64583</v>
      </c>
      <c r="H3001" s="6" t="str">
        <f t="shared" si="6"/>
        <v/>
      </c>
      <c r="I3001" s="2">
        <f t="shared" si="7"/>
        <v>1426.89</v>
      </c>
      <c r="M3001" s="10">
        <f>IFERROR(__xludf.DUMMYFUNCTION("""COMPUTED_VALUE"""),42331.66666666667)</f>
        <v>42331.66667</v>
      </c>
      <c r="N3001" s="2">
        <f>IFERROR(__xludf.DUMMYFUNCTION("""COMPUTED_VALUE"""),5102.48)</f>
        <v>5102.48</v>
      </c>
    </row>
    <row r="3002">
      <c r="A3002" s="10">
        <f t="shared" si="8"/>
        <v>40984.66667</v>
      </c>
      <c r="B3002" s="2" t="str">
        <f t="shared" si="2"/>
        <v/>
      </c>
      <c r="C3002" s="2" t="str">
        <f t="shared" si="3"/>
        <v>SP500</v>
      </c>
      <c r="D3002" s="2">
        <f t="shared" si="4"/>
        <v>3055.26</v>
      </c>
      <c r="E3002" s="2">
        <f t="shared" si="5"/>
        <v>3055.26</v>
      </c>
      <c r="G3002" s="10">
        <f t="shared" si="9"/>
        <v>40984.64583</v>
      </c>
      <c r="H3002" s="6" t="str">
        <f t="shared" si="6"/>
        <v/>
      </c>
      <c r="I3002" s="2">
        <f t="shared" si="7"/>
        <v>1426.89</v>
      </c>
      <c r="M3002" s="10">
        <f>IFERROR(__xludf.DUMMYFUNCTION("""COMPUTED_VALUE"""),42332.66666666667)</f>
        <v>42332.66667</v>
      </c>
      <c r="N3002" s="2">
        <f>IFERROR(__xludf.DUMMYFUNCTION("""COMPUTED_VALUE"""),5102.81)</f>
        <v>5102.81</v>
      </c>
    </row>
    <row r="3003">
      <c r="A3003" s="10">
        <f t="shared" si="8"/>
        <v>40985.66667</v>
      </c>
      <c r="B3003" s="2" t="str">
        <f t="shared" si="2"/>
        <v/>
      </c>
      <c r="C3003" s="2" t="str">
        <f t="shared" si="3"/>
        <v>SP500</v>
      </c>
      <c r="D3003" s="2" t="str">
        <f t="shared" si="4"/>
        <v/>
      </c>
      <c r="E3003" s="2">
        <f t="shared" si="5"/>
        <v>3055.26</v>
      </c>
      <c r="G3003" s="10">
        <f t="shared" si="9"/>
        <v>40985.64583</v>
      </c>
      <c r="H3003" s="6" t="str">
        <f t="shared" si="6"/>
        <v/>
      </c>
      <c r="I3003" s="2">
        <f t="shared" si="7"/>
        <v>1426.89</v>
      </c>
      <c r="M3003" s="10">
        <f>IFERROR(__xludf.DUMMYFUNCTION("""COMPUTED_VALUE"""),42333.66666666667)</f>
        <v>42333.66667</v>
      </c>
      <c r="N3003" s="2">
        <f>IFERROR(__xludf.DUMMYFUNCTION("""COMPUTED_VALUE"""),5116.14)</f>
        <v>5116.14</v>
      </c>
    </row>
    <row r="3004">
      <c r="A3004" s="10">
        <f t="shared" si="8"/>
        <v>40986.66667</v>
      </c>
      <c r="B3004" s="2" t="str">
        <f t="shared" si="2"/>
        <v/>
      </c>
      <c r="C3004" s="2" t="str">
        <f t="shared" si="3"/>
        <v>SP500</v>
      </c>
      <c r="D3004" s="2" t="str">
        <f t="shared" si="4"/>
        <v/>
      </c>
      <c r="E3004" s="2">
        <f t="shared" si="5"/>
        <v>3055.26</v>
      </c>
      <c r="G3004" s="10">
        <f t="shared" si="9"/>
        <v>40986.64583</v>
      </c>
      <c r="H3004" s="6" t="str">
        <f t="shared" si="6"/>
        <v/>
      </c>
      <c r="I3004" s="2">
        <f t="shared" si="7"/>
        <v>1426.89</v>
      </c>
      <c r="M3004" s="10">
        <f>IFERROR(__xludf.DUMMYFUNCTION("""COMPUTED_VALUE"""),42335.66666666667)</f>
        <v>42335.66667</v>
      </c>
      <c r="N3004" s="2">
        <f>IFERROR(__xludf.DUMMYFUNCTION("""COMPUTED_VALUE"""),5127.52)</f>
        <v>5127.52</v>
      </c>
    </row>
    <row r="3005">
      <c r="A3005" s="10">
        <f t="shared" si="8"/>
        <v>40987.66667</v>
      </c>
      <c r="B3005" s="2" t="str">
        <f t="shared" si="2"/>
        <v/>
      </c>
      <c r="C3005" s="2" t="str">
        <f t="shared" si="3"/>
        <v>SP500</v>
      </c>
      <c r="D3005" s="2">
        <f t="shared" si="4"/>
        <v>3078.32</v>
      </c>
      <c r="E3005" s="2">
        <f t="shared" si="5"/>
        <v>3078.32</v>
      </c>
      <c r="G3005" s="10">
        <f t="shared" si="9"/>
        <v>40987.64583</v>
      </c>
      <c r="H3005" s="6" t="str">
        <f t="shared" si="6"/>
        <v/>
      </c>
      <c r="I3005" s="2">
        <f t="shared" si="7"/>
        <v>1426.89</v>
      </c>
      <c r="M3005" s="10">
        <f>IFERROR(__xludf.DUMMYFUNCTION("""COMPUTED_VALUE"""),42338.66666666667)</f>
        <v>42338.66667</v>
      </c>
      <c r="N3005" s="2">
        <f>IFERROR(__xludf.DUMMYFUNCTION("""COMPUTED_VALUE"""),5108.67)</f>
        <v>5108.67</v>
      </c>
    </row>
    <row r="3006">
      <c r="A3006" s="10">
        <f t="shared" si="8"/>
        <v>40988.66667</v>
      </c>
      <c r="B3006" s="2" t="str">
        <f t="shared" si="2"/>
        <v/>
      </c>
      <c r="C3006" s="2" t="str">
        <f t="shared" si="3"/>
        <v>SP500</v>
      </c>
      <c r="D3006" s="2">
        <f t="shared" si="4"/>
        <v>3074.15</v>
      </c>
      <c r="E3006" s="2">
        <f t="shared" si="5"/>
        <v>3074.15</v>
      </c>
      <c r="G3006" s="10">
        <f t="shared" si="9"/>
        <v>40988.64583</v>
      </c>
      <c r="H3006" s="6" t="str">
        <f t="shared" si="6"/>
        <v/>
      </c>
      <c r="I3006" s="2">
        <f t="shared" si="7"/>
        <v>1426.89</v>
      </c>
      <c r="M3006" s="10">
        <f>IFERROR(__xludf.DUMMYFUNCTION("""COMPUTED_VALUE"""),42339.66666666667)</f>
        <v>42339.66667</v>
      </c>
      <c r="N3006" s="2">
        <f>IFERROR(__xludf.DUMMYFUNCTION("""COMPUTED_VALUE"""),5156.31)</f>
        <v>5156.31</v>
      </c>
    </row>
    <row r="3007">
      <c r="A3007" s="10">
        <f t="shared" si="8"/>
        <v>40989.66667</v>
      </c>
      <c r="B3007" s="2" t="str">
        <f t="shared" si="2"/>
        <v/>
      </c>
      <c r="C3007" s="2" t="str">
        <f t="shared" si="3"/>
        <v>SP500</v>
      </c>
      <c r="D3007" s="2">
        <f t="shared" si="4"/>
        <v>3075.32</v>
      </c>
      <c r="E3007" s="2">
        <f t="shared" si="5"/>
        <v>3075.32</v>
      </c>
      <c r="G3007" s="10">
        <f t="shared" si="9"/>
        <v>40989.64583</v>
      </c>
      <c r="H3007" s="6" t="str">
        <f t="shared" si="6"/>
        <v/>
      </c>
      <c r="I3007" s="2">
        <f t="shared" si="7"/>
        <v>1426.89</v>
      </c>
      <c r="M3007" s="10">
        <f>IFERROR(__xludf.DUMMYFUNCTION("""COMPUTED_VALUE"""),42340.66666666667)</f>
        <v>42340.66667</v>
      </c>
      <c r="N3007" s="2">
        <f>IFERROR(__xludf.DUMMYFUNCTION("""COMPUTED_VALUE"""),5123.22)</f>
        <v>5123.22</v>
      </c>
    </row>
    <row r="3008">
      <c r="A3008" s="10">
        <f t="shared" si="8"/>
        <v>40990.66667</v>
      </c>
      <c r="B3008" s="2" t="str">
        <f t="shared" si="2"/>
        <v/>
      </c>
      <c r="C3008" s="2" t="str">
        <f t="shared" si="3"/>
        <v>SP500</v>
      </c>
      <c r="D3008" s="2">
        <f t="shared" si="4"/>
        <v>3063.32</v>
      </c>
      <c r="E3008" s="2">
        <f t="shared" si="5"/>
        <v>3063.32</v>
      </c>
      <c r="G3008" s="10">
        <f t="shared" si="9"/>
        <v>40990.64583</v>
      </c>
      <c r="H3008" s="6" t="str">
        <f t="shared" si="6"/>
        <v/>
      </c>
      <c r="I3008" s="2">
        <f t="shared" si="7"/>
        <v>1426.89</v>
      </c>
      <c r="M3008" s="10">
        <f>IFERROR(__xludf.DUMMYFUNCTION("""COMPUTED_VALUE"""),42341.66666666667)</f>
        <v>42341.66667</v>
      </c>
      <c r="N3008" s="2">
        <f>IFERROR(__xludf.DUMMYFUNCTION("""COMPUTED_VALUE"""),5037.53)</f>
        <v>5037.53</v>
      </c>
    </row>
    <row r="3009">
      <c r="A3009" s="10">
        <f t="shared" si="8"/>
        <v>40991.66667</v>
      </c>
      <c r="B3009" s="2" t="str">
        <f t="shared" si="2"/>
        <v/>
      </c>
      <c r="C3009" s="2" t="str">
        <f t="shared" si="3"/>
        <v>SP500</v>
      </c>
      <c r="D3009" s="2">
        <f t="shared" si="4"/>
        <v>3067.92</v>
      </c>
      <c r="E3009" s="2">
        <f t="shared" si="5"/>
        <v>3067.92</v>
      </c>
      <c r="G3009" s="10">
        <f t="shared" si="9"/>
        <v>40991.64583</v>
      </c>
      <c r="H3009" s="6" t="str">
        <f t="shared" si="6"/>
        <v/>
      </c>
      <c r="I3009" s="2">
        <f t="shared" si="7"/>
        <v>1426.89</v>
      </c>
      <c r="M3009" s="10">
        <f>IFERROR(__xludf.DUMMYFUNCTION("""COMPUTED_VALUE"""),42342.66666666667)</f>
        <v>42342.66667</v>
      </c>
      <c r="N3009" s="2">
        <f>IFERROR(__xludf.DUMMYFUNCTION("""COMPUTED_VALUE"""),5142.27)</f>
        <v>5142.27</v>
      </c>
    </row>
    <row r="3010">
      <c r="A3010" s="10">
        <f t="shared" si="8"/>
        <v>40992.66667</v>
      </c>
      <c r="B3010" s="2" t="str">
        <f t="shared" si="2"/>
        <v/>
      </c>
      <c r="C3010" s="2" t="str">
        <f t="shared" si="3"/>
        <v>SP500</v>
      </c>
      <c r="D3010" s="2" t="str">
        <f t="shared" si="4"/>
        <v/>
      </c>
      <c r="E3010" s="2">
        <f t="shared" si="5"/>
        <v>3067.92</v>
      </c>
      <c r="G3010" s="10">
        <f t="shared" si="9"/>
        <v>40992.64583</v>
      </c>
      <c r="H3010" s="6" t="str">
        <f t="shared" si="6"/>
        <v/>
      </c>
      <c r="I3010" s="2">
        <f t="shared" si="7"/>
        <v>1426.89</v>
      </c>
      <c r="M3010" s="10">
        <f>IFERROR(__xludf.DUMMYFUNCTION("""COMPUTED_VALUE"""),42345.66666666667)</f>
        <v>42345.66667</v>
      </c>
      <c r="N3010" s="2">
        <f>IFERROR(__xludf.DUMMYFUNCTION("""COMPUTED_VALUE"""),5101.81)</f>
        <v>5101.81</v>
      </c>
    </row>
    <row r="3011">
      <c r="A3011" s="10">
        <f t="shared" si="8"/>
        <v>40993.66667</v>
      </c>
      <c r="B3011" s="2" t="str">
        <f t="shared" si="2"/>
        <v/>
      </c>
      <c r="C3011" s="2" t="str">
        <f t="shared" si="3"/>
        <v>SP500</v>
      </c>
      <c r="D3011" s="2" t="str">
        <f t="shared" si="4"/>
        <v/>
      </c>
      <c r="E3011" s="2">
        <f t="shared" si="5"/>
        <v>3067.92</v>
      </c>
      <c r="G3011" s="10">
        <f t="shared" si="9"/>
        <v>40993.64583</v>
      </c>
      <c r="H3011" s="6" t="str">
        <f t="shared" si="6"/>
        <v/>
      </c>
      <c r="I3011" s="2">
        <f t="shared" si="7"/>
        <v>1426.89</v>
      </c>
      <c r="M3011" s="10">
        <f>IFERROR(__xludf.DUMMYFUNCTION("""COMPUTED_VALUE"""),42346.66666666667)</f>
        <v>42346.66667</v>
      </c>
      <c r="N3011" s="2">
        <f>IFERROR(__xludf.DUMMYFUNCTION("""COMPUTED_VALUE"""),5098.24)</f>
        <v>5098.24</v>
      </c>
    </row>
    <row r="3012">
      <c r="A3012" s="10">
        <f t="shared" si="8"/>
        <v>40994.66667</v>
      </c>
      <c r="B3012" s="2" t="str">
        <f t="shared" si="2"/>
        <v/>
      </c>
      <c r="C3012" s="2" t="str">
        <f t="shared" si="3"/>
        <v>SP500</v>
      </c>
      <c r="D3012" s="2">
        <f t="shared" si="4"/>
        <v>3122.57</v>
      </c>
      <c r="E3012" s="2">
        <f t="shared" si="5"/>
        <v>3122.57</v>
      </c>
      <c r="G3012" s="10">
        <f t="shared" si="9"/>
        <v>40994.64583</v>
      </c>
      <c r="H3012" s="6" t="str">
        <f t="shared" si="6"/>
        <v/>
      </c>
      <c r="I3012" s="2">
        <f t="shared" si="7"/>
        <v>1426.89</v>
      </c>
      <c r="M3012" s="10">
        <f>IFERROR(__xludf.DUMMYFUNCTION("""COMPUTED_VALUE"""),42347.66666666667)</f>
        <v>42347.66667</v>
      </c>
      <c r="N3012" s="2">
        <f>IFERROR(__xludf.DUMMYFUNCTION("""COMPUTED_VALUE"""),5022.87)</f>
        <v>5022.87</v>
      </c>
    </row>
    <row r="3013">
      <c r="A3013" s="10">
        <f t="shared" si="8"/>
        <v>40995.66667</v>
      </c>
      <c r="B3013" s="2" t="str">
        <f t="shared" si="2"/>
        <v/>
      </c>
      <c r="C3013" s="2" t="str">
        <f t="shared" si="3"/>
        <v>SP500</v>
      </c>
      <c r="D3013" s="2">
        <f t="shared" si="4"/>
        <v>3120.35</v>
      </c>
      <c r="E3013" s="2">
        <f t="shared" si="5"/>
        <v>3120.35</v>
      </c>
      <c r="G3013" s="10">
        <f t="shared" si="9"/>
        <v>40995.64583</v>
      </c>
      <c r="H3013" s="6" t="str">
        <f t="shared" si="6"/>
        <v/>
      </c>
      <c r="I3013" s="2">
        <f t="shared" si="7"/>
        <v>1426.89</v>
      </c>
      <c r="M3013" s="10">
        <f>IFERROR(__xludf.DUMMYFUNCTION("""COMPUTED_VALUE"""),42348.66666666667)</f>
        <v>42348.66667</v>
      </c>
      <c r="N3013" s="2">
        <f>IFERROR(__xludf.DUMMYFUNCTION("""COMPUTED_VALUE"""),5045.17)</f>
        <v>5045.17</v>
      </c>
    </row>
    <row r="3014">
      <c r="A3014" s="10">
        <f t="shared" si="8"/>
        <v>40996.66667</v>
      </c>
      <c r="B3014" s="2" t="str">
        <f t="shared" si="2"/>
        <v/>
      </c>
      <c r="C3014" s="2" t="str">
        <f t="shared" si="3"/>
        <v>SP500</v>
      </c>
      <c r="D3014" s="2">
        <f t="shared" si="4"/>
        <v>3104.96</v>
      </c>
      <c r="E3014" s="2">
        <f t="shared" si="5"/>
        <v>3104.96</v>
      </c>
      <c r="G3014" s="10">
        <f t="shared" si="9"/>
        <v>40996.64583</v>
      </c>
      <c r="H3014" s="6" t="str">
        <f t="shared" si="6"/>
        <v/>
      </c>
      <c r="I3014" s="2">
        <f t="shared" si="7"/>
        <v>1426.89</v>
      </c>
      <c r="M3014" s="10">
        <f>IFERROR(__xludf.DUMMYFUNCTION("""COMPUTED_VALUE"""),42349.66666666667)</f>
        <v>42349.66667</v>
      </c>
      <c r="N3014" s="2">
        <f>IFERROR(__xludf.DUMMYFUNCTION("""COMPUTED_VALUE"""),4933.47)</f>
        <v>4933.47</v>
      </c>
    </row>
    <row r="3015">
      <c r="A3015" s="10">
        <f t="shared" si="8"/>
        <v>40997.66667</v>
      </c>
      <c r="B3015" s="2" t="str">
        <f t="shared" si="2"/>
        <v/>
      </c>
      <c r="C3015" s="2" t="str">
        <f t="shared" si="3"/>
        <v>SP500</v>
      </c>
      <c r="D3015" s="2">
        <f t="shared" si="4"/>
        <v>3095.36</v>
      </c>
      <c r="E3015" s="2">
        <f t="shared" si="5"/>
        <v>3095.36</v>
      </c>
      <c r="G3015" s="10">
        <f t="shared" si="9"/>
        <v>40997.64583</v>
      </c>
      <c r="H3015" s="6" t="str">
        <f t="shared" si="6"/>
        <v/>
      </c>
      <c r="I3015" s="2">
        <f t="shared" si="7"/>
        <v>1426.89</v>
      </c>
      <c r="M3015" s="10">
        <f>IFERROR(__xludf.DUMMYFUNCTION("""COMPUTED_VALUE"""),42352.66666666667)</f>
        <v>42352.66667</v>
      </c>
      <c r="N3015" s="2">
        <f>IFERROR(__xludf.DUMMYFUNCTION("""COMPUTED_VALUE"""),4952.23)</f>
        <v>4952.23</v>
      </c>
    </row>
    <row r="3016">
      <c r="A3016" s="10">
        <f t="shared" si="8"/>
        <v>40998.66667</v>
      </c>
      <c r="B3016" s="2" t="str">
        <f t="shared" si="2"/>
        <v/>
      </c>
      <c r="C3016" s="2" t="str">
        <f t="shared" si="3"/>
        <v>SP500</v>
      </c>
      <c r="D3016" s="2">
        <f t="shared" si="4"/>
        <v>3091.57</v>
      </c>
      <c r="E3016" s="2">
        <f t="shared" si="5"/>
        <v>3091.57</v>
      </c>
      <c r="G3016" s="10">
        <f t="shared" si="9"/>
        <v>40998.64583</v>
      </c>
      <c r="H3016" s="6" t="str">
        <f t="shared" si="6"/>
        <v/>
      </c>
      <c r="I3016" s="2">
        <f t="shared" si="7"/>
        <v>1426.89</v>
      </c>
      <c r="M3016" s="10">
        <f>IFERROR(__xludf.DUMMYFUNCTION("""COMPUTED_VALUE"""),42353.66666666667)</f>
        <v>42353.66667</v>
      </c>
      <c r="N3016" s="2">
        <f>IFERROR(__xludf.DUMMYFUNCTION("""COMPUTED_VALUE"""),4995.36)</f>
        <v>4995.36</v>
      </c>
    </row>
    <row r="3017">
      <c r="A3017" s="10">
        <f t="shared" si="8"/>
        <v>40999.66667</v>
      </c>
      <c r="B3017" s="2" t="str">
        <f t="shared" si="2"/>
        <v/>
      </c>
      <c r="C3017" s="2" t="str">
        <f t="shared" si="3"/>
        <v>SP500</v>
      </c>
      <c r="D3017" s="2" t="str">
        <f t="shared" si="4"/>
        <v/>
      </c>
      <c r="E3017" s="2">
        <f t="shared" si="5"/>
        <v>3091.57</v>
      </c>
      <c r="G3017" s="10">
        <f t="shared" si="9"/>
        <v>40999.64583</v>
      </c>
      <c r="H3017" s="6" t="str">
        <f t="shared" si="6"/>
        <v/>
      </c>
      <c r="I3017" s="2">
        <f t="shared" si="7"/>
        <v>1426.89</v>
      </c>
      <c r="M3017" s="10">
        <f>IFERROR(__xludf.DUMMYFUNCTION("""COMPUTED_VALUE"""),42354.66666666667)</f>
        <v>42354.66667</v>
      </c>
      <c r="N3017" s="2">
        <f>IFERROR(__xludf.DUMMYFUNCTION("""COMPUTED_VALUE"""),5071.13)</f>
        <v>5071.13</v>
      </c>
    </row>
    <row r="3018">
      <c r="A3018" s="10">
        <f t="shared" si="8"/>
        <v>41000.66667</v>
      </c>
      <c r="B3018" s="2" t="str">
        <f t="shared" si="2"/>
        <v/>
      </c>
      <c r="C3018" s="2" t="str">
        <f t="shared" si="3"/>
        <v>SP500</v>
      </c>
      <c r="D3018" s="2" t="str">
        <f t="shared" si="4"/>
        <v/>
      </c>
      <c r="E3018" s="2">
        <f t="shared" si="5"/>
        <v>3091.57</v>
      </c>
      <c r="G3018" s="10">
        <f t="shared" si="9"/>
        <v>41000.64583</v>
      </c>
      <c r="H3018" s="6" t="str">
        <f t="shared" si="6"/>
        <v/>
      </c>
      <c r="I3018" s="2">
        <f t="shared" si="7"/>
        <v>1426.89</v>
      </c>
      <c r="M3018" s="10">
        <f>IFERROR(__xludf.DUMMYFUNCTION("""COMPUTED_VALUE"""),42355.66666666667)</f>
        <v>42355.66667</v>
      </c>
      <c r="N3018" s="2">
        <f>IFERROR(__xludf.DUMMYFUNCTION("""COMPUTED_VALUE"""),5002.55)</f>
        <v>5002.55</v>
      </c>
    </row>
    <row r="3019">
      <c r="A3019" s="10">
        <f t="shared" si="8"/>
        <v>41001.66667</v>
      </c>
      <c r="B3019" s="2" t="str">
        <f t="shared" si="2"/>
        <v/>
      </c>
      <c r="C3019" s="2" t="str">
        <f t="shared" si="3"/>
        <v>SP500</v>
      </c>
      <c r="D3019" s="2">
        <f t="shared" si="4"/>
        <v>3119.7</v>
      </c>
      <c r="E3019" s="2">
        <f t="shared" si="5"/>
        <v>3119.7</v>
      </c>
      <c r="G3019" s="10">
        <f t="shared" si="9"/>
        <v>41001.64583</v>
      </c>
      <c r="H3019" s="6" t="str">
        <f t="shared" si="6"/>
        <v/>
      </c>
      <c r="I3019" s="2">
        <f t="shared" si="7"/>
        <v>1426.89</v>
      </c>
      <c r="M3019" s="10">
        <f>IFERROR(__xludf.DUMMYFUNCTION("""COMPUTED_VALUE"""),42356.66666666667)</f>
        <v>42356.66667</v>
      </c>
      <c r="N3019" s="2">
        <f>IFERROR(__xludf.DUMMYFUNCTION("""COMPUTED_VALUE"""),4923.08)</f>
        <v>4923.08</v>
      </c>
    </row>
    <row r="3020">
      <c r="A3020" s="10">
        <f t="shared" si="8"/>
        <v>41002.66667</v>
      </c>
      <c r="B3020" s="2" t="str">
        <f t="shared" si="2"/>
        <v/>
      </c>
      <c r="C3020" s="2" t="str">
        <f t="shared" si="3"/>
        <v>SP500</v>
      </c>
      <c r="D3020" s="2">
        <f t="shared" si="4"/>
        <v>3113.57</v>
      </c>
      <c r="E3020" s="2">
        <f t="shared" si="5"/>
        <v>3113.57</v>
      </c>
      <c r="G3020" s="10">
        <f t="shared" si="9"/>
        <v>41002.64583</v>
      </c>
      <c r="H3020" s="6" t="str">
        <f t="shared" si="6"/>
        <v/>
      </c>
      <c r="I3020" s="2">
        <f t="shared" si="7"/>
        <v>1426.89</v>
      </c>
      <c r="M3020" s="10">
        <f>IFERROR(__xludf.DUMMYFUNCTION("""COMPUTED_VALUE"""),42359.66666666667)</f>
        <v>42359.66667</v>
      </c>
      <c r="N3020" s="2">
        <f>IFERROR(__xludf.DUMMYFUNCTION("""COMPUTED_VALUE"""),4968.92)</f>
        <v>4968.92</v>
      </c>
    </row>
    <row r="3021">
      <c r="A3021" s="10">
        <f t="shared" si="8"/>
        <v>41003.66667</v>
      </c>
      <c r="B3021" s="2" t="str">
        <f t="shared" si="2"/>
        <v/>
      </c>
      <c r="C3021" s="2" t="str">
        <f t="shared" si="3"/>
        <v>SP500</v>
      </c>
      <c r="D3021" s="2">
        <f t="shared" si="4"/>
        <v>3068.09</v>
      </c>
      <c r="E3021" s="2">
        <f t="shared" si="5"/>
        <v>3068.09</v>
      </c>
      <c r="G3021" s="10">
        <f t="shared" si="9"/>
        <v>41003.64583</v>
      </c>
      <c r="H3021" s="6" t="str">
        <f t="shared" si="6"/>
        <v/>
      </c>
      <c r="I3021" s="2">
        <f t="shared" si="7"/>
        <v>1426.89</v>
      </c>
      <c r="M3021" s="10">
        <f>IFERROR(__xludf.DUMMYFUNCTION("""COMPUTED_VALUE"""),42360.66666666667)</f>
        <v>42360.66667</v>
      </c>
      <c r="N3021" s="2">
        <f>IFERROR(__xludf.DUMMYFUNCTION("""COMPUTED_VALUE"""),5001.11)</f>
        <v>5001.11</v>
      </c>
    </row>
    <row r="3022">
      <c r="A3022" s="10">
        <f t="shared" si="8"/>
        <v>41004.66667</v>
      </c>
      <c r="B3022" s="2" t="str">
        <f t="shared" si="2"/>
        <v/>
      </c>
      <c r="C3022" s="2" t="str">
        <f t="shared" si="3"/>
        <v>SP500</v>
      </c>
      <c r="D3022" s="2">
        <f t="shared" si="4"/>
        <v>3080.5</v>
      </c>
      <c r="E3022" s="2">
        <f t="shared" si="5"/>
        <v>3080.5</v>
      </c>
      <c r="G3022" s="10">
        <f t="shared" si="9"/>
        <v>41004.64583</v>
      </c>
      <c r="H3022" s="6" t="str">
        <f t="shared" si="6"/>
        <v/>
      </c>
      <c r="I3022" s="2">
        <f t="shared" si="7"/>
        <v>1426.89</v>
      </c>
      <c r="M3022" s="10">
        <f>IFERROR(__xludf.DUMMYFUNCTION("""COMPUTED_VALUE"""),42361.66666666667)</f>
        <v>42361.66667</v>
      </c>
      <c r="N3022" s="2">
        <f>IFERROR(__xludf.DUMMYFUNCTION("""COMPUTED_VALUE"""),5045.93)</f>
        <v>5045.93</v>
      </c>
    </row>
    <row r="3023">
      <c r="A3023" s="10">
        <f t="shared" si="8"/>
        <v>41005.66667</v>
      </c>
      <c r="B3023" s="2" t="str">
        <f t="shared" si="2"/>
        <v/>
      </c>
      <c r="C3023" s="2" t="str">
        <f t="shared" si="3"/>
        <v>SP500</v>
      </c>
      <c r="D3023" s="2" t="str">
        <f t="shared" si="4"/>
        <v/>
      </c>
      <c r="E3023" s="2">
        <f t="shared" si="5"/>
        <v>3080.5</v>
      </c>
      <c r="G3023" s="10">
        <f t="shared" si="9"/>
        <v>41005.64583</v>
      </c>
      <c r="H3023" s="6" t="str">
        <f t="shared" si="6"/>
        <v/>
      </c>
      <c r="I3023" s="2">
        <f t="shared" si="7"/>
        <v>1426.89</v>
      </c>
      <c r="M3023" s="10">
        <f>IFERROR(__xludf.DUMMYFUNCTION("""COMPUTED_VALUE"""),42362.66666666667)</f>
        <v>42362.66667</v>
      </c>
      <c r="N3023" s="2">
        <f>IFERROR(__xludf.DUMMYFUNCTION("""COMPUTED_VALUE"""),5048.49)</f>
        <v>5048.49</v>
      </c>
    </row>
    <row r="3024">
      <c r="A3024" s="10">
        <f t="shared" si="8"/>
        <v>41006.66667</v>
      </c>
      <c r="B3024" s="2" t="str">
        <f t="shared" si="2"/>
        <v/>
      </c>
      <c r="C3024" s="2" t="str">
        <f t="shared" si="3"/>
        <v>SP500</v>
      </c>
      <c r="D3024" s="2" t="str">
        <f t="shared" si="4"/>
        <v/>
      </c>
      <c r="E3024" s="2">
        <f t="shared" si="5"/>
        <v>3080.5</v>
      </c>
      <c r="G3024" s="10">
        <f t="shared" si="9"/>
        <v>41006.64583</v>
      </c>
      <c r="H3024" s="6" t="str">
        <f t="shared" si="6"/>
        <v/>
      </c>
      <c r="I3024" s="2">
        <f t="shared" si="7"/>
        <v>1426.89</v>
      </c>
      <c r="M3024" s="10">
        <f>IFERROR(__xludf.DUMMYFUNCTION("""COMPUTED_VALUE"""),42366.66666666667)</f>
        <v>42366.66667</v>
      </c>
      <c r="N3024" s="2">
        <f>IFERROR(__xludf.DUMMYFUNCTION("""COMPUTED_VALUE"""),5040.99)</f>
        <v>5040.99</v>
      </c>
    </row>
    <row r="3025">
      <c r="A3025" s="10">
        <f t="shared" si="8"/>
        <v>41007.66667</v>
      </c>
      <c r="B3025" s="2" t="str">
        <f t="shared" si="2"/>
        <v/>
      </c>
      <c r="C3025" s="2" t="str">
        <f t="shared" si="3"/>
        <v>SP500</v>
      </c>
      <c r="D3025" s="2" t="str">
        <f t="shared" si="4"/>
        <v/>
      </c>
      <c r="E3025" s="2">
        <f t="shared" si="5"/>
        <v>3080.5</v>
      </c>
      <c r="G3025" s="10">
        <f t="shared" si="9"/>
        <v>41007.64583</v>
      </c>
      <c r="H3025" s="6" t="str">
        <f t="shared" si="6"/>
        <v/>
      </c>
      <c r="I3025" s="2">
        <f t="shared" si="7"/>
        <v>1426.89</v>
      </c>
      <c r="M3025" s="10">
        <f>IFERROR(__xludf.DUMMYFUNCTION("""COMPUTED_VALUE"""),42367.66666666667)</f>
        <v>42367.66667</v>
      </c>
      <c r="N3025" s="2">
        <f>IFERROR(__xludf.DUMMYFUNCTION("""COMPUTED_VALUE"""),5107.94)</f>
        <v>5107.94</v>
      </c>
    </row>
    <row r="3026">
      <c r="A3026" s="10">
        <f t="shared" si="8"/>
        <v>41008.66667</v>
      </c>
      <c r="B3026" s="2" t="str">
        <f t="shared" si="2"/>
        <v/>
      </c>
      <c r="C3026" s="2" t="str">
        <f t="shared" si="3"/>
        <v>SP500</v>
      </c>
      <c r="D3026" s="2">
        <f t="shared" si="4"/>
        <v>3047.08</v>
      </c>
      <c r="E3026" s="2">
        <f t="shared" si="5"/>
        <v>3047.08</v>
      </c>
      <c r="G3026" s="10">
        <f t="shared" si="9"/>
        <v>41008.64583</v>
      </c>
      <c r="H3026" s="6" t="str">
        <f t="shared" si="6"/>
        <v/>
      </c>
      <c r="I3026" s="2">
        <f t="shared" si="7"/>
        <v>1426.89</v>
      </c>
      <c r="M3026" s="10">
        <f>IFERROR(__xludf.DUMMYFUNCTION("""COMPUTED_VALUE"""),42368.66666666667)</f>
        <v>42368.66667</v>
      </c>
      <c r="N3026" s="2">
        <f>IFERROR(__xludf.DUMMYFUNCTION("""COMPUTED_VALUE"""),5065.85)</f>
        <v>5065.85</v>
      </c>
    </row>
    <row r="3027">
      <c r="A3027" s="10">
        <f t="shared" si="8"/>
        <v>41009.66667</v>
      </c>
      <c r="B3027" s="2" t="str">
        <f t="shared" si="2"/>
        <v/>
      </c>
      <c r="C3027" s="2" t="str">
        <f t="shared" si="3"/>
        <v>SP500</v>
      </c>
      <c r="D3027" s="2">
        <f t="shared" si="4"/>
        <v>2991.22</v>
      </c>
      <c r="E3027" s="2">
        <f t="shared" si="5"/>
        <v>2991.22</v>
      </c>
      <c r="G3027" s="10">
        <f t="shared" si="9"/>
        <v>41009.64583</v>
      </c>
      <c r="H3027" s="6" t="str">
        <f t="shared" si="6"/>
        <v/>
      </c>
      <c r="I3027" s="2">
        <f t="shared" si="7"/>
        <v>1426.89</v>
      </c>
      <c r="M3027" s="10">
        <f>IFERROR(__xludf.DUMMYFUNCTION("""COMPUTED_VALUE"""),42369.66666666667)</f>
        <v>42369.66667</v>
      </c>
      <c r="N3027" s="2">
        <f>IFERROR(__xludf.DUMMYFUNCTION("""COMPUTED_VALUE"""),5007.41)</f>
        <v>5007.41</v>
      </c>
    </row>
    <row r="3028">
      <c r="A3028" s="10">
        <f t="shared" si="8"/>
        <v>41010.66667</v>
      </c>
      <c r="B3028" s="2" t="str">
        <f t="shared" si="2"/>
        <v/>
      </c>
      <c r="C3028" s="2" t="str">
        <f t="shared" si="3"/>
        <v>SP500</v>
      </c>
      <c r="D3028" s="2">
        <f t="shared" si="4"/>
        <v>3016.46</v>
      </c>
      <c r="E3028" s="2">
        <f t="shared" si="5"/>
        <v>3016.46</v>
      </c>
      <c r="G3028" s="10">
        <f t="shared" si="9"/>
        <v>41010.64583</v>
      </c>
      <c r="H3028" s="6" t="str">
        <f t="shared" si="6"/>
        <v/>
      </c>
      <c r="I3028" s="2">
        <f t="shared" si="7"/>
        <v>1426.89</v>
      </c>
      <c r="M3028" s="10">
        <f>IFERROR(__xludf.DUMMYFUNCTION("""COMPUTED_VALUE"""),42373.66666666667)</f>
        <v>42373.66667</v>
      </c>
      <c r="N3028" s="2">
        <f>IFERROR(__xludf.DUMMYFUNCTION("""COMPUTED_VALUE"""),4903.09)</f>
        <v>4903.09</v>
      </c>
    </row>
    <row r="3029">
      <c r="A3029" s="10">
        <f t="shared" si="8"/>
        <v>41011.66667</v>
      </c>
      <c r="B3029" s="2" t="str">
        <f t="shared" si="2"/>
        <v/>
      </c>
      <c r="C3029" s="2" t="str">
        <f t="shared" si="3"/>
        <v>SP500</v>
      </c>
      <c r="D3029" s="2">
        <f t="shared" si="4"/>
        <v>3055.55</v>
      </c>
      <c r="E3029" s="2">
        <f t="shared" si="5"/>
        <v>3055.55</v>
      </c>
      <c r="G3029" s="10">
        <f t="shared" si="9"/>
        <v>41011.64583</v>
      </c>
      <c r="H3029" s="6" t="str">
        <f t="shared" si="6"/>
        <v/>
      </c>
      <c r="I3029" s="2">
        <f t="shared" si="7"/>
        <v>1426.89</v>
      </c>
      <c r="M3029" s="10">
        <f>IFERROR(__xludf.DUMMYFUNCTION("""COMPUTED_VALUE"""),42374.66666666667)</f>
        <v>42374.66667</v>
      </c>
      <c r="N3029" s="2">
        <f>IFERROR(__xludf.DUMMYFUNCTION("""COMPUTED_VALUE"""),4891.43)</f>
        <v>4891.43</v>
      </c>
    </row>
    <row r="3030">
      <c r="A3030" s="10">
        <f t="shared" si="8"/>
        <v>41012.66667</v>
      </c>
      <c r="B3030" s="2" t="str">
        <f t="shared" si="2"/>
        <v/>
      </c>
      <c r="C3030" s="2" t="str">
        <f t="shared" si="3"/>
        <v>SP500</v>
      </c>
      <c r="D3030" s="2">
        <f t="shared" si="4"/>
        <v>3011.33</v>
      </c>
      <c r="E3030" s="2">
        <f t="shared" si="5"/>
        <v>3011.33</v>
      </c>
      <c r="G3030" s="10">
        <f t="shared" si="9"/>
        <v>41012.64583</v>
      </c>
      <c r="H3030" s="6" t="str">
        <f t="shared" si="6"/>
        <v/>
      </c>
      <c r="I3030" s="2">
        <f t="shared" si="7"/>
        <v>1426.89</v>
      </c>
      <c r="M3030" s="10">
        <f>IFERROR(__xludf.DUMMYFUNCTION("""COMPUTED_VALUE"""),42375.66666666667)</f>
        <v>42375.66667</v>
      </c>
      <c r="N3030" s="2">
        <f>IFERROR(__xludf.DUMMYFUNCTION("""COMPUTED_VALUE"""),4835.76)</f>
        <v>4835.76</v>
      </c>
    </row>
    <row r="3031">
      <c r="A3031" s="10">
        <f t="shared" si="8"/>
        <v>41013.66667</v>
      </c>
      <c r="B3031" s="2" t="str">
        <f t="shared" si="2"/>
        <v/>
      </c>
      <c r="C3031" s="2" t="str">
        <f t="shared" si="3"/>
        <v>SP500</v>
      </c>
      <c r="D3031" s="2" t="str">
        <f t="shared" si="4"/>
        <v/>
      </c>
      <c r="E3031" s="2">
        <f t="shared" si="5"/>
        <v>3011.33</v>
      </c>
      <c r="G3031" s="10">
        <f t="shared" si="9"/>
        <v>41013.64583</v>
      </c>
      <c r="H3031" s="6" t="str">
        <f t="shared" si="6"/>
        <v/>
      </c>
      <c r="I3031" s="2">
        <f t="shared" si="7"/>
        <v>1426.89</v>
      </c>
      <c r="M3031" s="10">
        <f>IFERROR(__xludf.DUMMYFUNCTION("""COMPUTED_VALUE"""),42376.66666666667)</f>
        <v>42376.66667</v>
      </c>
      <c r="N3031" s="2">
        <f>IFERROR(__xludf.DUMMYFUNCTION("""COMPUTED_VALUE"""),4689.43)</f>
        <v>4689.43</v>
      </c>
    </row>
    <row r="3032">
      <c r="A3032" s="10">
        <f t="shared" si="8"/>
        <v>41014.66667</v>
      </c>
      <c r="B3032" s="2" t="str">
        <f t="shared" si="2"/>
        <v/>
      </c>
      <c r="C3032" s="2" t="str">
        <f t="shared" si="3"/>
        <v>SP500</v>
      </c>
      <c r="D3032" s="2" t="str">
        <f t="shared" si="4"/>
        <v/>
      </c>
      <c r="E3032" s="2">
        <f t="shared" si="5"/>
        <v>3011.33</v>
      </c>
      <c r="G3032" s="10">
        <f t="shared" si="9"/>
        <v>41014.64583</v>
      </c>
      <c r="H3032" s="6" t="str">
        <f t="shared" si="6"/>
        <v/>
      </c>
      <c r="I3032" s="2">
        <f t="shared" si="7"/>
        <v>1426.89</v>
      </c>
      <c r="M3032" s="10">
        <f>IFERROR(__xludf.DUMMYFUNCTION("""COMPUTED_VALUE"""),42377.66666666667)</f>
        <v>42377.66667</v>
      </c>
      <c r="N3032" s="2">
        <f>IFERROR(__xludf.DUMMYFUNCTION("""COMPUTED_VALUE"""),4643.63)</f>
        <v>4643.63</v>
      </c>
    </row>
    <row r="3033">
      <c r="A3033" s="10">
        <f t="shared" si="8"/>
        <v>41015.66667</v>
      </c>
      <c r="B3033" s="2" t="str">
        <f t="shared" si="2"/>
        <v/>
      </c>
      <c r="C3033" s="2" t="str">
        <f t="shared" si="3"/>
        <v>SP500</v>
      </c>
      <c r="D3033" s="2">
        <f t="shared" si="4"/>
        <v>2988.4</v>
      </c>
      <c r="E3033" s="2">
        <f t="shared" si="5"/>
        <v>2988.4</v>
      </c>
      <c r="G3033" s="10">
        <f t="shared" si="9"/>
        <v>41015.64583</v>
      </c>
      <c r="H3033" s="6" t="str">
        <f t="shared" si="6"/>
        <v/>
      </c>
      <c r="I3033" s="2">
        <f t="shared" si="7"/>
        <v>1426.89</v>
      </c>
      <c r="M3033" s="10">
        <f>IFERROR(__xludf.DUMMYFUNCTION("""COMPUTED_VALUE"""),42380.66666666667)</f>
        <v>42380.66667</v>
      </c>
      <c r="N3033" s="2">
        <f>IFERROR(__xludf.DUMMYFUNCTION("""COMPUTED_VALUE"""),4637.99)</f>
        <v>4637.99</v>
      </c>
    </row>
    <row r="3034">
      <c r="A3034" s="10">
        <f t="shared" si="8"/>
        <v>41016.66667</v>
      </c>
      <c r="B3034" s="2" t="str">
        <f t="shared" si="2"/>
        <v/>
      </c>
      <c r="C3034" s="2" t="str">
        <f t="shared" si="3"/>
        <v>SP500</v>
      </c>
      <c r="D3034" s="2">
        <f t="shared" si="4"/>
        <v>3042.82</v>
      </c>
      <c r="E3034" s="2">
        <f t="shared" si="5"/>
        <v>3042.82</v>
      </c>
      <c r="G3034" s="10">
        <f t="shared" si="9"/>
        <v>41016.64583</v>
      </c>
      <c r="H3034" s="6" t="str">
        <f t="shared" si="6"/>
        <v/>
      </c>
      <c r="I3034" s="2">
        <f t="shared" si="7"/>
        <v>1426.89</v>
      </c>
      <c r="M3034" s="10">
        <f>IFERROR(__xludf.DUMMYFUNCTION("""COMPUTED_VALUE"""),42381.66666666667)</f>
        <v>42381.66667</v>
      </c>
      <c r="N3034" s="2">
        <f>IFERROR(__xludf.DUMMYFUNCTION("""COMPUTED_VALUE"""),4685.92)</f>
        <v>4685.92</v>
      </c>
    </row>
    <row r="3035">
      <c r="A3035" s="10">
        <f t="shared" si="8"/>
        <v>41017.66667</v>
      </c>
      <c r="B3035" s="2" t="str">
        <f t="shared" si="2"/>
        <v/>
      </c>
      <c r="C3035" s="2" t="str">
        <f t="shared" si="3"/>
        <v>SP500</v>
      </c>
      <c r="D3035" s="2">
        <f t="shared" si="4"/>
        <v>3031.45</v>
      </c>
      <c r="E3035" s="2">
        <f t="shared" si="5"/>
        <v>3031.45</v>
      </c>
      <c r="G3035" s="10">
        <f t="shared" si="9"/>
        <v>41017.64583</v>
      </c>
      <c r="H3035" s="6" t="str">
        <f t="shared" si="6"/>
        <v/>
      </c>
      <c r="I3035" s="2">
        <f t="shared" si="7"/>
        <v>1426.89</v>
      </c>
      <c r="M3035" s="10">
        <f>IFERROR(__xludf.DUMMYFUNCTION("""COMPUTED_VALUE"""),42382.66666666667)</f>
        <v>42382.66667</v>
      </c>
      <c r="N3035" s="2">
        <f>IFERROR(__xludf.DUMMYFUNCTION("""COMPUTED_VALUE"""),4526.06)</f>
        <v>4526.06</v>
      </c>
    </row>
    <row r="3036">
      <c r="A3036" s="10">
        <f t="shared" si="8"/>
        <v>41018.66667</v>
      </c>
      <c r="B3036" s="2" t="str">
        <f t="shared" si="2"/>
        <v/>
      </c>
      <c r="C3036" s="2" t="str">
        <f t="shared" si="3"/>
        <v>SP500</v>
      </c>
      <c r="D3036" s="2">
        <f t="shared" si="4"/>
        <v>3007.56</v>
      </c>
      <c r="E3036" s="2">
        <f t="shared" si="5"/>
        <v>3007.56</v>
      </c>
      <c r="G3036" s="10">
        <f t="shared" si="9"/>
        <v>41018.64583</v>
      </c>
      <c r="H3036" s="6" t="str">
        <f t="shared" si="6"/>
        <v/>
      </c>
      <c r="I3036" s="2">
        <f t="shared" si="7"/>
        <v>1426.89</v>
      </c>
      <c r="M3036" s="10">
        <f>IFERROR(__xludf.DUMMYFUNCTION("""COMPUTED_VALUE"""),42383.66666666667)</f>
        <v>42383.66667</v>
      </c>
      <c r="N3036" s="2">
        <f>IFERROR(__xludf.DUMMYFUNCTION("""COMPUTED_VALUE"""),4615.0)</f>
        <v>4615</v>
      </c>
    </row>
    <row r="3037">
      <c r="A3037" s="10">
        <f t="shared" si="8"/>
        <v>41019.66667</v>
      </c>
      <c r="B3037" s="2" t="str">
        <f t="shared" si="2"/>
        <v/>
      </c>
      <c r="C3037" s="2" t="str">
        <f t="shared" si="3"/>
        <v>SP500</v>
      </c>
      <c r="D3037" s="2">
        <f t="shared" si="4"/>
        <v>3000.45</v>
      </c>
      <c r="E3037" s="2">
        <f t="shared" si="5"/>
        <v>3000.45</v>
      </c>
      <c r="G3037" s="10">
        <f t="shared" si="9"/>
        <v>41019.64583</v>
      </c>
      <c r="H3037" s="6" t="str">
        <f t="shared" si="6"/>
        <v/>
      </c>
      <c r="I3037" s="2">
        <f t="shared" si="7"/>
        <v>1426.89</v>
      </c>
      <c r="M3037" s="10">
        <f>IFERROR(__xludf.DUMMYFUNCTION("""COMPUTED_VALUE"""),42384.66666666667)</f>
        <v>42384.66667</v>
      </c>
      <c r="N3037" s="2">
        <f>IFERROR(__xludf.DUMMYFUNCTION("""COMPUTED_VALUE"""),4488.42)</f>
        <v>4488.42</v>
      </c>
    </row>
    <row r="3038">
      <c r="A3038" s="10">
        <f t="shared" si="8"/>
        <v>41020.66667</v>
      </c>
      <c r="B3038" s="2" t="str">
        <f t="shared" si="2"/>
        <v/>
      </c>
      <c r="C3038" s="2" t="str">
        <f t="shared" si="3"/>
        <v>SP500</v>
      </c>
      <c r="D3038" s="2" t="str">
        <f t="shared" si="4"/>
        <v/>
      </c>
      <c r="E3038" s="2">
        <f t="shared" si="5"/>
        <v>3000.45</v>
      </c>
      <c r="G3038" s="10">
        <f t="shared" si="9"/>
        <v>41020.64583</v>
      </c>
      <c r="H3038" s="6" t="str">
        <f t="shared" si="6"/>
        <v/>
      </c>
      <c r="I3038" s="2">
        <f t="shared" si="7"/>
        <v>1426.89</v>
      </c>
      <c r="M3038" s="10">
        <f>IFERROR(__xludf.DUMMYFUNCTION("""COMPUTED_VALUE"""),42388.66666666667)</f>
        <v>42388.66667</v>
      </c>
      <c r="N3038" s="2">
        <f>IFERROR(__xludf.DUMMYFUNCTION("""COMPUTED_VALUE"""),4476.95)</f>
        <v>4476.95</v>
      </c>
    </row>
    <row r="3039">
      <c r="A3039" s="10">
        <f t="shared" si="8"/>
        <v>41021.66667</v>
      </c>
      <c r="B3039" s="2" t="str">
        <f t="shared" si="2"/>
        <v/>
      </c>
      <c r="C3039" s="2" t="str">
        <f t="shared" si="3"/>
        <v>SP500</v>
      </c>
      <c r="D3039" s="2" t="str">
        <f t="shared" si="4"/>
        <v/>
      </c>
      <c r="E3039" s="2">
        <f t="shared" si="5"/>
        <v>3000.45</v>
      </c>
      <c r="G3039" s="10">
        <f t="shared" si="9"/>
        <v>41021.64583</v>
      </c>
      <c r="H3039" s="6" t="str">
        <f t="shared" si="6"/>
        <v/>
      </c>
      <c r="I3039" s="2">
        <f t="shared" si="7"/>
        <v>1426.89</v>
      </c>
      <c r="M3039" s="10">
        <f>IFERROR(__xludf.DUMMYFUNCTION("""COMPUTED_VALUE"""),42389.66666666667)</f>
        <v>42389.66667</v>
      </c>
      <c r="N3039" s="2">
        <f>IFERROR(__xludf.DUMMYFUNCTION("""COMPUTED_VALUE"""),4471.69)</f>
        <v>4471.69</v>
      </c>
    </row>
    <row r="3040">
      <c r="A3040" s="10">
        <f t="shared" si="8"/>
        <v>41022.66667</v>
      </c>
      <c r="B3040" s="2" t="str">
        <f t="shared" si="2"/>
        <v/>
      </c>
      <c r="C3040" s="2" t="str">
        <f t="shared" si="3"/>
        <v>SP500</v>
      </c>
      <c r="D3040" s="2">
        <f t="shared" si="4"/>
        <v>2970.45</v>
      </c>
      <c r="E3040" s="2">
        <f t="shared" si="5"/>
        <v>2970.45</v>
      </c>
      <c r="G3040" s="10">
        <f t="shared" si="9"/>
        <v>41022.64583</v>
      </c>
      <c r="H3040" s="6" t="str">
        <f t="shared" si="6"/>
        <v/>
      </c>
      <c r="I3040" s="2">
        <f t="shared" si="7"/>
        <v>1426.89</v>
      </c>
      <c r="M3040" s="10">
        <f>IFERROR(__xludf.DUMMYFUNCTION("""COMPUTED_VALUE"""),42390.66666666667)</f>
        <v>42390.66667</v>
      </c>
      <c r="N3040" s="2">
        <f>IFERROR(__xludf.DUMMYFUNCTION("""COMPUTED_VALUE"""),4472.06)</f>
        <v>4472.06</v>
      </c>
    </row>
    <row r="3041">
      <c r="A3041" s="10">
        <f t="shared" si="8"/>
        <v>41023.66667</v>
      </c>
      <c r="B3041" s="2" t="str">
        <f t="shared" si="2"/>
        <v/>
      </c>
      <c r="C3041" s="2" t="str">
        <f t="shared" si="3"/>
        <v>SP500</v>
      </c>
      <c r="D3041" s="2">
        <f t="shared" si="4"/>
        <v>2961.6</v>
      </c>
      <c r="E3041" s="2">
        <f t="shared" si="5"/>
        <v>2961.6</v>
      </c>
      <c r="G3041" s="10">
        <f t="shared" si="9"/>
        <v>41023.64583</v>
      </c>
      <c r="H3041" s="6" t="str">
        <f t="shared" si="6"/>
        <v/>
      </c>
      <c r="I3041" s="2">
        <f t="shared" si="7"/>
        <v>1426.89</v>
      </c>
      <c r="M3041" s="10">
        <f>IFERROR(__xludf.DUMMYFUNCTION("""COMPUTED_VALUE"""),42391.66666666667)</f>
        <v>42391.66667</v>
      </c>
      <c r="N3041" s="2">
        <f>IFERROR(__xludf.DUMMYFUNCTION("""COMPUTED_VALUE"""),4591.18)</f>
        <v>4591.18</v>
      </c>
    </row>
    <row r="3042">
      <c r="A3042" s="10">
        <f t="shared" si="8"/>
        <v>41024.66667</v>
      </c>
      <c r="B3042" s="2" t="str">
        <f t="shared" si="2"/>
        <v/>
      </c>
      <c r="C3042" s="2" t="str">
        <f t="shared" si="3"/>
        <v>SP500</v>
      </c>
      <c r="D3042" s="2">
        <f t="shared" si="4"/>
        <v>3029.63</v>
      </c>
      <c r="E3042" s="2">
        <f t="shared" si="5"/>
        <v>3029.63</v>
      </c>
      <c r="G3042" s="10">
        <f t="shared" si="9"/>
        <v>41024.64583</v>
      </c>
      <c r="H3042" s="6" t="str">
        <f t="shared" si="6"/>
        <v/>
      </c>
      <c r="I3042" s="2">
        <f t="shared" si="7"/>
        <v>1426.89</v>
      </c>
      <c r="M3042" s="10">
        <f>IFERROR(__xludf.DUMMYFUNCTION("""COMPUTED_VALUE"""),42394.66666666667)</f>
        <v>42394.66667</v>
      </c>
      <c r="N3042" s="2">
        <f>IFERROR(__xludf.DUMMYFUNCTION("""COMPUTED_VALUE"""),4518.49)</f>
        <v>4518.49</v>
      </c>
    </row>
    <row r="3043">
      <c r="A3043" s="10">
        <f t="shared" si="8"/>
        <v>41025.66667</v>
      </c>
      <c r="B3043" s="2" t="str">
        <f t="shared" si="2"/>
        <v/>
      </c>
      <c r="C3043" s="2" t="str">
        <f t="shared" si="3"/>
        <v>SP500</v>
      </c>
      <c r="D3043" s="2">
        <f t="shared" si="4"/>
        <v>3050.61</v>
      </c>
      <c r="E3043" s="2">
        <f t="shared" si="5"/>
        <v>3050.61</v>
      </c>
      <c r="G3043" s="10">
        <f t="shared" si="9"/>
        <v>41025.64583</v>
      </c>
      <c r="H3043" s="6" t="str">
        <f t="shared" si="6"/>
        <v/>
      </c>
      <c r="I3043" s="2">
        <f t="shared" si="7"/>
        <v>1426.89</v>
      </c>
      <c r="M3043" s="10">
        <f>IFERROR(__xludf.DUMMYFUNCTION("""COMPUTED_VALUE"""),42395.66666666667)</f>
        <v>42395.66667</v>
      </c>
      <c r="N3043" s="2">
        <f>IFERROR(__xludf.DUMMYFUNCTION("""COMPUTED_VALUE"""),4567.67)</f>
        <v>4567.67</v>
      </c>
    </row>
    <row r="3044">
      <c r="A3044" s="10">
        <f t="shared" si="8"/>
        <v>41026.66667</v>
      </c>
      <c r="B3044" s="2" t="str">
        <f t="shared" si="2"/>
        <v/>
      </c>
      <c r="C3044" s="2" t="str">
        <f t="shared" si="3"/>
        <v>SP500</v>
      </c>
      <c r="D3044" s="2">
        <f t="shared" si="4"/>
        <v>3069.2</v>
      </c>
      <c r="E3044" s="2">
        <f t="shared" si="5"/>
        <v>3069.2</v>
      </c>
      <c r="G3044" s="10">
        <f t="shared" si="9"/>
        <v>41026.64583</v>
      </c>
      <c r="H3044" s="6" t="str">
        <f t="shared" si="6"/>
        <v/>
      </c>
      <c r="I3044" s="2">
        <f t="shared" si="7"/>
        <v>1426.89</v>
      </c>
      <c r="M3044" s="10">
        <f>IFERROR(__xludf.DUMMYFUNCTION("""COMPUTED_VALUE"""),42396.66666666667)</f>
        <v>42396.66667</v>
      </c>
      <c r="N3044" s="2">
        <f>IFERROR(__xludf.DUMMYFUNCTION("""COMPUTED_VALUE"""),4468.17)</f>
        <v>4468.17</v>
      </c>
    </row>
    <row r="3045">
      <c r="A3045" s="10">
        <f t="shared" si="8"/>
        <v>41027.66667</v>
      </c>
      <c r="B3045" s="2" t="str">
        <f t="shared" si="2"/>
        <v/>
      </c>
      <c r="C3045" s="2" t="str">
        <f t="shared" si="3"/>
        <v>SP500</v>
      </c>
      <c r="D3045" s="2" t="str">
        <f t="shared" si="4"/>
        <v/>
      </c>
      <c r="E3045" s="2">
        <f t="shared" si="5"/>
        <v>3069.2</v>
      </c>
      <c r="G3045" s="10">
        <f t="shared" si="9"/>
        <v>41027.64583</v>
      </c>
      <c r="H3045" s="6" t="str">
        <f t="shared" si="6"/>
        <v/>
      </c>
      <c r="I3045" s="2">
        <f t="shared" si="7"/>
        <v>1426.89</v>
      </c>
      <c r="M3045" s="10">
        <f>IFERROR(__xludf.DUMMYFUNCTION("""COMPUTED_VALUE"""),42397.66666666667)</f>
        <v>42397.66667</v>
      </c>
      <c r="N3045" s="2">
        <f>IFERROR(__xludf.DUMMYFUNCTION("""COMPUTED_VALUE"""),4506.68)</f>
        <v>4506.68</v>
      </c>
    </row>
    <row r="3046">
      <c r="A3046" s="10">
        <f t="shared" si="8"/>
        <v>41028.66667</v>
      </c>
      <c r="B3046" s="2" t="str">
        <f t="shared" si="2"/>
        <v/>
      </c>
      <c r="C3046" s="2" t="str">
        <f t="shared" si="3"/>
        <v>SP500</v>
      </c>
      <c r="D3046" s="2" t="str">
        <f t="shared" si="4"/>
        <v/>
      </c>
      <c r="E3046" s="2">
        <f t="shared" si="5"/>
        <v>3069.2</v>
      </c>
      <c r="G3046" s="10">
        <f t="shared" si="9"/>
        <v>41028.64583</v>
      </c>
      <c r="H3046" s="6" t="str">
        <f t="shared" si="6"/>
        <v/>
      </c>
      <c r="I3046" s="2">
        <f t="shared" si="7"/>
        <v>1426.89</v>
      </c>
      <c r="M3046" s="10">
        <f>IFERROR(__xludf.DUMMYFUNCTION("""COMPUTED_VALUE"""),42398.66666666667)</f>
        <v>42398.66667</v>
      </c>
      <c r="N3046" s="2">
        <f>IFERROR(__xludf.DUMMYFUNCTION("""COMPUTED_VALUE"""),4613.95)</f>
        <v>4613.95</v>
      </c>
    </row>
    <row r="3047">
      <c r="A3047" s="10">
        <f t="shared" si="8"/>
        <v>41029.66667</v>
      </c>
      <c r="B3047" s="2" t="str">
        <f t="shared" si="2"/>
        <v/>
      </c>
      <c r="C3047" s="2" t="str">
        <f t="shared" si="3"/>
        <v>SP500</v>
      </c>
      <c r="D3047" s="2">
        <f t="shared" si="4"/>
        <v>3046.36</v>
      </c>
      <c r="E3047" s="2">
        <f t="shared" si="5"/>
        <v>3046.36</v>
      </c>
      <c r="G3047" s="10">
        <f t="shared" si="9"/>
        <v>41029.64583</v>
      </c>
      <c r="H3047" s="6" t="str">
        <f t="shared" si="6"/>
        <v/>
      </c>
      <c r="I3047" s="2">
        <f t="shared" si="7"/>
        <v>1426.89</v>
      </c>
      <c r="M3047" s="10">
        <f>IFERROR(__xludf.DUMMYFUNCTION("""COMPUTED_VALUE"""),42401.66666666667)</f>
        <v>42401.66667</v>
      </c>
      <c r="N3047" s="2">
        <f>IFERROR(__xludf.DUMMYFUNCTION("""COMPUTED_VALUE"""),4620.37)</f>
        <v>4620.37</v>
      </c>
    </row>
    <row r="3048">
      <c r="A3048" s="10">
        <f t="shared" si="8"/>
        <v>41030.66667</v>
      </c>
      <c r="B3048" s="2" t="str">
        <f t="shared" si="2"/>
        <v/>
      </c>
      <c r="C3048" s="2" t="str">
        <f t="shared" si="3"/>
        <v>SP500</v>
      </c>
      <c r="D3048" s="2">
        <f t="shared" si="4"/>
        <v>3050.44</v>
      </c>
      <c r="E3048" s="2">
        <f t="shared" si="5"/>
        <v>3050.44</v>
      </c>
      <c r="G3048" s="10">
        <f t="shared" si="9"/>
        <v>41030.64583</v>
      </c>
      <c r="H3048" s="6" t="str">
        <f t="shared" si="6"/>
        <v/>
      </c>
      <c r="I3048" s="2">
        <f t="shared" si="7"/>
        <v>1426.89</v>
      </c>
      <c r="M3048" s="10">
        <f>IFERROR(__xludf.DUMMYFUNCTION("""COMPUTED_VALUE"""),42402.66666666667)</f>
        <v>42402.66667</v>
      </c>
      <c r="N3048" s="2">
        <f>IFERROR(__xludf.DUMMYFUNCTION("""COMPUTED_VALUE"""),4516.95)</f>
        <v>4516.95</v>
      </c>
    </row>
    <row r="3049">
      <c r="A3049" s="10">
        <f t="shared" si="8"/>
        <v>41031.66667</v>
      </c>
      <c r="B3049" s="2" t="str">
        <f t="shared" si="2"/>
        <v/>
      </c>
      <c r="C3049" s="2" t="str">
        <f t="shared" si="3"/>
        <v>SP500</v>
      </c>
      <c r="D3049" s="2">
        <f t="shared" si="4"/>
        <v>3059.85</v>
      </c>
      <c r="E3049" s="2">
        <f t="shared" si="5"/>
        <v>3059.85</v>
      </c>
      <c r="G3049" s="10">
        <f t="shared" si="9"/>
        <v>41031.64583</v>
      </c>
      <c r="H3049" s="6" t="str">
        <f t="shared" si="6"/>
        <v/>
      </c>
      <c r="I3049" s="2">
        <f t="shared" si="7"/>
        <v>1426.89</v>
      </c>
      <c r="M3049" s="10">
        <f>IFERROR(__xludf.DUMMYFUNCTION("""COMPUTED_VALUE"""),42403.66666666667)</f>
        <v>42403.66667</v>
      </c>
      <c r="N3049" s="2">
        <f>IFERROR(__xludf.DUMMYFUNCTION("""COMPUTED_VALUE"""),4504.24)</f>
        <v>4504.24</v>
      </c>
    </row>
    <row r="3050">
      <c r="A3050" s="10">
        <f t="shared" si="8"/>
        <v>41032.66667</v>
      </c>
      <c r="B3050" s="2" t="str">
        <f t="shared" si="2"/>
        <v/>
      </c>
      <c r="C3050" s="2" t="str">
        <f t="shared" si="3"/>
        <v>SP500</v>
      </c>
      <c r="D3050" s="2">
        <f t="shared" si="4"/>
        <v>3024.3</v>
      </c>
      <c r="E3050" s="2">
        <f t="shared" si="5"/>
        <v>3024.3</v>
      </c>
      <c r="G3050" s="10">
        <f t="shared" si="9"/>
        <v>41032.64583</v>
      </c>
      <c r="H3050" s="6" t="str">
        <f t="shared" si="6"/>
        <v/>
      </c>
      <c r="I3050" s="2">
        <f t="shared" si="7"/>
        <v>1426.89</v>
      </c>
      <c r="M3050" s="10">
        <f>IFERROR(__xludf.DUMMYFUNCTION("""COMPUTED_VALUE"""),42404.66666666667)</f>
        <v>42404.66667</v>
      </c>
      <c r="N3050" s="2">
        <f>IFERROR(__xludf.DUMMYFUNCTION("""COMPUTED_VALUE"""),4509.56)</f>
        <v>4509.56</v>
      </c>
    </row>
    <row r="3051">
      <c r="A3051" s="10">
        <f t="shared" si="8"/>
        <v>41033.66667</v>
      </c>
      <c r="B3051" s="2" t="str">
        <f t="shared" si="2"/>
        <v/>
      </c>
      <c r="C3051" s="2" t="str">
        <f t="shared" si="3"/>
        <v>SP500</v>
      </c>
      <c r="D3051" s="2">
        <f t="shared" si="4"/>
        <v>2956.34</v>
      </c>
      <c r="E3051" s="2">
        <f t="shared" si="5"/>
        <v>2956.34</v>
      </c>
      <c r="G3051" s="10">
        <f t="shared" si="9"/>
        <v>41033.64583</v>
      </c>
      <c r="H3051" s="6" t="str">
        <f t="shared" si="6"/>
        <v/>
      </c>
      <c r="I3051" s="2">
        <f t="shared" si="7"/>
        <v>1426.89</v>
      </c>
      <c r="M3051" s="10">
        <f>IFERROR(__xludf.DUMMYFUNCTION("""COMPUTED_VALUE"""),42405.66666666667)</f>
        <v>42405.66667</v>
      </c>
      <c r="N3051" s="2">
        <f>IFERROR(__xludf.DUMMYFUNCTION("""COMPUTED_VALUE"""),4363.14)</f>
        <v>4363.14</v>
      </c>
    </row>
    <row r="3052">
      <c r="A3052" s="10">
        <f t="shared" si="8"/>
        <v>41034.66667</v>
      </c>
      <c r="B3052" s="2" t="str">
        <f t="shared" si="2"/>
        <v/>
      </c>
      <c r="C3052" s="2" t="str">
        <f t="shared" si="3"/>
        <v>SP500</v>
      </c>
      <c r="D3052" s="2" t="str">
        <f t="shared" si="4"/>
        <v/>
      </c>
      <c r="E3052" s="2">
        <f t="shared" si="5"/>
        <v>2956.34</v>
      </c>
      <c r="G3052" s="10">
        <f t="shared" si="9"/>
        <v>41034.64583</v>
      </c>
      <c r="H3052" s="6" t="str">
        <f t="shared" si="6"/>
        <v/>
      </c>
      <c r="I3052" s="2">
        <f t="shared" si="7"/>
        <v>1426.89</v>
      </c>
      <c r="M3052" s="10">
        <f>IFERROR(__xludf.DUMMYFUNCTION("""COMPUTED_VALUE"""),42408.66666666667)</f>
        <v>42408.66667</v>
      </c>
      <c r="N3052" s="2">
        <f>IFERROR(__xludf.DUMMYFUNCTION("""COMPUTED_VALUE"""),4283.75)</f>
        <v>4283.75</v>
      </c>
    </row>
    <row r="3053">
      <c r="A3053" s="10">
        <f t="shared" si="8"/>
        <v>41035.66667</v>
      </c>
      <c r="B3053" s="2" t="str">
        <f t="shared" si="2"/>
        <v/>
      </c>
      <c r="C3053" s="2" t="str">
        <f t="shared" si="3"/>
        <v>SP500</v>
      </c>
      <c r="D3053" s="2" t="str">
        <f t="shared" si="4"/>
        <v/>
      </c>
      <c r="E3053" s="2">
        <f t="shared" si="5"/>
        <v>2956.34</v>
      </c>
      <c r="G3053" s="10">
        <f t="shared" si="9"/>
        <v>41035.64583</v>
      </c>
      <c r="H3053" s="6" t="str">
        <f t="shared" si="6"/>
        <v/>
      </c>
      <c r="I3053" s="2">
        <f t="shared" si="7"/>
        <v>1426.89</v>
      </c>
      <c r="M3053" s="10">
        <f>IFERROR(__xludf.DUMMYFUNCTION("""COMPUTED_VALUE"""),42409.66666666667)</f>
        <v>42409.66667</v>
      </c>
      <c r="N3053" s="2">
        <f>IFERROR(__xludf.DUMMYFUNCTION("""COMPUTED_VALUE"""),4268.76)</f>
        <v>4268.76</v>
      </c>
    </row>
    <row r="3054">
      <c r="A3054" s="10">
        <f t="shared" si="8"/>
        <v>41036.66667</v>
      </c>
      <c r="B3054" s="2" t="str">
        <f t="shared" si="2"/>
        <v/>
      </c>
      <c r="C3054" s="2" t="str">
        <f t="shared" si="3"/>
        <v>SP500</v>
      </c>
      <c r="D3054" s="2">
        <f t="shared" si="4"/>
        <v>2957.76</v>
      </c>
      <c r="E3054" s="2">
        <f t="shared" si="5"/>
        <v>2957.76</v>
      </c>
      <c r="G3054" s="10">
        <f t="shared" si="9"/>
        <v>41036.64583</v>
      </c>
      <c r="H3054" s="6" t="str">
        <f t="shared" si="6"/>
        <v/>
      </c>
      <c r="I3054" s="2">
        <f t="shared" si="7"/>
        <v>1426.89</v>
      </c>
      <c r="M3054" s="10">
        <f>IFERROR(__xludf.DUMMYFUNCTION("""COMPUTED_VALUE"""),42410.66666666667)</f>
        <v>42410.66667</v>
      </c>
      <c r="N3054" s="2">
        <f>IFERROR(__xludf.DUMMYFUNCTION("""COMPUTED_VALUE"""),4283.59)</f>
        <v>4283.59</v>
      </c>
    </row>
    <row r="3055">
      <c r="A3055" s="10">
        <f t="shared" si="8"/>
        <v>41037.66667</v>
      </c>
      <c r="B3055" s="2" t="str">
        <f t="shared" si="2"/>
        <v/>
      </c>
      <c r="C3055" s="2" t="str">
        <f t="shared" si="3"/>
        <v>SP500</v>
      </c>
      <c r="D3055" s="2">
        <f t="shared" si="4"/>
        <v>2946.27</v>
      </c>
      <c r="E3055" s="2">
        <f t="shared" si="5"/>
        <v>2946.27</v>
      </c>
      <c r="G3055" s="10">
        <f t="shared" si="9"/>
        <v>41037.64583</v>
      </c>
      <c r="H3055" s="6" t="str">
        <f t="shared" si="6"/>
        <v/>
      </c>
      <c r="I3055" s="2">
        <f t="shared" si="7"/>
        <v>1426.89</v>
      </c>
      <c r="M3055" s="10">
        <f>IFERROR(__xludf.DUMMYFUNCTION("""COMPUTED_VALUE"""),42411.66666666667)</f>
        <v>42411.66667</v>
      </c>
      <c r="N3055" s="2">
        <f>IFERROR(__xludf.DUMMYFUNCTION("""COMPUTED_VALUE"""),4266.84)</f>
        <v>4266.84</v>
      </c>
    </row>
    <row r="3056">
      <c r="A3056" s="10">
        <f t="shared" si="8"/>
        <v>41038.66667</v>
      </c>
      <c r="B3056" s="2" t="str">
        <f t="shared" si="2"/>
        <v/>
      </c>
      <c r="C3056" s="2" t="str">
        <f t="shared" si="3"/>
        <v>SP500</v>
      </c>
      <c r="D3056" s="2">
        <f t="shared" si="4"/>
        <v>2934.71</v>
      </c>
      <c r="E3056" s="2">
        <f t="shared" si="5"/>
        <v>2934.71</v>
      </c>
      <c r="G3056" s="10">
        <f t="shared" si="9"/>
        <v>41038.64583</v>
      </c>
      <c r="H3056" s="6" t="str">
        <f t="shared" si="6"/>
        <v/>
      </c>
      <c r="I3056" s="2">
        <f t="shared" si="7"/>
        <v>1426.89</v>
      </c>
      <c r="M3056" s="10">
        <f>IFERROR(__xludf.DUMMYFUNCTION("""COMPUTED_VALUE"""),42412.66666666667)</f>
        <v>42412.66667</v>
      </c>
      <c r="N3056" s="2">
        <f>IFERROR(__xludf.DUMMYFUNCTION("""COMPUTED_VALUE"""),4337.51)</f>
        <v>4337.51</v>
      </c>
    </row>
    <row r="3057">
      <c r="A3057" s="10">
        <f t="shared" si="8"/>
        <v>41039.66667</v>
      </c>
      <c r="B3057" s="2" t="str">
        <f t="shared" si="2"/>
        <v/>
      </c>
      <c r="C3057" s="2" t="str">
        <f t="shared" si="3"/>
        <v>SP500</v>
      </c>
      <c r="D3057" s="2">
        <f t="shared" si="4"/>
        <v>2933.64</v>
      </c>
      <c r="E3057" s="2">
        <f t="shared" si="5"/>
        <v>2933.64</v>
      </c>
      <c r="G3057" s="10">
        <f t="shared" si="9"/>
        <v>41039.64583</v>
      </c>
      <c r="H3057" s="6" t="str">
        <f t="shared" si="6"/>
        <v/>
      </c>
      <c r="I3057" s="2">
        <f t="shared" si="7"/>
        <v>1426.89</v>
      </c>
      <c r="M3057" s="10">
        <f>IFERROR(__xludf.DUMMYFUNCTION("""COMPUTED_VALUE"""),42416.66666666667)</f>
        <v>42416.66667</v>
      </c>
      <c r="N3057" s="2">
        <f>IFERROR(__xludf.DUMMYFUNCTION("""COMPUTED_VALUE"""),4435.96)</f>
        <v>4435.96</v>
      </c>
    </row>
    <row r="3058">
      <c r="A3058" s="10">
        <f t="shared" si="8"/>
        <v>41040.66667</v>
      </c>
      <c r="B3058" s="2" t="str">
        <f t="shared" si="2"/>
        <v/>
      </c>
      <c r="C3058" s="2" t="str">
        <f t="shared" si="3"/>
        <v>SP500</v>
      </c>
      <c r="D3058" s="2">
        <f t="shared" si="4"/>
        <v>2933.82</v>
      </c>
      <c r="E3058" s="2">
        <f t="shared" si="5"/>
        <v>2933.82</v>
      </c>
      <c r="G3058" s="10">
        <f t="shared" si="9"/>
        <v>41040.64583</v>
      </c>
      <c r="H3058" s="6" t="str">
        <f t="shared" si="6"/>
        <v/>
      </c>
      <c r="I3058" s="2">
        <f t="shared" si="7"/>
        <v>1426.89</v>
      </c>
      <c r="M3058" s="10">
        <f>IFERROR(__xludf.DUMMYFUNCTION("""COMPUTED_VALUE"""),42417.66666666667)</f>
        <v>42417.66667</v>
      </c>
      <c r="N3058" s="2">
        <f>IFERROR(__xludf.DUMMYFUNCTION("""COMPUTED_VALUE"""),4534.06)</f>
        <v>4534.06</v>
      </c>
    </row>
    <row r="3059">
      <c r="A3059" s="10">
        <f t="shared" si="8"/>
        <v>41041.66667</v>
      </c>
      <c r="B3059" s="2" t="str">
        <f t="shared" si="2"/>
        <v/>
      </c>
      <c r="C3059" s="2" t="str">
        <f t="shared" si="3"/>
        <v>SP500</v>
      </c>
      <c r="D3059" s="2" t="str">
        <f t="shared" si="4"/>
        <v/>
      </c>
      <c r="E3059" s="2">
        <f t="shared" si="5"/>
        <v>2933.82</v>
      </c>
      <c r="G3059" s="10">
        <f t="shared" si="9"/>
        <v>41041.64583</v>
      </c>
      <c r="H3059" s="6" t="str">
        <f t="shared" si="6"/>
        <v/>
      </c>
      <c r="I3059" s="2">
        <f t="shared" si="7"/>
        <v>1426.89</v>
      </c>
      <c r="M3059" s="10">
        <f>IFERROR(__xludf.DUMMYFUNCTION("""COMPUTED_VALUE"""),42418.66666666667)</f>
        <v>42418.66667</v>
      </c>
      <c r="N3059" s="2">
        <f>IFERROR(__xludf.DUMMYFUNCTION("""COMPUTED_VALUE"""),4487.54)</f>
        <v>4487.54</v>
      </c>
    </row>
    <row r="3060">
      <c r="A3060" s="10">
        <f t="shared" si="8"/>
        <v>41042.66667</v>
      </c>
      <c r="B3060" s="2" t="str">
        <f t="shared" si="2"/>
        <v/>
      </c>
      <c r="C3060" s="2" t="str">
        <f t="shared" si="3"/>
        <v>SP500</v>
      </c>
      <c r="D3060" s="2" t="str">
        <f t="shared" si="4"/>
        <v/>
      </c>
      <c r="E3060" s="2">
        <f t="shared" si="5"/>
        <v>2933.82</v>
      </c>
      <c r="G3060" s="10">
        <f t="shared" si="9"/>
        <v>41042.64583</v>
      </c>
      <c r="H3060" s="6" t="str">
        <f t="shared" si="6"/>
        <v/>
      </c>
      <c r="I3060" s="2">
        <f t="shared" si="7"/>
        <v>1426.89</v>
      </c>
      <c r="M3060" s="10">
        <f>IFERROR(__xludf.DUMMYFUNCTION("""COMPUTED_VALUE"""),42419.66666666667)</f>
        <v>42419.66667</v>
      </c>
      <c r="N3060" s="2">
        <f>IFERROR(__xludf.DUMMYFUNCTION("""COMPUTED_VALUE"""),4504.43)</f>
        <v>4504.43</v>
      </c>
    </row>
    <row r="3061">
      <c r="A3061" s="10">
        <f t="shared" si="8"/>
        <v>41043.66667</v>
      </c>
      <c r="B3061" s="2" t="str">
        <f t="shared" si="2"/>
        <v/>
      </c>
      <c r="C3061" s="2" t="str">
        <f t="shared" si="3"/>
        <v>SP500</v>
      </c>
      <c r="D3061" s="2">
        <f t="shared" si="4"/>
        <v>2902.58</v>
      </c>
      <c r="E3061" s="2">
        <f t="shared" si="5"/>
        <v>2902.58</v>
      </c>
      <c r="G3061" s="10">
        <f t="shared" si="9"/>
        <v>41043.64583</v>
      </c>
      <c r="H3061" s="6" t="str">
        <f t="shared" si="6"/>
        <v/>
      </c>
      <c r="I3061" s="2">
        <f t="shared" si="7"/>
        <v>1426.89</v>
      </c>
      <c r="M3061" s="10">
        <f>IFERROR(__xludf.DUMMYFUNCTION("""COMPUTED_VALUE"""),42422.66666666667)</f>
        <v>42422.66667</v>
      </c>
      <c r="N3061" s="2">
        <f>IFERROR(__xludf.DUMMYFUNCTION("""COMPUTED_VALUE"""),4570.61)</f>
        <v>4570.61</v>
      </c>
    </row>
    <row r="3062">
      <c r="A3062" s="10">
        <f t="shared" si="8"/>
        <v>41044.66667</v>
      </c>
      <c r="B3062" s="2" t="str">
        <f t="shared" si="2"/>
        <v/>
      </c>
      <c r="C3062" s="2" t="str">
        <f t="shared" si="3"/>
        <v>SP500</v>
      </c>
      <c r="D3062" s="2">
        <f t="shared" si="4"/>
        <v>2893.76</v>
      </c>
      <c r="E3062" s="2">
        <f t="shared" si="5"/>
        <v>2893.76</v>
      </c>
      <c r="G3062" s="10">
        <f t="shared" si="9"/>
        <v>41044.64583</v>
      </c>
      <c r="H3062" s="6" t="str">
        <f t="shared" si="6"/>
        <v/>
      </c>
      <c r="I3062" s="2">
        <f t="shared" si="7"/>
        <v>1426.89</v>
      </c>
      <c r="M3062" s="10">
        <f>IFERROR(__xludf.DUMMYFUNCTION("""COMPUTED_VALUE"""),42423.66666666667)</f>
        <v>42423.66667</v>
      </c>
      <c r="N3062" s="2">
        <f>IFERROR(__xludf.DUMMYFUNCTION("""COMPUTED_VALUE"""),4503.58)</f>
        <v>4503.58</v>
      </c>
    </row>
    <row r="3063">
      <c r="A3063" s="10">
        <f t="shared" si="8"/>
        <v>41045.66667</v>
      </c>
      <c r="B3063" s="2" t="str">
        <f t="shared" si="2"/>
        <v/>
      </c>
      <c r="C3063" s="2" t="str">
        <f t="shared" si="3"/>
        <v>SP500</v>
      </c>
      <c r="D3063" s="2">
        <f t="shared" si="4"/>
        <v>2874.04</v>
      </c>
      <c r="E3063" s="2">
        <f t="shared" si="5"/>
        <v>2874.04</v>
      </c>
      <c r="G3063" s="10">
        <f t="shared" si="9"/>
        <v>41045.64583</v>
      </c>
      <c r="H3063" s="6" t="str">
        <f t="shared" si="6"/>
        <v/>
      </c>
      <c r="I3063" s="2">
        <f t="shared" si="7"/>
        <v>1426.89</v>
      </c>
      <c r="M3063" s="10">
        <f>IFERROR(__xludf.DUMMYFUNCTION("""COMPUTED_VALUE"""),42424.66666666667)</f>
        <v>42424.66667</v>
      </c>
      <c r="N3063" s="2">
        <f>IFERROR(__xludf.DUMMYFUNCTION("""COMPUTED_VALUE"""),4542.61)</f>
        <v>4542.61</v>
      </c>
    </row>
    <row r="3064">
      <c r="A3064" s="10">
        <f t="shared" si="8"/>
        <v>41046.66667</v>
      </c>
      <c r="B3064" s="2" t="str">
        <f t="shared" si="2"/>
        <v/>
      </c>
      <c r="C3064" s="2" t="str">
        <f t="shared" si="3"/>
        <v>SP500</v>
      </c>
      <c r="D3064" s="2">
        <f t="shared" si="4"/>
        <v>2813.69</v>
      </c>
      <c r="E3064" s="2">
        <f t="shared" si="5"/>
        <v>2813.69</v>
      </c>
      <c r="G3064" s="10">
        <f t="shared" si="9"/>
        <v>41046.64583</v>
      </c>
      <c r="H3064" s="6" t="str">
        <f t="shared" si="6"/>
        <v/>
      </c>
      <c r="I3064" s="2">
        <f t="shared" si="7"/>
        <v>1426.89</v>
      </c>
      <c r="M3064" s="10">
        <f>IFERROR(__xludf.DUMMYFUNCTION("""COMPUTED_VALUE"""),42425.66666666667)</f>
        <v>42425.66667</v>
      </c>
      <c r="N3064" s="2">
        <f>IFERROR(__xludf.DUMMYFUNCTION("""COMPUTED_VALUE"""),4582.2)</f>
        <v>4582.2</v>
      </c>
    </row>
    <row r="3065">
      <c r="A3065" s="10">
        <f t="shared" si="8"/>
        <v>41047.66667</v>
      </c>
      <c r="B3065" s="2" t="str">
        <f t="shared" si="2"/>
        <v/>
      </c>
      <c r="C3065" s="2" t="str">
        <f t="shared" si="3"/>
        <v>SP500</v>
      </c>
      <c r="D3065" s="2">
        <f t="shared" si="4"/>
        <v>2778.79</v>
      </c>
      <c r="E3065" s="2">
        <f t="shared" si="5"/>
        <v>2778.79</v>
      </c>
      <c r="G3065" s="10">
        <f t="shared" si="9"/>
        <v>41047.64583</v>
      </c>
      <c r="H3065" s="6" t="str">
        <f t="shared" si="6"/>
        <v/>
      </c>
      <c r="I3065" s="2">
        <f t="shared" si="7"/>
        <v>1426.89</v>
      </c>
      <c r="M3065" s="10">
        <f>IFERROR(__xludf.DUMMYFUNCTION("""COMPUTED_VALUE"""),42426.66666666667)</f>
        <v>42426.66667</v>
      </c>
      <c r="N3065" s="2">
        <f>IFERROR(__xludf.DUMMYFUNCTION("""COMPUTED_VALUE"""),4590.47)</f>
        <v>4590.47</v>
      </c>
    </row>
    <row r="3066">
      <c r="A3066" s="10">
        <f t="shared" si="8"/>
        <v>41048.66667</v>
      </c>
      <c r="B3066" s="2" t="str">
        <f t="shared" si="2"/>
        <v/>
      </c>
      <c r="C3066" s="2" t="str">
        <f t="shared" si="3"/>
        <v>SP500</v>
      </c>
      <c r="D3066" s="2" t="str">
        <f t="shared" si="4"/>
        <v/>
      </c>
      <c r="E3066" s="2">
        <f t="shared" si="5"/>
        <v>2778.79</v>
      </c>
      <c r="G3066" s="10">
        <f t="shared" si="9"/>
        <v>41048.64583</v>
      </c>
      <c r="H3066" s="6" t="str">
        <f t="shared" si="6"/>
        <v/>
      </c>
      <c r="I3066" s="2">
        <f t="shared" si="7"/>
        <v>1426.89</v>
      </c>
      <c r="M3066" s="10">
        <f>IFERROR(__xludf.DUMMYFUNCTION("""COMPUTED_VALUE"""),42429.66666666667)</f>
        <v>42429.66667</v>
      </c>
      <c r="N3066" s="2">
        <f>IFERROR(__xludf.DUMMYFUNCTION("""COMPUTED_VALUE"""),4557.95)</f>
        <v>4557.95</v>
      </c>
    </row>
    <row r="3067">
      <c r="A3067" s="10">
        <f t="shared" si="8"/>
        <v>41049.66667</v>
      </c>
      <c r="B3067" s="2" t="str">
        <f t="shared" si="2"/>
        <v/>
      </c>
      <c r="C3067" s="2" t="str">
        <f t="shared" si="3"/>
        <v>SP500</v>
      </c>
      <c r="D3067" s="2" t="str">
        <f t="shared" si="4"/>
        <v/>
      </c>
      <c r="E3067" s="2">
        <f t="shared" si="5"/>
        <v>2778.79</v>
      </c>
      <c r="G3067" s="10">
        <f t="shared" si="9"/>
        <v>41049.64583</v>
      </c>
      <c r="H3067" s="6" t="str">
        <f t="shared" si="6"/>
        <v/>
      </c>
      <c r="I3067" s="2">
        <f t="shared" si="7"/>
        <v>1426.89</v>
      </c>
      <c r="M3067" s="10">
        <f>IFERROR(__xludf.DUMMYFUNCTION("""COMPUTED_VALUE"""),42430.66666666667)</f>
        <v>42430.66667</v>
      </c>
      <c r="N3067" s="2">
        <f>IFERROR(__xludf.DUMMYFUNCTION("""COMPUTED_VALUE"""),4689.6)</f>
        <v>4689.6</v>
      </c>
    </row>
    <row r="3068">
      <c r="A3068" s="10">
        <f t="shared" si="8"/>
        <v>41050.66667</v>
      </c>
      <c r="B3068" s="2" t="str">
        <f t="shared" si="2"/>
        <v/>
      </c>
      <c r="C3068" s="2" t="str">
        <f t="shared" si="3"/>
        <v>SP500</v>
      </c>
      <c r="D3068" s="2">
        <f t="shared" si="4"/>
        <v>2847.21</v>
      </c>
      <c r="E3068" s="2">
        <f t="shared" si="5"/>
        <v>2847.21</v>
      </c>
      <c r="G3068" s="10">
        <f t="shared" si="9"/>
        <v>41050.64583</v>
      </c>
      <c r="H3068" s="6" t="str">
        <f t="shared" si="6"/>
        <v/>
      </c>
      <c r="I3068" s="2">
        <f t="shared" si="7"/>
        <v>1426.89</v>
      </c>
      <c r="M3068" s="10">
        <f>IFERROR(__xludf.DUMMYFUNCTION("""COMPUTED_VALUE"""),42431.66666666667)</f>
        <v>42431.66667</v>
      </c>
      <c r="N3068" s="2">
        <f>IFERROR(__xludf.DUMMYFUNCTION("""COMPUTED_VALUE"""),4703.42)</f>
        <v>4703.42</v>
      </c>
    </row>
    <row r="3069">
      <c r="A3069" s="10">
        <f t="shared" si="8"/>
        <v>41051.66667</v>
      </c>
      <c r="B3069" s="2" t="str">
        <f t="shared" si="2"/>
        <v/>
      </c>
      <c r="C3069" s="2" t="str">
        <f t="shared" si="3"/>
        <v>SP500</v>
      </c>
      <c r="D3069" s="2">
        <f t="shared" si="4"/>
        <v>2839.08</v>
      </c>
      <c r="E3069" s="2">
        <f t="shared" si="5"/>
        <v>2839.08</v>
      </c>
      <c r="G3069" s="10">
        <f t="shared" si="9"/>
        <v>41051.64583</v>
      </c>
      <c r="H3069" s="6" t="str">
        <f t="shared" si="6"/>
        <v/>
      </c>
      <c r="I3069" s="2">
        <f t="shared" si="7"/>
        <v>1426.89</v>
      </c>
      <c r="M3069" s="10">
        <f>IFERROR(__xludf.DUMMYFUNCTION("""COMPUTED_VALUE"""),42432.66666666667)</f>
        <v>42432.66667</v>
      </c>
      <c r="N3069" s="2">
        <f>IFERROR(__xludf.DUMMYFUNCTION("""COMPUTED_VALUE"""),4707.42)</f>
        <v>4707.42</v>
      </c>
    </row>
    <row r="3070">
      <c r="A3070" s="10">
        <f t="shared" si="8"/>
        <v>41052.66667</v>
      </c>
      <c r="B3070" s="2" t="str">
        <f t="shared" si="2"/>
        <v/>
      </c>
      <c r="C3070" s="2" t="str">
        <f t="shared" si="3"/>
        <v>SP500</v>
      </c>
      <c r="D3070" s="2">
        <f t="shared" si="4"/>
        <v>2850.12</v>
      </c>
      <c r="E3070" s="2">
        <f t="shared" si="5"/>
        <v>2850.12</v>
      </c>
      <c r="G3070" s="10">
        <f t="shared" si="9"/>
        <v>41052.64583</v>
      </c>
      <c r="H3070" s="6" t="str">
        <f t="shared" si="6"/>
        <v/>
      </c>
      <c r="I3070" s="2">
        <f t="shared" si="7"/>
        <v>1426.89</v>
      </c>
      <c r="M3070" s="10">
        <f>IFERROR(__xludf.DUMMYFUNCTION("""COMPUTED_VALUE"""),42433.66666666667)</f>
        <v>42433.66667</v>
      </c>
      <c r="N3070" s="2">
        <f>IFERROR(__xludf.DUMMYFUNCTION("""COMPUTED_VALUE"""),4717.02)</f>
        <v>4717.02</v>
      </c>
    </row>
    <row r="3071">
      <c r="A3071" s="10">
        <f t="shared" si="8"/>
        <v>41053.66667</v>
      </c>
      <c r="B3071" s="2" t="str">
        <f t="shared" si="2"/>
        <v/>
      </c>
      <c r="C3071" s="2" t="str">
        <f t="shared" si="3"/>
        <v>SP500</v>
      </c>
      <c r="D3071" s="2">
        <f t="shared" si="4"/>
        <v>2839.38</v>
      </c>
      <c r="E3071" s="2">
        <f t="shared" si="5"/>
        <v>2839.38</v>
      </c>
      <c r="G3071" s="10">
        <f t="shared" si="9"/>
        <v>41053.64583</v>
      </c>
      <c r="H3071" s="6" t="str">
        <f t="shared" si="6"/>
        <v/>
      </c>
      <c r="I3071" s="2">
        <f t="shared" si="7"/>
        <v>1426.89</v>
      </c>
      <c r="M3071" s="10">
        <f>IFERROR(__xludf.DUMMYFUNCTION("""COMPUTED_VALUE"""),42436.66666666667)</f>
        <v>42436.66667</v>
      </c>
      <c r="N3071" s="2">
        <f>IFERROR(__xludf.DUMMYFUNCTION("""COMPUTED_VALUE"""),4708.25)</f>
        <v>4708.25</v>
      </c>
    </row>
    <row r="3072">
      <c r="A3072" s="10">
        <f t="shared" si="8"/>
        <v>41054.66667</v>
      </c>
      <c r="B3072" s="2" t="str">
        <f t="shared" si="2"/>
        <v/>
      </c>
      <c r="C3072" s="2" t="str">
        <f t="shared" si="3"/>
        <v>SP500</v>
      </c>
      <c r="D3072" s="2">
        <f t="shared" si="4"/>
        <v>2837.53</v>
      </c>
      <c r="E3072" s="2">
        <f t="shared" si="5"/>
        <v>2837.53</v>
      </c>
      <c r="G3072" s="10">
        <f t="shared" si="9"/>
        <v>41054.64583</v>
      </c>
      <c r="H3072" s="6" t="str">
        <f t="shared" si="6"/>
        <v/>
      </c>
      <c r="I3072" s="2">
        <f t="shared" si="7"/>
        <v>1426.89</v>
      </c>
      <c r="M3072" s="10">
        <f>IFERROR(__xludf.DUMMYFUNCTION("""COMPUTED_VALUE"""),42437.66666666667)</f>
        <v>42437.66667</v>
      </c>
      <c r="N3072" s="2">
        <f>IFERROR(__xludf.DUMMYFUNCTION("""COMPUTED_VALUE"""),4648.82)</f>
        <v>4648.82</v>
      </c>
    </row>
    <row r="3073">
      <c r="A3073" s="10">
        <f t="shared" si="8"/>
        <v>41055.66667</v>
      </c>
      <c r="B3073" s="2" t="str">
        <f t="shared" si="2"/>
        <v/>
      </c>
      <c r="C3073" s="2" t="str">
        <f t="shared" si="3"/>
        <v>SP500</v>
      </c>
      <c r="D3073" s="2" t="str">
        <f t="shared" si="4"/>
        <v/>
      </c>
      <c r="E3073" s="2">
        <f t="shared" si="5"/>
        <v>2837.53</v>
      </c>
      <c r="G3073" s="10">
        <f t="shared" si="9"/>
        <v>41055.64583</v>
      </c>
      <c r="H3073" s="6" t="str">
        <f t="shared" si="6"/>
        <v/>
      </c>
      <c r="I3073" s="2">
        <f t="shared" si="7"/>
        <v>1426.89</v>
      </c>
      <c r="M3073" s="10">
        <f>IFERROR(__xludf.DUMMYFUNCTION("""COMPUTED_VALUE"""),42438.66666666667)</f>
        <v>42438.66667</v>
      </c>
      <c r="N3073" s="2">
        <f>IFERROR(__xludf.DUMMYFUNCTION("""COMPUTED_VALUE"""),4674.38)</f>
        <v>4674.38</v>
      </c>
    </row>
    <row r="3074">
      <c r="A3074" s="10">
        <f t="shared" si="8"/>
        <v>41056.66667</v>
      </c>
      <c r="B3074" s="2" t="str">
        <f t="shared" si="2"/>
        <v/>
      </c>
      <c r="C3074" s="2" t="str">
        <f t="shared" si="3"/>
        <v>SP500</v>
      </c>
      <c r="D3074" s="2" t="str">
        <f t="shared" si="4"/>
        <v/>
      </c>
      <c r="E3074" s="2">
        <f t="shared" si="5"/>
        <v>2837.53</v>
      </c>
      <c r="G3074" s="10">
        <f t="shared" si="9"/>
        <v>41056.64583</v>
      </c>
      <c r="H3074" s="6" t="str">
        <f t="shared" si="6"/>
        <v/>
      </c>
      <c r="I3074" s="2">
        <f t="shared" si="7"/>
        <v>1426.89</v>
      </c>
      <c r="M3074" s="10">
        <f>IFERROR(__xludf.DUMMYFUNCTION("""COMPUTED_VALUE"""),42439.66666666667)</f>
        <v>42439.66667</v>
      </c>
      <c r="N3074" s="2">
        <f>IFERROR(__xludf.DUMMYFUNCTION("""COMPUTED_VALUE"""),4662.16)</f>
        <v>4662.16</v>
      </c>
    </row>
    <row r="3075">
      <c r="A3075" s="10">
        <f t="shared" si="8"/>
        <v>41057.66667</v>
      </c>
      <c r="B3075" s="2" t="str">
        <f t="shared" si="2"/>
        <v/>
      </c>
      <c r="C3075" s="2" t="str">
        <f t="shared" si="3"/>
        <v>SP500</v>
      </c>
      <c r="D3075" s="2" t="str">
        <f t="shared" si="4"/>
        <v/>
      </c>
      <c r="E3075" s="2">
        <f t="shared" si="5"/>
        <v>2837.53</v>
      </c>
      <c r="G3075" s="10">
        <f t="shared" si="9"/>
        <v>41057.64583</v>
      </c>
      <c r="H3075" s="6" t="str">
        <f t="shared" si="6"/>
        <v/>
      </c>
      <c r="I3075" s="2">
        <f t="shared" si="7"/>
        <v>1426.89</v>
      </c>
      <c r="M3075" s="10">
        <f>IFERROR(__xludf.DUMMYFUNCTION("""COMPUTED_VALUE"""),42440.66666666667)</f>
        <v>42440.66667</v>
      </c>
      <c r="N3075" s="2">
        <f>IFERROR(__xludf.DUMMYFUNCTION("""COMPUTED_VALUE"""),4748.47)</f>
        <v>4748.47</v>
      </c>
    </row>
    <row r="3076">
      <c r="A3076" s="10">
        <f t="shared" si="8"/>
        <v>41058.66667</v>
      </c>
      <c r="B3076" s="2" t="str">
        <f t="shared" si="2"/>
        <v/>
      </c>
      <c r="C3076" s="2" t="str">
        <f t="shared" si="3"/>
        <v>SP500</v>
      </c>
      <c r="D3076" s="2">
        <f t="shared" si="4"/>
        <v>2870.99</v>
      </c>
      <c r="E3076" s="2">
        <f t="shared" si="5"/>
        <v>2870.99</v>
      </c>
      <c r="G3076" s="10">
        <f t="shared" si="9"/>
        <v>41058.64583</v>
      </c>
      <c r="H3076" s="6" t="str">
        <f t="shared" si="6"/>
        <v/>
      </c>
      <c r="I3076" s="2">
        <f t="shared" si="7"/>
        <v>1426.89</v>
      </c>
      <c r="M3076" s="10">
        <f>IFERROR(__xludf.DUMMYFUNCTION("""COMPUTED_VALUE"""),42443.66666666667)</f>
        <v>42443.66667</v>
      </c>
      <c r="N3076" s="2">
        <f>IFERROR(__xludf.DUMMYFUNCTION("""COMPUTED_VALUE"""),4750.28)</f>
        <v>4750.28</v>
      </c>
    </row>
    <row r="3077">
      <c r="A3077" s="10">
        <f t="shared" si="8"/>
        <v>41059.66667</v>
      </c>
      <c r="B3077" s="2" t="str">
        <f t="shared" si="2"/>
        <v/>
      </c>
      <c r="C3077" s="2" t="str">
        <f t="shared" si="3"/>
        <v>SP500</v>
      </c>
      <c r="D3077" s="2">
        <f t="shared" si="4"/>
        <v>2837.36</v>
      </c>
      <c r="E3077" s="2">
        <f t="shared" si="5"/>
        <v>2837.36</v>
      </c>
      <c r="G3077" s="10">
        <f t="shared" si="9"/>
        <v>41059.64583</v>
      </c>
      <c r="H3077" s="6" t="str">
        <f t="shared" si="6"/>
        <v/>
      </c>
      <c r="I3077" s="2">
        <f t="shared" si="7"/>
        <v>1426.89</v>
      </c>
      <c r="M3077" s="10">
        <f>IFERROR(__xludf.DUMMYFUNCTION("""COMPUTED_VALUE"""),42444.66666666667)</f>
        <v>42444.66667</v>
      </c>
      <c r="N3077" s="2">
        <f>IFERROR(__xludf.DUMMYFUNCTION("""COMPUTED_VALUE"""),4728.67)</f>
        <v>4728.67</v>
      </c>
    </row>
    <row r="3078">
      <c r="A3078" s="10">
        <f t="shared" si="8"/>
        <v>41060.66667</v>
      </c>
      <c r="B3078" s="2" t="str">
        <f t="shared" si="2"/>
        <v/>
      </c>
      <c r="C3078" s="2" t="str">
        <f t="shared" si="3"/>
        <v>SP500</v>
      </c>
      <c r="D3078" s="2">
        <f t="shared" si="4"/>
        <v>2827.34</v>
      </c>
      <c r="E3078" s="2">
        <f t="shared" si="5"/>
        <v>2827.34</v>
      </c>
      <c r="G3078" s="10">
        <f t="shared" si="9"/>
        <v>41060.64583</v>
      </c>
      <c r="H3078" s="6" t="str">
        <f t="shared" si="6"/>
        <v/>
      </c>
      <c r="I3078" s="2">
        <f t="shared" si="7"/>
        <v>1426.89</v>
      </c>
      <c r="M3078" s="10">
        <f>IFERROR(__xludf.DUMMYFUNCTION("""COMPUTED_VALUE"""),42445.66666666667)</f>
        <v>42445.66667</v>
      </c>
      <c r="N3078" s="2">
        <f>IFERROR(__xludf.DUMMYFUNCTION("""COMPUTED_VALUE"""),4763.97)</f>
        <v>4763.97</v>
      </c>
    </row>
    <row r="3079">
      <c r="A3079" s="10">
        <f t="shared" si="8"/>
        <v>41061.66667</v>
      </c>
      <c r="B3079" s="2" t="str">
        <f t="shared" si="2"/>
        <v/>
      </c>
      <c r="C3079" s="2" t="str">
        <f t="shared" si="3"/>
        <v>SP500</v>
      </c>
      <c r="D3079" s="2">
        <f t="shared" si="4"/>
        <v>2747.48</v>
      </c>
      <c r="E3079" s="2">
        <f t="shared" si="5"/>
        <v>2747.48</v>
      </c>
      <c r="G3079" s="10">
        <f t="shared" si="9"/>
        <v>41061.64583</v>
      </c>
      <c r="H3079" s="6" t="str">
        <f t="shared" si="6"/>
        <v/>
      </c>
      <c r="I3079" s="2">
        <f t="shared" si="7"/>
        <v>1426.89</v>
      </c>
      <c r="M3079" s="10">
        <f>IFERROR(__xludf.DUMMYFUNCTION("""COMPUTED_VALUE"""),42446.66666666667)</f>
        <v>42446.66667</v>
      </c>
      <c r="N3079" s="2">
        <f>IFERROR(__xludf.DUMMYFUNCTION("""COMPUTED_VALUE"""),4774.99)</f>
        <v>4774.99</v>
      </c>
    </row>
    <row r="3080">
      <c r="A3080" s="10">
        <f t="shared" si="8"/>
        <v>41062.66667</v>
      </c>
      <c r="B3080" s="2" t="str">
        <f t="shared" si="2"/>
        <v/>
      </c>
      <c r="C3080" s="2" t="str">
        <f t="shared" si="3"/>
        <v>SP500</v>
      </c>
      <c r="D3080" s="2" t="str">
        <f t="shared" si="4"/>
        <v/>
      </c>
      <c r="E3080" s="2">
        <f t="shared" si="5"/>
        <v>2747.48</v>
      </c>
      <c r="G3080" s="10">
        <f t="shared" si="9"/>
        <v>41062.64583</v>
      </c>
      <c r="H3080" s="6" t="str">
        <f t="shared" si="6"/>
        <v/>
      </c>
      <c r="I3080" s="2">
        <f t="shared" si="7"/>
        <v>1426.89</v>
      </c>
      <c r="M3080" s="10">
        <f>IFERROR(__xludf.DUMMYFUNCTION("""COMPUTED_VALUE"""),42447.66666666667)</f>
        <v>42447.66667</v>
      </c>
      <c r="N3080" s="2">
        <f>IFERROR(__xludf.DUMMYFUNCTION("""COMPUTED_VALUE"""),4795.65)</f>
        <v>4795.65</v>
      </c>
    </row>
    <row r="3081">
      <c r="A3081" s="10">
        <f t="shared" si="8"/>
        <v>41063.66667</v>
      </c>
      <c r="B3081" s="2" t="str">
        <f t="shared" si="2"/>
        <v/>
      </c>
      <c r="C3081" s="2" t="str">
        <f t="shared" si="3"/>
        <v>SP500</v>
      </c>
      <c r="D3081" s="2" t="str">
        <f t="shared" si="4"/>
        <v/>
      </c>
      <c r="E3081" s="2">
        <f t="shared" si="5"/>
        <v>2747.48</v>
      </c>
      <c r="G3081" s="10">
        <f t="shared" si="9"/>
        <v>41063.64583</v>
      </c>
      <c r="H3081" s="6" t="str">
        <f t="shared" si="6"/>
        <v/>
      </c>
      <c r="I3081" s="2">
        <f t="shared" si="7"/>
        <v>1426.89</v>
      </c>
      <c r="M3081" s="10">
        <f>IFERROR(__xludf.DUMMYFUNCTION("""COMPUTED_VALUE"""),42450.66666666667)</f>
        <v>42450.66667</v>
      </c>
      <c r="N3081" s="2">
        <f>IFERROR(__xludf.DUMMYFUNCTION("""COMPUTED_VALUE"""),4808.87)</f>
        <v>4808.87</v>
      </c>
    </row>
    <row r="3082">
      <c r="A3082" s="10">
        <f t="shared" si="8"/>
        <v>41064.66667</v>
      </c>
      <c r="B3082" s="2" t="str">
        <f t="shared" si="2"/>
        <v/>
      </c>
      <c r="C3082" s="2" t="str">
        <f t="shared" si="3"/>
        <v>SP500</v>
      </c>
      <c r="D3082" s="2">
        <f t="shared" si="4"/>
        <v>2760.01</v>
      </c>
      <c r="E3082" s="2">
        <f t="shared" si="5"/>
        <v>2760.01</v>
      </c>
      <c r="G3082" s="10">
        <f t="shared" si="9"/>
        <v>41064.64583</v>
      </c>
      <c r="H3082" s="6" t="str">
        <f t="shared" si="6"/>
        <v/>
      </c>
      <c r="I3082" s="2">
        <f t="shared" si="7"/>
        <v>1426.89</v>
      </c>
      <c r="M3082" s="10">
        <f>IFERROR(__xludf.DUMMYFUNCTION("""COMPUTED_VALUE"""),42451.66666666667)</f>
        <v>42451.66667</v>
      </c>
      <c r="N3082" s="2">
        <f>IFERROR(__xludf.DUMMYFUNCTION("""COMPUTED_VALUE"""),4821.66)</f>
        <v>4821.66</v>
      </c>
    </row>
    <row r="3083">
      <c r="A3083" s="10">
        <f t="shared" si="8"/>
        <v>41065.66667</v>
      </c>
      <c r="B3083" s="2" t="str">
        <f t="shared" si="2"/>
        <v/>
      </c>
      <c r="C3083" s="2" t="str">
        <f t="shared" si="3"/>
        <v>SP500</v>
      </c>
      <c r="D3083" s="2">
        <f t="shared" si="4"/>
        <v>2778.11</v>
      </c>
      <c r="E3083" s="2">
        <f t="shared" si="5"/>
        <v>2778.11</v>
      </c>
      <c r="G3083" s="10">
        <f t="shared" si="9"/>
        <v>41065.64583</v>
      </c>
      <c r="H3083" s="6" t="str">
        <f t="shared" si="6"/>
        <v/>
      </c>
      <c r="I3083" s="2">
        <f t="shared" si="7"/>
        <v>1426.89</v>
      </c>
      <c r="M3083" s="10">
        <f>IFERROR(__xludf.DUMMYFUNCTION("""COMPUTED_VALUE"""),42452.66666666667)</f>
        <v>42452.66667</v>
      </c>
      <c r="N3083" s="2">
        <f>IFERROR(__xludf.DUMMYFUNCTION("""COMPUTED_VALUE"""),4768.86)</f>
        <v>4768.86</v>
      </c>
    </row>
    <row r="3084">
      <c r="A3084" s="10">
        <f t="shared" si="8"/>
        <v>41066.66667</v>
      </c>
      <c r="B3084" s="2" t="str">
        <f t="shared" si="2"/>
        <v/>
      </c>
      <c r="C3084" s="2" t="str">
        <f t="shared" si="3"/>
        <v>SP500</v>
      </c>
      <c r="D3084" s="2">
        <f t="shared" si="4"/>
        <v>2844.72</v>
      </c>
      <c r="E3084" s="2">
        <f t="shared" si="5"/>
        <v>2844.72</v>
      </c>
      <c r="G3084" s="10">
        <f t="shared" si="9"/>
        <v>41066.64583</v>
      </c>
      <c r="H3084" s="6" t="str">
        <f t="shared" si="6"/>
        <v/>
      </c>
      <c r="I3084" s="2">
        <f t="shared" si="7"/>
        <v>1426.89</v>
      </c>
      <c r="M3084" s="10">
        <f>IFERROR(__xludf.DUMMYFUNCTION("""COMPUTED_VALUE"""),42453.66666666667)</f>
        <v>42453.66667</v>
      </c>
      <c r="N3084" s="2">
        <f>IFERROR(__xludf.DUMMYFUNCTION("""COMPUTED_VALUE"""),4773.5)</f>
        <v>4773.5</v>
      </c>
    </row>
    <row r="3085">
      <c r="A3085" s="10">
        <f t="shared" si="8"/>
        <v>41067.66667</v>
      </c>
      <c r="B3085" s="2" t="str">
        <f t="shared" si="2"/>
        <v/>
      </c>
      <c r="C3085" s="2" t="str">
        <f t="shared" si="3"/>
        <v>SP500</v>
      </c>
      <c r="D3085" s="2">
        <f t="shared" si="4"/>
        <v>2831.02</v>
      </c>
      <c r="E3085" s="2">
        <f t="shared" si="5"/>
        <v>2831.02</v>
      </c>
      <c r="G3085" s="10">
        <f t="shared" si="9"/>
        <v>41067.64583</v>
      </c>
      <c r="H3085" s="6" t="str">
        <f t="shared" si="6"/>
        <v/>
      </c>
      <c r="I3085" s="2">
        <f t="shared" si="7"/>
        <v>1426.89</v>
      </c>
      <c r="M3085" s="10">
        <f>IFERROR(__xludf.DUMMYFUNCTION("""COMPUTED_VALUE"""),42457.66666666667)</f>
        <v>42457.66667</v>
      </c>
      <c r="N3085" s="2">
        <f>IFERROR(__xludf.DUMMYFUNCTION("""COMPUTED_VALUE"""),4766.79)</f>
        <v>4766.79</v>
      </c>
    </row>
    <row r="3086">
      <c r="A3086" s="10">
        <f t="shared" si="8"/>
        <v>41068.66667</v>
      </c>
      <c r="B3086" s="2" t="str">
        <f t="shared" si="2"/>
        <v/>
      </c>
      <c r="C3086" s="2" t="str">
        <f t="shared" si="3"/>
        <v>SP500</v>
      </c>
      <c r="D3086" s="2">
        <f t="shared" si="4"/>
        <v>2858.42</v>
      </c>
      <c r="E3086" s="2">
        <f t="shared" si="5"/>
        <v>2858.42</v>
      </c>
      <c r="G3086" s="10">
        <f t="shared" si="9"/>
        <v>41068.64583</v>
      </c>
      <c r="H3086" s="6" t="str">
        <f t="shared" si="6"/>
        <v/>
      </c>
      <c r="I3086" s="2">
        <f t="shared" si="7"/>
        <v>1426.89</v>
      </c>
      <c r="M3086" s="10">
        <f>IFERROR(__xludf.DUMMYFUNCTION("""COMPUTED_VALUE"""),42458.66666666667)</f>
        <v>42458.66667</v>
      </c>
      <c r="N3086" s="2">
        <f>IFERROR(__xludf.DUMMYFUNCTION("""COMPUTED_VALUE"""),4846.62)</f>
        <v>4846.62</v>
      </c>
    </row>
    <row r="3087">
      <c r="A3087" s="10">
        <f t="shared" si="8"/>
        <v>41069.66667</v>
      </c>
      <c r="B3087" s="2" t="str">
        <f t="shared" si="2"/>
        <v/>
      </c>
      <c r="C3087" s="2" t="str">
        <f t="shared" si="3"/>
        <v>SP500</v>
      </c>
      <c r="D3087" s="2" t="str">
        <f t="shared" si="4"/>
        <v/>
      </c>
      <c r="E3087" s="2">
        <f t="shared" si="5"/>
        <v>2858.42</v>
      </c>
      <c r="G3087" s="10">
        <f t="shared" si="9"/>
        <v>41069.64583</v>
      </c>
      <c r="H3087" s="6" t="str">
        <f t="shared" si="6"/>
        <v/>
      </c>
      <c r="I3087" s="2">
        <f t="shared" si="7"/>
        <v>1426.89</v>
      </c>
      <c r="M3087" s="10">
        <f>IFERROR(__xludf.DUMMYFUNCTION("""COMPUTED_VALUE"""),42459.66666666667)</f>
        <v>42459.66667</v>
      </c>
      <c r="N3087" s="2">
        <f>IFERROR(__xludf.DUMMYFUNCTION("""COMPUTED_VALUE"""),4869.29)</f>
        <v>4869.29</v>
      </c>
    </row>
    <row r="3088">
      <c r="A3088" s="10">
        <f t="shared" si="8"/>
        <v>41070.66667</v>
      </c>
      <c r="B3088" s="2" t="str">
        <f t="shared" si="2"/>
        <v/>
      </c>
      <c r="C3088" s="2" t="str">
        <f t="shared" si="3"/>
        <v>SP500</v>
      </c>
      <c r="D3088" s="2" t="str">
        <f t="shared" si="4"/>
        <v/>
      </c>
      <c r="E3088" s="2">
        <f t="shared" si="5"/>
        <v>2858.42</v>
      </c>
      <c r="G3088" s="10">
        <f t="shared" si="9"/>
        <v>41070.64583</v>
      </c>
      <c r="H3088" s="6" t="str">
        <f t="shared" si="6"/>
        <v/>
      </c>
      <c r="I3088" s="2">
        <f t="shared" si="7"/>
        <v>1426.89</v>
      </c>
      <c r="M3088" s="10">
        <f>IFERROR(__xludf.DUMMYFUNCTION("""COMPUTED_VALUE"""),42460.66666666667)</f>
        <v>42460.66667</v>
      </c>
      <c r="N3088" s="2">
        <f>IFERROR(__xludf.DUMMYFUNCTION("""COMPUTED_VALUE"""),4869.85)</f>
        <v>4869.85</v>
      </c>
    </row>
    <row r="3089">
      <c r="A3089" s="10">
        <f t="shared" si="8"/>
        <v>41071.66667</v>
      </c>
      <c r="B3089" s="2" t="str">
        <f t="shared" si="2"/>
        <v/>
      </c>
      <c r="C3089" s="2" t="str">
        <f t="shared" si="3"/>
        <v>SP500</v>
      </c>
      <c r="D3089" s="2">
        <f t="shared" si="4"/>
        <v>2809.73</v>
      </c>
      <c r="E3089" s="2">
        <f t="shared" si="5"/>
        <v>2809.73</v>
      </c>
      <c r="G3089" s="10">
        <f t="shared" si="9"/>
        <v>41071.64583</v>
      </c>
      <c r="H3089" s="6" t="str">
        <f t="shared" si="6"/>
        <v/>
      </c>
      <c r="I3089" s="2">
        <f t="shared" si="7"/>
        <v>1426.89</v>
      </c>
      <c r="M3089" s="10">
        <f>IFERROR(__xludf.DUMMYFUNCTION("""COMPUTED_VALUE"""),42461.66666666667)</f>
        <v>42461.66667</v>
      </c>
      <c r="N3089" s="2">
        <f>IFERROR(__xludf.DUMMYFUNCTION("""COMPUTED_VALUE"""),4914.54)</f>
        <v>4914.54</v>
      </c>
    </row>
    <row r="3090">
      <c r="A3090" s="10">
        <f t="shared" si="8"/>
        <v>41072.66667</v>
      </c>
      <c r="B3090" s="2" t="str">
        <f t="shared" si="2"/>
        <v/>
      </c>
      <c r="C3090" s="2" t="str">
        <f t="shared" si="3"/>
        <v>SP500</v>
      </c>
      <c r="D3090" s="2">
        <f t="shared" si="4"/>
        <v>2843.07</v>
      </c>
      <c r="E3090" s="2">
        <f t="shared" si="5"/>
        <v>2843.07</v>
      </c>
      <c r="G3090" s="10">
        <f t="shared" si="9"/>
        <v>41072.64583</v>
      </c>
      <c r="H3090" s="6" t="str">
        <f t="shared" si="6"/>
        <v/>
      </c>
      <c r="I3090" s="2">
        <f t="shared" si="7"/>
        <v>1426.89</v>
      </c>
      <c r="M3090" s="10">
        <f>IFERROR(__xludf.DUMMYFUNCTION("""COMPUTED_VALUE"""),42464.66666666667)</f>
        <v>42464.66667</v>
      </c>
      <c r="N3090" s="2">
        <f>IFERROR(__xludf.DUMMYFUNCTION("""COMPUTED_VALUE"""),4891.8)</f>
        <v>4891.8</v>
      </c>
    </row>
    <row r="3091">
      <c r="A3091" s="10">
        <f t="shared" si="8"/>
        <v>41073.66667</v>
      </c>
      <c r="B3091" s="2" t="str">
        <f t="shared" si="2"/>
        <v/>
      </c>
      <c r="C3091" s="2" t="str">
        <f t="shared" si="3"/>
        <v>SP500</v>
      </c>
      <c r="D3091" s="2">
        <f t="shared" si="4"/>
        <v>2818.61</v>
      </c>
      <c r="E3091" s="2">
        <f t="shared" si="5"/>
        <v>2818.61</v>
      </c>
      <c r="G3091" s="10">
        <f t="shared" si="9"/>
        <v>41073.64583</v>
      </c>
      <c r="H3091" s="6" t="str">
        <f t="shared" si="6"/>
        <v/>
      </c>
      <c r="I3091" s="2">
        <f t="shared" si="7"/>
        <v>1426.89</v>
      </c>
      <c r="M3091" s="10">
        <f>IFERROR(__xludf.DUMMYFUNCTION("""COMPUTED_VALUE"""),42465.66666666667)</f>
        <v>42465.66667</v>
      </c>
      <c r="N3091" s="2">
        <f>IFERROR(__xludf.DUMMYFUNCTION("""COMPUTED_VALUE"""),4843.93)</f>
        <v>4843.93</v>
      </c>
    </row>
    <row r="3092">
      <c r="A3092" s="10">
        <f t="shared" si="8"/>
        <v>41074.66667</v>
      </c>
      <c r="B3092" s="2" t="str">
        <f t="shared" si="2"/>
        <v/>
      </c>
      <c r="C3092" s="2" t="str">
        <f t="shared" si="3"/>
        <v>SP500</v>
      </c>
      <c r="D3092" s="2">
        <f t="shared" si="4"/>
        <v>2836.33</v>
      </c>
      <c r="E3092" s="2">
        <f t="shared" si="5"/>
        <v>2836.33</v>
      </c>
      <c r="G3092" s="10">
        <f t="shared" si="9"/>
        <v>41074.64583</v>
      </c>
      <c r="H3092" s="6" t="str">
        <f t="shared" si="6"/>
        <v/>
      </c>
      <c r="I3092" s="2">
        <f t="shared" si="7"/>
        <v>1426.89</v>
      </c>
      <c r="M3092" s="10">
        <f>IFERROR(__xludf.DUMMYFUNCTION("""COMPUTED_VALUE"""),42466.66666666667)</f>
        <v>42466.66667</v>
      </c>
      <c r="N3092" s="2">
        <f>IFERROR(__xludf.DUMMYFUNCTION("""COMPUTED_VALUE"""),4920.72)</f>
        <v>4920.72</v>
      </c>
    </row>
    <row r="3093">
      <c r="A3093" s="10">
        <f t="shared" si="8"/>
        <v>41075.66667</v>
      </c>
      <c r="B3093" s="2" t="str">
        <f t="shared" si="2"/>
        <v/>
      </c>
      <c r="C3093" s="2" t="str">
        <f t="shared" si="3"/>
        <v>SP500</v>
      </c>
      <c r="D3093" s="2">
        <f t="shared" si="4"/>
        <v>2872.8</v>
      </c>
      <c r="E3093" s="2">
        <f t="shared" si="5"/>
        <v>2872.8</v>
      </c>
      <c r="G3093" s="10">
        <f t="shared" si="9"/>
        <v>41075.64583</v>
      </c>
      <c r="H3093" s="6" t="str">
        <f t="shared" si="6"/>
        <v/>
      </c>
      <c r="I3093" s="2">
        <f t="shared" si="7"/>
        <v>1426.89</v>
      </c>
      <c r="M3093" s="10">
        <f>IFERROR(__xludf.DUMMYFUNCTION("""COMPUTED_VALUE"""),42467.66666666667)</f>
        <v>42467.66667</v>
      </c>
      <c r="N3093" s="2">
        <f>IFERROR(__xludf.DUMMYFUNCTION("""COMPUTED_VALUE"""),4848.37)</f>
        <v>4848.37</v>
      </c>
    </row>
    <row r="3094">
      <c r="A3094" s="10">
        <f t="shared" si="8"/>
        <v>41076.66667</v>
      </c>
      <c r="B3094" s="2" t="str">
        <f t="shared" si="2"/>
        <v/>
      </c>
      <c r="C3094" s="2" t="str">
        <f t="shared" si="3"/>
        <v>SP500</v>
      </c>
      <c r="D3094" s="2" t="str">
        <f t="shared" si="4"/>
        <v/>
      </c>
      <c r="E3094" s="2">
        <f t="shared" si="5"/>
        <v>2872.8</v>
      </c>
      <c r="G3094" s="10">
        <f t="shared" si="9"/>
        <v>41076.64583</v>
      </c>
      <c r="H3094" s="6" t="str">
        <f t="shared" si="6"/>
        <v/>
      </c>
      <c r="I3094" s="2">
        <f t="shared" si="7"/>
        <v>1426.89</v>
      </c>
      <c r="M3094" s="10">
        <f>IFERROR(__xludf.DUMMYFUNCTION("""COMPUTED_VALUE"""),42468.66666666667)</f>
        <v>42468.66667</v>
      </c>
      <c r="N3094" s="2">
        <f>IFERROR(__xludf.DUMMYFUNCTION("""COMPUTED_VALUE"""),4850.69)</f>
        <v>4850.69</v>
      </c>
    </row>
    <row r="3095">
      <c r="A3095" s="10">
        <f t="shared" si="8"/>
        <v>41077.66667</v>
      </c>
      <c r="B3095" s="2" t="str">
        <f t="shared" si="2"/>
        <v/>
      </c>
      <c r="C3095" s="2" t="str">
        <f t="shared" si="3"/>
        <v>SP500</v>
      </c>
      <c r="D3095" s="2" t="str">
        <f t="shared" si="4"/>
        <v/>
      </c>
      <c r="E3095" s="2">
        <f t="shared" si="5"/>
        <v>2872.8</v>
      </c>
      <c r="G3095" s="10">
        <f t="shared" si="9"/>
        <v>41077.64583</v>
      </c>
      <c r="H3095" s="6" t="str">
        <f t="shared" si="6"/>
        <v/>
      </c>
      <c r="I3095" s="2">
        <f t="shared" si="7"/>
        <v>1426.89</v>
      </c>
      <c r="M3095" s="10">
        <f>IFERROR(__xludf.DUMMYFUNCTION("""COMPUTED_VALUE"""),42471.66666666667)</f>
        <v>42471.66667</v>
      </c>
      <c r="N3095" s="2">
        <f>IFERROR(__xludf.DUMMYFUNCTION("""COMPUTED_VALUE"""),4833.4)</f>
        <v>4833.4</v>
      </c>
    </row>
    <row r="3096">
      <c r="A3096" s="10">
        <f t="shared" si="8"/>
        <v>41078.66667</v>
      </c>
      <c r="B3096" s="2" t="str">
        <f t="shared" si="2"/>
        <v/>
      </c>
      <c r="C3096" s="2" t="str">
        <f t="shared" si="3"/>
        <v>SP500</v>
      </c>
      <c r="D3096" s="2">
        <f t="shared" si="4"/>
        <v>2895.33</v>
      </c>
      <c r="E3096" s="2">
        <f t="shared" si="5"/>
        <v>2895.33</v>
      </c>
      <c r="G3096" s="10">
        <f t="shared" si="9"/>
        <v>41078.64583</v>
      </c>
      <c r="H3096" s="6" t="str">
        <f t="shared" si="6"/>
        <v/>
      </c>
      <c r="I3096" s="2">
        <f t="shared" si="7"/>
        <v>1426.89</v>
      </c>
      <c r="M3096" s="10">
        <f>IFERROR(__xludf.DUMMYFUNCTION("""COMPUTED_VALUE"""),42472.66666666667)</f>
        <v>42472.66667</v>
      </c>
      <c r="N3096" s="2">
        <f>IFERROR(__xludf.DUMMYFUNCTION("""COMPUTED_VALUE"""),4872.09)</f>
        <v>4872.09</v>
      </c>
    </row>
    <row r="3097">
      <c r="A3097" s="10">
        <f t="shared" si="8"/>
        <v>41079.66667</v>
      </c>
      <c r="B3097" s="2" t="str">
        <f t="shared" si="2"/>
        <v/>
      </c>
      <c r="C3097" s="2" t="str">
        <f t="shared" si="3"/>
        <v>SP500</v>
      </c>
      <c r="D3097" s="2">
        <f t="shared" si="4"/>
        <v>2929.76</v>
      </c>
      <c r="E3097" s="2">
        <f t="shared" si="5"/>
        <v>2929.76</v>
      </c>
      <c r="G3097" s="10">
        <f t="shared" si="9"/>
        <v>41079.64583</v>
      </c>
      <c r="H3097" s="6" t="str">
        <f t="shared" si="6"/>
        <v/>
      </c>
      <c r="I3097" s="2">
        <f t="shared" si="7"/>
        <v>1426.89</v>
      </c>
      <c r="M3097" s="10">
        <f>IFERROR(__xludf.DUMMYFUNCTION("""COMPUTED_VALUE"""),42473.66666666667)</f>
        <v>42473.66667</v>
      </c>
      <c r="N3097" s="2">
        <f>IFERROR(__xludf.DUMMYFUNCTION("""COMPUTED_VALUE"""),4947.42)</f>
        <v>4947.42</v>
      </c>
    </row>
    <row r="3098">
      <c r="A3098" s="10">
        <f t="shared" si="8"/>
        <v>41080.66667</v>
      </c>
      <c r="B3098" s="2" t="str">
        <f t="shared" si="2"/>
        <v/>
      </c>
      <c r="C3098" s="2" t="str">
        <f t="shared" si="3"/>
        <v>SP500</v>
      </c>
      <c r="D3098" s="2">
        <f t="shared" si="4"/>
        <v>2930.45</v>
      </c>
      <c r="E3098" s="2">
        <f t="shared" si="5"/>
        <v>2930.45</v>
      </c>
      <c r="G3098" s="10">
        <f t="shared" si="9"/>
        <v>41080.64583</v>
      </c>
      <c r="H3098" s="6" t="str">
        <f t="shared" si="6"/>
        <v/>
      </c>
      <c r="I3098" s="2">
        <f t="shared" si="7"/>
        <v>1426.89</v>
      </c>
      <c r="M3098" s="10">
        <f>IFERROR(__xludf.DUMMYFUNCTION("""COMPUTED_VALUE"""),42474.66666666667)</f>
        <v>42474.66667</v>
      </c>
      <c r="N3098" s="2">
        <f>IFERROR(__xludf.DUMMYFUNCTION("""COMPUTED_VALUE"""),4945.89)</f>
        <v>4945.89</v>
      </c>
    </row>
    <row r="3099">
      <c r="A3099" s="10">
        <f t="shared" si="8"/>
        <v>41081.66667</v>
      </c>
      <c r="B3099" s="2" t="str">
        <f t="shared" si="2"/>
        <v/>
      </c>
      <c r="C3099" s="2" t="str">
        <f t="shared" si="3"/>
        <v>SP500</v>
      </c>
      <c r="D3099" s="2">
        <f t="shared" si="4"/>
        <v>2859.09</v>
      </c>
      <c r="E3099" s="2">
        <f t="shared" si="5"/>
        <v>2859.09</v>
      </c>
      <c r="G3099" s="10">
        <f t="shared" si="9"/>
        <v>41081.64583</v>
      </c>
      <c r="H3099" s="6" t="str">
        <f t="shared" si="6"/>
        <v/>
      </c>
      <c r="I3099" s="2">
        <f t="shared" si="7"/>
        <v>1426.89</v>
      </c>
      <c r="M3099" s="10">
        <f>IFERROR(__xludf.DUMMYFUNCTION("""COMPUTED_VALUE"""),42475.66666666667)</f>
        <v>42475.66667</v>
      </c>
      <c r="N3099" s="2">
        <f>IFERROR(__xludf.DUMMYFUNCTION("""COMPUTED_VALUE"""),4938.22)</f>
        <v>4938.22</v>
      </c>
    </row>
    <row r="3100">
      <c r="A3100" s="10">
        <f t="shared" si="8"/>
        <v>41082.66667</v>
      </c>
      <c r="B3100" s="2" t="str">
        <f t="shared" si="2"/>
        <v/>
      </c>
      <c r="C3100" s="2" t="str">
        <f t="shared" si="3"/>
        <v>SP500</v>
      </c>
      <c r="D3100" s="2">
        <f t="shared" si="4"/>
        <v>2892.42</v>
      </c>
      <c r="E3100" s="2">
        <f t="shared" si="5"/>
        <v>2892.42</v>
      </c>
      <c r="G3100" s="10">
        <f t="shared" si="9"/>
        <v>41082.64583</v>
      </c>
      <c r="H3100" s="6" t="str">
        <f t="shared" si="6"/>
        <v/>
      </c>
      <c r="I3100" s="2">
        <f t="shared" si="7"/>
        <v>1426.89</v>
      </c>
      <c r="M3100" s="10">
        <f>IFERROR(__xludf.DUMMYFUNCTION("""COMPUTED_VALUE"""),42478.66666666667)</f>
        <v>42478.66667</v>
      </c>
      <c r="N3100" s="2">
        <f>IFERROR(__xludf.DUMMYFUNCTION("""COMPUTED_VALUE"""),4960.02)</f>
        <v>4960.02</v>
      </c>
    </row>
    <row r="3101">
      <c r="A3101" s="10">
        <f t="shared" si="8"/>
        <v>41083.66667</v>
      </c>
      <c r="B3101" s="2" t="str">
        <f t="shared" si="2"/>
        <v/>
      </c>
      <c r="C3101" s="2" t="str">
        <f t="shared" si="3"/>
        <v>SP500</v>
      </c>
      <c r="D3101" s="2" t="str">
        <f t="shared" si="4"/>
        <v/>
      </c>
      <c r="E3101" s="2">
        <f t="shared" si="5"/>
        <v>2892.42</v>
      </c>
      <c r="G3101" s="10">
        <f t="shared" si="9"/>
        <v>41083.64583</v>
      </c>
      <c r="H3101" s="6" t="str">
        <f t="shared" si="6"/>
        <v/>
      </c>
      <c r="I3101" s="2">
        <f t="shared" si="7"/>
        <v>1426.89</v>
      </c>
      <c r="M3101" s="10">
        <f>IFERROR(__xludf.DUMMYFUNCTION("""COMPUTED_VALUE"""),42479.66666666667)</f>
        <v>42479.66667</v>
      </c>
      <c r="N3101" s="2">
        <f>IFERROR(__xludf.DUMMYFUNCTION("""COMPUTED_VALUE"""),4940.33)</f>
        <v>4940.33</v>
      </c>
    </row>
    <row r="3102">
      <c r="A3102" s="10">
        <f t="shared" si="8"/>
        <v>41084.66667</v>
      </c>
      <c r="B3102" s="2" t="str">
        <f t="shared" si="2"/>
        <v/>
      </c>
      <c r="C3102" s="2" t="str">
        <f t="shared" si="3"/>
        <v>SP500</v>
      </c>
      <c r="D3102" s="2" t="str">
        <f t="shared" si="4"/>
        <v/>
      </c>
      <c r="E3102" s="2">
        <f t="shared" si="5"/>
        <v>2892.42</v>
      </c>
      <c r="G3102" s="10">
        <f t="shared" si="9"/>
        <v>41084.64583</v>
      </c>
      <c r="H3102" s="6" t="str">
        <f t="shared" si="6"/>
        <v/>
      </c>
      <c r="I3102" s="2">
        <f t="shared" si="7"/>
        <v>1426.89</v>
      </c>
      <c r="M3102" s="10">
        <f>IFERROR(__xludf.DUMMYFUNCTION("""COMPUTED_VALUE"""),42480.66666666667)</f>
        <v>42480.66667</v>
      </c>
      <c r="N3102" s="2">
        <f>IFERROR(__xludf.DUMMYFUNCTION("""COMPUTED_VALUE"""),4948.13)</f>
        <v>4948.13</v>
      </c>
    </row>
    <row r="3103">
      <c r="A3103" s="10">
        <f t="shared" si="8"/>
        <v>41085.66667</v>
      </c>
      <c r="B3103" s="2" t="str">
        <f t="shared" si="2"/>
        <v/>
      </c>
      <c r="C3103" s="2" t="str">
        <f t="shared" si="3"/>
        <v>SP500</v>
      </c>
      <c r="D3103" s="2">
        <f t="shared" si="4"/>
        <v>2836.16</v>
      </c>
      <c r="E3103" s="2">
        <f t="shared" si="5"/>
        <v>2836.16</v>
      </c>
      <c r="G3103" s="10">
        <f t="shared" si="9"/>
        <v>41085.64583</v>
      </c>
      <c r="H3103" s="6" t="str">
        <f t="shared" si="6"/>
        <v/>
      </c>
      <c r="I3103" s="2">
        <f t="shared" si="7"/>
        <v>1426.89</v>
      </c>
      <c r="M3103" s="10">
        <f>IFERROR(__xludf.DUMMYFUNCTION("""COMPUTED_VALUE"""),42481.66666666667)</f>
        <v>42481.66667</v>
      </c>
      <c r="N3103" s="2">
        <f>IFERROR(__xludf.DUMMYFUNCTION("""COMPUTED_VALUE"""),4945.89)</f>
        <v>4945.89</v>
      </c>
    </row>
    <row r="3104">
      <c r="A3104" s="10">
        <f t="shared" si="8"/>
        <v>41086.66667</v>
      </c>
      <c r="B3104" s="2" t="str">
        <f t="shared" si="2"/>
        <v/>
      </c>
      <c r="C3104" s="2" t="str">
        <f t="shared" si="3"/>
        <v>SP500</v>
      </c>
      <c r="D3104" s="2">
        <f t="shared" si="4"/>
        <v>2854.06</v>
      </c>
      <c r="E3104" s="2">
        <f t="shared" si="5"/>
        <v>2854.06</v>
      </c>
      <c r="G3104" s="10">
        <f t="shared" si="9"/>
        <v>41086.64583</v>
      </c>
      <c r="H3104" s="6" t="str">
        <f t="shared" si="6"/>
        <v/>
      </c>
      <c r="I3104" s="2">
        <f t="shared" si="7"/>
        <v>1426.89</v>
      </c>
      <c r="M3104" s="10">
        <f>IFERROR(__xludf.DUMMYFUNCTION("""COMPUTED_VALUE"""),42482.66666666667)</f>
        <v>42482.66667</v>
      </c>
      <c r="N3104" s="2">
        <f>IFERROR(__xludf.DUMMYFUNCTION("""COMPUTED_VALUE"""),4906.23)</f>
        <v>4906.23</v>
      </c>
    </row>
    <row r="3105">
      <c r="A3105" s="10">
        <f t="shared" si="8"/>
        <v>41087.66667</v>
      </c>
      <c r="B3105" s="2" t="str">
        <f t="shared" si="2"/>
        <v/>
      </c>
      <c r="C3105" s="2" t="str">
        <f t="shared" si="3"/>
        <v>SP500</v>
      </c>
      <c r="D3105" s="2">
        <f t="shared" si="4"/>
        <v>2875.32</v>
      </c>
      <c r="E3105" s="2">
        <f t="shared" si="5"/>
        <v>2875.32</v>
      </c>
      <c r="G3105" s="10">
        <f t="shared" si="9"/>
        <v>41087.64583</v>
      </c>
      <c r="H3105" s="6" t="str">
        <f t="shared" si="6"/>
        <v/>
      </c>
      <c r="I3105" s="2">
        <f t="shared" si="7"/>
        <v>1426.89</v>
      </c>
      <c r="M3105" s="10">
        <f>IFERROR(__xludf.DUMMYFUNCTION("""COMPUTED_VALUE"""),42485.66666666667)</f>
        <v>42485.66667</v>
      </c>
      <c r="N3105" s="2">
        <f>IFERROR(__xludf.DUMMYFUNCTION("""COMPUTED_VALUE"""),4895.79)</f>
        <v>4895.79</v>
      </c>
    </row>
    <row r="3106">
      <c r="A3106" s="10">
        <f t="shared" si="8"/>
        <v>41088.66667</v>
      </c>
      <c r="B3106" s="2" t="str">
        <f t="shared" si="2"/>
        <v/>
      </c>
      <c r="C3106" s="2" t="str">
        <f t="shared" si="3"/>
        <v>SP500</v>
      </c>
      <c r="D3106" s="2">
        <f t="shared" si="4"/>
        <v>2849.49</v>
      </c>
      <c r="E3106" s="2">
        <f t="shared" si="5"/>
        <v>2849.49</v>
      </c>
      <c r="G3106" s="10">
        <f t="shared" si="9"/>
        <v>41088.64583</v>
      </c>
      <c r="H3106" s="6" t="str">
        <f t="shared" si="6"/>
        <v/>
      </c>
      <c r="I3106" s="2">
        <f t="shared" si="7"/>
        <v>1426.89</v>
      </c>
      <c r="M3106" s="10">
        <f>IFERROR(__xludf.DUMMYFUNCTION("""COMPUTED_VALUE"""),42486.66666666667)</f>
        <v>42486.66667</v>
      </c>
      <c r="N3106" s="2">
        <f>IFERROR(__xludf.DUMMYFUNCTION("""COMPUTED_VALUE"""),4888.28)</f>
        <v>4888.28</v>
      </c>
    </row>
    <row r="3107">
      <c r="A3107" s="10">
        <f t="shared" si="8"/>
        <v>41089.66667</v>
      </c>
      <c r="B3107" s="2" t="str">
        <f t="shared" si="2"/>
        <v/>
      </c>
      <c r="C3107" s="2" t="str">
        <f t="shared" si="3"/>
        <v>SP500</v>
      </c>
      <c r="D3107" s="2">
        <f t="shared" si="4"/>
        <v>2935.05</v>
      </c>
      <c r="E3107" s="2">
        <f t="shared" si="5"/>
        <v>2935.05</v>
      </c>
      <c r="G3107" s="10">
        <f t="shared" si="9"/>
        <v>41089.64583</v>
      </c>
      <c r="H3107" s="6" t="str">
        <f t="shared" si="6"/>
        <v/>
      </c>
      <c r="I3107" s="2">
        <f t="shared" si="7"/>
        <v>1426.89</v>
      </c>
      <c r="M3107" s="10">
        <f>IFERROR(__xludf.DUMMYFUNCTION("""COMPUTED_VALUE"""),42487.66666666667)</f>
        <v>42487.66667</v>
      </c>
      <c r="N3107" s="2">
        <f>IFERROR(__xludf.DUMMYFUNCTION("""COMPUTED_VALUE"""),4863.14)</f>
        <v>4863.14</v>
      </c>
    </row>
    <row r="3108">
      <c r="A3108" s="10">
        <f t="shared" si="8"/>
        <v>41090.66667</v>
      </c>
      <c r="B3108" s="2" t="str">
        <f t="shared" si="2"/>
        <v/>
      </c>
      <c r="C3108" s="2" t="str">
        <f t="shared" si="3"/>
        <v>SP500</v>
      </c>
      <c r="D3108" s="2" t="str">
        <f t="shared" si="4"/>
        <v/>
      </c>
      <c r="E3108" s="2">
        <f t="shared" si="5"/>
        <v>2935.05</v>
      </c>
      <c r="G3108" s="10">
        <f t="shared" si="9"/>
        <v>41090.64583</v>
      </c>
      <c r="H3108" s="6" t="str">
        <f t="shared" si="6"/>
        <v/>
      </c>
      <c r="I3108" s="2">
        <f t="shared" si="7"/>
        <v>1426.89</v>
      </c>
      <c r="M3108" s="10">
        <f>IFERROR(__xludf.DUMMYFUNCTION("""COMPUTED_VALUE"""),42488.66666666667)</f>
        <v>42488.66667</v>
      </c>
      <c r="N3108" s="2">
        <f>IFERROR(__xludf.DUMMYFUNCTION("""COMPUTED_VALUE"""),4805.29)</f>
        <v>4805.29</v>
      </c>
    </row>
    <row r="3109">
      <c r="A3109" s="10">
        <f t="shared" si="8"/>
        <v>41091.66667</v>
      </c>
      <c r="B3109" s="2" t="str">
        <f t="shared" si="2"/>
        <v/>
      </c>
      <c r="C3109" s="2" t="str">
        <f t="shared" si="3"/>
        <v>SP500</v>
      </c>
      <c r="D3109" s="2" t="str">
        <f t="shared" si="4"/>
        <v/>
      </c>
      <c r="E3109" s="2">
        <f t="shared" si="5"/>
        <v>2935.05</v>
      </c>
      <c r="G3109" s="10">
        <f t="shared" si="9"/>
        <v>41091.64583</v>
      </c>
      <c r="H3109" s="6" t="str">
        <f t="shared" si="6"/>
        <v/>
      </c>
      <c r="I3109" s="2">
        <f t="shared" si="7"/>
        <v>1426.89</v>
      </c>
      <c r="M3109" s="10">
        <f>IFERROR(__xludf.DUMMYFUNCTION("""COMPUTED_VALUE"""),42489.66666666667)</f>
        <v>42489.66667</v>
      </c>
      <c r="N3109" s="2">
        <f>IFERROR(__xludf.DUMMYFUNCTION("""COMPUTED_VALUE"""),4775.36)</f>
        <v>4775.36</v>
      </c>
    </row>
    <row r="3110">
      <c r="A3110" s="10">
        <f t="shared" si="8"/>
        <v>41092.66667</v>
      </c>
      <c r="B3110" s="2" t="str">
        <f t="shared" si="2"/>
        <v/>
      </c>
      <c r="C3110" s="2" t="str">
        <f t="shared" si="3"/>
        <v>SP500</v>
      </c>
      <c r="D3110" s="2">
        <f t="shared" si="4"/>
        <v>2951.23</v>
      </c>
      <c r="E3110" s="2">
        <f t="shared" si="5"/>
        <v>2951.23</v>
      </c>
      <c r="G3110" s="10">
        <f t="shared" si="9"/>
        <v>41092.64583</v>
      </c>
      <c r="H3110" s="6" t="str">
        <f t="shared" si="6"/>
        <v/>
      </c>
      <c r="I3110" s="2">
        <f t="shared" si="7"/>
        <v>1426.89</v>
      </c>
      <c r="M3110" s="10">
        <f>IFERROR(__xludf.DUMMYFUNCTION("""COMPUTED_VALUE"""),42492.66666666667)</f>
        <v>42492.66667</v>
      </c>
      <c r="N3110" s="2">
        <f>IFERROR(__xludf.DUMMYFUNCTION("""COMPUTED_VALUE"""),4817.59)</f>
        <v>4817.59</v>
      </c>
    </row>
    <row r="3111">
      <c r="A3111" s="10">
        <f t="shared" si="8"/>
        <v>41093.66667</v>
      </c>
      <c r="B3111" s="2" t="str">
        <f t="shared" si="2"/>
        <v/>
      </c>
      <c r="C3111" s="2" t="str">
        <f t="shared" si="3"/>
        <v>SP500</v>
      </c>
      <c r="D3111" s="2">
        <f t="shared" si="4"/>
        <v>2976.08</v>
      </c>
      <c r="E3111" s="2">
        <f t="shared" si="5"/>
        <v>2976.08</v>
      </c>
      <c r="G3111" s="10">
        <f t="shared" si="9"/>
        <v>41093.64583</v>
      </c>
      <c r="H3111" s="6" t="str">
        <f t="shared" si="6"/>
        <v/>
      </c>
      <c r="I3111" s="2">
        <f t="shared" si="7"/>
        <v>1426.89</v>
      </c>
      <c r="M3111" s="10">
        <f>IFERROR(__xludf.DUMMYFUNCTION("""COMPUTED_VALUE"""),42493.66666666667)</f>
        <v>42493.66667</v>
      </c>
      <c r="N3111" s="2">
        <f>IFERROR(__xludf.DUMMYFUNCTION("""COMPUTED_VALUE"""),4763.22)</f>
        <v>4763.22</v>
      </c>
    </row>
    <row r="3112">
      <c r="A3112" s="10">
        <f t="shared" si="8"/>
        <v>41094.66667</v>
      </c>
      <c r="B3112" s="2" t="str">
        <f t="shared" si="2"/>
        <v/>
      </c>
      <c r="C3112" s="2" t="str">
        <f t="shared" si="3"/>
        <v>SP500</v>
      </c>
      <c r="D3112" s="2" t="str">
        <f t="shared" si="4"/>
        <v/>
      </c>
      <c r="E3112" s="2">
        <f t="shared" si="5"/>
        <v>2976.08</v>
      </c>
      <c r="G3112" s="10">
        <f t="shared" si="9"/>
        <v>41094.64583</v>
      </c>
      <c r="H3112" s="6" t="str">
        <f t="shared" si="6"/>
        <v/>
      </c>
      <c r="I3112" s="2">
        <f t="shared" si="7"/>
        <v>1426.89</v>
      </c>
      <c r="M3112" s="10">
        <f>IFERROR(__xludf.DUMMYFUNCTION("""COMPUTED_VALUE"""),42494.66666666667)</f>
        <v>42494.66667</v>
      </c>
      <c r="N3112" s="2">
        <f>IFERROR(__xludf.DUMMYFUNCTION("""COMPUTED_VALUE"""),4725.64)</f>
        <v>4725.64</v>
      </c>
    </row>
    <row r="3113">
      <c r="A3113" s="10">
        <f t="shared" si="8"/>
        <v>41095.66667</v>
      </c>
      <c r="B3113" s="2" t="str">
        <f t="shared" si="2"/>
        <v/>
      </c>
      <c r="C3113" s="2" t="str">
        <f t="shared" si="3"/>
        <v>SP500</v>
      </c>
      <c r="D3113" s="2">
        <f t="shared" si="4"/>
        <v>2976.12</v>
      </c>
      <c r="E3113" s="2">
        <f t="shared" si="5"/>
        <v>2976.12</v>
      </c>
      <c r="G3113" s="10">
        <f t="shared" si="9"/>
        <v>41095.64583</v>
      </c>
      <c r="H3113" s="6" t="str">
        <f t="shared" si="6"/>
        <v/>
      </c>
      <c r="I3113" s="2">
        <f t="shared" si="7"/>
        <v>1426.89</v>
      </c>
      <c r="M3113" s="10">
        <f>IFERROR(__xludf.DUMMYFUNCTION("""COMPUTED_VALUE"""),42495.66666666667)</f>
        <v>42495.66667</v>
      </c>
      <c r="N3113" s="2">
        <f>IFERROR(__xludf.DUMMYFUNCTION("""COMPUTED_VALUE"""),4717.09)</f>
        <v>4717.09</v>
      </c>
    </row>
    <row r="3114">
      <c r="A3114" s="10">
        <f t="shared" si="8"/>
        <v>41096.66667</v>
      </c>
      <c r="B3114" s="2" t="str">
        <f t="shared" si="2"/>
        <v/>
      </c>
      <c r="C3114" s="2" t="str">
        <f t="shared" si="3"/>
        <v>SP500</v>
      </c>
      <c r="D3114" s="2">
        <f t="shared" si="4"/>
        <v>2937.33</v>
      </c>
      <c r="E3114" s="2">
        <f t="shared" si="5"/>
        <v>2937.33</v>
      </c>
      <c r="G3114" s="10">
        <f t="shared" si="9"/>
        <v>41096.64583</v>
      </c>
      <c r="H3114" s="6" t="str">
        <f t="shared" si="6"/>
        <v/>
      </c>
      <c r="I3114" s="2">
        <f t="shared" si="7"/>
        <v>1426.89</v>
      </c>
      <c r="M3114" s="10">
        <f>IFERROR(__xludf.DUMMYFUNCTION("""COMPUTED_VALUE"""),42496.66666666667)</f>
        <v>42496.66667</v>
      </c>
      <c r="N3114" s="2">
        <f>IFERROR(__xludf.DUMMYFUNCTION("""COMPUTED_VALUE"""),4736.16)</f>
        <v>4736.16</v>
      </c>
    </row>
    <row r="3115">
      <c r="A3115" s="10">
        <f t="shared" si="8"/>
        <v>41097.66667</v>
      </c>
      <c r="B3115" s="2" t="str">
        <f t="shared" si="2"/>
        <v/>
      </c>
      <c r="C3115" s="2" t="str">
        <f t="shared" si="3"/>
        <v>SP500</v>
      </c>
      <c r="D3115" s="2" t="str">
        <f t="shared" si="4"/>
        <v/>
      </c>
      <c r="E3115" s="2">
        <f t="shared" si="5"/>
        <v>2937.33</v>
      </c>
      <c r="G3115" s="10">
        <f t="shared" si="9"/>
        <v>41097.64583</v>
      </c>
      <c r="H3115" s="6" t="str">
        <f t="shared" si="6"/>
        <v/>
      </c>
      <c r="I3115" s="2">
        <f t="shared" si="7"/>
        <v>1426.89</v>
      </c>
      <c r="M3115" s="10">
        <f>IFERROR(__xludf.DUMMYFUNCTION("""COMPUTED_VALUE"""),42499.66666666667)</f>
        <v>42499.66667</v>
      </c>
      <c r="N3115" s="2">
        <f>IFERROR(__xludf.DUMMYFUNCTION("""COMPUTED_VALUE"""),4750.21)</f>
        <v>4750.21</v>
      </c>
    </row>
    <row r="3116">
      <c r="A3116" s="10">
        <f t="shared" si="8"/>
        <v>41098.66667</v>
      </c>
      <c r="B3116" s="2" t="str">
        <f t="shared" si="2"/>
        <v/>
      </c>
      <c r="C3116" s="2" t="str">
        <f t="shared" si="3"/>
        <v>SP500</v>
      </c>
      <c r="D3116" s="2" t="str">
        <f t="shared" si="4"/>
        <v/>
      </c>
      <c r="E3116" s="2">
        <f t="shared" si="5"/>
        <v>2937.33</v>
      </c>
      <c r="G3116" s="10">
        <f t="shared" si="9"/>
        <v>41098.64583</v>
      </c>
      <c r="H3116" s="6" t="str">
        <f t="shared" si="6"/>
        <v/>
      </c>
      <c r="I3116" s="2">
        <f t="shared" si="7"/>
        <v>1426.89</v>
      </c>
      <c r="M3116" s="10">
        <f>IFERROR(__xludf.DUMMYFUNCTION("""COMPUTED_VALUE"""),42500.66666666667)</f>
        <v>42500.66667</v>
      </c>
      <c r="N3116" s="2">
        <f>IFERROR(__xludf.DUMMYFUNCTION("""COMPUTED_VALUE"""),4809.88)</f>
        <v>4809.88</v>
      </c>
    </row>
    <row r="3117">
      <c r="A3117" s="10">
        <f t="shared" si="8"/>
        <v>41099.66667</v>
      </c>
      <c r="B3117" s="2" t="str">
        <f t="shared" si="2"/>
        <v/>
      </c>
      <c r="C3117" s="2" t="str">
        <f t="shared" si="3"/>
        <v>SP500</v>
      </c>
      <c r="D3117" s="2">
        <f t="shared" si="4"/>
        <v>2931.77</v>
      </c>
      <c r="E3117" s="2">
        <f t="shared" si="5"/>
        <v>2931.77</v>
      </c>
      <c r="G3117" s="10">
        <f t="shared" si="9"/>
        <v>41099.64583</v>
      </c>
      <c r="H3117" s="6" t="str">
        <f t="shared" si="6"/>
        <v/>
      </c>
      <c r="I3117" s="2">
        <f t="shared" si="7"/>
        <v>1426.89</v>
      </c>
      <c r="M3117" s="10">
        <f>IFERROR(__xludf.DUMMYFUNCTION("""COMPUTED_VALUE"""),42501.66666666667)</f>
        <v>42501.66667</v>
      </c>
      <c r="N3117" s="2">
        <f>IFERROR(__xludf.DUMMYFUNCTION("""COMPUTED_VALUE"""),4760.69)</f>
        <v>4760.69</v>
      </c>
    </row>
    <row r="3118">
      <c r="A3118" s="10">
        <f t="shared" si="8"/>
        <v>41100.66667</v>
      </c>
      <c r="B3118" s="2" t="str">
        <f t="shared" si="2"/>
        <v/>
      </c>
      <c r="C3118" s="2" t="str">
        <f t="shared" si="3"/>
        <v>SP500</v>
      </c>
      <c r="D3118" s="2">
        <f t="shared" si="4"/>
        <v>2902.33</v>
      </c>
      <c r="E3118" s="2">
        <f t="shared" si="5"/>
        <v>2902.33</v>
      </c>
      <c r="G3118" s="10">
        <f t="shared" si="9"/>
        <v>41100.64583</v>
      </c>
      <c r="H3118" s="6" t="str">
        <f t="shared" si="6"/>
        <v/>
      </c>
      <c r="I3118" s="2">
        <f t="shared" si="7"/>
        <v>1426.89</v>
      </c>
      <c r="M3118" s="10">
        <f>IFERROR(__xludf.DUMMYFUNCTION("""COMPUTED_VALUE"""),42502.66666666667)</f>
        <v>42502.66667</v>
      </c>
      <c r="N3118" s="2">
        <f>IFERROR(__xludf.DUMMYFUNCTION("""COMPUTED_VALUE"""),4737.33)</f>
        <v>4737.33</v>
      </c>
    </row>
    <row r="3119">
      <c r="A3119" s="10">
        <f t="shared" si="8"/>
        <v>41101.66667</v>
      </c>
      <c r="B3119" s="2" t="str">
        <f t="shared" si="2"/>
        <v/>
      </c>
      <c r="C3119" s="2" t="str">
        <f t="shared" si="3"/>
        <v>SP500</v>
      </c>
      <c r="D3119" s="2">
        <f t="shared" si="4"/>
        <v>2887.98</v>
      </c>
      <c r="E3119" s="2">
        <f t="shared" si="5"/>
        <v>2887.98</v>
      </c>
      <c r="G3119" s="10">
        <f t="shared" si="9"/>
        <v>41101.64583</v>
      </c>
      <c r="H3119" s="6" t="str">
        <f t="shared" si="6"/>
        <v/>
      </c>
      <c r="I3119" s="2">
        <f t="shared" si="7"/>
        <v>1426.89</v>
      </c>
      <c r="M3119" s="10">
        <f>IFERROR(__xludf.DUMMYFUNCTION("""COMPUTED_VALUE"""),42503.66666666667)</f>
        <v>42503.66667</v>
      </c>
      <c r="N3119" s="2">
        <f>IFERROR(__xludf.DUMMYFUNCTION("""COMPUTED_VALUE"""),4717.68)</f>
        <v>4717.68</v>
      </c>
    </row>
    <row r="3120">
      <c r="A3120" s="10">
        <f t="shared" si="8"/>
        <v>41102.66667</v>
      </c>
      <c r="B3120" s="2" t="str">
        <f t="shared" si="2"/>
        <v/>
      </c>
      <c r="C3120" s="2" t="str">
        <f t="shared" si="3"/>
        <v>SP500</v>
      </c>
      <c r="D3120" s="2">
        <f t="shared" si="4"/>
        <v>2866.19</v>
      </c>
      <c r="E3120" s="2">
        <f t="shared" si="5"/>
        <v>2866.19</v>
      </c>
      <c r="G3120" s="10">
        <f t="shared" si="9"/>
        <v>41102.64583</v>
      </c>
      <c r="H3120" s="6" t="str">
        <f t="shared" si="6"/>
        <v/>
      </c>
      <c r="I3120" s="2">
        <f t="shared" si="7"/>
        <v>1426.89</v>
      </c>
      <c r="M3120" s="10">
        <f>IFERROR(__xludf.DUMMYFUNCTION("""COMPUTED_VALUE"""),42506.66666666667)</f>
        <v>42506.66667</v>
      </c>
      <c r="N3120" s="2">
        <f>IFERROR(__xludf.DUMMYFUNCTION("""COMPUTED_VALUE"""),4775.46)</f>
        <v>4775.46</v>
      </c>
    </row>
    <row r="3121">
      <c r="A3121" s="10">
        <f t="shared" si="8"/>
        <v>41103.66667</v>
      </c>
      <c r="B3121" s="2" t="str">
        <f t="shared" si="2"/>
        <v/>
      </c>
      <c r="C3121" s="2" t="str">
        <f t="shared" si="3"/>
        <v>SP500</v>
      </c>
      <c r="D3121" s="2">
        <f t="shared" si="4"/>
        <v>2908.47</v>
      </c>
      <c r="E3121" s="2">
        <f t="shared" si="5"/>
        <v>2908.47</v>
      </c>
      <c r="G3121" s="10">
        <f t="shared" si="9"/>
        <v>41103.64583</v>
      </c>
      <c r="H3121" s="6" t="str">
        <f t="shared" si="6"/>
        <v/>
      </c>
      <c r="I3121" s="2">
        <f t="shared" si="7"/>
        <v>1426.89</v>
      </c>
      <c r="M3121" s="10">
        <f>IFERROR(__xludf.DUMMYFUNCTION("""COMPUTED_VALUE"""),42507.66666666667)</f>
        <v>42507.66667</v>
      </c>
      <c r="N3121" s="2">
        <f>IFERROR(__xludf.DUMMYFUNCTION("""COMPUTED_VALUE"""),4715.73)</f>
        <v>4715.73</v>
      </c>
    </row>
    <row r="3122">
      <c r="A3122" s="10">
        <f t="shared" si="8"/>
        <v>41104.66667</v>
      </c>
      <c r="B3122" s="2" t="str">
        <f t="shared" si="2"/>
        <v/>
      </c>
      <c r="C3122" s="2" t="str">
        <f t="shared" si="3"/>
        <v>SP500</v>
      </c>
      <c r="D3122" s="2" t="str">
        <f t="shared" si="4"/>
        <v/>
      </c>
      <c r="E3122" s="2">
        <f t="shared" si="5"/>
        <v>2908.47</v>
      </c>
      <c r="G3122" s="10">
        <f t="shared" si="9"/>
        <v>41104.64583</v>
      </c>
      <c r="H3122" s="6" t="str">
        <f t="shared" si="6"/>
        <v/>
      </c>
      <c r="I3122" s="2">
        <f t="shared" si="7"/>
        <v>1426.89</v>
      </c>
      <c r="M3122" s="10">
        <f>IFERROR(__xludf.DUMMYFUNCTION("""COMPUTED_VALUE"""),42508.66666666667)</f>
        <v>42508.66667</v>
      </c>
      <c r="N3122" s="2">
        <f>IFERROR(__xludf.DUMMYFUNCTION("""COMPUTED_VALUE"""),4739.12)</f>
        <v>4739.12</v>
      </c>
    </row>
    <row r="3123">
      <c r="A3123" s="10">
        <f t="shared" si="8"/>
        <v>41105.66667</v>
      </c>
      <c r="B3123" s="2" t="str">
        <f t="shared" si="2"/>
        <v/>
      </c>
      <c r="C3123" s="2" t="str">
        <f t="shared" si="3"/>
        <v>SP500</v>
      </c>
      <c r="D3123" s="2" t="str">
        <f t="shared" si="4"/>
        <v/>
      </c>
      <c r="E3123" s="2">
        <f t="shared" si="5"/>
        <v>2908.47</v>
      </c>
      <c r="G3123" s="10">
        <f t="shared" si="9"/>
        <v>41105.64583</v>
      </c>
      <c r="H3123" s="6" t="str">
        <f t="shared" si="6"/>
        <v/>
      </c>
      <c r="I3123" s="2">
        <f t="shared" si="7"/>
        <v>1426.89</v>
      </c>
      <c r="M3123" s="10">
        <f>IFERROR(__xludf.DUMMYFUNCTION("""COMPUTED_VALUE"""),42509.66666666667)</f>
        <v>42509.66667</v>
      </c>
      <c r="N3123" s="2">
        <f>IFERROR(__xludf.DUMMYFUNCTION("""COMPUTED_VALUE"""),4712.53)</f>
        <v>4712.53</v>
      </c>
    </row>
    <row r="3124">
      <c r="A3124" s="10">
        <f t="shared" si="8"/>
        <v>41106.66667</v>
      </c>
      <c r="B3124" s="2" t="str">
        <f t="shared" si="2"/>
        <v/>
      </c>
      <c r="C3124" s="2" t="str">
        <f t="shared" si="3"/>
        <v>SP500</v>
      </c>
      <c r="D3124" s="2">
        <f t="shared" si="4"/>
        <v>2896.94</v>
      </c>
      <c r="E3124" s="2">
        <f t="shared" si="5"/>
        <v>2896.94</v>
      </c>
      <c r="G3124" s="10">
        <f t="shared" si="9"/>
        <v>41106.64583</v>
      </c>
      <c r="H3124" s="6" t="str">
        <f t="shared" si="6"/>
        <v/>
      </c>
      <c r="I3124" s="2">
        <f t="shared" si="7"/>
        <v>1426.89</v>
      </c>
      <c r="M3124" s="10">
        <f>IFERROR(__xludf.DUMMYFUNCTION("""COMPUTED_VALUE"""),42510.66666666667)</f>
        <v>42510.66667</v>
      </c>
      <c r="N3124" s="2">
        <f>IFERROR(__xludf.DUMMYFUNCTION("""COMPUTED_VALUE"""),4769.56)</f>
        <v>4769.56</v>
      </c>
    </row>
    <row r="3125">
      <c r="A3125" s="10">
        <f t="shared" si="8"/>
        <v>41107.66667</v>
      </c>
      <c r="B3125" s="2" t="str">
        <f t="shared" si="2"/>
        <v/>
      </c>
      <c r="C3125" s="2" t="str">
        <f t="shared" si="3"/>
        <v>SP500</v>
      </c>
      <c r="D3125" s="2">
        <f t="shared" si="4"/>
        <v>2910.04</v>
      </c>
      <c r="E3125" s="2">
        <f t="shared" si="5"/>
        <v>2910.04</v>
      </c>
      <c r="G3125" s="10">
        <f t="shared" si="9"/>
        <v>41107.64583</v>
      </c>
      <c r="H3125" s="6" t="str">
        <f t="shared" si="6"/>
        <v/>
      </c>
      <c r="I3125" s="2">
        <f t="shared" si="7"/>
        <v>1426.89</v>
      </c>
      <c r="M3125" s="10">
        <f>IFERROR(__xludf.DUMMYFUNCTION("""COMPUTED_VALUE"""),42513.66666666667)</f>
        <v>42513.66667</v>
      </c>
      <c r="N3125" s="2">
        <f>IFERROR(__xludf.DUMMYFUNCTION("""COMPUTED_VALUE"""),4765.78)</f>
        <v>4765.78</v>
      </c>
    </row>
    <row r="3126">
      <c r="A3126" s="10">
        <f t="shared" si="8"/>
        <v>41108.66667</v>
      </c>
      <c r="B3126" s="2" t="str">
        <f t="shared" si="2"/>
        <v/>
      </c>
      <c r="C3126" s="2" t="str">
        <f t="shared" si="3"/>
        <v>SP500</v>
      </c>
      <c r="D3126" s="2">
        <f t="shared" si="4"/>
        <v>2942.6</v>
      </c>
      <c r="E3126" s="2">
        <f t="shared" si="5"/>
        <v>2942.6</v>
      </c>
      <c r="G3126" s="10">
        <f t="shared" si="9"/>
        <v>41108.64583</v>
      </c>
      <c r="H3126" s="6" t="str">
        <f t="shared" si="6"/>
        <v/>
      </c>
      <c r="I3126" s="2">
        <f t="shared" si="7"/>
        <v>1426.89</v>
      </c>
      <c r="M3126" s="10">
        <f>IFERROR(__xludf.DUMMYFUNCTION("""COMPUTED_VALUE"""),42514.66666666667)</f>
        <v>42514.66667</v>
      </c>
      <c r="N3126" s="2">
        <f>IFERROR(__xludf.DUMMYFUNCTION("""COMPUTED_VALUE"""),4861.06)</f>
        <v>4861.06</v>
      </c>
    </row>
    <row r="3127">
      <c r="A3127" s="10">
        <f t="shared" si="8"/>
        <v>41109.66667</v>
      </c>
      <c r="B3127" s="2" t="str">
        <f t="shared" si="2"/>
        <v/>
      </c>
      <c r="C3127" s="2" t="str">
        <f t="shared" si="3"/>
        <v>SP500</v>
      </c>
      <c r="D3127" s="2">
        <f t="shared" si="4"/>
        <v>2965.9</v>
      </c>
      <c r="E3127" s="2">
        <f t="shared" si="5"/>
        <v>2965.9</v>
      </c>
      <c r="G3127" s="10">
        <f t="shared" si="9"/>
        <v>41109.64583</v>
      </c>
      <c r="H3127" s="6" t="str">
        <f t="shared" si="6"/>
        <v/>
      </c>
      <c r="I3127" s="2">
        <f t="shared" si="7"/>
        <v>1426.89</v>
      </c>
      <c r="M3127" s="10">
        <f>IFERROR(__xludf.DUMMYFUNCTION("""COMPUTED_VALUE"""),42515.66666666667)</f>
        <v>42515.66667</v>
      </c>
      <c r="N3127" s="2">
        <f>IFERROR(__xludf.DUMMYFUNCTION("""COMPUTED_VALUE"""),4894.89)</f>
        <v>4894.89</v>
      </c>
    </row>
    <row r="3128">
      <c r="A3128" s="10">
        <f t="shared" si="8"/>
        <v>41110.66667</v>
      </c>
      <c r="B3128" s="2" t="str">
        <f t="shared" si="2"/>
        <v/>
      </c>
      <c r="C3128" s="2" t="str">
        <f t="shared" si="3"/>
        <v>SP500</v>
      </c>
      <c r="D3128" s="2">
        <f t="shared" si="4"/>
        <v>2925.3</v>
      </c>
      <c r="E3128" s="2">
        <f t="shared" si="5"/>
        <v>2925.3</v>
      </c>
      <c r="G3128" s="10">
        <f t="shared" si="9"/>
        <v>41110.64583</v>
      </c>
      <c r="H3128" s="6" t="str">
        <f t="shared" si="6"/>
        <v/>
      </c>
      <c r="I3128" s="2">
        <f t="shared" si="7"/>
        <v>1426.89</v>
      </c>
      <c r="M3128" s="10">
        <f>IFERROR(__xludf.DUMMYFUNCTION("""COMPUTED_VALUE"""),42516.66666666667)</f>
        <v>42516.66667</v>
      </c>
      <c r="N3128" s="2">
        <f>IFERROR(__xludf.DUMMYFUNCTION("""COMPUTED_VALUE"""),4901.77)</f>
        <v>4901.77</v>
      </c>
    </row>
    <row r="3129">
      <c r="A3129" s="10">
        <f t="shared" si="8"/>
        <v>41111.66667</v>
      </c>
      <c r="B3129" s="2" t="str">
        <f t="shared" si="2"/>
        <v/>
      </c>
      <c r="C3129" s="2" t="str">
        <f t="shared" si="3"/>
        <v>SP500</v>
      </c>
      <c r="D3129" s="2" t="str">
        <f t="shared" si="4"/>
        <v/>
      </c>
      <c r="E3129" s="2">
        <f t="shared" si="5"/>
        <v>2925.3</v>
      </c>
      <c r="G3129" s="10">
        <f t="shared" si="9"/>
        <v>41111.64583</v>
      </c>
      <c r="H3129" s="6" t="str">
        <f t="shared" si="6"/>
        <v/>
      </c>
      <c r="I3129" s="2">
        <f t="shared" si="7"/>
        <v>1426.89</v>
      </c>
      <c r="M3129" s="10">
        <f>IFERROR(__xludf.DUMMYFUNCTION("""COMPUTED_VALUE"""),42517.66666666667)</f>
        <v>42517.66667</v>
      </c>
      <c r="N3129" s="2">
        <f>IFERROR(__xludf.DUMMYFUNCTION("""COMPUTED_VALUE"""),4933.5)</f>
        <v>4933.5</v>
      </c>
    </row>
    <row r="3130">
      <c r="A3130" s="10">
        <f t="shared" si="8"/>
        <v>41112.66667</v>
      </c>
      <c r="B3130" s="2" t="str">
        <f t="shared" si="2"/>
        <v/>
      </c>
      <c r="C3130" s="2" t="str">
        <f t="shared" si="3"/>
        <v>SP500</v>
      </c>
      <c r="D3130" s="2" t="str">
        <f t="shared" si="4"/>
        <v/>
      </c>
      <c r="E3130" s="2">
        <f t="shared" si="5"/>
        <v>2925.3</v>
      </c>
      <c r="G3130" s="10">
        <f t="shared" si="9"/>
        <v>41112.64583</v>
      </c>
      <c r="H3130" s="6" t="str">
        <f t="shared" si="6"/>
        <v/>
      </c>
      <c r="I3130" s="2">
        <f t="shared" si="7"/>
        <v>1426.89</v>
      </c>
      <c r="M3130" s="10">
        <f>IFERROR(__xludf.DUMMYFUNCTION("""COMPUTED_VALUE"""),42521.66666666667)</f>
        <v>42521.66667</v>
      </c>
      <c r="N3130" s="2">
        <f>IFERROR(__xludf.DUMMYFUNCTION("""COMPUTED_VALUE"""),4948.05)</f>
        <v>4948.05</v>
      </c>
    </row>
    <row r="3131">
      <c r="A3131" s="10">
        <f t="shared" si="8"/>
        <v>41113.66667</v>
      </c>
      <c r="B3131" s="2" t="str">
        <f t="shared" si="2"/>
        <v/>
      </c>
      <c r="C3131" s="2" t="str">
        <f t="shared" si="3"/>
        <v>SP500</v>
      </c>
      <c r="D3131" s="2">
        <f t="shared" si="4"/>
        <v>2890.15</v>
      </c>
      <c r="E3131" s="2">
        <f t="shared" si="5"/>
        <v>2890.15</v>
      </c>
      <c r="G3131" s="10">
        <f t="shared" si="9"/>
        <v>41113.64583</v>
      </c>
      <c r="H3131" s="6" t="str">
        <f t="shared" si="6"/>
        <v/>
      </c>
      <c r="I3131" s="2">
        <f t="shared" si="7"/>
        <v>1426.89</v>
      </c>
      <c r="M3131" s="10">
        <f>IFERROR(__xludf.DUMMYFUNCTION("""COMPUTED_VALUE"""),42522.66666666667)</f>
        <v>42522.66667</v>
      </c>
      <c r="N3131" s="2">
        <f>IFERROR(__xludf.DUMMYFUNCTION("""COMPUTED_VALUE"""),4952.25)</f>
        <v>4952.25</v>
      </c>
    </row>
    <row r="3132">
      <c r="A3132" s="10">
        <f t="shared" si="8"/>
        <v>41114.66667</v>
      </c>
      <c r="B3132" s="2" t="str">
        <f t="shared" si="2"/>
        <v/>
      </c>
      <c r="C3132" s="2" t="str">
        <f t="shared" si="3"/>
        <v>SP500</v>
      </c>
      <c r="D3132" s="2">
        <f t="shared" si="4"/>
        <v>2862.99</v>
      </c>
      <c r="E3132" s="2">
        <f t="shared" si="5"/>
        <v>2862.99</v>
      </c>
      <c r="G3132" s="10">
        <f t="shared" si="9"/>
        <v>41114.64583</v>
      </c>
      <c r="H3132" s="6" t="str">
        <f t="shared" si="6"/>
        <v/>
      </c>
      <c r="I3132" s="2">
        <f t="shared" si="7"/>
        <v>1426.89</v>
      </c>
      <c r="M3132" s="10">
        <f>IFERROR(__xludf.DUMMYFUNCTION("""COMPUTED_VALUE"""),42523.66666666667)</f>
        <v>42523.66667</v>
      </c>
      <c r="N3132" s="2">
        <f>IFERROR(__xludf.DUMMYFUNCTION("""COMPUTED_VALUE"""),4971.36)</f>
        <v>4971.36</v>
      </c>
    </row>
    <row r="3133">
      <c r="A3133" s="10">
        <f t="shared" si="8"/>
        <v>41115.66667</v>
      </c>
      <c r="B3133" s="2" t="str">
        <f t="shared" si="2"/>
        <v/>
      </c>
      <c r="C3133" s="2" t="str">
        <f t="shared" si="3"/>
        <v>SP500</v>
      </c>
      <c r="D3133" s="2">
        <f t="shared" si="4"/>
        <v>2854.24</v>
      </c>
      <c r="E3133" s="2">
        <f t="shared" si="5"/>
        <v>2854.24</v>
      </c>
      <c r="G3133" s="10">
        <f t="shared" si="9"/>
        <v>41115.64583</v>
      </c>
      <c r="H3133" s="6" t="str">
        <f t="shared" si="6"/>
        <v/>
      </c>
      <c r="I3133" s="2">
        <f t="shared" si="7"/>
        <v>1426.89</v>
      </c>
      <c r="M3133" s="10">
        <f>IFERROR(__xludf.DUMMYFUNCTION("""COMPUTED_VALUE"""),42524.66666666667)</f>
        <v>42524.66667</v>
      </c>
      <c r="N3133" s="2">
        <f>IFERROR(__xludf.DUMMYFUNCTION("""COMPUTED_VALUE"""),4942.52)</f>
        <v>4942.52</v>
      </c>
    </row>
    <row r="3134">
      <c r="A3134" s="10">
        <f t="shared" si="8"/>
        <v>41116.66667</v>
      </c>
      <c r="B3134" s="2" t="str">
        <f t="shared" si="2"/>
        <v/>
      </c>
      <c r="C3134" s="2" t="str">
        <f t="shared" si="3"/>
        <v>SP500</v>
      </c>
      <c r="D3134" s="2">
        <f t="shared" si="4"/>
        <v>2893.25</v>
      </c>
      <c r="E3134" s="2">
        <f t="shared" si="5"/>
        <v>2893.25</v>
      </c>
      <c r="G3134" s="10">
        <f t="shared" si="9"/>
        <v>41116.64583</v>
      </c>
      <c r="H3134" s="6" t="str">
        <f t="shared" si="6"/>
        <v/>
      </c>
      <c r="I3134" s="2">
        <f t="shared" si="7"/>
        <v>1426.89</v>
      </c>
      <c r="M3134" s="10">
        <f>IFERROR(__xludf.DUMMYFUNCTION("""COMPUTED_VALUE"""),42527.66666666667)</f>
        <v>42527.66667</v>
      </c>
      <c r="N3134" s="2">
        <f>IFERROR(__xludf.DUMMYFUNCTION("""COMPUTED_VALUE"""),4968.71)</f>
        <v>4968.71</v>
      </c>
    </row>
    <row r="3135">
      <c r="A3135" s="10">
        <f t="shared" si="8"/>
        <v>41117.66667</v>
      </c>
      <c r="B3135" s="2" t="str">
        <f t="shared" si="2"/>
        <v/>
      </c>
      <c r="C3135" s="2" t="str">
        <f t="shared" si="3"/>
        <v>SP500</v>
      </c>
      <c r="D3135" s="2">
        <f t="shared" si="4"/>
        <v>2958.09</v>
      </c>
      <c r="E3135" s="2">
        <f t="shared" si="5"/>
        <v>2958.09</v>
      </c>
      <c r="G3135" s="10">
        <f t="shared" si="9"/>
        <v>41117.64583</v>
      </c>
      <c r="H3135" s="6" t="str">
        <f t="shared" si="6"/>
        <v/>
      </c>
      <c r="I3135" s="2">
        <f t="shared" si="7"/>
        <v>1426.89</v>
      </c>
      <c r="M3135" s="10">
        <f>IFERROR(__xludf.DUMMYFUNCTION("""COMPUTED_VALUE"""),42528.66666666667)</f>
        <v>42528.66667</v>
      </c>
      <c r="N3135" s="2">
        <f>IFERROR(__xludf.DUMMYFUNCTION("""COMPUTED_VALUE"""),4961.75)</f>
        <v>4961.75</v>
      </c>
    </row>
    <row r="3136">
      <c r="A3136" s="10">
        <f t="shared" si="8"/>
        <v>41118.66667</v>
      </c>
      <c r="B3136" s="2" t="str">
        <f t="shared" si="2"/>
        <v/>
      </c>
      <c r="C3136" s="2" t="str">
        <f t="shared" si="3"/>
        <v>SP500</v>
      </c>
      <c r="D3136" s="2" t="str">
        <f t="shared" si="4"/>
        <v/>
      </c>
      <c r="E3136" s="2">
        <f t="shared" si="5"/>
        <v>2958.09</v>
      </c>
      <c r="G3136" s="10">
        <f t="shared" si="9"/>
        <v>41118.64583</v>
      </c>
      <c r="H3136" s="6" t="str">
        <f t="shared" si="6"/>
        <v/>
      </c>
      <c r="I3136" s="2">
        <f t="shared" si="7"/>
        <v>1426.89</v>
      </c>
      <c r="M3136" s="10">
        <f>IFERROR(__xludf.DUMMYFUNCTION("""COMPUTED_VALUE"""),42529.66666666667)</f>
        <v>42529.66667</v>
      </c>
      <c r="N3136" s="2">
        <f>IFERROR(__xludf.DUMMYFUNCTION("""COMPUTED_VALUE"""),4974.64)</f>
        <v>4974.64</v>
      </c>
    </row>
    <row r="3137">
      <c r="A3137" s="10">
        <f t="shared" si="8"/>
        <v>41119.66667</v>
      </c>
      <c r="B3137" s="2" t="str">
        <f t="shared" si="2"/>
        <v/>
      </c>
      <c r="C3137" s="2" t="str">
        <f t="shared" si="3"/>
        <v>SP500</v>
      </c>
      <c r="D3137" s="2" t="str">
        <f t="shared" si="4"/>
        <v/>
      </c>
      <c r="E3137" s="2">
        <f t="shared" si="5"/>
        <v>2958.09</v>
      </c>
      <c r="G3137" s="10">
        <f t="shared" si="9"/>
        <v>41119.64583</v>
      </c>
      <c r="H3137" s="6" t="str">
        <f t="shared" si="6"/>
        <v/>
      </c>
      <c r="I3137" s="2">
        <f t="shared" si="7"/>
        <v>1426.89</v>
      </c>
      <c r="M3137" s="10">
        <f>IFERROR(__xludf.DUMMYFUNCTION("""COMPUTED_VALUE"""),42530.66666666667)</f>
        <v>42530.66667</v>
      </c>
      <c r="N3137" s="2">
        <f>IFERROR(__xludf.DUMMYFUNCTION("""COMPUTED_VALUE"""),4958.62)</f>
        <v>4958.62</v>
      </c>
    </row>
    <row r="3138">
      <c r="A3138" s="10">
        <f t="shared" si="8"/>
        <v>41120.66667</v>
      </c>
      <c r="B3138" s="2" t="str">
        <f t="shared" si="2"/>
        <v/>
      </c>
      <c r="C3138" s="2" t="str">
        <f t="shared" si="3"/>
        <v>SP500</v>
      </c>
      <c r="D3138" s="2">
        <f t="shared" si="4"/>
        <v>2945.84</v>
      </c>
      <c r="E3138" s="2">
        <f t="shared" si="5"/>
        <v>2945.84</v>
      </c>
      <c r="G3138" s="10">
        <f t="shared" si="9"/>
        <v>41120.64583</v>
      </c>
      <c r="H3138" s="6" t="str">
        <f t="shared" si="6"/>
        <v/>
      </c>
      <c r="I3138" s="2">
        <f t="shared" si="7"/>
        <v>1426.89</v>
      </c>
      <c r="M3138" s="10">
        <f>IFERROR(__xludf.DUMMYFUNCTION("""COMPUTED_VALUE"""),42531.66666666667)</f>
        <v>42531.66667</v>
      </c>
      <c r="N3138" s="2">
        <f>IFERROR(__xludf.DUMMYFUNCTION("""COMPUTED_VALUE"""),4894.55)</f>
        <v>4894.55</v>
      </c>
    </row>
    <row r="3139">
      <c r="A3139" s="10">
        <f t="shared" si="8"/>
        <v>41121.66667</v>
      </c>
      <c r="B3139" s="2" t="str">
        <f t="shared" si="2"/>
        <v/>
      </c>
      <c r="C3139" s="2" t="str">
        <f t="shared" si="3"/>
        <v>SP500</v>
      </c>
      <c r="D3139" s="2">
        <f t="shared" si="4"/>
        <v>2939.52</v>
      </c>
      <c r="E3139" s="2">
        <f t="shared" si="5"/>
        <v>2939.52</v>
      </c>
      <c r="G3139" s="10">
        <f t="shared" si="9"/>
        <v>41121.64583</v>
      </c>
      <c r="H3139" s="6" t="str">
        <f t="shared" si="6"/>
        <v/>
      </c>
      <c r="I3139" s="2">
        <f t="shared" si="7"/>
        <v>1426.89</v>
      </c>
      <c r="M3139" s="10">
        <f>IFERROR(__xludf.DUMMYFUNCTION("""COMPUTED_VALUE"""),42534.66666666667)</f>
        <v>42534.66667</v>
      </c>
      <c r="N3139" s="2">
        <f>IFERROR(__xludf.DUMMYFUNCTION("""COMPUTED_VALUE"""),4848.44)</f>
        <v>4848.44</v>
      </c>
    </row>
    <row r="3140">
      <c r="A3140" s="10">
        <f t="shared" si="8"/>
        <v>41122.66667</v>
      </c>
      <c r="B3140" s="2" t="str">
        <f t="shared" si="2"/>
        <v/>
      </c>
      <c r="C3140" s="2" t="str">
        <f t="shared" si="3"/>
        <v>SP500</v>
      </c>
      <c r="D3140" s="2">
        <f t="shared" si="4"/>
        <v>2920.21</v>
      </c>
      <c r="E3140" s="2">
        <f t="shared" si="5"/>
        <v>2920.21</v>
      </c>
      <c r="G3140" s="10">
        <f t="shared" si="9"/>
        <v>41122.64583</v>
      </c>
      <c r="H3140" s="6" t="str">
        <f t="shared" si="6"/>
        <v/>
      </c>
      <c r="I3140" s="2">
        <f t="shared" si="7"/>
        <v>1426.89</v>
      </c>
      <c r="M3140" s="10">
        <f>IFERROR(__xludf.DUMMYFUNCTION("""COMPUTED_VALUE"""),42535.66666666667)</f>
        <v>42535.66667</v>
      </c>
      <c r="N3140" s="2">
        <f>IFERROR(__xludf.DUMMYFUNCTION("""COMPUTED_VALUE"""),4843.55)</f>
        <v>4843.55</v>
      </c>
    </row>
    <row r="3141">
      <c r="A3141" s="10">
        <f t="shared" si="8"/>
        <v>41123.66667</v>
      </c>
      <c r="B3141" s="2" t="str">
        <f t="shared" si="2"/>
        <v/>
      </c>
      <c r="C3141" s="2" t="str">
        <f t="shared" si="3"/>
        <v>SP500</v>
      </c>
      <c r="D3141" s="2">
        <f t="shared" si="4"/>
        <v>2909.77</v>
      </c>
      <c r="E3141" s="2">
        <f t="shared" si="5"/>
        <v>2909.77</v>
      </c>
      <c r="G3141" s="10">
        <f t="shared" si="9"/>
        <v>41123.64583</v>
      </c>
      <c r="H3141" s="6" t="str">
        <f t="shared" si="6"/>
        <v/>
      </c>
      <c r="I3141" s="2">
        <f t="shared" si="7"/>
        <v>1426.89</v>
      </c>
      <c r="M3141" s="10">
        <f>IFERROR(__xludf.DUMMYFUNCTION("""COMPUTED_VALUE"""),42536.66666666667)</f>
        <v>42536.66667</v>
      </c>
      <c r="N3141" s="2">
        <f>IFERROR(__xludf.DUMMYFUNCTION("""COMPUTED_VALUE"""),4834.93)</f>
        <v>4834.93</v>
      </c>
    </row>
    <row r="3142">
      <c r="A3142" s="10">
        <f t="shared" si="8"/>
        <v>41124.66667</v>
      </c>
      <c r="B3142" s="2" t="str">
        <f t="shared" si="2"/>
        <v/>
      </c>
      <c r="C3142" s="2" t="str">
        <f t="shared" si="3"/>
        <v>SP500</v>
      </c>
      <c r="D3142" s="2">
        <f t="shared" si="4"/>
        <v>2967.9</v>
      </c>
      <c r="E3142" s="2">
        <f t="shared" si="5"/>
        <v>2967.9</v>
      </c>
      <c r="G3142" s="10">
        <f t="shared" si="9"/>
        <v>41124.64583</v>
      </c>
      <c r="H3142" s="6" t="str">
        <f t="shared" si="6"/>
        <v/>
      </c>
      <c r="I3142" s="2">
        <f t="shared" si="7"/>
        <v>1426.89</v>
      </c>
      <c r="M3142" s="10">
        <f>IFERROR(__xludf.DUMMYFUNCTION("""COMPUTED_VALUE"""),42537.66666666667)</f>
        <v>42537.66667</v>
      </c>
      <c r="N3142" s="2">
        <f>IFERROR(__xludf.DUMMYFUNCTION("""COMPUTED_VALUE"""),4844.92)</f>
        <v>4844.92</v>
      </c>
    </row>
    <row r="3143">
      <c r="A3143" s="10">
        <f t="shared" si="8"/>
        <v>41125.66667</v>
      </c>
      <c r="B3143" s="2" t="str">
        <f t="shared" si="2"/>
        <v/>
      </c>
      <c r="C3143" s="2" t="str">
        <f t="shared" si="3"/>
        <v>SP500</v>
      </c>
      <c r="D3143" s="2" t="str">
        <f t="shared" si="4"/>
        <v/>
      </c>
      <c r="E3143" s="2">
        <f t="shared" si="5"/>
        <v>2967.9</v>
      </c>
      <c r="G3143" s="10">
        <f t="shared" si="9"/>
        <v>41125.64583</v>
      </c>
      <c r="H3143" s="6" t="str">
        <f t="shared" si="6"/>
        <v/>
      </c>
      <c r="I3143" s="2">
        <f t="shared" si="7"/>
        <v>1426.89</v>
      </c>
      <c r="M3143" s="10">
        <f>IFERROR(__xludf.DUMMYFUNCTION("""COMPUTED_VALUE"""),42538.66666666667)</f>
        <v>42538.66667</v>
      </c>
      <c r="N3143" s="2">
        <f>IFERROR(__xludf.DUMMYFUNCTION("""COMPUTED_VALUE"""),4800.34)</f>
        <v>4800.34</v>
      </c>
    </row>
    <row r="3144">
      <c r="A3144" s="10">
        <f t="shared" si="8"/>
        <v>41126.66667</v>
      </c>
      <c r="B3144" s="2" t="str">
        <f t="shared" si="2"/>
        <v/>
      </c>
      <c r="C3144" s="2" t="str">
        <f t="shared" si="3"/>
        <v>SP500</v>
      </c>
      <c r="D3144" s="2" t="str">
        <f t="shared" si="4"/>
        <v/>
      </c>
      <c r="E3144" s="2">
        <f t="shared" si="5"/>
        <v>2967.9</v>
      </c>
      <c r="G3144" s="10">
        <f t="shared" si="9"/>
        <v>41126.64583</v>
      </c>
      <c r="H3144" s="6" t="str">
        <f t="shared" si="6"/>
        <v/>
      </c>
      <c r="I3144" s="2">
        <f t="shared" si="7"/>
        <v>1426.89</v>
      </c>
      <c r="M3144" s="10">
        <f>IFERROR(__xludf.DUMMYFUNCTION("""COMPUTED_VALUE"""),42541.66666666667)</f>
        <v>42541.66667</v>
      </c>
      <c r="N3144" s="2">
        <f>IFERROR(__xludf.DUMMYFUNCTION("""COMPUTED_VALUE"""),4837.21)</f>
        <v>4837.21</v>
      </c>
    </row>
    <row r="3145">
      <c r="A3145" s="10">
        <f t="shared" si="8"/>
        <v>41127.66667</v>
      </c>
      <c r="B3145" s="2" t="str">
        <f t="shared" si="2"/>
        <v/>
      </c>
      <c r="C3145" s="2" t="str">
        <f t="shared" si="3"/>
        <v>SP500</v>
      </c>
      <c r="D3145" s="2">
        <f t="shared" si="4"/>
        <v>2989.91</v>
      </c>
      <c r="E3145" s="2">
        <f t="shared" si="5"/>
        <v>2989.91</v>
      </c>
      <c r="G3145" s="10">
        <f t="shared" si="9"/>
        <v>41127.64583</v>
      </c>
      <c r="H3145" s="6" t="str">
        <f t="shared" si="6"/>
        <v/>
      </c>
      <c r="I3145" s="2">
        <f t="shared" si="7"/>
        <v>1426.89</v>
      </c>
      <c r="M3145" s="10">
        <f>IFERROR(__xludf.DUMMYFUNCTION("""COMPUTED_VALUE"""),42542.66666666667)</f>
        <v>42542.66667</v>
      </c>
      <c r="N3145" s="2">
        <f>IFERROR(__xludf.DUMMYFUNCTION("""COMPUTED_VALUE"""),4843.76)</f>
        <v>4843.76</v>
      </c>
    </row>
    <row r="3146">
      <c r="A3146" s="10">
        <f t="shared" si="8"/>
        <v>41128.66667</v>
      </c>
      <c r="B3146" s="2" t="str">
        <f t="shared" si="2"/>
        <v/>
      </c>
      <c r="C3146" s="2" t="str">
        <f t="shared" si="3"/>
        <v>SP500</v>
      </c>
      <c r="D3146" s="2">
        <f t="shared" si="4"/>
        <v>3015.86</v>
      </c>
      <c r="E3146" s="2">
        <f t="shared" si="5"/>
        <v>3015.86</v>
      </c>
      <c r="G3146" s="10">
        <f t="shared" si="9"/>
        <v>41128.64583</v>
      </c>
      <c r="H3146" s="6" t="str">
        <f t="shared" si="6"/>
        <v/>
      </c>
      <c r="I3146" s="2">
        <f t="shared" si="7"/>
        <v>1426.89</v>
      </c>
      <c r="M3146" s="10">
        <f>IFERROR(__xludf.DUMMYFUNCTION("""COMPUTED_VALUE"""),42543.66666666667)</f>
        <v>42543.66667</v>
      </c>
      <c r="N3146" s="2">
        <f>IFERROR(__xludf.DUMMYFUNCTION("""COMPUTED_VALUE"""),4833.32)</f>
        <v>4833.32</v>
      </c>
    </row>
    <row r="3147">
      <c r="A3147" s="10">
        <f t="shared" si="8"/>
        <v>41129.66667</v>
      </c>
      <c r="B3147" s="2" t="str">
        <f t="shared" si="2"/>
        <v/>
      </c>
      <c r="C3147" s="2" t="str">
        <f t="shared" si="3"/>
        <v>SP500</v>
      </c>
      <c r="D3147" s="2">
        <f t="shared" si="4"/>
        <v>3011.25</v>
      </c>
      <c r="E3147" s="2">
        <f t="shared" si="5"/>
        <v>3011.25</v>
      </c>
      <c r="G3147" s="10">
        <f t="shared" si="9"/>
        <v>41129.64583</v>
      </c>
      <c r="H3147" s="6" t="str">
        <f t="shared" si="6"/>
        <v/>
      </c>
      <c r="I3147" s="2">
        <f t="shared" si="7"/>
        <v>1426.89</v>
      </c>
      <c r="M3147" s="10">
        <f>IFERROR(__xludf.DUMMYFUNCTION("""COMPUTED_VALUE"""),42544.66666666667)</f>
        <v>42544.66667</v>
      </c>
      <c r="N3147" s="2">
        <f>IFERROR(__xludf.DUMMYFUNCTION("""COMPUTED_VALUE"""),4910.04)</f>
        <v>4910.04</v>
      </c>
    </row>
    <row r="3148">
      <c r="A3148" s="10">
        <f t="shared" si="8"/>
        <v>41130.66667</v>
      </c>
      <c r="B3148" s="2" t="str">
        <f t="shared" si="2"/>
        <v/>
      </c>
      <c r="C3148" s="2" t="str">
        <f t="shared" si="3"/>
        <v>SP500</v>
      </c>
      <c r="D3148" s="2">
        <f t="shared" si="4"/>
        <v>3018.64</v>
      </c>
      <c r="E3148" s="2">
        <f t="shared" si="5"/>
        <v>3018.64</v>
      </c>
      <c r="G3148" s="10">
        <f t="shared" si="9"/>
        <v>41130.64583</v>
      </c>
      <c r="H3148" s="6" t="str">
        <f t="shared" si="6"/>
        <v/>
      </c>
      <c r="I3148" s="2">
        <f t="shared" si="7"/>
        <v>1426.89</v>
      </c>
      <c r="M3148" s="10">
        <f>IFERROR(__xludf.DUMMYFUNCTION("""COMPUTED_VALUE"""),42545.66666666667)</f>
        <v>42545.66667</v>
      </c>
      <c r="N3148" s="2">
        <f>IFERROR(__xludf.DUMMYFUNCTION("""COMPUTED_VALUE"""),4707.98)</f>
        <v>4707.98</v>
      </c>
    </row>
    <row r="3149">
      <c r="A3149" s="10">
        <f t="shared" si="8"/>
        <v>41131.66667</v>
      </c>
      <c r="B3149" s="2" t="str">
        <f t="shared" si="2"/>
        <v/>
      </c>
      <c r="C3149" s="2" t="str">
        <f t="shared" si="3"/>
        <v>SP500</v>
      </c>
      <c r="D3149" s="2">
        <f t="shared" si="4"/>
        <v>3020.86</v>
      </c>
      <c r="E3149" s="2">
        <f t="shared" si="5"/>
        <v>3020.86</v>
      </c>
      <c r="G3149" s="10">
        <f t="shared" si="9"/>
        <v>41131.64583</v>
      </c>
      <c r="H3149" s="6" t="str">
        <f t="shared" si="6"/>
        <v/>
      </c>
      <c r="I3149" s="2">
        <f t="shared" si="7"/>
        <v>1426.89</v>
      </c>
      <c r="M3149" s="10">
        <f>IFERROR(__xludf.DUMMYFUNCTION("""COMPUTED_VALUE"""),42548.66666666667)</f>
        <v>42548.66667</v>
      </c>
      <c r="N3149" s="2">
        <f>IFERROR(__xludf.DUMMYFUNCTION("""COMPUTED_VALUE"""),4594.44)</f>
        <v>4594.44</v>
      </c>
    </row>
    <row r="3150">
      <c r="A3150" s="10">
        <f t="shared" si="8"/>
        <v>41132.66667</v>
      </c>
      <c r="B3150" s="2" t="str">
        <f t="shared" si="2"/>
        <v/>
      </c>
      <c r="C3150" s="2" t="str">
        <f t="shared" si="3"/>
        <v>SP500</v>
      </c>
      <c r="D3150" s="2" t="str">
        <f t="shared" si="4"/>
        <v/>
      </c>
      <c r="E3150" s="2">
        <f t="shared" si="5"/>
        <v>3020.86</v>
      </c>
      <c r="G3150" s="10">
        <f t="shared" si="9"/>
        <v>41132.64583</v>
      </c>
      <c r="H3150" s="6" t="str">
        <f t="shared" si="6"/>
        <v/>
      </c>
      <c r="I3150" s="2">
        <f t="shared" si="7"/>
        <v>1426.89</v>
      </c>
      <c r="M3150" s="10">
        <f>IFERROR(__xludf.DUMMYFUNCTION("""COMPUTED_VALUE"""),42549.66666666667)</f>
        <v>42549.66667</v>
      </c>
      <c r="N3150" s="2">
        <f>IFERROR(__xludf.DUMMYFUNCTION("""COMPUTED_VALUE"""),4691.87)</f>
        <v>4691.87</v>
      </c>
    </row>
    <row r="3151">
      <c r="A3151" s="10">
        <f t="shared" si="8"/>
        <v>41133.66667</v>
      </c>
      <c r="B3151" s="2" t="str">
        <f t="shared" si="2"/>
        <v/>
      </c>
      <c r="C3151" s="2" t="str">
        <f t="shared" si="3"/>
        <v>SP500</v>
      </c>
      <c r="D3151" s="2" t="str">
        <f t="shared" si="4"/>
        <v/>
      </c>
      <c r="E3151" s="2">
        <f t="shared" si="5"/>
        <v>3020.86</v>
      </c>
      <c r="G3151" s="10">
        <f t="shared" si="9"/>
        <v>41133.64583</v>
      </c>
      <c r="H3151" s="6" t="str">
        <f t="shared" si="6"/>
        <v/>
      </c>
      <c r="I3151" s="2">
        <f t="shared" si="7"/>
        <v>1426.89</v>
      </c>
      <c r="M3151" s="10">
        <f>IFERROR(__xludf.DUMMYFUNCTION("""COMPUTED_VALUE"""),42550.66666666667)</f>
        <v>42550.66667</v>
      </c>
      <c r="N3151" s="2">
        <f>IFERROR(__xludf.DUMMYFUNCTION("""COMPUTED_VALUE"""),4779.25)</f>
        <v>4779.25</v>
      </c>
    </row>
    <row r="3152">
      <c r="A3152" s="10">
        <f t="shared" si="8"/>
        <v>41134.66667</v>
      </c>
      <c r="B3152" s="2" t="str">
        <f t="shared" si="2"/>
        <v/>
      </c>
      <c r="C3152" s="2" t="str">
        <f t="shared" si="3"/>
        <v>SP500</v>
      </c>
      <c r="D3152" s="2">
        <f t="shared" si="4"/>
        <v>3022.52</v>
      </c>
      <c r="E3152" s="2">
        <f t="shared" si="5"/>
        <v>3022.52</v>
      </c>
      <c r="G3152" s="10">
        <f t="shared" si="9"/>
        <v>41134.64583</v>
      </c>
      <c r="H3152" s="6" t="str">
        <f t="shared" si="6"/>
        <v/>
      </c>
      <c r="I3152" s="2">
        <f t="shared" si="7"/>
        <v>1426.89</v>
      </c>
      <c r="M3152" s="10">
        <f>IFERROR(__xludf.DUMMYFUNCTION("""COMPUTED_VALUE"""),42551.66666666667)</f>
        <v>42551.66667</v>
      </c>
      <c r="N3152" s="2">
        <f>IFERROR(__xludf.DUMMYFUNCTION("""COMPUTED_VALUE"""),4842.67)</f>
        <v>4842.67</v>
      </c>
    </row>
    <row r="3153">
      <c r="A3153" s="10">
        <f t="shared" si="8"/>
        <v>41135.66667</v>
      </c>
      <c r="B3153" s="2" t="str">
        <f t="shared" si="2"/>
        <v/>
      </c>
      <c r="C3153" s="2" t="str">
        <f t="shared" si="3"/>
        <v>SP500</v>
      </c>
      <c r="D3153" s="2">
        <f t="shared" si="4"/>
        <v>3016.98</v>
      </c>
      <c r="E3153" s="2">
        <f t="shared" si="5"/>
        <v>3016.98</v>
      </c>
      <c r="G3153" s="10">
        <f t="shared" si="9"/>
        <v>41135.64583</v>
      </c>
      <c r="H3153" s="6" t="str">
        <f t="shared" si="6"/>
        <v/>
      </c>
      <c r="I3153" s="2">
        <f t="shared" si="7"/>
        <v>1426.89</v>
      </c>
      <c r="M3153" s="10">
        <f>IFERROR(__xludf.DUMMYFUNCTION("""COMPUTED_VALUE"""),42552.66666666667)</f>
        <v>42552.66667</v>
      </c>
      <c r="N3153" s="2">
        <f>IFERROR(__xludf.DUMMYFUNCTION("""COMPUTED_VALUE"""),4862.57)</f>
        <v>4862.57</v>
      </c>
    </row>
    <row r="3154">
      <c r="A3154" s="10">
        <f t="shared" si="8"/>
        <v>41136.66667</v>
      </c>
      <c r="B3154" s="2" t="str">
        <f t="shared" si="2"/>
        <v/>
      </c>
      <c r="C3154" s="2" t="str">
        <f t="shared" si="3"/>
        <v>SP500</v>
      </c>
      <c r="D3154" s="2">
        <f t="shared" si="4"/>
        <v>3030.93</v>
      </c>
      <c r="E3154" s="2">
        <f t="shared" si="5"/>
        <v>3030.93</v>
      </c>
      <c r="G3154" s="10">
        <f t="shared" si="9"/>
        <v>41136.64583</v>
      </c>
      <c r="H3154" s="6" t="str">
        <f t="shared" si="6"/>
        <v/>
      </c>
      <c r="I3154" s="2">
        <f t="shared" si="7"/>
        <v>1426.89</v>
      </c>
      <c r="M3154" s="10">
        <f>IFERROR(__xludf.DUMMYFUNCTION("""COMPUTED_VALUE"""),42556.66666666667)</f>
        <v>42556.66667</v>
      </c>
      <c r="N3154" s="2">
        <f>IFERROR(__xludf.DUMMYFUNCTION("""COMPUTED_VALUE"""),4822.9)</f>
        <v>4822.9</v>
      </c>
    </row>
    <row r="3155">
      <c r="A3155" s="10">
        <f t="shared" si="8"/>
        <v>41137.66667</v>
      </c>
      <c r="B3155" s="2" t="str">
        <f t="shared" si="2"/>
        <v/>
      </c>
      <c r="C3155" s="2" t="str">
        <f t="shared" si="3"/>
        <v>SP500</v>
      </c>
      <c r="D3155" s="2">
        <f t="shared" si="4"/>
        <v>3062.39</v>
      </c>
      <c r="E3155" s="2">
        <f t="shared" si="5"/>
        <v>3062.39</v>
      </c>
      <c r="G3155" s="10">
        <f t="shared" si="9"/>
        <v>41137.64583</v>
      </c>
      <c r="H3155" s="6" t="str">
        <f t="shared" si="6"/>
        <v/>
      </c>
      <c r="I3155" s="2">
        <f t="shared" si="7"/>
        <v>1426.89</v>
      </c>
      <c r="M3155" s="10">
        <f>IFERROR(__xludf.DUMMYFUNCTION("""COMPUTED_VALUE"""),42557.66666666667)</f>
        <v>42557.66667</v>
      </c>
      <c r="N3155" s="2">
        <f>IFERROR(__xludf.DUMMYFUNCTION("""COMPUTED_VALUE"""),4859.16)</f>
        <v>4859.16</v>
      </c>
    </row>
    <row r="3156">
      <c r="A3156" s="10">
        <f t="shared" si="8"/>
        <v>41138.66667</v>
      </c>
      <c r="B3156" s="2" t="str">
        <f t="shared" si="2"/>
        <v/>
      </c>
      <c r="C3156" s="2" t="str">
        <f t="shared" si="3"/>
        <v>SP500</v>
      </c>
      <c r="D3156" s="2">
        <f t="shared" si="4"/>
        <v>3076.59</v>
      </c>
      <c r="E3156" s="2">
        <f t="shared" si="5"/>
        <v>3076.59</v>
      </c>
      <c r="G3156" s="10">
        <f t="shared" si="9"/>
        <v>41138.64583</v>
      </c>
      <c r="H3156" s="6" t="str">
        <f t="shared" si="6"/>
        <v/>
      </c>
      <c r="I3156" s="2">
        <f t="shared" si="7"/>
        <v>1426.89</v>
      </c>
      <c r="M3156" s="10">
        <f>IFERROR(__xludf.DUMMYFUNCTION("""COMPUTED_VALUE"""),42558.66666666667)</f>
        <v>42558.66667</v>
      </c>
      <c r="N3156" s="2">
        <f>IFERROR(__xludf.DUMMYFUNCTION("""COMPUTED_VALUE"""),4876.81)</f>
        <v>4876.81</v>
      </c>
    </row>
    <row r="3157">
      <c r="A3157" s="10">
        <f t="shared" si="8"/>
        <v>41139.66667</v>
      </c>
      <c r="B3157" s="2" t="str">
        <f t="shared" si="2"/>
        <v/>
      </c>
      <c r="C3157" s="2" t="str">
        <f t="shared" si="3"/>
        <v>SP500</v>
      </c>
      <c r="D3157" s="2" t="str">
        <f t="shared" si="4"/>
        <v/>
      </c>
      <c r="E3157" s="2">
        <f t="shared" si="5"/>
        <v>3076.59</v>
      </c>
      <c r="G3157" s="10">
        <f t="shared" si="9"/>
        <v>41139.64583</v>
      </c>
      <c r="H3157" s="6" t="str">
        <f t="shared" si="6"/>
        <v/>
      </c>
      <c r="I3157" s="2">
        <f t="shared" si="7"/>
        <v>1426.89</v>
      </c>
      <c r="M3157" s="10">
        <f>IFERROR(__xludf.DUMMYFUNCTION("""COMPUTED_VALUE"""),42559.66666666667)</f>
        <v>42559.66667</v>
      </c>
      <c r="N3157" s="2">
        <f>IFERROR(__xludf.DUMMYFUNCTION("""COMPUTED_VALUE"""),4956.76)</f>
        <v>4956.76</v>
      </c>
    </row>
    <row r="3158">
      <c r="A3158" s="10">
        <f t="shared" si="8"/>
        <v>41140.66667</v>
      </c>
      <c r="B3158" s="2" t="str">
        <f t="shared" si="2"/>
        <v/>
      </c>
      <c r="C3158" s="2" t="str">
        <f t="shared" si="3"/>
        <v>SP500</v>
      </c>
      <c r="D3158" s="2" t="str">
        <f t="shared" si="4"/>
        <v/>
      </c>
      <c r="E3158" s="2">
        <f t="shared" si="5"/>
        <v>3076.59</v>
      </c>
      <c r="G3158" s="10">
        <f t="shared" si="9"/>
        <v>41140.64583</v>
      </c>
      <c r="H3158" s="6" t="str">
        <f t="shared" si="6"/>
        <v/>
      </c>
      <c r="I3158" s="2">
        <f t="shared" si="7"/>
        <v>1426.89</v>
      </c>
      <c r="M3158" s="10">
        <f>IFERROR(__xludf.DUMMYFUNCTION("""COMPUTED_VALUE"""),42562.66666666667)</f>
        <v>42562.66667</v>
      </c>
      <c r="N3158" s="2">
        <f>IFERROR(__xludf.DUMMYFUNCTION("""COMPUTED_VALUE"""),4988.64)</f>
        <v>4988.64</v>
      </c>
    </row>
    <row r="3159">
      <c r="A3159" s="10">
        <f t="shared" si="8"/>
        <v>41141.66667</v>
      </c>
      <c r="B3159" s="2" t="str">
        <f t="shared" si="2"/>
        <v/>
      </c>
      <c r="C3159" s="2" t="str">
        <f t="shared" si="3"/>
        <v>SP500</v>
      </c>
      <c r="D3159" s="2">
        <f t="shared" si="4"/>
        <v>3076.21</v>
      </c>
      <c r="E3159" s="2">
        <f t="shared" si="5"/>
        <v>3076.21</v>
      </c>
      <c r="G3159" s="10">
        <f t="shared" si="9"/>
        <v>41141.64583</v>
      </c>
      <c r="H3159" s="6" t="str">
        <f t="shared" si="6"/>
        <v/>
      </c>
      <c r="I3159" s="2">
        <f t="shared" si="7"/>
        <v>1426.89</v>
      </c>
      <c r="M3159" s="10">
        <f>IFERROR(__xludf.DUMMYFUNCTION("""COMPUTED_VALUE"""),42563.66666666667)</f>
        <v>42563.66667</v>
      </c>
      <c r="N3159" s="2">
        <f>IFERROR(__xludf.DUMMYFUNCTION("""COMPUTED_VALUE"""),5022.82)</f>
        <v>5022.82</v>
      </c>
    </row>
    <row r="3160">
      <c r="A3160" s="10">
        <f t="shared" si="8"/>
        <v>41142.66667</v>
      </c>
      <c r="B3160" s="2" t="str">
        <f t="shared" si="2"/>
        <v/>
      </c>
      <c r="C3160" s="2" t="str">
        <f t="shared" si="3"/>
        <v>SP500</v>
      </c>
      <c r="D3160" s="2">
        <f t="shared" si="4"/>
        <v>3067.26</v>
      </c>
      <c r="E3160" s="2">
        <f t="shared" si="5"/>
        <v>3067.26</v>
      </c>
      <c r="G3160" s="10">
        <f t="shared" si="9"/>
        <v>41142.64583</v>
      </c>
      <c r="H3160" s="6" t="str">
        <f t="shared" si="6"/>
        <v/>
      </c>
      <c r="I3160" s="2">
        <f t="shared" si="7"/>
        <v>1426.89</v>
      </c>
      <c r="M3160" s="10">
        <f>IFERROR(__xludf.DUMMYFUNCTION("""COMPUTED_VALUE"""),42564.66666666667)</f>
        <v>42564.66667</v>
      </c>
      <c r="N3160" s="2">
        <f>IFERROR(__xludf.DUMMYFUNCTION("""COMPUTED_VALUE"""),5005.73)</f>
        <v>5005.73</v>
      </c>
    </row>
    <row r="3161">
      <c r="A3161" s="10">
        <f t="shared" si="8"/>
        <v>41143.66667</v>
      </c>
      <c r="B3161" s="2" t="str">
        <f t="shared" si="2"/>
        <v/>
      </c>
      <c r="C3161" s="2" t="str">
        <f t="shared" si="3"/>
        <v>SP500</v>
      </c>
      <c r="D3161" s="2">
        <f t="shared" si="4"/>
        <v>3073.67</v>
      </c>
      <c r="E3161" s="2">
        <f t="shared" si="5"/>
        <v>3073.67</v>
      </c>
      <c r="G3161" s="10">
        <f t="shared" si="9"/>
        <v>41143.64583</v>
      </c>
      <c r="H3161" s="6" t="str">
        <f t="shared" si="6"/>
        <v/>
      </c>
      <c r="I3161" s="2">
        <f t="shared" si="7"/>
        <v>1426.89</v>
      </c>
      <c r="M3161" s="10">
        <f>IFERROR(__xludf.DUMMYFUNCTION("""COMPUTED_VALUE"""),42565.66666666667)</f>
        <v>42565.66667</v>
      </c>
      <c r="N3161" s="2">
        <f>IFERROR(__xludf.DUMMYFUNCTION("""COMPUTED_VALUE"""),5034.06)</f>
        <v>5034.06</v>
      </c>
    </row>
    <row r="3162">
      <c r="A3162" s="10">
        <f t="shared" si="8"/>
        <v>41144.66667</v>
      </c>
      <c r="B3162" s="2" t="str">
        <f t="shared" si="2"/>
        <v/>
      </c>
      <c r="C3162" s="2" t="str">
        <f t="shared" si="3"/>
        <v>SP500</v>
      </c>
      <c r="D3162" s="2">
        <f t="shared" si="4"/>
        <v>3053.4</v>
      </c>
      <c r="E3162" s="2">
        <f t="shared" si="5"/>
        <v>3053.4</v>
      </c>
      <c r="G3162" s="10">
        <f t="shared" si="9"/>
        <v>41144.64583</v>
      </c>
      <c r="H3162" s="6" t="str">
        <f t="shared" si="6"/>
        <v/>
      </c>
      <c r="I3162" s="2">
        <f t="shared" si="7"/>
        <v>1426.89</v>
      </c>
      <c r="M3162" s="10">
        <f>IFERROR(__xludf.DUMMYFUNCTION("""COMPUTED_VALUE"""),42566.66666666667)</f>
        <v>42566.66667</v>
      </c>
      <c r="N3162" s="2">
        <f>IFERROR(__xludf.DUMMYFUNCTION("""COMPUTED_VALUE"""),5029.59)</f>
        <v>5029.59</v>
      </c>
    </row>
    <row r="3163">
      <c r="A3163" s="10">
        <f t="shared" si="8"/>
        <v>41145.66667</v>
      </c>
      <c r="B3163" s="2" t="str">
        <f t="shared" si="2"/>
        <v/>
      </c>
      <c r="C3163" s="2" t="str">
        <f t="shared" si="3"/>
        <v>SP500</v>
      </c>
      <c r="D3163" s="2">
        <f t="shared" si="4"/>
        <v>3069.79</v>
      </c>
      <c r="E3163" s="2">
        <f t="shared" si="5"/>
        <v>3069.79</v>
      </c>
      <c r="G3163" s="10">
        <f t="shared" si="9"/>
        <v>41145.64583</v>
      </c>
      <c r="H3163" s="6" t="str">
        <f t="shared" si="6"/>
        <v/>
      </c>
      <c r="I3163" s="2">
        <f t="shared" si="7"/>
        <v>1426.89</v>
      </c>
      <c r="M3163" s="10">
        <f>IFERROR(__xludf.DUMMYFUNCTION("""COMPUTED_VALUE"""),42569.66666666667)</f>
        <v>42569.66667</v>
      </c>
      <c r="N3163" s="2">
        <f>IFERROR(__xludf.DUMMYFUNCTION("""COMPUTED_VALUE"""),5055.78)</f>
        <v>5055.78</v>
      </c>
    </row>
    <row r="3164">
      <c r="A3164" s="10">
        <f t="shared" si="8"/>
        <v>41146.66667</v>
      </c>
      <c r="B3164" s="2" t="str">
        <f t="shared" si="2"/>
        <v/>
      </c>
      <c r="C3164" s="2" t="str">
        <f t="shared" si="3"/>
        <v>SP500</v>
      </c>
      <c r="D3164" s="2" t="str">
        <f t="shared" si="4"/>
        <v/>
      </c>
      <c r="E3164" s="2">
        <f t="shared" si="5"/>
        <v>3069.79</v>
      </c>
      <c r="G3164" s="10">
        <f t="shared" si="9"/>
        <v>41146.64583</v>
      </c>
      <c r="H3164" s="6" t="str">
        <f t="shared" si="6"/>
        <v/>
      </c>
      <c r="I3164" s="2">
        <f t="shared" si="7"/>
        <v>1426.89</v>
      </c>
      <c r="M3164" s="10">
        <f>IFERROR(__xludf.DUMMYFUNCTION("""COMPUTED_VALUE"""),42570.66666666667)</f>
        <v>42570.66667</v>
      </c>
      <c r="N3164" s="2">
        <f>IFERROR(__xludf.DUMMYFUNCTION("""COMPUTED_VALUE"""),5036.37)</f>
        <v>5036.37</v>
      </c>
    </row>
    <row r="3165">
      <c r="A3165" s="10">
        <f t="shared" si="8"/>
        <v>41147.66667</v>
      </c>
      <c r="B3165" s="2" t="str">
        <f t="shared" si="2"/>
        <v/>
      </c>
      <c r="C3165" s="2" t="str">
        <f t="shared" si="3"/>
        <v>SP500</v>
      </c>
      <c r="D3165" s="2" t="str">
        <f t="shared" si="4"/>
        <v/>
      </c>
      <c r="E3165" s="2">
        <f t="shared" si="5"/>
        <v>3069.79</v>
      </c>
      <c r="G3165" s="10">
        <f t="shared" si="9"/>
        <v>41147.64583</v>
      </c>
      <c r="H3165" s="6" t="str">
        <f t="shared" si="6"/>
        <v/>
      </c>
      <c r="I3165" s="2">
        <f t="shared" si="7"/>
        <v>1426.89</v>
      </c>
      <c r="M3165" s="10">
        <f>IFERROR(__xludf.DUMMYFUNCTION("""COMPUTED_VALUE"""),42571.66666666667)</f>
        <v>42571.66667</v>
      </c>
      <c r="N3165" s="2">
        <f>IFERROR(__xludf.DUMMYFUNCTION("""COMPUTED_VALUE"""),5089.93)</f>
        <v>5089.93</v>
      </c>
    </row>
    <row r="3166">
      <c r="A3166" s="10">
        <f t="shared" si="8"/>
        <v>41148.66667</v>
      </c>
      <c r="B3166" s="2" t="str">
        <f t="shared" si="2"/>
        <v/>
      </c>
      <c r="C3166" s="2" t="str">
        <f t="shared" si="3"/>
        <v>SP500</v>
      </c>
      <c r="D3166" s="2">
        <f t="shared" si="4"/>
        <v>3073.19</v>
      </c>
      <c r="E3166" s="2">
        <f t="shared" si="5"/>
        <v>3073.19</v>
      </c>
      <c r="G3166" s="10">
        <f t="shared" si="9"/>
        <v>41148.64583</v>
      </c>
      <c r="H3166" s="6" t="str">
        <f t="shared" si="6"/>
        <v/>
      </c>
      <c r="I3166" s="2">
        <f t="shared" si="7"/>
        <v>1426.89</v>
      </c>
      <c r="M3166" s="10">
        <f>IFERROR(__xludf.DUMMYFUNCTION("""COMPUTED_VALUE"""),42572.66666666667)</f>
        <v>42572.66667</v>
      </c>
      <c r="N3166" s="2">
        <f>IFERROR(__xludf.DUMMYFUNCTION("""COMPUTED_VALUE"""),5073.9)</f>
        <v>5073.9</v>
      </c>
    </row>
    <row r="3167">
      <c r="A3167" s="10">
        <f t="shared" si="8"/>
        <v>41149.66667</v>
      </c>
      <c r="B3167" s="2" t="str">
        <f t="shared" si="2"/>
        <v/>
      </c>
      <c r="C3167" s="2" t="str">
        <f t="shared" si="3"/>
        <v>SP500</v>
      </c>
      <c r="D3167" s="2">
        <f t="shared" si="4"/>
        <v>3077.14</v>
      </c>
      <c r="E3167" s="2">
        <f t="shared" si="5"/>
        <v>3077.14</v>
      </c>
      <c r="G3167" s="10">
        <f t="shared" si="9"/>
        <v>41149.64583</v>
      </c>
      <c r="H3167" s="6" t="str">
        <f t="shared" si="6"/>
        <v/>
      </c>
      <c r="I3167" s="2">
        <f t="shared" si="7"/>
        <v>1426.89</v>
      </c>
      <c r="M3167" s="10">
        <f>IFERROR(__xludf.DUMMYFUNCTION("""COMPUTED_VALUE"""),42573.66666666667)</f>
        <v>42573.66667</v>
      </c>
      <c r="N3167" s="2">
        <f>IFERROR(__xludf.DUMMYFUNCTION("""COMPUTED_VALUE"""),5100.16)</f>
        <v>5100.16</v>
      </c>
    </row>
    <row r="3168">
      <c r="A3168" s="10">
        <f t="shared" si="8"/>
        <v>41150.66667</v>
      </c>
      <c r="B3168" s="2" t="str">
        <f t="shared" si="2"/>
        <v/>
      </c>
      <c r="C3168" s="2" t="str">
        <f t="shared" si="3"/>
        <v>SP500</v>
      </c>
      <c r="D3168" s="2">
        <f t="shared" si="4"/>
        <v>3081.19</v>
      </c>
      <c r="E3168" s="2">
        <f t="shared" si="5"/>
        <v>3081.19</v>
      </c>
      <c r="G3168" s="10">
        <f t="shared" si="9"/>
        <v>41150.64583</v>
      </c>
      <c r="H3168" s="6" t="str">
        <f t="shared" si="6"/>
        <v/>
      </c>
      <c r="I3168" s="2">
        <f t="shared" si="7"/>
        <v>1426.89</v>
      </c>
      <c r="M3168" s="10">
        <f>IFERROR(__xludf.DUMMYFUNCTION("""COMPUTED_VALUE"""),42576.66666666667)</f>
        <v>42576.66667</v>
      </c>
      <c r="N3168" s="2">
        <f>IFERROR(__xludf.DUMMYFUNCTION("""COMPUTED_VALUE"""),5097.63)</f>
        <v>5097.63</v>
      </c>
    </row>
    <row r="3169">
      <c r="A3169" s="10">
        <f t="shared" si="8"/>
        <v>41151.66667</v>
      </c>
      <c r="B3169" s="2" t="str">
        <f t="shared" si="2"/>
        <v/>
      </c>
      <c r="C3169" s="2" t="str">
        <f t="shared" si="3"/>
        <v>SP500</v>
      </c>
      <c r="D3169" s="2">
        <f t="shared" si="4"/>
        <v>3048.71</v>
      </c>
      <c r="E3169" s="2">
        <f t="shared" si="5"/>
        <v>3048.71</v>
      </c>
      <c r="G3169" s="10">
        <f t="shared" si="9"/>
        <v>41151.64583</v>
      </c>
      <c r="H3169" s="6" t="str">
        <f t="shared" si="6"/>
        <v/>
      </c>
      <c r="I3169" s="2">
        <f t="shared" si="7"/>
        <v>1426.89</v>
      </c>
      <c r="M3169" s="10">
        <f>IFERROR(__xludf.DUMMYFUNCTION("""COMPUTED_VALUE"""),42577.66666666667)</f>
        <v>42577.66667</v>
      </c>
      <c r="N3169" s="2">
        <f>IFERROR(__xludf.DUMMYFUNCTION("""COMPUTED_VALUE"""),5110.05)</f>
        <v>5110.05</v>
      </c>
    </row>
    <row r="3170">
      <c r="A3170" s="10">
        <f t="shared" si="8"/>
        <v>41152.66667</v>
      </c>
      <c r="B3170" s="2" t="str">
        <f t="shared" si="2"/>
        <v/>
      </c>
      <c r="C3170" s="2" t="str">
        <f t="shared" si="3"/>
        <v>SP500</v>
      </c>
      <c r="D3170" s="2">
        <f t="shared" si="4"/>
        <v>3066.96</v>
      </c>
      <c r="E3170" s="2">
        <f t="shared" si="5"/>
        <v>3066.96</v>
      </c>
      <c r="G3170" s="10">
        <f t="shared" si="9"/>
        <v>41152.64583</v>
      </c>
      <c r="H3170" s="6" t="str">
        <f t="shared" si="6"/>
        <v/>
      </c>
      <c r="I3170" s="2">
        <f t="shared" si="7"/>
        <v>1426.89</v>
      </c>
      <c r="M3170" s="10">
        <f>IFERROR(__xludf.DUMMYFUNCTION("""COMPUTED_VALUE"""),42578.66666666667)</f>
        <v>42578.66667</v>
      </c>
      <c r="N3170" s="2">
        <f>IFERROR(__xludf.DUMMYFUNCTION("""COMPUTED_VALUE"""),5139.81)</f>
        <v>5139.81</v>
      </c>
    </row>
    <row r="3171">
      <c r="A3171" s="10">
        <f t="shared" si="8"/>
        <v>41153.66667</v>
      </c>
      <c r="B3171" s="2" t="str">
        <f t="shared" si="2"/>
        <v/>
      </c>
      <c r="C3171" s="2" t="str">
        <f t="shared" si="3"/>
        <v>SP500</v>
      </c>
      <c r="D3171" s="2" t="str">
        <f t="shared" si="4"/>
        <v/>
      </c>
      <c r="E3171" s="2">
        <f t="shared" si="5"/>
        <v>3066.96</v>
      </c>
      <c r="G3171" s="10">
        <f t="shared" si="9"/>
        <v>41153.64583</v>
      </c>
      <c r="H3171" s="6" t="str">
        <f t="shared" si="6"/>
        <v/>
      </c>
      <c r="I3171" s="2">
        <f t="shared" si="7"/>
        <v>1426.89</v>
      </c>
      <c r="M3171" s="10">
        <f>IFERROR(__xludf.DUMMYFUNCTION("""COMPUTED_VALUE"""),42579.66666666667)</f>
        <v>42579.66667</v>
      </c>
      <c r="N3171" s="2">
        <f>IFERROR(__xludf.DUMMYFUNCTION("""COMPUTED_VALUE"""),5154.98)</f>
        <v>5154.98</v>
      </c>
    </row>
    <row r="3172">
      <c r="A3172" s="10">
        <f t="shared" si="8"/>
        <v>41154.66667</v>
      </c>
      <c r="B3172" s="2" t="str">
        <f t="shared" si="2"/>
        <v/>
      </c>
      <c r="C3172" s="2" t="str">
        <f t="shared" si="3"/>
        <v>SP500</v>
      </c>
      <c r="D3172" s="2" t="str">
        <f t="shared" si="4"/>
        <v/>
      </c>
      <c r="E3172" s="2">
        <f t="shared" si="5"/>
        <v>3066.96</v>
      </c>
      <c r="G3172" s="10">
        <f t="shared" si="9"/>
        <v>41154.64583</v>
      </c>
      <c r="H3172" s="6" t="str">
        <f t="shared" si="6"/>
        <v/>
      </c>
      <c r="I3172" s="2">
        <f t="shared" si="7"/>
        <v>1426.89</v>
      </c>
      <c r="M3172" s="10">
        <f>IFERROR(__xludf.DUMMYFUNCTION("""COMPUTED_VALUE"""),42580.66666666667)</f>
        <v>42580.66667</v>
      </c>
      <c r="N3172" s="2">
        <f>IFERROR(__xludf.DUMMYFUNCTION("""COMPUTED_VALUE"""),5162.13)</f>
        <v>5162.13</v>
      </c>
    </row>
    <row r="3173">
      <c r="A3173" s="10">
        <f t="shared" si="8"/>
        <v>41155.66667</v>
      </c>
      <c r="B3173" s="2" t="str">
        <f t="shared" si="2"/>
        <v/>
      </c>
      <c r="C3173" s="2" t="str">
        <f t="shared" si="3"/>
        <v>SP500</v>
      </c>
      <c r="D3173" s="2" t="str">
        <f t="shared" si="4"/>
        <v/>
      </c>
      <c r="E3173" s="2">
        <f t="shared" si="5"/>
        <v>3066.96</v>
      </c>
      <c r="G3173" s="10">
        <f t="shared" si="9"/>
        <v>41155.64583</v>
      </c>
      <c r="H3173" s="6" t="str">
        <f t="shared" si="6"/>
        <v/>
      </c>
      <c r="I3173" s="2">
        <f t="shared" si="7"/>
        <v>1426.89</v>
      </c>
      <c r="M3173" s="10">
        <f>IFERROR(__xludf.DUMMYFUNCTION("""COMPUTED_VALUE"""),42583.66666666667)</f>
        <v>42583.66667</v>
      </c>
      <c r="N3173" s="2">
        <f>IFERROR(__xludf.DUMMYFUNCTION("""COMPUTED_VALUE"""),5184.2)</f>
        <v>5184.2</v>
      </c>
    </row>
    <row r="3174">
      <c r="A3174" s="10">
        <f t="shared" si="8"/>
        <v>41156.66667</v>
      </c>
      <c r="B3174" s="2" t="str">
        <f t="shared" si="2"/>
        <v/>
      </c>
      <c r="C3174" s="2" t="str">
        <f t="shared" si="3"/>
        <v>SP500</v>
      </c>
      <c r="D3174" s="2">
        <f t="shared" si="4"/>
        <v>3075.06</v>
      </c>
      <c r="E3174" s="2">
        <f t="shared" si="5"/>
        <v>3075.06</v>
      </c>
      <c r="G3174" s="10">
        <f t="shared" si="9"/>
        <v>41156.64583</v>
      </c>
      <c r="H3174" s="6" t="str">
        <f t="shared" si="6"/>
        <v/>
      </c>
      <c r="I3174" s="2">
        <f t="shared" si="7"/>
        <v>1426.89</v>
      </c>
      <c r="M3174" s="10">
        <f>IFERROR(__xludf.DUMMYFUNCTION("""COMPUTED_VALUE"""),42584.66666666667)</f>
        <v>42584.66667</v>
      </c>
      <c r="N3174" s="2">
        <f>IFERROR(__xludf.DUMMYFUNCTION("""COMPUTED_VALUE"""),5137.73)</f>
        <v>5137.73</v>
      </c>
    </row>
    <row r="3175">
      <c r="A3175" s="10">
        <f t="shared" si="8"/>
        <v>41157.66667</v>
      </c>
      <c r="B3175" s="2" t="str">
        <f t="shared" si="2"/>
        <v/>
      </c>
      <c r="C3175" s="2" t="str">
        <f t="shared" si="3"/>
        <v>SP500</v>
      </c>
      <c r="D3175" s="2">
        <f t="shared" si="4"/>
        <v>3069.27</v>
      </c>
      <c r="E3175" s="2">
        <f t="shared" si="5"/>
        <v>3069.27</v>
      </c>
      <c r="G3175" s="10">
        <f t="shared" si="9"/>
        <v>41157.64583</v>
      </c>
      <c r="H3175" s="6" t="str">
        <f t="shared" si="6"/>
        <v/>
      </c>
      <c r="I3175" s="2">
        <f t="shared" si="7"/>
        <v>1426.89</v>
      </c>
      <c r="M3175" s="10">
        <f>IFERROR(__xludf.DUMMYFUNCTION("""COMPUTED_VALUE"""),42585.66666666667)</f>
        <v>42585.66667</v>
      </c>
      <c r="N3175" s="2">
        <f>IFERROR(__xludf.DUMMYFUNCTION("""COMPUTED_VALUE"""),5159.74)</f>
        <v>5159.74</v>
      </c>
    </row>
    <row r="3176">
      <c r="A3176" s="10">
        <f t="shared" si="8"/>
        <v>41158.66667</v>
      </c>
      <c r="B3176" s="2" t="str">
        <f t="shared" si="2"/>
        <v/>
      </c>
      <c r="C3176" s="2" t="str">
        <f t="shared" si="3"/>
        <v>SP500</v>
      </c>
      <c r="D3176" s="2">
        <f t="shared" si="4"/>
        <v>3135.81</v>
      </c>
      <c r="E3176" s="2">
        <f t="shared" si="5"/>
        <v>3135.81</v>
      </c>
      <c r="G3176" s="10">
        <f t="shared" si="9"/>
        <v>41158.64583</v>
      </c>
      <c r="H3176" s="6" t="str">
        <f t="shared" si="6"/>
        <v/>
      </c>
      <c r="I3176" s="2">
        <f t="shared" si="7"/>
        <v>1426.89</v>
      </c>
      <c r="M3176" s="10">
        <f>IFERROR(__xludf.DUMMYFUNCTION("""COMPUTED_VALUE"""),42586.66666666667)</f>
        <v>42586.66667</v>
      </c>
      <c r="N3176" s="2">
        <f>IFERROR(__xludf.DUMMYFUNCTION("""COMPUTED_VALUE"""),5166.25)</f>
        <v>5166.25</v>
      </c>
    </row>
    <row r="3177">
      <c r="A3177" s="10">
        <f t="shared" si="8"/>
        <v>41159.66667</v>
      </c>
      <c r="B3177" s="2" t="str">
        <f t="shared" si="2"/>
        <v/>
      </c>
      <c r="C3177" s="2" t="str">
        <f t="shared" si="3"/>
        <v>SP500</v>
      </c>
      <c r="D3177" s="2">
        <f t="shared" si="4"/>
        <v>3136.42</v>
      </c>
      <c r="E3177" s="2">
        <f t="shared" si="5"/>
        <v>3136.42</v>
      </c>
      <c r="G3177" s="10">
        <f t="shared" si="9"/>
        <v>41159.64583</v>
      </c>
      <c r="H3177" s="6" t="str">
        <f t="shared" si="6"/>
        <v/>
      </c>
      <c r="I3177" s="2">
        <f t="shared" si="7"/>
        <v>1426.89</v>
      </c>
      <c r="M3177" s="10">
        <f>IFERROR(__xludf.DUMMYFUNCTION("""COMPUTED_VALUE"""),42587.66666666667)</f>
        <v>42587.66667</v>
      </c>
      <c r="N3177" s="2">
        <f>IFERROR(__xludf.DUMMYFUNCTION("""COMPUTED_VALUE"""),5221.12)</f>
        <v>5221.12</v>
      </c>
    </row>
    <row r="3178">
      <c r="A3178" s="10">
        <f t="shared" si="8"/>
        <v>41160.66667</v>
      </c>
      <c r="B3178" s="2" t="str">
        <f t="shared" si="2"/>
        <v/>
      </c>
      <c r="C3178" s="2" t="str">
        <f t="shared" si="3"/>
        <v>SP500</v>
      </c>
      <c r="D3178" s="2" t="str">
        <f t="shared" si="4"/>
        <v/>
      </c>
      <c r="E3178" s="2">
        <f t="shared" si="5"/>
        <v>3136.42</v>
      </c>
      <c r="G3178" s="10">
        <f t="shared" si="9"/>
        <v>41160.64583</v>
      </c>
      <c r="H3178" s="6" t="str">
        <f t="shared" si="6"/>
        <v/>
      </c>
      <c r="I3178" s="2">
        <f t="shared" si="7"/>
        <v>1426.89</v>
      </c>
      <c r="M3178" s="10">
        <f>IFERROR(__xludf.DUMMYFUNCTION("""COMPUTED_VALUE"""),42590.66666666667)</f>
        <v>42590.66667</v>
      </c>
      <c r="N3178" s="2">
        <f>IFERROR(__xludf.DUMMYFUNCTION("""COMPUTED_VALUE"""),5213.14)</f>
        <v>5213.14</v>
      </c>
    </row>
    <row r="3179">
      <c r="A3179" s="10">
        <f t="shared" si="8"/>
        <v>41161.66667</v>
      </c>
      <c r="B3179" s="2" t="str">
        <f t="shared" si="2"/>
        <v/>
      </c>
      <c r="C3179" s="2" t="str">
        <f t="shared" si="3"/>
        <v>SP500</v>
      </c>
      <c r="D3179" s="2" t="str">
        <f t="shared" si="4"/>
        <v/>
      </c>
      <c r="E3179" s="2">
        <f t="shared" si="5"/>
        <v>3136.42</v>
      </c>
      <c r="G3179" s="10">
        <f t="shared" si="9"/>
        <v>41161.64583</v>
      </c>
      <c r="H3179" s="6" t="str">
        <f t="shared" si="6"/>
        <v/>
      </c>
      <c r="I3179" s="2">
        <f t="shared" si="7"/>
        <v>1426.89</v>
      </c>
      <c r="M3179" s="10">
        <f>IFERROR(__xludf.DUMMYFUNCTION("""COMPUTED_VALUE"""),42591.66666666667)</f>
        <v>42591.66667</v>
      </c>
      <c r="N3179" s="2">
        <f>IFERROR(__xludf.DUMMYFUNCTION("""COMPUTED_VALUE"""),5225.48)</f>
        <v>5225.48</v>
      </c>
    </row>
    <row r="3180">
      <c r="A3180" s="10">
        <f t="shared" si="8"/>
        <v>41162.66667</v>
      </c>
      <c r="B3180" s="2" t="str">
        <f t="shared" si="2"/>
        <v/>
      </c>
      <c r="C3180" s="2" t="str">
        <f t="shared" si="3"/>
        <v>SP500</v>
      </c>
      <c r="D3180" s="2">
        <f t="shared" si="4"/>
        <v>3104.02</v>
      </c>
      <c r="E3180" s="2">
        <f t="shared" si="5"/>
        <v>3104.02</v>
      </c>
      <c r="G3180" s="10">
        <f t="shared" si="9"/>
        <v>41162.64583</v>
      </c>
      <c r="H3180" s="6" t="str">
        <f t="shared" si="6"/>
        <v/>
      </c>
      <c r="I3180" s="2">
        <f t="shared" si="7"/>
        <v>1426.89</v>
      </c>
      <c r="M3180" s="10">
        <f>IFERROR(__xludf.DUMMYFUNCTION("""COMPUTED_VALUE"""),42592.66666666667)</f>
        <v>42592.66667</v>
      </c>
      <c r="N3180" s="2">
        <f>IFERROR(__xludf.DUMMYFUNCTION("""COMPUTED_VALUE"""),5204.58)</f>
        <v>5204.58</v>
      </c>
    </row>
    <row r="3181">
      <c r="A3181" s="10">
        <f t="shared" si="8"/>
        <v>41163.66667</v>
      </c>
      <c r="B3181" s="2" t="str">
        <f t="shared" si="2"/>
        <v/>
      </c>
      <c r="C3181" s="2" t="str">
        <f t="shared" si="3"/>
        <v>SP500</v>
      </c>
      <c r="D3181" s="2">
        <f t="shared" si="4"/>
        <v>3104.53</v>
      </c>
      <c r="E3181" s="2">
        <f t="shared" si="5"/>
        <v>3104.53</v>
      </c>
      <c r="G3181" s="10">
        <f t="shared" si="9"/>
        <v>41163.64583</v>
      </c>
      <c r="H3181" s="6" t="str">
        <f t="shared" si="6"/>
        <v/>
      </c>
      <c r="I3181" s="2">
        <f t="shared" si="7"/>
        <v>1426.89</v>
      </c>
      <c r="M3181" s="10">
        <f>IFERROR(__xludf.DUMMYFUNCTION("""COMPUTED_VALUE"""),42593.66666666667)</f>
        <v>42593.66667</v>
      </c>
      <c r="N3181" s="2">
        <f>IFERROR(__xludf.DUMMYFUNCTION("""COMPUTED_VALUE"""),5228.4)</f>
        <v>5228.4</v>
      </c>
    </row>
    <row r="3182">
      <c r="A3182" s="10">
        <f t="shared" si="8"/>
        <v>41164.66667</v>
      </c>
      <c r="B3182" s="2" t="str">
        <f t="shared" si="2"/>
        <v/>
      </c>
      <c r="C3182" s="2" t="str">
        <f t="shared" si="3"/>
        <v>SP500</v>
      </c>
      <c r="D3182" s="2">
        <f t="shared" si="4"/>
        <v>3114.31</v>
      </c>
      <c r="E3182" s="2">
        <f t="shared" si="5"/>
        <v>3114.31</v>
      </c>
      <c r="G3182" s="10">
        <f t="shared" si="9"/>
        <v>41164.64583</v>
      </c>
      <c r="H3182" s="6" t="str">
        <f t="shared" si="6"/>
        <v/>
      </c>
      <c r="I3182" s="2">
        <f t="shared" si="7"/>
        <v>1426.89</v>
      </c>
      <c r="M3182" s="10">
        <f>IFERROR(__xludf.DUMMYFUNCTION("""COMPUTED_VALUE"""),42594.66666666667)</f>
        <v>42594.66667</v>
      </c>
      <c r="N3182" s="2">
        <f>IFERROR(__xludf.DUMMYFUNCTION("""COMPUTED_VALUE"""),5232.89)</f>
        <v>5232.89</v>
      </c>
    </row>
    <row r="3183">
      <c r="A3183" s="10">
        <f t="shared" si="8"/>
        <v>41165.66667</v>
      </c>
      <c r="B3183" s="2" t="str">
        <f t="shared" si="2"/>
        <v/>
      </c>
      <c r="C3183" s="2" t="str">
        <f t="shared" si="3"/>
        <v>SP500</v>
      </c>
      <c r="D3183" s="2">
        <f t="shared" si="4"/>
        <v>3155.83</v>
      </c>
      <c r="E3183" s="2">
        <f t="shared" si="5"/>
        <v>3155.83</v>
      </c>
      <c r="G3183" s="10">
        <f t="shared" si="9"/>
        <v>41165.64583</v>
      </c>
      <c r="H3183" s="6" t="str">
        <f t="shared" si="6"/>
        <v/>
      </c>
      <c r="I3183" s="2">
        <f t="shared" si="7"/>
        <v>1426.89</v>
      </c>
      <c r="M3183" s="10">
        <f>IFERROR(__xludf.DUMMYFUNCTION("""COMPUTED_VALUE"""),42597.66666666667)</f>
        <v>42597.66667</v>
      </c>
      <c r="N3183" s="2">
        <f>IFERROR(__xludf.DUMMYFUNCTION("""COMPUTED_VALUE"""),5262.02)</f>
        <v>5262.02</v>
      </c>
    </row>
    <row r="3184">
      <c r="A3184" s="10">
        <f t="shared" si="8"/>
        <v>41166.66667</v>
      </c>
      <c r="B3184" s="2" t="str">
        <f t="shared" si="2"/>
        <v/>
      </c>
      <c r="C3184" s="2" t="str">
        <f t="shared" si="3"/>
        <v>SP500</v>
      </c>
      <c r="D3184" s="2">
        <f t="shared" si="4"/>
        <v>3183.95</v>
      </c>
      <c r="E3184" s="2">
        <f t="shared" si="5"/>
        <v>3183.95</v>
      </c>
      <c r="G3184" s="10">
        <f t="shared" si="9"/>
        <v>41166.64583</v>
      </c>
      <c r="H3184" s="6" t="str">
        <f t="shared" si="6"/>
        <v/>
      </c>
      <c r="I3184" s="2">
        <f t="shared" si="7"/>
        <v>1426.89</v>
      </c>
      <c r="M3184" s="10">
        <f>IFERROR(__xludf.DUMMYFUNCTION("""COMPUTED_VALUE"""),42598.66666666667)</f>
        <v>42598.66667</v>
      </c>
      <c r="N3184" s="2">
        <f>IFERROR(__xludf.DUMMYFUNCTION("""COMPUTED_VALUE"""),5227.11)</f>
        <v>5227.11</v>
      </c>
    </row>
    <row r="3185">
      <c r="A3185" s="10">
        <f t="shared" si="8"/>
        <v>41167.66667</v>
      </c>
      <c r="B3185" s="2" t="str">
        <f t="shared" si="2"/>
        <v/>
      </c>
      <c r="C3185" s="2" t="str">
        <f t="shared" si="3"/>
        <v>SP500</v>
      </c>
      <c r="D3185" s="2" t="str">
        <f t="shared" si="4"/>
        <v/>
      </c>
      <c r="E3185" s="2">
        <f t="shared" si="5"/>
        <v>3183.95</v>
      </c>
      <c r="G3185" s="10">
        <f t="shared" si="9"/>
        <v>41167.64583</v>
      </c>
      <c r="H3185" s="6" t="str">
        <f t="shared" si="6"/>
        <v/>
      </c>
      <c r="I3185" s="2">
        <f t="shared" si="7"/>
        <v>1426.89</v>
      </c>
      <c r="M3185" s="10">
        <f>IFERROR(__xludf.DUMMYFUNCTION("""COMPUTED_VALUE"""),42599.66666666667)</f>
        <v>42599.66667</v>
      </c>
      <c r="N3185" s="2">
        <f>IFERROR(__xludf.DUMMYFUNCTION("""COMPUTED_VALUE"""),5228.66)</f>
        <v>5228.66</v>
      </c>
    </row>
    <row r="3186">
      <c r="A3186" s="10">
        <f t="shared" si="8"/>
        <v>41168.66667</v>
      </c>
      <c r="B3186" s="2" t="str">
        <f t="shared" si="2"/>
        <v/>
      </c>
      <c r="C3186" s="2" t="str">
        <f t="shared" si="3"/>
        <v>SP500</v>
      </c>
      <c r="D3186" s="2" t="str">
        <f t="shared" si="4"/>
        <v/>
      </c>
      <c r="E3186" s="2">
        <f t="shared" si="5"/>
        <v>3183.95</v>
      </c>
      <c r="G3186" s="10">
        <f t="shared" si="9"/>
        <v>41168.64583</v>
      </c>
      <c r="H3186" s="6" t="str">
        <f t="shared" si="6"/>
        <v/>
      </c>
      <c r="I3186" s="2">
        <f t="shared" si="7"/>
        <v>1426.89</v>
      </c>
      <c r="M3186" s="10">
        <f>IFERROR(__xludf.DUMMYFUNCTION("""COMPUTED_VALUE"""),42600.66666666667)</f>
        <v>42600.66667</v>
      </c>
      <c r="N3186" s="2">
        <f>IFERROR(__xludf.DUMMYFUNCTION("""COMPUTED_VALUE"""),5240.15)</f>
        <v>5240.15</v>
      </c>
    </row>
    <row r="3187">
      <c r="A3187" s="10">
        <f t="shared" si="8"/>
        <v>41169.66667</v>
      </c>
      <c r="B3187" s="2" t="str">
        <f t="shared" si="2"/>
        <v/>
      </c>
      <c r="C3187" s="2" t="str">
        <f t="shared" si="3"/>
        <v>SP500</v>
      </c>
      <c r="D3187" s="2">
        <f t="shared" si="4"/>
        <v>3178.67</v>
      </c>
      <c r="E3187" s="2">
        <f t="shared" si="5"/>
        <v>3178.67</v>
      </c>
      <c r="G3187" s="10">
        <f t="shared" si="9"/>
        <v>41169.64583</v>
      </c>
      <c r="H3187" s="6" t="str">
        <f t="shared" si="6"/>
        <v/>
      </c>
      <c r="I3187" s="2">
        <f t="shared" si="7"/>
        <v>1426.89</v>
      </c>
      <c r="M3187" s="10">
        <f>IFERROR(__xludf.DUMMYFUNCTION("""COMPUTED_VALUE"""),42601.66666666667)</f>
        <v>42601.66667</v>
      </c>
      <c r="N3187" s="2">
        <f>IFERROR(__xludf.DUMMYFUNCTION("""COMPUTED_VALUE"""),5238.38)</f>
        <v>5238.38</v>
      </c>
    </row>
    <row r="3188">
      <c r="A3188" s="10">
        <f t="shared" si="8"/>
        <v>41170.66667</v>
      </c>
      <c r="B3188" s="2" t="str">
        <f t="shared" si="2"/>
        <v/>
      </c>
      <c r="C3188" s="2" t="str">
        <f t="shared" si="3"/>
        <v>SP500</v>
      </c>
      <c r="D3188" s="2">
        <f t="shared" si="4"/>
        <v>3177.8</v>
      </c>
      <c r="E3188" s="2">
        <f t="shared" si="5"/>
        <v>3177.8</v>
      </c>
      <c r="G3188" s="10">
        <f t="shared" si="9"/>
        <v>41170.64583</v>
      </c>
      <c r="H3188" s="6" t="str">
        <f t="shared" si="6"/>
        <v/>
      </c>
      <c r="I3188" s="2">
        <f t="shared" si="7"/>
        <v>1426.89</v>
      </c>
      <c r="M3188" s="10">
        <f>IFERROR(__xludf.DUMMYFUNCTION("""COMPUTED_VALUE"""),42604.66666666667)</f>
        <v>42604.66667</v>
      </c>
      <c r="N3188" s="2">
        <f>IFERROR(__xludf.DUMMYFUNCTION("""COMPUTED_VALUE"""),5244.6)</f>
        <v>5244.6</v>
      </c>
    </row>
    <row r="3189">
      <c r="A3189" s="10">
        <f t="shared" si="8"/>
        <v>41171.66667</v>
      </c>
      <c r="B3189" s="2" t="str">
        <f t="shared" si="2"/>
        <v/>
      </c>
      <c r="C3189" s="2" t="str">
        <f t="shared" si="3"/>
        <v>SP500</v>
      </c>
      <c r="D3189" s="2">
        <f t="shared" si="4"/>
        <v>3182.62</v>
      </c>
      <c r="E3189" s="2">
        <f t="shared" si="5"/>
        <v>3182.62</v>
      </c>
      <c r="G3189" s="10">
        <f t="shared" si="9"/>
        <v>41171.64583</v>
      </c>
      <c r="H3189" s="6" t="str">
        <f t="shared" si="6"/>
        <v/>
      </c>
      <c r="I3189" s="2">
        <f t="shared" si="7"/>
        <v>1426.89</v>
      </c>
      <c r="M3189" s="10">
        <f>IFERROR(__xludf.DUMMYFUNCTION("""COMPUTED_VALUE"""),42605.66666666667)</f>
        <v>42605.66667</v>
      </c>
      <c r="N3189" s="2">
        <f>IFERROR(__xludf.DUMMYFUNCTION("""COMPUTED_VALUE"""),5260.08)</f>
        <v>5260.08</v>
      </c>
    </row>
    <row r="3190">
      <c r="A3190" s="10">
        <f t="shared" si="8"/>
        <v>41172.66667</v>
      </c>
      <c r="B3190" s="2" t="str">
        <f t="shared" si="2"/>
        <v/>
      </c>
      <c r="C3190" s="2" t="str">
        <f t="shared" si="3"/>
        <v>SP500</v>
      </c>
      <c r="D3190" s="2">
        <f t="shared" si="4"/>
        <v>3175.96</v>
      </c>
      <c r="E3190" s="2">
        <f t="shared" si="5"/>
        <v>3175.96</v>
      </c>
      <c r="G3190" s="10">
        <f t="shared" si="9"/>
        <v>41172.64583</v>
      </c>
      <c r="H3190" s="6" t="str">
        <f t="shared" si="6"/>
        <v/>
      </c>
      <c r="I3190" s="2">
        <f t="shared" si="7"/>
        <v>1426.89</v>
      </c>
      <c r="M3190" s="10">
        <f>IFERROR(__xludf.DUMMYFUNCTION("""COMPUTED_VALUE"""),42606.66666666667)</f>
        <v>42606.66667</v>
      </c>
      <c r="N3190" s="2">
        <f>IFERROR(__xludf.DUMMYFUNCTION("""COMPUTED_VALUE"""),5217.69)</f>
        <v>5217.69</v>
      </c>
    </row>
    <row r="3191">
      <c r="A3191" s="10">
        <f t="shared" si="8"/>
        <v>41173.66667</v>
      </c>
      <c r="B3191" s="2" t="str">
        <f t="shared" si="2"/>
        <v/>
      </c>
      <c r="C3191" s="2" t="str">
        <f t="shared" si="3"/>
        <v>SP500</v>
      </c>
      <c r="D3191" s="2">
        <f t="shared" si="4"/>
        <v>3179.96</v>
      </c>
      <c r="E3191" s="2">
        <f t="shared" si="5"/>
        <v>3179.96</v>
      </c>
      <c r="G3191" s="10">
        <f t="shared" si="9"/>
        <v>41173.64583</v>
      </c>
      <c r="H3191" s="6" t="str">
        <f t="shared" si="6"/>
        <v/>
      </c>
      <c r="I3191" s="2">
        <f t="shared" si="7"/>
        <v>1426.89</v>
      </c>
      <c r="M3191" s="10">
        <f>IFERROR(__xludf.DUMMYFUNCTION("""COMPUTED_VALUE"""),42607.66666666667)</f>
        <v>42607.66667</v>
      </c>
      <c r="N3191" s="2">
        <f>IFERROR(__xludf.DUMMYFUNCTION("""COMPUTED_VALUE"""),5212.2)</f>
        <v>5212.2</v>
      </c>
    </row>
    <row r="3192">
      <c r="A3192" s="10">
        <f t="shared" si="8"/>
        <v>41174.66667</v>
      </c>
      <c r="B3192" s="2" t="str">
        <f t="shared" si="2"/>
        <v/>
      </c>
      <c r="C3192" s="2" t="str">
        <f t="shared" si="3"/>
        <v>SP500</v>
      </c>
      <c r="D3192" s="2" t="str">
        <f t="shared" si="4"/>
        <v/>
      </c>
      <c r="E3192" s="2">
        <f t="shared" si="5"/>
        <v>3179.96</v>
      </c>
      <c r="G3192" s="10">
        <f t="shared" si="9"/>
        <v>41174.64583</v>
      </c>
      <c r="H3192" s="6" t="str">
        <f t="shared" si="6"/>
        <v/>
      </c>
      <c r="I3192" s="2">
        <f t="shared" si="7"/>
        <v>1426.89</v>
      </c>
      <c r="M3192" s="10">
        <f>IFERROR(__xludf.DUMMYFUNCTION("""COMPUTED_VALUE"""),42608.66666666667)</f>
        <v>42608.66667</v>
      </c>
      <c r="N3192" s="2">
        <f>IFERROR(__xludf.DUMMYFUNCTION("""COMPUTED_VALUE"""),5218.92)</f>
        <v>5218.92</v>
      </c>
    </row>
    <row r="3193">
      <c r="A3193" s="10">
        <f t="shared" si="8"/>
        <v>41175.66667</v>
      </c>
      <c r="B3193" s="2" t="str">
        <f t="shared" si="2"/>
        <v/>
      </c>
      <c r="C3193" s="2" t="str">
        <f t="shared" si="3"/>
        <v>SP500</v>
      </c>
      <c r="D3193" s="2" t="str">
        <f t="shared" si="4"/>
        <v/>
      </c>
      <c r="E3193" s="2">
        <f t="shared" si="5"/>
        <v>3179.96</v>
      </c>
      <c r="G3193" s="10">
        <f t="shared" si="9"/>
        <v>41175.64583</v>
      </c>
      <c r="H3193" s="6" t="str">
        <f t="shared" si="6"/>
        <v/>
      </c>
      <c r="I3193" s="2">
        <f t="shared" si="7"/>
        <v>1426.89</v>
      </c>
      <c r="M3193" s="10">
        <f>IFERROR(__xludf.DUMMYFUNCTION("""COMPUTED_VALUE"""),42611.66666666667)</f>
        <v>42611.66667</v>
      </c>
      <c r="N3193" s="2">
        <f>IFERROR(__xludf.DUMMYFUNCTION("""COMPUTED_VALUE"""),5232.33)</f>
        <v>5232.33</v>
      </c>
    </row>
    <row r="3194">
      <c r="A3194" s="10">
        <f t="shared" si="8"/>
        <v>41176.66667</v>
      </c>
      <c r="B3194" s="2" t="str">
        <f t="shared" si="2"/>
        <v/>
      </c>
      <c r="C3194" s="2" t="str">
        <f t="shared" si="3"/>
        <v>SP500</v>
      </c>
      <c r="D3194" s="2">
        <f t="shared" si="4"/>
        <v>3160.78</v>
      </c>
      <c r="E3194" s="2">
        <f t="shared" si="5"/>
        <v>3160.78</v>
      </c>
      <c r="G3194" s="10">
        <f t="shared" si="9"/>
        <v>41176.64583</v>
      </c>
      <c r="H3194" s="6" t="str">
        <f t="shared" si="6"/>
        <v/>
      </c>
      <c r="I3194" s="2">
        <f t="shared" si="7"/>
        <v>1426.89</v>
      </c>
      <c r="M3194" s="10">
        <f>IFERROR(__xludf.DUMMYFUNCTION("""COMPUTED_VALUE"""),42612.66666666667)</f>
        <v>42612.66667</v>
      </c>
      <c r="N3194" s="2">
        <f>IFERROR(__xludf.DUMMYFUNCTION("""COMPUTED_VALUE"""),5222.99)</f>
        <v>5222.99</v>
      </c>
    </row>
    <row r="3195">
      <c r="A3195" s="10">
        <f t="shared" si="8"/>
        <v>41177.66667</v>
      </c>
      <c r="B3195" s="2" t="str">
        <f t="shared" si="2"/>
        <v/>
      </c>
      <c r="C3195" s="2" t="str">
        <f t="shared" si="3"/>
        <v>SP500</v>
      </c>
      <c r="D3195" s="2">
        <f t="shared" si="4"/>
        <v>3117.73</v>
      </c>
      <c r="E3195" s="2">
        <f t="shared" si="5"/>
        <v>3117.73</v>
      </c>
      <c r="G3195" s="10">
        <f t="shared" si="9"/>
        <v>41177.64583</v>
      </c>
      <c r="H3195" s="6" t="str">
        <f t="shared" si="6"/>
        <v/>
      </c>
      <c r="I3195" s="2">
        <f t="shared" si="7"/>
        <v>1426.89</v>
      </c>
      <c r="M3195" s="10">
        <f>IFERROR(__xludf.DUMMYFUNCTION("""COMPUTED_VALUE"""),42613.66666666667)</f>
        <v>42613.66667</v>
      </c>
      <c r="N3195" s="2">
        <f>IFERROR(__xludf.DUMMYFUNCTION("""COMPUTED_VALUE"""),5213.22)</f>
        <v>5213.22</v>
      </c>
    </row>
    <row r="3196">
      <c r="A3196" s="10">
        <f t="shared" si="8"/>
        <v>41178.66667</v>
      </c>
      <c r="B3196" s="2" t="str">
        <f t="shared" si="2"/>
        <v/>
      </c>
      <c r="C3196" s="2" t="str">
        <f t="shared" si="3"/>
        <v>SP500</v>
      </c>
      <c r="D3196" s="2">
        <f t="shared" si="4"/>
        <v>3093.7</v>
      </c>
      <c r="E3196" s="2">
        <f t="shared" si="5"/>
        <v>3093.7</v>
      </c>
      <c r="G3196" s="10">
        <f t="shared" si="9"/>
        <v>41178.64583</v>
      </c>
      <c r="H3196" s="6" t="str">
        <f t="shared" si="6"/>
        <v/>
      </c>
      <c r="I3196" s="2">
        <f t="shared" si="7"/>
        <v>1426.89</v>
      </c>
      <c r="M3196" s="10">
        <f>IFERROR(__xludf.DUMMYFUNCTION("""COMPUTED_VALUE"""),42614.66666666667)</f>
        <v>42614.66667</v>
      </c>
      <c r="N3196" s="2">
        <f>IFERROR(__xludf.DUMMYFUNCTION("""COMPUTED_VALUE"""),5227.21)</f>
        <v>5227.21</v>
      </c>
    </row>
    <row r="3197">
      <c r="A3197" s="10">
        <f t="shared" si="8"/>
        <v>41179.66667</v>
      </c>
      <c r="B3197" s="2" t="str">
        <f t="shared" si="2"/>
        <v/>
      </c>
      <c r="C3197" s="2" t="str">
        <f t="shared" si="3"/>
        <v>SP500</v>
      </c>
      <c r="D3197" s="2">
        <f t="shared" si="4"/>
        <v>3136.6</v>
      </c>
      <c r="E3197" s="2">
        <f t="shared" si="5"/>
        <v>3136.6</v>
      </c>
      <c r="G3197" s="10">
        <f t="shared" si="9"/>
        <v>41179.64583</v>
      </c>
      <c r="H3197" s="6" t="str">
        <f t="shared" si="6"/>
        <v/>
      </c>
      <c r="I3197" s="2">
        <f t="shared" si="7"/>
        <v>1426.89</v>
      </c>
      <c r="M3197" s="10">
        <f>IFERROR(__xludf.DUMMYFUNCTION("""COMPUTED_VALUE"""),42615.66666666667)</f>
        <v>42615.66667</v>
      </c>
      <c r="N3197" s="2">
        <f>IFERROR(__xludf.DUMMYFUNCTION("""COMPUTED_VALUE"""),5249.9)</f>
        <v>5249.9</v>
      </c>
    </row>
    <row r="3198">
      <c r="A3198" s="10">
        <f t="shared" si="8"/>
        <v>41180.66667</v>
      </c>
      <c r="B3198" s="2" t="str">
        <f t="shared" si="2"/>
        <v/>
      </c>
      <c r="C3198" s="2" t="str">
        <f t="shared" si="3"/>
        <v>SP500</v>
      </c>
      <c r="D3198" s="2">
        <f t="shared" si="4"/>
        <v>3116.23</v>
      </c>
      <c r="E3198" s="2">
        <f t="shared" si="5"/>
        <v>3116.23</v>
      </c>
      <c r="G3198" s="10">
        <f t="shared" si="9"/>
        <v>41180.64583</v>
      </c>
      <c r="H3198" s="6" t="str">
        <f t="shared" si="6"/>
        <v/>
      </c>
      <c r="I3198" s="2">
        <f t="shared" si="7"/>
        <v>1426.89</v>
      </c>
      <c r="M3198" s="10">
        <f>IFERROR(__xludf.DUMMYFUNCTION("""COMPUTED_VALUE"""),42619.66666666667)</f>
        <v>42619.66667</v>
      </c>
      <c r="N3198" s="2">
        <f>IFERROR(__xludf.DUMMYFUNCTION("""COMPUTED_VALUE"""),5275.91)</f>
        <v>5275.91</v>
      </c>
    </row>
    <row r="3199">
      <c r="A3199" s="10">
        <f t="shared" si="8"/>
        <v>41181.66667</v>
      </c>
      <c r="B3199" s="2" t="str">
        <f t="shared" si="2"/>
        <v/>
      </c>
      <c r="C3199" s="2" t="str">
        <f t="shared" si="3"/>
        <v>SP500</v>
      </c>
      <c r="D3199" s="2" t="str">
        <f t="shared" si="4"/>
        <v/>
      </c>
      <c r="E3199" s="2">
        <f t="shared" si="5"/>
        <v>3116.23</v>
      </c>
      <c r="G3199" s="10">
        <f t="shared" si="9"/>
        <v>41181.64583</v>
      </c>
      <c r="H3199" s="6" t="str">
        <f t="shared" si="6"/>
        <v/>
      </c>
      <c r="I3199" s="2">
        <f t="shared" si="7"/>
        <v>1426.89</v>
      </c>
      <c r="M3199" s="10">
        <f>IFERROR(__xludf.DUMMYFUNCTION("""COMPUTED_VALUE"""),42620.66666666667)</f>
        <v>42620.66667</v>
      </c>
      <c r="N3199" s="2">
        <f>IFERROR(__xludf.DUMMYFUNCTION("""COMPUTED_VALUE"""),5283.93)</f>
        <v>5283.93</v>
      </c>
    </row>
    <row r="3200">
      <c r="A3200" s="10">
        <f t="shared" si="8"/>
        <v>41182.66667</v>
      </c>
      <c r="B3200" s="2" t="str">
        <f t="shared" si="2"/>
        <v/>
      </c>
      <c r="C3200" s="2" t="str">
        <f t="shared" si="3"/>
        <v>SP500</v>
      </c>
      <c r="D3200" s="2" t="str">
        <f t="shared" si="4"/>
        <v/>
      </c>
      <c r="E3200" s="2">
        <f t="shared" si="5"/>
        <v>3116.23</v>
      </c>
      <c r="G3200" s="10">
        <f t="shared" si="9"/>
        <v>41182.64583</v>
      </c>
      <c r="H3200" s="6" t="str">
        <f t="shared" si="6"/>
        <v/>
      </c>
      <c r="I3200" s="2">
        <f t="shared" si="7"/>
        <v>1426.89</v>
      </c>
      <c r="M3200" s="10">
        <f>IFERROR(__xludf.DUMMYFUNCTION("""COMPUTED_VALUE"""),42621.66666666667)</f>
        <v>42621.66667</v>
      </c>
      <c r="N3200" s="2">
        <f>IFERROR(__xludf.DUMMYFUNCTION("""COMPUTED_VALUE"""),5259.48)</f>
        <v>5259.48</v>
      </c>
    </row>
    <row r="3201">
      <c r="A3201" s="10">
        <f t="shared" si="8"/>
        <v>41183.66667</v>
      </c>
      <c r="B3201" s="2" t="str">
        <f t="shared" si="2"/>
        <v/>
      </c>
      <c r="C3201" s="2" t="str">
        <f t="shared" si="3"/>
        <v>SP500</v>
      </c>
      <c r="D3201" s="2">
        <f t="shared" si="4"/>
        <v>3113.53</v>
      </c>
      <c r="E3201" s="2">
        <f t="shared" si="5"/>
        <v>3113.53</v>
      </c>
      <c r="G3201" s="10">
        <f t="shared" si="9"/>
        <v>41183.64583</v>
      </c>
      <c r="H3201" s="6" t="str">
        <f t="shared" si="6"/>
        <v/>
      </c>
      <c r="I3201" s="2">
        <f t="shared" si="7"/>
        <v>1426.89</v>
      </c>
      <c r="M3201" s="10">
        <f>IFERROR(__xludf.DUMMYFUNCTION("""COMPUTED_VALUE"""),42622.66666666667)</f>
        <v>42622.66667</v>
      </c>
      <c r="N3201" s="2">
        <f>IFERROR(__xludf.DUMMYFUNCTION("""COMPUTED_VALUE"""),5125.91)</f>
        <v>5125.91</v>
      </c>
    </row>
    <row r="3202">
      <c r="A3202" s="10">
        <f t="shared" si="8"/>
        <v>41184.66667</v>
      </c>
      <c r="B3202" s="2" t="str">
        <f t="shared" si="2"/>
        <v/>
      </c>
      <c r="C3202" s="2" t="str">
        <f t="shared" si="3"/>
        <v>SP500</v>
      </c>
      <c r="D3202" s="2">
        <f t="shared" si="4"/>
        <v>3120.04</v>
      </c>
      <c r="E3202" s="2">
        <f t="shared" si="5"/>
        <v>3120.04</v>
      </c>
      <c r="G3202" s="10">
        <f t="shared" si="9"/>
        <v>41184.64583</v>
      </c>
      <c r="H3202" s="6" t="str">
        <f t="shared" si="6"/>
        <v/>
      </c>
      <c r="I3202" s="2">
        <f t="shared" si="7"/>
        <v>1426.89</v>
      </c>
      <c r="M3202" s="10">
        <f>IFERROR(__xludf.DUMMYFUNCTION("""COMPUTED_VALUE"""),42625.66666666667)</f>
        <v>42625.66667</v>
      </c>
      <c r="N3202" s="2">
        <f>IFERROR(__xludf.DUMMYFUNCTION("""COMPUTED_VALUE"""),5211.89)</f>
        <v>5211.89</v>
      </c>
    </row>
    <row r="3203">
      <c r="A3203" s="10">
        <f t="shared" si="8"/>
        <v>41185.66667</v>
      </c>
      <c r="B3203" s="2" t="str">
        <f t="shared" si="2"/>
        <v/>
      </c>
      <c r="C3203" s="2" t="str">
        <f t="shared" si="3"/>
        <v>SP500</v>
      </c>
      <c r="D3203" s="2">
        <f t="shared" si="4"/>
        <v>3135.23</v>
      </c>
      <c r="E3203" s="2">
        <f t="shared" si="5"/>
        <v>3135.23</v>
      </c>
      <c r="G3203" s="10">
        <f t="shared" si="9"/>
        <v>41185.64583</v>
      </c>
      <c r="H3203" s="6" t="str">
        <f t="shared" si="6"/>
        <v/>
      </c>
      <c r="I3203" s="2">
        <f t="shared" si="7"/>
        <v>1426.89</v>
      </c>
      <c r="M3203" s="10">
        <f>IFERROR(__xludf.DUMMYFUNCTION("""COMPUTED_VALUE"""),42626.66666666667)</f>
        <v>42626.66667</v>
      </c>
      <c r="N3203" s="2">
        <f>IFERROR(__xludf.DUMMYFUNCTION("""COMPUTED_VALUE"""),5155.25)</f>
        <v>5155.25</v>
      </c>
    </row>
    <row r="3204">
      <c r="A3204" s="10">
        <f t="shared" si="8"/>
        <v>41186.66667</v>
      </c>
      <c r="B3204" s="2" t="str">
        <f t="shared" si="2"/>
        <v/>
      </c>
      <c r="C3204" s="2" t="str">
        <f t="shared" si="3"/>
        <v>SP500</v>
      </c>
      <c r="D3204" s="2">
        <f t="shared" si="4"/>
        <v>3149.46</v>
      </c>
      <c r="E3204" s="2">
        <f t="shared" si="5"/>
        <v>3149.46</v>
      </c>
      <c r="G3204" s="10">
        <f t="shared" si="9"/>
        <v>41186.64583</v>
      </c>
      <c r="H3204" s="6" t="str">
        <f t="shared" si="6"/>
        <v/>
      </c>
      <c r="I3204" s="2">
        <f t="shared" si="7"/>
        <v>1426.89</v>
      </c>
      <c r="M3204" s="10">
        <f>IFERROR(__xludf.DUMMYFUNCTION("""COMPUTED_VALUE"""),42627.66666666667)</f>
        <v>42627.66667</v>
      </c>
      <c r="N3204" s="2">
        <f>IFERROR(__xludf.DUMMYFUNCTION("""COMPUTED_VALUE"""),5173.77)</f>
        <v>5173.77</v>
      </c>
    </row>
    <row r="3205">
      <c r="A3205" s="10">
        <f t="shared" si="8"/>
        <v>41187.66667</v>
      </c>
      <c r="B3205" s="2" t="str">
        <f t="shared" si="2"/>
        <v/>
      </c>
      <c r="C3205" s="2" t="str">
        <f t="shared" si="3"/>
        <v>SP500</v>
      </c>
      <c r="D3205" s="2">
        <f t="shared" si="4"/>
        <v>3136.19</v>
      </c>
      <c r="E3205" s="2">
        <f t="shared" si="5"/>
        <v>3136.19</v>
      </c>
      <c r="G3205" s="10">
        <f t="shared" si="9"/>
        <v>41187.64583</v>
      </c>
      <c r="H3205" s="6" t="str">
        <f t="shared" si="6"/>
        <v/>
      </c>
      <c r="I3205" s="2">
        <f t="shared" si="7"/>
        <v>1426.89</v>
      </c>
      <c r="M3205" s="10">
        <f>IFERROR(__xludf.DUMMYFUNCTION("""COMPUTED_VALUE"""),42628.66666666667)</f>
        <v>42628.66667</v>
      </c>
      <c r="N3205" s="2">
        <f>IFERROR(__xludf.DUMMYFUNCTION("""COMPUTED_VALUE"""),5249.69)</f>
        <v>5249.69</v>
      </c>
    </row>
    <row r="3206">
      <c r="A3206" s="10">
        <f t="shared" si="8"/>
        <v>41188.66667</v>
      </c>
      <c r="B3206" s="2" t="str">
        <f t="shared" si="2"/>
        <v/>
      </c>
      <c r="C3206" s="2" t="str">
        <f t="shared" si="3"/>
        <v>SP500</v>
      </c>
      <c r="D3206" s="2" t="str">
        <f t="shared" si="4"/>
        <v/>
      </c>
      <c r="E3206" s="2">
        <f t="shared" si="5"/>
        <v>3136.19</v>
      </c>
      <c r="G3206" s="10">
        <f t="shared" si="9"/>
        <v>41188.64583</v>
      </c>
      <c r="H3206" s="6" t="str">
        <f t="shared" si="6"/>
        <v/>
      </c>
      <c r="I3206" s="2">
        <f t="shared" si="7"/>
        <v>1426.89</v>
      </c>
      <c r="M3206" s="10">
        <f>IFERROR(__xludf.DUMMYFUNCTION("""COMPUTED_VALUE"""),42629.66666666667)</f>
        <v>42629.66667</v>
      </c>
      <c r="N3206" s="2">
        <f>IFERROR(__xludf.DUMMYFUNCTION("""COMPUTED_VALUE"""),5244.57)</f>
        <v>5244.57</v>
      </c>
    </row>
    <row r="3207">
      <c r="A3207" s="10">
        <f t="shared" si="8"/>
        <v>41189.66667</v>
      </c>
      <c r="B3207" s="2" t="str">
        <f t="shared" si="2"/>
        <v/>
      </c>
      <c r="C3207" s="2" t="str">
        <f t="shared" si="3"/>
        <v>SP500</v>
      </c>
      <c r="D3207" s="2" t="str">
        <f t="shared" si="4"/>
        <v/>
      </c>
      <c r="E3207" s="2">
        <f t="shared" si="5"/>
        <v>3136.19</v>
      </c>
      <c r="G3207" s="10">
        <f t="shared" si="9"/>
        <v>41189.64583</v>
      </c>
      <c r="H3207" s="6" t="str">
        <f t="shared" si="6"/>
        <v/>
      </c>
      <c r="I3207" s="2">
        <f t="shared" si="7"/>
        <v>1426.89</v>
      </c>
      <c r="M3207" s="10">
        <f>IFERROR(__xludf.DUMMYFUNCTION("""COMPUTED_VALUE"""),42632.66666666667)</f>
        <v>42632.66667</v>
      </c>
      <c r="N3207" s="2">
        <f>IFERROR(__xludf.DUMMYFUNCTION("""COMPUTED_VALUE"""),5235.03)</f>
        <v>5235.03</v>
      </c>
    </row>
    <row r="3208">
      <c r="A3208" s="10">
        <f t="shared" si="8"/>
        <v>41190.66667</v>
      </c>
      <c r="B3208" s="2" t="str">
        <f t="shared" si="2"/>
        <v/>
      </c>
      <c r="C3208" s="2" t="str">
        <f t="shared" si="3"/>
        <v>SP500</v>
      </c>
      <c r="D3208" s="2">
        <f t="shared" si="4"/>
        <v>3112.35</v>
      </c>
      <c r="E3208" s="2">
        <f t="shared" si="5"/>
        <v>3112.35</v>
      </c>
      <c r="G3208" s="10">
        <f t="shared" si="9"/>
        <v>41190.64583</v>
      </c>
      <c r="H3208" s="6" t="str">
        <f t="shared" si="6"/>
        <v/>
      </c>
      <c r="I3208" s="2">
        <f t="shared" si="7"/>
        <v>1426.89</v>
      </c>
      <c r="M3208" s="10">
        <f>IFERROR(__xludf.DUMMYFUNCTION("""COMPUTED_VALUE"""),42633.66666666667)</f>
        <v>42633.66667</v>
      </c>
      <c r="N3208" s="2">
        <f>IFERROR(__xludf.DUMMYFUNCTION("""COMPUTED_VALUE"""),5241.35)</f>
        <v>5241.35</v>
      </c>
    </row>
    <row r="3209">
      <c r="A3209" s="10">
        <f t="shared" si="8"/>
        <v>41191.66667</v>
      </c>
      <c r="B3209" s="2" t="str">
        <f t="shared" si="2"/>
        <v/>
      </c>
      <c r="C3209" s="2" t="str">
        <f t="shared" si="3"/>
        <v>SP500</v>
      </c>
      <c r="D3209" s="2">
        <f t="shared" si="4"/>
        <v>3065.02</v>
      </c>
      <c r="E3209" s="2">
        <f t="shared" si="5"/>
        <v>3065.02</v>
      </c>
      <c r="G3209" s="10">
        <f t="shared" si="9"/>
        <v>41191.64583</v>
      </c>
      <c r="H3209" s="6" t="str">
        <f t="shared" si="6"/>
        <v/>
      </c>
      <c r="I3209" s="2">
        <f t="shared" si="7"/>
        <v>1426.89</v>
      </c>
      <c r="M3209" s="10">
        <f>IFERROR(__xludf.DUMMYFUNCTION("""COMPUTED_VALUE"""),42634.66666666667)</f>
        <v>42634.66667</v>
      </c>
      <c r="N3209" s="2">
        <f>IFERROR(__xludf.DUMMYFUNCTION("""COMPUTED_VALUE"""),5295.18)</f>
        <v>5295.18</v>
      </c>
    </row>
    <row r="3210">
      <c r="A3210" s="10">
        <f t="shared" si="8"/>
        <v>41192.66667</v>
      </c>
      <c r="B3210" s="2" t="str">
        <f t="shared" si="2"/>
        <v/>
      </c>
      <c r="C3210" s="2" t="str">
        <f t="shared" si="3"/>
        <v>SP500</v>
      </c>
      <c r="D3210" s="2">
        <f t="shared" si="4"/>
        <v>3051.78</v>
      </c>
      <c r="E3210" s="2">
        <f t="shared" si="5"/>
        <v>3051.78</v>
      </c>
      <c r="G3210" s="10">
        <f t="shared" si="9"/>
        <v>41192.64583</v>
      </c>
      <c r="H3210" s="6" t="str">
        <f t="shared" si="6"/>
        <v/>
      </c>
      <c r="I3210" s="2">
        <f t="shared" si="7"/>
        <v>1426.89</v>
      </c>
      <c r="M3210" s="10">
        <f>IFERROR(__xludf.DUMMYFUNCTION("""COMPUTED_VALUE"""),42635.66666666667)</f>
        <v>42635.66667</v>
      </c>
      <c r="N3210" s="2">
        <f>IFERROR(__xludf.DUMMYFUNCTION("""COMPUTED_VALUE"""),5339.52)</f>
        <v>5339.52</v>
      </c>
    </row>
    <row r="3211">
      <c r="A3211" s="10">
        <f t="shared" si="8"/>
        <v>41193.66667</v>
      </c>
      <c r="B3211" s="2" t="str">
        <f t="shared" si="2"/>
        <v/>
      </c>
      <c r="C3211" s="2" t="str">
        <f t="shared" si="3"/>
        <v>SP500</v>
      </c>
      <c r="D3211" s="2">
        <f t="shared" si="4"/>
        <v>3049.41</v>
      </c>
      <c r="E3211" s="2">
        <f t="shared" si="5"/>
        <v>3049.41</v>
      </c>
      <c r="G3211" s="10">
        <f t="shared" si="9"/>
        <v>41193.64583</v>
      </c>
      <c r="H3211" s="6" t="str">
        <f t="shared" si="6"/>
        <v/>
      </c>
      <c r="I3211" s="2">
        <f t="shared" si="7"/>
        <v>1426.89</v>
      </c>
      <c r="M3211" s="10">
        <f>IFERROR(__xludf.DUMMYFUNCTION("""COMPUTED_VALUE"""),42636.66666666667)</f>
        <v>42636.66667</v>
      </c>
      <c r="N3211" s="2">
        <f>IFERROR(__xludf.DUMMYFUNCTION("""COMPUTED_VALUE"""),5305.75)</f>
        <v>5305.75</v>
      </c>
    </row>
    <row r="3212">
      <c r="A3212" s="10">
        <f t="shared" si="8"/>
        <v>41194.66667</v>
      </c>
      <c r="B3212" s="2" t="str">
        <f t="shared" si="2"/>
        <v/>
      </c>
      <c r="C3212" s="2" t="str">
        <f t="shared" si="3"/>
        <v>SP500</v>
      </c>
      <c r="D3212" s="2">
        <f t="shared" si="4"/>
        <v>3044.11</v>
      </c>
      <c r="E3212" s="2">
        <f t="shared" si="5"/>
        <v>3044.11</v>
      </c>
      <c r="G3212" s="10">
        <f t="shared" si="9"/>
        <v>41194.64583</v>
      </c>
      <c r="H3212" s="6" t="str">
        <f t="shared" si="6"/>
        <v/>
      </c>
      <c r="I3212" s="2">
        <f t="shared" si="7"/>
        <v>1426.89</v>
      </c>
      <c r="M3212" s="10">
        <f>IFERROR(__xludf.DUMMYFUNCTION("""COMPUTED_VALUE"""),42639.66666666667)</f>
        <v>42639.66667</v>
      </c>
      <c r="N3212" s="2">
        <f>IFERROR(__xludf.DUMMYFUNCTION("""COMPUTED_VALUE"""),5257.49)</f>
        <v>5257.49</v>
      </c>
    </row>
    <row r="3213">
      <c r="A3213" s="10">
        <f t="shared" si="8"/>
        <v>41195.66667</v>
      </c>
      <c r="B3213" s="2" t="str">
        <f t="shared" si="2"/>
        <v/>
      </c>
      <c r="C3213" s="2" t="str">
        <f t="shared" si="3"/>
        <v>SP500</v>
      </c>
      <c r="D3213" s="2" t="str">
        <f t="shared" si="4"/>
        <v/>
      </c>
      <c r="E3213" s="2">
        <f t="shared" si="5"/>
        <v>3044.11</v>
      </c>
      <c r="G3213" s="10">
        <f t="shared" si="9"/>
        <v>41195.64583</v>
      </c>
      <c r="H3213" s="6" t="str">
        <f t="shared" si="6"/>
        <v/>
      </c>
      <c r="I3213" s="2">
        <f t="shared" si="7"/>
        <v>1426.89</v>
      </c>
      <c r="M3213" s="10">
        <f>IFERROR(__xludf.DUMMYFUNCTION("""COMPUTED_VALUE"""),42640.66666666667)</f>
        <v>42640.66667</v>
      </c>
      <c r="N3213" s="2">
        <f>IFERROR(__xludf.DUMMYFUNCTION("""COMPUTED_VALUE"""),5305.71)</f>
        <v>5305.71</v>
      </c>
    </row>
    <row r="3214">
      <c r="A3214" s="10">
        <f t="shared" si="8"/>
        <v>41196.66667</v>
      </c>
      <c r="B3214" s="2" t="str">
        <f t="shared" si="2"/>
        <v/>
      </c>
      <c r="C3214" s="2" t="str">
        <f t="shared" si="3"/>
        <v>SP500</v>
      </c>
      <c r="D3214" s="2" t="str">
        <f t="shared" si="4"/>
        <v/>
      </c>
      <c r="E3214" s="2">
        <f t="shared" si="5"/>
        <v>3044.11</v>
      </c>
      <c r="G3214" s="10">
        <f t="shared" si="9"/>
        <v>41196.64583</v>
      </c>
      <c r="H3214" s="6" t="str">
        <f t="shared" si="6"/>
        <v/>
      </c>
      <c r="I3214" s="2">
        <f t="shared" si="7"/>
        <v>1426.89</v>
      </c>
      <c r="M3214" s="10">
        <f>IFERROR(__xludf.DUMMYFUNCTION("""COMPUTED_VALUE"""),42641.66666666667)</f>
        <v>42641.66667</v>
      </c>
      <c r="N3214" s="2">
        <f>IFERROR(__xludf.DUMMYFUNCTION("""COMPUTED_VALUE"""),5318.55)</f>
        <v>5318.55</v>
      </c>
    </row>
    <row r="3215">
      <c r="A3215" s="10">
        <f t="shared" si="8"/>
        <v>41197.66667</v>
      </c>
      <c r="B3215" s="2" t="str">
        <f t="shared" si="2"/>
        <v/>
      </c>
      <c r="C3215" s="2" t="str">
        <f t="shared" si="3"/>
        <v>SP500</v>
      </c>
      <c r="D3215" s="2">
        <f t="shared" si="4"/>
        <v>3064.18</v>
      </c>
      <c r="E3215" s="2">
        <f t="shared" si="5"/>
        <v>3064.18</v>
      </c>
      <c r="G3215" s="10">
        <f t="shared" si="9"/>
        <v>41197.64583</v>
      </c>
      <c r="H3215" s="6" t="str">
        <f t="shared" si="6"/>
        <v/>
      </c>
      <c r="I3215" s="2">
        <f t="shared" si="7"/>
        <v>1426.89</v>
      </c>
      <c r="M3215" s="10">
        <f>IFERROR(__xludf.DUMMYFUNCTION("""COMPUTED_VALUE"""),42642.66666666667)</f>
        <v>42642.66667</v>
      </c>
      <c r="N3215" s="2">
        <f>IFERROR(__xludf.DUMMYFUNCTION("""COMPUTED_VALUE"""),5269.15)</f>
        <v>5269.15</v>
      </c>
    </row>
    <row r="3216">
      <c r="A3216" s="10">
        <f t="shared" si="8"/>
        <v>41198.66667</v>
      </c>
      <c r="B3216" s="2" t="str">
        <f t="shared" si="2"/>
        <v/>
      </c>
      <c r="C3216" s="2" t="str">
        <f t="shared" si="3"/>
        <v>SP500</v>
      </c>
      <c r="D3216" s="2">
        <f t="shared" si="4"/>
        <v>3101.17</v>
      </c>
      <c r="E3216" s="2">
        <f t="shared" si="5"/>
        <v>3101.17</v>
      </c>
      <c r="G3216" s="10">
        <f t="shared" si="9"/>
        <v>41198.64583</v>
      </c>
      <c r="H3216" s="6" t="str">
        <f t="shared" si="6"/>
        <v/>
      </c>
      <c r="I3216" s="2">
        <f t="shared" si="7"/>
        <v>1426.89</v>
      </c>
      <c r="M3216" s="10">
        <f>IFERROR(__xludf.DUMMYFUNCTION("""COMPUTED_VALUE"""),42643.66666666667)</f>
        <v>42643.66667</v>
      </c>
      <c r="N3216" s="2">
        <f>IFERROR(__xludf.DUMMYFUNCTION("""COMPUTED_VALUE"""),5312.0)</f>
        <v>5312</v>
      </c>
    </row>
    <row r="3217">
      <c r="A3217" s="10">
        <f t="shared" si="8"/>
        <v>41199.66667</v>
      </c>
      <c r="B3217" s="2" t="str">
        <f t="shared" si="2"/>
        <v/>
      </c>
      <c r="C3217" s="2" t="str">
        <f t="shared" si="3"/>
        <v>SP500</v>
      </c>
      <c r="D3217" s="2">
        <f t="shared" si="4"/>
        <v>3104.12</v>
      </c>
      <c r="E3217" s="2">
        <f t="shared" si="5"/>
        <v>3104.12</v>
      </c>
      <c r="G3217" s="10">
        <f t="shared" si="9"/>
        <v>41199.64583</v>
      </c>
      <c r="H3217" s="6" t="str">
        <f t="shared" si="6"/>
        <v/>
      </c>
      <c r="I3217" s="2">
        <f t="shared" si="7"/>
        <v>1426.89</v>
      </c>
      <c r="M3217" s="10">
        <f>IFERROR(__xludf.DUMMYFUNCTION("""COMPUTED_VALUE"""),42646.66666666667)</f>
        <v>42646.66667</v>
      </c>
      <c r="N3217" s="2">
        <f>IFERROR(__xludf.DUMMYFUNCTION("""COMPUTED_VALUE"""),5300.87)</f>
        <v>5300.87</v>
      </c>
    </row>
    <row r="3218">
      <c r="A3218" s="10">
        <f t="shared" si="8"/>
        <v>41200.66667</v>
      </c>
      <c r="B3218" s="2" t="str">
        <f t="shared" si="2"/>
        <v/>
      </c>
      <c r="C3218" s="2" t="str">
        <f t="shared" si="3"/>
        <v>SP500</v>
      </c>
      <c r="D3218" s="2">
        <f t="shared" si="4"/>
        <v>3072.87</v>
      </c>
      <c r="E3218" s="2">
        <f t="shared" si="5"/>
        <v>3072.87</v>
      </c>
      <c r="G3218" s="10">
        <f t="shared" si="9"/>
        <v>41200.64583</v>
      </c>
      <c r="H3218" s="6" t="str">
        <f t="shared" si="6"/>
        <v/>
      </c>
      <c r="I3218" s="2">
        <f t="shared" si="7"/>
        <v>1426.89</v>
      </c>
      <c r="M3218" s="10">
        <f>IFERROR(__xludf.DUMMYFUNCTION("""COMPUTED_VALUE"""),42647.66666666667)</f>
        <v>42647.66667</v>
      </c>
      <c r="N3218" s="2">
        <f>IFERROR(__xludf.DUMMYFUNCTION("""COMPUTED_VALUE"""),5289.66)</f>
        <v>5289.66</v>
      </c>
    </row>
    <row r="3219">
      <c r="A3219" s="10">
        <f t="shared" si="8"/>
        <v>41201.66667</v>
      </c>
      <c r="B3219" s="2" t="str">
        <f t="shared" si="2"/>
        <v/>
      </c>
      <c r="C3219" s="2" t="str">
        <f t="shared" si="3"/>
        <v>SP500</v>
      </c>
      <c r="D3219" s="2">
        <f t="shared" si="4"/>
        <v>3005.62</v>
      </c>
      <c r="E3219" s="2">
        <f t="shared" si="5"/>
        <v>3005.62</v>
      </c>
      <c r="G3219" s="10">
        <f t="shared" si="9"/>
        <v>41201.64583</v>
      </c>
      <c r="H3219" s="6" t="str">
        <f t="shared" si="6"/>
        <v/>
      </c>
      <c r="I3219" s="2">
        <f t="shared" si="7"/>
        <v>1426.89</v>
      </c>
      <c r="M3219" s="10">
        <f>IFERROR(__xludf.DUMMYFUNCTION("""COMPUTED_VALUE"""),42648.66666666667)</f>
        <v>42648.66667</v>
      </c>
      <c r="N3219" s="2">
        <f>IFERROR(__xludf.DUMMYFUNCTION("""COMPUTED_VALUE"""),5316.02)</f>
        <v>5316.02</v>
      </c>
    </row>
    <row r="3220">
      <c r="A3220" s="10">
        <f t="shared" si="8"/>
        <v>41202.66667</v>
      </c>
      <c r="B3220" s="2" t="str">
        <f t="shared" si="2"/>
        <v/>
      </c>
      <c r="C3220" s="2" t="str">
        <f t="shared" si="3"/>
        <v>SP500</v>
      </c>
      <c r="D3220" s="2" t="str">
        <f t="shared" si="4"/>
        <v/>
      </c>
      <c r="E3220" s="2">
        <f t="shared" si="5"/>
        <v>3005.62</v>
      </c>
      <c r="G3220" s="10">
        <f t="shared" si="9"/>
        <v>41202.64583</v>
      </c>
      <c r="H3220" s="6" t="str">
        <f t="shared" si="6"/>
        <v/>
      </c>
      <c r="I3220" s="2">
        <f t="shared" si="7"/>
        <v>1426.89</v>
      </c>
      <c r="M3220" s="10">
        <f>IFERROR(__xludf.DUMMYFUNCTION("""COMPUTED_VALUE"""),42649.66666666667)</f>
        <v>42649.66667</v>
      </c>
      <c r="N3220" s="2">
        <f>IFERROR(__xludf.DUMMYFUNCTION("""COMPUTED_VALUE"""),5306.85)</f>
        <v>5306.85</v>
      </c>
    </row>
    <row r="3221">
      <c r="A3221" s="10">
        <f t="shared" si="8"/>
        <v>41203.66667</v>
      </c>
      <c r="B3221" s="2" t="str">
        <f t="shared" si="2"/>
        <v/>
      </c>
      <c r="C3221" s="2" t="str">
        <f t="shared" si="3"/>
        <v>SP500</v>
      </c>
      <c r="D3221" s="2" t="str">
        <f t="shared" si="4"/>
        <v/>
      </c>
      <c r="E3221" s="2">
        <f t="shared" si="5"/>
        <v>3005.62</v>
      </c>
      <c r="G3221" s="10">
        <f t="shared" si="9"/>
        <v>41203.64583</v>
      </c>
      <c r="H3221" s="6" t="str">
        <f t="shared" si="6"/>
        <v/>
      </c>
      <c r="I3221" s="2">
        <f t="shared" si="7"/>
        <v>1426.89</v>
      </c>
      <c r="M3221" s="10">
        <f>IFERROR(__xludf.DUMMYFUNCTION("""COMPUTED_VALUE"""),42650.66666666667)</f>
        <v>42650.66667</v>
      </c>
      <c r="N3221" s="2">
        <f>IFERROR(__xludf.DUMMYFUNCTION("""COMPUTED_VALUE"""),5292.4)</f>
        <v>5292.4</v>
      </c>
    </row>
    <row r="3222">
      <c r="A3222" s="10">
        <f t="shared" si="8"/>
        <v>41204.66667</v>
      </c>
      <c r="B3222" s="2" t="str">
        <f t="shared" si="2"/>
        <v/>
      </c>
      <c r="C3222" s="2" t="str">
        <f t="shared" si="3"/>
        <v>SP500</v>
      </c>
      <c r="D3222" s="2">
        <f t="shared" si="4"/>
        <v>3016.96</v>
      </c>
      <c r="E3222" s="2">
        <f t="shared" si="5"/>
        <v>3016.96</v>
      </c>
      <c r="G3222" s="10">
        <f t="shared" si="9"/>
        <v>41204.64583</v>
      </c>
      <c r="H3222" s="6" t="str">
        <f t="shared" si="6"/>
        <v/>
      </c>
      <c r="I3222" s="2">
        <f t="shared" si="7"/>
        <v>1426.89</v>
      </c>
      <c r="M3222" s="10">
        <f>IFERROR(__xludf.DUMMYFUNCTION("""COMPUTED_VALUE"""),42653.66666666667)</f>
        <v>42653.66667</v>
      </c>
      <c r="N3222" s="2">
        <f>IFERROR(__xludf.DUMMYFUNCTION("""COMPUTED_VALUE"""),5328.67)</f>
        <v>5328.67</v>
      </c>
    </row>
    <row r="3223">
      <c r="A3223" s="10">
        <f t="shared" si="8"/>
        <v>41205.66667</v>
      </c>
      <c r="B3223" s="2" t="str">
        <f t="shared" si="2"/>
        <v/>
      </c>
      <c r="C3223" s="2" t="str">
        <f t="shared" si="3"/>
        <v>SP500</v>
      </c>
      <c r="D3223" s="2">
        <f t="shared" si="4"/>
        <v>2990.46</v>
      </c>
      <c r="E3223" s="2">
        <f t="shared" si="5"/>
        <v>2990.46</v>
      </c>
      <c r="G3223" s="10">
        <f t="shared" si="9"/>
        <v>41205.64583</v>
      </c>
      <c r="H3223" s="6" t="str">
        <f t="shared" si="6"/>
        <v/>
      </c>
      <c r="I3223" s="2">
        <f t="shared" si="7"/>
        <v>1426.89</v>
      </c>
      <c r="M3223" s="10">
        <f>IFERROR(__xludf.DUMMYFUNCTION("""COMPUTED_VALUE"""),42654.66666666667)</f>
        <v>42654.66667</v>
      </c>
      <c r="N3223" s="2">
        <f>IFERROR(__xludf.DUMMYFUNCTION("""COMPUTED_VALUE"""),5246.79)</f>
        <v>5246.79</v>
      </c>
    </row>
    <row r="3224">
      <c r="A3224" s="10">
        <f t="shared" si="8"/>
        <v>41206.66667</v>
      </c>
      <c r="B3224" s="2" t="str">
        <f t="shared" si="2"/>
        <v/>
      </c>
      <c r="C3224" s="2" t="str">
        <f t="shared" si="3"/>
        <v>SP500</v>
      </c>
      <c r="D3224" s="2">
        <f t="shared" si="4"/>
        <v>2981.7</v>
      </c>
      <c r="E3224" s="2">
        <f t="shared" si="5"/>
        <v>2981.7</v>
      </c>
      <c r="G3224" s="10">
        <f t="shared" si="9"/>
        <v>41206.64583</v>
      </c>
      <c r="H3224" s="6" t="str">
        <f t="shared" si="6"/>
        <v/>
      </c>
      <c r="I3224" s="2">
        <f t="shared" si="7"/>
        <v>1426.89</v>
      </c>
      <c r="M3224" s="10">
        <f>IFERROR(__xludf.DUMMYFUNCTION("""COMPUTED_VALUE"""),42655.66666666667)</f>
        <v>42655.66667</v>
      </c>
      <c r="N3224" s="2">
        <f>IFERROR(__xludf.DUMMYFUNCTION("""COMPUTED_VALUE"""),5239.02)</f>
        <v>5239.02</v>
      </c>
    </row>
    <row r="3225">
      <c r="A3225" s="10">
        <f t="shared" si="8"/>
        <v>41207.66667</v>
      </c>
      <c r="B3225" s="2" t="str">
        <f t="shared" si="2"/>
        <v/>
      </c>
      <c r="C3225" s="2" t="str">
        <f t="shared" si="3"/>
        <v>SP500</v>
      </c>
      <c r="D3225" s="2">
        <f t="shared" si="4"/>
        <v>2986.12</v>
      </c>
      <c r="E3225" s="2">
        <f t="shared" si="5"/>
        <v>2986.12</v>
      </c>
      <c r="G3225" s="10">
        <f t="shared" si="9"/>
        <v>41207.64583</v>
      </c>
      <c r="H3225" s="6" t="str">
        <f t="shared" si="6"/>
        <v/>
      </c>
      <c r="I3225" s="2">
        <f t="shared" si="7"/>
        <v>1426.89</v>
      </c>
      <c r="M3225" s="10">
        <f>IFERROR(__xludf.DUMMYFUNCTION("""COMPUTED_VALUE"""),42656.66666666667)</f>
        <v>42656.66667</v>
      </c>
      <c r="N3225" s="2">
        <f>IFERROR(__xludf.DUMMYFUNCTION("""COMPUTED_VALUE"""),5213.33)</f>
        <v>5213.33</v>
      </c>
    </row>
    <row r="3226">
      <c r="A3226" s="10">
        <f t="shared" si="8"/>
        <v>41208.66667</v>
      </c>
      <c r="B3226" s="2" t="str">
        <f t="shared" si="2"/>
        <v/>
      </c>
      <c r="C3226" s="2" t="str">
        <f t="shared" si="3"/>
        <v>SP500</v>
      </c>
      <c r="D3226" s="2">
        <f t="shared" si="4"/>
        <v>2987.95</v>
      </c>
      <c r="E3226" s="2">
        <f t="shared" si="5"/>
        <v>2987.95</v>
      </c>
      <c r="G3226" s="10">
        <f t="shared" si="9"/>
        <v>41208.64583</v>
      </c>
      <c r="H3226" s="6" t="str">
        <f t="shared" si="6"/>
        <v/>
      </c>
      <c r="I3226" s="2">
        <f t="shared" si="7"/>
        <v>1426.89</v>
      </c>
      <c r="M3226" s="10">
        <f>IFERROR(__xludf.DUMMYFUNCTION("""COMPUTED_VALUE"""),42657.66666666667)</f>
        <v>42657.66667</v>
      </c>
      <c r="N3226" s="2">
        <f>IFERROR(__xludf.DUMMYFUNCTION("""COMPUTED_VALUE"""),5214.16)</f>
        <v>5214.16</v>
      </c>
    </row>
    <row r="3227">
      <c r="A3227" s="10">
        <f t="shared" si="8"/>
        <v>41209.66667</v>
      </c>
      <c r="B3227" s="2" t="str">
        <f t="shared" si="2"/>
        <v/>
      </c>
      <c r="C3227" s="2" t="str">
        <f t="shared" si="3"/>
        <v>SP500</v>
      </c>
      <c r="D3227" s="2" t="str">
        <f t="shared" si="4"/>
        <v/>
      </c>
      <c r="E3227" s="2">
        <f t="shared" si="5"/>
        <v>2987.95</v>
      </c>
      <c r="G3227" s="10">
        <f t="shared" si="9"/>
        <v>41209.64583</v>
      </c>
      <c r="H3227" s="6" t="str">
        <f t="shared" si="6"/>
        <v/>
      </c>
      <c r="I3227" s="2">
        <f t="shared" si="7"/>
        <v>1426.89</v>
      </c>
      <c r="M3227" s="10">
        <f>IFERROR(__xludf.DUMMYFUNCTION("""COMPUTED_VALUE"""),42660.66666666667)</f>
        <v>42660.66667</v>
      </c>
      <c r="N3227" s="2">
        <f>IFERROR(__xludf.DUMMYFUNCTION("""COMPUTED_VALUE"""),5199.82)</f>
        <v>5199.82</v>
      </c>
    </row>
    <row r="3228">
      <c r="A3228" s="10">
        <f t="shared" si="8"/>
        <v>41210.66667</v>
      </c>
      <c r="B3228" s="2" t="str">
        <f t="shared" si="2"/>
        <v/>
      </c>
      <c r="C3228" s="2" t="str">
        <f t="shared" si="3"/>
        <v>SP500</v>
      </c>
      <c r="D3228" s="2" t="str">
        <f t="shared" si="4"/>
        <v/>
      </c>
      <c r="E3228" s="2">
        <f t="shared" si="5"/>
        <v>2987.95</v>
      </c>
      <c r="G3228" s="10">
        <f t="shared" si="9"/>
        <v>41210.64583</v>
      </c>
      <c r="H3228" s="6" t="str">
        <f t="shared" si="6"/>
        <v/>
      </c>
      <c r="I3228" s="2">
        <f t="shared" si="7"/>
        <v>1426.89</v>
      </c>
      <c r="M3228" s="10">
        <f>IFERROR(__xludf.DUMMYFUNCTION("""COMPUTED_VALUE"""),42661.66666666667)</f>
        <v>42661.66667</v>
      </c>
      <c r="N3228" s="2">
        <f>IFERROR(__xludf.DUMMYFUNCTION("""COMPUTED_VALUE"""),5243.84)</f>
        <v>5243.84</v>
      </c>
    </row>
    <row r="3229">
      <c r="A3229" s="10">
        <f t="shared" si="8"/>
        <v>41211.66667</v>
      </c>
      <c r="B3229" s="2" t="str">
        <f t="shared" si="2"/>
        <v/>
      </c>
      <c r="C3229" s="2" t="str">
        <f t="shared" si="3"/>
        <v>SP500</v>
      </c>
      <c r="D3229" s="2" t="str">
        <f t="shared" si="4"/>
        <v/>
      </c>
      <c r="E3229" s="2">
        <f t="shared" si="5"/>
        <v>2987.95</v>
      </c>
      <c r="G3229" s="10">
        <f t="shared" si="9"/>
        <v>41211.64583</v>
      </c>
      <c r="H3229" s="6" t="str">
        <f t="shared" si="6"/>
        <v/>
      </c>
      <c r="I3229" s="2">
        <f t="shared" si="7"/>
        <v>1426.89</v>
      </c>
      <c r="M3229" s="10">
        <f>IFERROR(__xludf.DUMMYFUNCTION("""COMPUTED_VALUE"""),42662.66666666667)</f>
        <v>42662.66667</v>
      </c>
      <c r="N3229" s="2">
        <f>IFERROR(__xludf.DUMMYFUNCTION("""COMPUTED_VALUE"""),5246.41)</f>
        <v>5246.41</v>
      </c>
    </row>
    <row r="3230">
      <c r="A3230" s="10">
        <f t="shared" si="8"/>
        <v>41212.66667</v>
      </c>
      <c r="B3230" s="2" t="str">
        <f t="shared" si="2"/>
        <v/>
      </c>
      <c r="C3230" s="2" t="str">
        <f t="shared" si="3"/>
        <v>SP500</v>
      </c>
      <c r="D3230" s="2" t="str">
        <f t="shared" si="4"/>
        <v/>
      </c>
      <c r="E3230" s="2">
        <f t="shared" si="5"/>
        <v>2987.95</v>
      </c>
      <c r="G3230" s="10">
        <f t="shared" si="9"/>
        <v>41212.64583</v>
      </c>
      <c r="H3230" s="6" t="str">
        <f t="shared" si="6"/>
        <v/>
      </c>
      <c r="I3230" s="2">
        <f t="shared" si="7"/>
        <v>1426.89</v>
      </c>
      <c r="M3230" s="10">
        <f>IFERROR(__xludf.DUMMYFUNCTION("""COMPUTED_VALUE"""),42663.66666666667)</f>
        <v>42663.66667</v>
      </c>
      <c r="N3230" s="2">
        <f>IFERROR(__xludf.DUMMYFUNCTION("""COMPUTED_VALUE"""),5241.83)</f>
        <v>5241.83</v>
      </c>
    </row>
    <row r="3231">
      <c r="A3231" s="10">
        <f t="shared" si="8"/>
        <v>41213.66667</v>
      </c>
      <c r="B3231" s="2" t="str">
        <f t="shared" si="2"/>
        <v/>
      </c>
      <c r="C3231" s="2" t="str">
        <f t="shared" si="3"/>
        <v>SP500</v>
      </c>
      <c r="D3231" s="2">
        <f t="shared" si="4"/>
        <v>2977.23</v>
      </c>
      <c r="E3231" s="2">
        <f t="shared" si="5"/>
        <v>2977.23</v>
      </c>
      <c r="G3231" s="10">
        <f t="shared" si="9"/>
        <v>41213.64583</v>
      </c>
      <c r="H3231" s="6" t="str">
        <f t="shared" si="6"/>
        <v/>
      </c>
      <c r="I3231" s="2">
        <f t="shared" si="7"/>
        <v>1426.89</v>
      </c>
      <c r="M3231" s="10">
        <f>IFERROR(__xludf.DUMMYFUNCTION("""COMPUTED_VALUE"""),42664.66666666667)</f>
        <v>42664.66667</v>
      </c>
      <c r="N3231" s="2">
        <f>IFERROR(__xludf.DUMMYFUNCTION("""COMPUTED_VALUE"""),5257.4)</f>
        <v>5257.4</v>
      </c>
    </row>
    <row r="3232">
      <c r="A3232" s="10">
        <f t="shared" si="8"/>
        <v>41214.66667</v>
      </c>
      <c r="B3232" s="2" t="str">
        <f t="shared" si="2"/>
        <v/>
      </c>
      <c r="C3232" s="2" t="str">
        <f t="shared" si="3"/>
        <v>SP500</v>
      </c>
      <c r="D3232" s="2">
        <f t="shared" si="4"/>
        <v>3020.06</v>
      </c>
      <c r="E3232" s="2">
        <f t="shared" si="5"/>
        <v>3020.06</v>
      </c>
      <c r="G3232" s="10">
        <f t="shared" si="9"/>
        <v>41214.64583</v>
      </c>
      <c r="H3232" s="6" t="str">
        <f t="shared" si="6"/>
        <v/>
      </c>
      <c r="I3232" s="2">
        <f t="shared" si="7"/>
        <v>1426.89</v>
      </c>
      <c r="M3232" s="10">
        <f>IFERROR(__xludf.DUMMYFUNCTION("""COMPUTED_VALUE"""),42667.66666666667)</f>
        <v>42667.66667</v>
      </c>
      <c r="N3232" s="2">
        <f>IFERROR(__xludf.DUMMYFUNCTION("""COMPUTED_VALUE"""),5309.83)</f>
        <v>5309.83</v>
      </c>
    </row>
    <row r="3233">
      <c r="A3233" s="10">
        <f t="shared" si="8"/>
        <v>41215.66667</v>
      </c>
      <c r="B3233" s="2" t="str">
        <f t="shared" si="2"/>
        <v/>
      </c>
      <c r="C3233" s="2" t="str">
        <f t="shared" si="3"/>
        <v>SP500</v>
      </c>
      <c r="D3233" s="2">
        <f t="shared" si="4"/>
        <v>2982.13</v>
      </c>
      <c r="E3233" s="2">
        <f t="shared" si="5"/>
        <v>2982.13</v>
      </c>
      <c r="G3233" s="10">
        <f t="shared" si="9"/>
        <v>41215.64583</v>
      </c>
      <c r="H3233" s="6" t="str">
        <f t="shared" si="6"/>
        <v/>
      </c>
      <c r="I3233" s="2">
        <f t="shared" si="7"/>
        <v>1426.89</v>
      </c>
      <c r="M3233" s="10">
        <f>IFERROR(__xludf.DUMMYFUNCTION("""COMPUTED_VALUE"""),42668.66666666667)</f>
        <v>42668.66667</v>
      </c>
      <c r="N3233" s="2">
        <f>IFERROR(__xludf.DUMMYFUNCTION("""COMPUTED_VALUE"""),5283.4)</f>
        <v>5283.4</v>
      </c>
    </row>
    <row r="3234">
      <c r="A3234" s="10">
        <f t="shared" si="8"/>
        <v>41216.66667</v>
      </c>
      <c r="B3234" s="2" t="str">
        <f t="shared" si="2"/>
        <v/>
      </c>
      <c r="C3234" s="2" t="str">
        <f t="shared" si="3"/>
        <v>SP500</v>
      </c>
      <c r="D3234" s="2" t="str">
        <f t="shared" si="4"/>
        <v/>
      </c>
      <c r="E3234" s="2">
        <f t="shared" si="5"/>
        <v>2982.13</v>
      </c>
      <c r="G3234" s="10">
        <f t="shared" si="9"/>
        <v>41216.64583</v>
      </c>
      <c r="H3234" s="6" t="str">
        <f t="shared" si="6"/>
        <v/>
      </c>
      <c r="I3234" s="2">
        <f t="shared" si="7"/>
        <v>1426.89</v>
      </c>
      <c r="M3234" s="10">
        <f>IFERROR(__xludf.DUMMYFUNCTION("""COMPUTED_VALUE"""),42669.66666666667)</f>
        <v>42669.66667</v>
      </c>
      <c r="N3234" s="2">
        <f>IFERROR(__xludf.DUMMYFUNCTION("""COMPUTED_VALUE"""),5250.27)</f>
        <v>5250.27</v>
      </c>
    </row>
    <row r="3235">
      <c r="A3235" s="10">
        <f t="shared" si="8"/>
        <v>41217.66667</v>
      </c>
      <c r="B3235" s="2" t="str">
        <f t="shared" si="2"/>
        <v/>
      </c>
      <c r="C3235" s="2" t="str">
        <f t="shared" si="3"/>
        <v>SP500</v>
      </c>
      <c r="D3235" s="2" t="str">
        <f t="shared" si="4"/>
        <v/>
      </c>
      <c r="E3235" s="2">
        <f t="shared" si="5"/>
        <v>2982.13</v>
      </c>
      <c r="G3235" s="10">
        <f t="shared" si="9"/>
        <v>41217.64583</v>
      </c>
      <c r="H3235" s="6" t="str">
        <f t="shared" si="6"/>
        <v/>
      </c>
      <c r="I3235" s="2">
        <f t="shared" si="7"/>
        <v>1426.89</v>
      </c>
      <c r="M3235" s="10">
        <f>IFERROR(__xludf.DUMMYFUNCTION("""COMPUTED_VALUE"""),42670.66666666667)</f>
        <v>42670.66667</v>
      </c>
      <c r="N3235" s="2">
        <f>IFERROR(__xludf.DUMMYFUNCTION("""COMPUTED_VALUE"""),5215.97)</f>
        <v>5215.97</v>
      </c>
    </row>
    <row r="3236">
      <c r="A3236" s="10">
        <f t="shared" si="8"/>
        <v>41218.66667</v>
      </c>
      <c r="B3236" s="2" t="str">
        <f t="shared" si="2"/>
        <v/>
      </c>
      <c r="C3236" s="2" t="str">
        <f t="shared" si="3"/>
        <v>SP500</v>
      </c>
      <c r="D3236" s="2">
        <f t="shared" si="4"/>
        <v>2999.66</v>
      </c>
      <c r="E3236" s="2">
        <f t="shared" si="5"/>
        <v>2999.66</v>
      </c>
      <c r="G3236" s="10">
        <f t="shared" si="9"/>
        <v>41218.64583</v>
      </c>
      <c r="H3236" s="6" t="str">
        <f t="shared" si="6"/>
        <v/>
      </c>
      <c r="I3236" s="2">
        <f t="shared" si="7"/>
        <v>1426.89</v>
      </c>
      <c r="M3236" s="10">
        <f>IFERROR(__xludf.DUMMYFUNCTION("""COMPUTED_VALUE"""),42671.66666666667)</f>
        <v>42671.66667</v>
      </c>
      <c r="N3236" s="2">
        <f>IFERROR(__xludf.DUMMYFUNCTION("""COMPUTED_VALUE"""),5190.1)</f>
        <v>5190.1</v>
      </c>
    </row>
    <row r="3237">
      <c r="A3237" s="10">
        <f t="shared" si="8"/>
        <v>41219.66667</v>
      </c>
      <c r="B3237" s="2" t="str">
        <f t="shared" si="2"/>
        <v/>
      </c>
      <c r="C3237" s="2" t="str">
        <f t="shared" si="3"/>
        <v>SP500</v>
      </c>
      <c r="D3237" s="2">
        <f t="shared" si="4"/>
        <v>3011.93</v>
      </c>
      <c r="E3237" s="2">
        <f t="shared" si="5"/>
        <v>3011.93</v>
      </c>
      <c r="G3237" s="10">
        <f t="shared" si="9"/>
        <v>41219.64583</v>
      </c>
      <c r="H3237" s="6" t="str">
        <f t="shared" si="6"/>
        <v/>
      </c>
      <c r="I3237" s="2">
        <f t="shared" si="7"/>
        <v>1426.89</v>
      </c>
      <c r="M3237" s="10">
        <f>IFERROR(__xludf.DUMMYFUNCTION("""COMPUTED_VALUE"""),42674.66666666667)</f>
        <v>42674.66667</v>
      </c>
      <c r="N3237" s="2">
        <f>IFERROR(__xludf.DUMMYFUNCTION("""COMPUTED_VALUE"""),5189.13)</f>
        <v>5189.13</v>
      </c>
    </row>
    <row r="3238">
      <c r="A3238" s="10">
        <f t="shared" si="8"/>
        <v>41220.66667</v>
      </c>
      <c r="B3238" s="2" t="str">
        <f t="shared" si="2"/>
        <v/>
      </c>
      <c r="C3238" s="2" t="str">
        <f t="shared" si="3"/>
        <v>SP500</v>
      </c>
      <c r="D3238" s="2">
        <f t="shared" si="4"/>
        <v>2937.29</v>
      </c>
      <c r="E3238" s="2">
        <f t="shared" si="5"/>
        <v>2937.29</v>
      </c>
      <c r="G3238" s="10">
        <f t="shared" si="9"/>
        <v>41220.64583</v>
      </c>
      <c r="H3238" s="6" t="str">
        <f t="shared" si="6"/>
        <v/>
      </c>
      <c r="I3238" s="2">
        <f t="shared" si="7"/>
        <v>1426.89</v>
      </c>
      <c r="M3238" s="10">
        <f>IFERROR(__xludf.DUMMYFUNCTION("""COMPUTED_VALUE"""),42675.66666666667)</f>
        <v>42675.66667</v>
      </c>
      <c r="N3238" s="2">
        <f>IFERROR(__xludf.DUMMYFUNCTION("""COMPUTED_VALUE"""),5153.58)</f>
        <v>5153.58</v>
      </c>
    </row>
    <row r="3239">
      <c r="A3239" s="10">
        <f t="shared" si="8"/>
        <v>41221.66667</v>
      </c>
      <c r="B3239" s="2" t="str">
        <f t="shared" si="2"/>
        <v/>
      </c>
      <c r="C3239" s="2" t="str">
        <f t="shared" si="3"/>
        <v>SP500</v>
      </c>
      <c r="D3239" s="2">
        <f t="shared" si="4"/>
        <v>2895.58</v>
      </c>
      <c r="E3239" s="2">
        <f t="shared" si="5"/>
        <v>2895.58</v>
      </c>
      <c r="G3239" s="10">
        <f t="shared" si="9"/>
        <v>41221.64583</v>
      </c>
      <c r="H3239" s="6" t="str">
        <f t="shared" si="6"/>
        <v/>
      </c>
      <c r="I3239" s="2">
        <f t="shared" si="7"/>
        <v>1426.89</v>
      </c>
      <c r="M3239" s="10">
        <f>IFERROR(__xludf.DUMMYFUNCTION("""COMPUTED_VALUE"""),42676.66666666667)</f>
        <v>42676.66667</v>
      </c>
      <c r="N3239" s="2">
        <f>IFERROR(__xludf.DUMMYFUNCTION("""COMPUTED_VALUE"""),5105.57)</f>
        <v>5105.57</v>
      </c>
    </row>
    <row r="3240">
      <c r="A3240" s="10">
        <f t="shared" si="8"/>
        <v>41222.66667</v>
      </c>
      <c r="B3240" s="2" t="str">
        <f t="shared" si="2"/>
        <v/>
      </c>
      <c r="C3240" s="2" t="str">
        <f t="shared" si="3"/>
        <v>SP500</v>
      </c>
      <c r="D3240" s="2">
        <f t="shared" si="4"/>
        <v>2904.87</v>
      </c>
      <c r="E3240" s="2">
        <f t="shared" si="5"/>
        <v>2904.87</v>
      </c>
      <c r="G3240" s="10">
        <f t="shared" si="9"/>
        <v>41222.64583</v>
      </c>
      <c r="H3240" s="6" t="str">
        <f t="shared" si="6"/>
        <v/>
      </c>
      <c r="I3240" s="2">
        <f t="shared" si="7"/>
        <v>1426.89</v>
      </c>
      <c r="M3240" s="10">
        <f>IFERROR(__xludf.DUMMYFUNCTION("""COMPUTED_VALUE"""),42677.66666666667)</f>
        <v>42677.66667</v>
      </c>
      <c r="N3240" s="2">
        <f>IFERROR(__xludf.DUMMYFUNCTION("""COMPUTED_VALUE"""),5058.41)</f>
        <v>5058.41</v>
      </c>
    </row>
    <row r="3241">
      <c r="A3241" s="10">
        <f t="shared" si="8"/>
        <v>41223.66667</v>
      </c>
      <c r="B3241" s="2" t="str">
        <f t="shared" si="2"/>
        <v/>
      </c>
      <c r="C3241" s="2" t="str">
        <f t="shared" si="3"/>
        <v>SP500</v>
      </c>
      <c r="D3241" s="2" t="str">
        <f t="shared" si="4"/>
        <v/>
      </c>
      <c r="E3241" s="2">
        <f t="shared" si="5"/>
        <v>2904.87</v>
      </c>
      <c r="G3241" s="10">
        <f t="shared" si="9"/>
        <v>41223.64583</v>
      </c>
      <c r="H3241" s="6" t="str">
        <f t="shared" si="6"/>
        <v/>
      </c>
      <c r="I3241" s="2">
        <f t="shared" si="7"/>
        <v>1426.89</v>
      </c>
      <c r="M3241" s="10">
        <f>IFERROR(__xludf.DUMMYFUNCTION("""COMPUTED_VALUE"""),42678.66666666667)</f>
        <v>42678.66667</v>
      </c>
      <c r="N3241" s="2">
        <f>IFERROR(__xludf.DUMMYFUNCTION("""COMPUTED_VALUE"""),5046.37)</f>
        <v>5046.37</v>
      </c>
    </row>
    <row r="3242">
      <c r="A3242" s="10">
        <f t="shared" si="8"/>
        <v>41224.66667</v>
      </c>
      <c r="B3242" s="2" t="str">
        <f t="shared" si="2"/>
        <v/>
      </c>
      <c r="C3242" s="2" t="str">
        <f t="shared" si="3"/>
        <v>SP500</v>
      </c>
      <c r="D3242" s="2" t="str">
        <f t="shared" si="4"/>
        <v/>
      </c>
      <c r="E3242" s="2">
        <f t="shared" si="5"/>
        <v>2904.87</v>
      </c>
      <c r="G3242" s="10">
        <f t="shared" si="9"/>
        <v>41224.64583</v>
      </c>
      <c r="H3242" s="6" t="str">
        <f t="shared" si="6"/>
        <v/>
      </c>
      <c r="I3242" s="2">
        <f t="shared" si="7"/>
        <v>1426.89</v>
      </c>
      <c r="M3242" s="10">
        <f>IFERROR(__xludf.DUMMYFUNCTION("""COMPUTED_VALUE"""),42681.66666666667)</f>
        <v>42681.66667</v>
      </c>
      <c r="N3242" s="2">
        <f>IFERROR(__xludf.DUMMYFUNCTION("""COMPUTED_VALUE"""),5166.17)</f>
        <v>5166.17</v>
      </c>
    </row>
    <row r="3243">
      <c r="A3243" s="10">
        <f t="shared" si="8"/>
        <v>41225.66667</v>
      </c>
      <c r="B3243" s="2" t="str">
        <f t="shared" si="2"/>
        <v/>
      </c>
      <c r="C3243" s="2" t="str">
        <f t="shared" si="3"/>
        <v>SP500</v>
      </c>
      <c r="D3243" s="2">
        <f t="shared" si="4"/>
        <v>2904.26</v>
      </c>
      <c r="E3243" s="2">
        <f t="shared" si="5"/>
        <v>2904.26</v>
      </c>
      <c r="G3243" s="10">
        <f t="shared" si="9"/>
        <v>41225.64583</v>
      </c>
      <c r="H3243" s="6" t="str">
        <f t="shared" si="6"/>
        <v/>
      </c>
      <c r="I3243" s="2">
        <f t="shared" si="7"/>
        <v>1426.89</v>
      </c>
      <c r="M3243" s="10">
        <f>IFERROR(__xludf.DUMMYFUNCTION("""COMPUTED_VALUE"""),42682.66666666667)</f>
        <v>42682.66667</v>
      </c>
      <c r="N3243" s="2">
        <f>IFERROR(__xludf.DUMMYFUNCTION("""COMPUTED_VALUE"""),5193.49)</f>
        <v>5193.49</v>
      </c>
    </row>
    <row r="3244">
      <c r="A3244" s="10">
        <f t="shared" si="8"/>
        <v>41226.66667</v>
      </c>
      <c r="B3244" s="2" t="str">
        <f t="shared" si="2"/>
        <v/>
      </c>
      <c r="C3244" s="2" t="str">
        <f t="shared" si="3"/>
        <v>SP500</v>
      </c>
      <c r="D3244" s="2">
        <f t="shared" si="4"/>
        <v>2883.89</v>
      </c>
      <c r="E3244" s="2">
        <f t="shared" si="5"/>
        <v>2883.89</v>
      </c>
      <c r="G3244" s="10">
        <f t="shared" si="9"/>
        <v>41226.64583</v>
      </c>
      <c r="H3244" s="6" t="str">
        <f t="shared" si="6"/>
        <v/>
      </c>
      <c r="I3244" s="2">
        <f t="shared" si="7"/>
        <v>1426.89</v>
      </c>
      <c r="M3244" s="10">
        <f>IFERROR(__xludf.DUMMYFUNCTION("""COMPUTED_VALUE"""),42683.66666666667)</f>
        <v>42683.66667</v>
      </c>
      <c r="N3244" s="2">
        <f>IFERROR(__xludf.DUMMYFUNCTION("""COMPUTED_VALUE"""),5251.07)</f>
        <v>5251.07</v>
      </c>
    </row>
    <row r="3245">
      <c r="A3245" s="10">
        <f t="shared" si="8"/>
        <v>41227.66667</v>
      </c>
      <c r="B3245" s="2" t="str">
        <f t="shared" si="2"/>
        <v/>
      </c>
      <c r="C3245" s="2" t="str">
        <f t="shared" si="3"/>
        <v>SP500</v>
      </c>
      <c r="D3245" s="2">
        <f t="shared" si="4"/>
        <v>2846.81</v>
      </c>
      <c r="E3245" s="2">
        <f t="shared" si="5"/>
        <v>2846.81</v>
      </c>
      <c r="G3245" s="10">
        <f t="shared" si="9"/>
        <v>41227.64583</v>
      </c>
      <c r="H3245" s="6" t="str">
        <f t="shared" si="6"/>
        <v/>
      </c>
      <c r="I3245" s="2">
        <f t="shared" si="7"/>
        <v>1426.89</v>
      </c>
      <c r="M3245" s="10">
        <f>IFERROR(__xludf.DUMMYFUNCTION("""COMPUTED_VALUE"""),42684.66666666667)</f>
        <v>42684.66667</v>
      </c>
      <c r="N3245" s="2">
        <f>IFERROR(__xludf.DUMMYFUNCTION("""COMPUTED_VALUE"""),5208.8)</f>
        <v>5208.8</v>
      </c>
    </row>
    <row r="3246">
      <c r="A3246" s="10">
        <f t="shared" si="8"/>
        <v>41228.66667</v>
      </c>
      <c r="B3246" s="2" t="str">
        <f t="shared" si="2"/>
        <v/>
      </c>
      <c r="C3246" s="2" t="str">
        <f t="shared" si="3"/>
        <v>SP500</v>
      </c>
      <c r="D3246" s="2">
        <f t="shared" si="4"/>
        <v>2836.94</v>
      </c>
      <c r="E3246" s="2">
        <f t="shared" si="5"/>
        <v>2836.94</v>
      </c>
      <c r="G3246" s="10">
        <f t="shared" si="9"/>
        <v>41228.64583</v>
      </c>
      <c r="H3246" s="6" t="str">
        <f t="shared" si="6"/>
        <v/>
      </c>
      <c r="I3246" s="2">
        <f t="shared" si="7"/>
        <v>1426.89</v>
      </c>
      <c r="M3246" s="10">
        <f>IFERROR(__xludf.DUMMYFUNCTION("""COMPUTED_VALUE"""),42685.66666666667)</f>
        <v>42685.66667</v>
      </c>
      <c r="N3246" s="2">
        <f>IFERROR(__xludf.DUMMYFUNCTION("""COMPUTED_VALUE"""),5237.11)</f>
        <v>5237.11</v>
      </c>
    </row>
    <row r="3247">
      <c r="A3247" s="10">
        <f t="shared" si="8"/>
        <v>41229.66667</v>
      </c>
      <c r="B3247" s="2" t="str">
        <f t="shared" si="2"/>
        <v/>
      </c>
      <c r="C3247" s="2" t="str">
        <f t="shared" si="3"/>
        <v>SP500</v>
      </c>
      <c r="D3247" s="2">
        <f t="shared" si="4"/>
        <v>2853.13</v>
      </c>
      <c r="E3247" s="2">
        <f t="shared" si="5"/>
        <v>2853.13</v>
      </c>
      <c r="G3247" s="10">
        <f t="shared" si="9"/>
        <v>41229.64583</v>
      </c>
      <c r="H3247" s="6" t="str">
        <f t="shared" si="6"/>
        <v/>
      </c>
      <c r="I3247" s="2">
        <f t="shared" si="7"/>
        <v>1426.89</v>
      </c>
      <c r="M3247" s="10">
        <f>IFERROR(__xludf.DUMMYFUNCTION("""COMPUTED_VALUE"""),42688.66666666667)</f>
        <v>42688.66667</v>
      </c>
      <c r="N3247" s="2">
        <f>IFERROR(__xludf.DUMMYFUNCTION("""COMPUTED_VALUE"""),5218.4)</f>
        <v>5218.4</v>
      </c>
    </row>
    <row r="3248">
      <c r="A3248" s="10">
        <f t="shared" si="8"/>
        <v>41230.66667</v>
      </c>
      <c r="B3248" s="2" t="str">
        <f t="shared" si="2"/>
        <v/>
      </c>
      <c r="C3248" s="2" t="str">
        <f t="shared" si="3"/>
        <v>SP500</v>
      </c>
      <c r="D3248" s="2" t="str">
        <f t="shared" si="4"/>
        <v/>
      </c>
      <c r="E3248" s="2">
        <f t="shared" si="5"/>
        <v>2853.13</v>
      </c>
      <c r="G3248" s="10">
        <f t="shared" si="9"/>
        <v>41230.64583</v>
      </c>
      <c r="H3248" s="6" t="str">
        <f t="shared" si="6"/>
        <v/>
      </c>
      <c r="I3248" s="2">
        <f t="shared" si="7"/>
        <v>1426.89</v>
      </c>
      <c r="M3248" s="10">
        <f>IFERROR(__xludf.DUMMYFUNCTION("""COMPUTED_VALUE"""),42689.66666666667)</f>
        <v>42689.66667</v>
      </c>
      <c r="N3248" s="2">
        <f>IFERROR(__xludf.DUMMYFUNCTION("""COMPUTED_VALUE"""),5275.62)</f>
        <v>5275.62</v>
      </c>
    </row>
    <row r="3249">
      <c r="A3249" s="10">
        <f t="shared" si="8"/>
        <v>41231.66667</v>
      </c>
      <c r="B3249" s="2" t="str">
        <f t="shared" si="2"/>
        <v/>
      </c>
      <c r="C3249" s="2" t="str">
        <f t="shared" si="3"/>
        <v>SP500</v>
      </c>
      <c r="D3249" s="2" t="str">
        <f t="shared" si="4"/>
        <v/>
      </c>
      <c r="E3249" s="2">
        <f t="shared" si="5"/>
        <v>2853.13</v>
      </c>
      <c r="G3249" s="10">
        <f t="shared" si="9"/>
        <v>41231.64583</v>
      </c>
      <c r="H3249" s="6" t="str">
        <f t="shared" si="6"/>
        <v/>
      </c>
      <c r="I3249" s="2">
        <f t="shared" si="7"/>
        <v>1426.89</v>
      </c>
      <c r="M3249" s="10">
        <f>IFERROR(__xludf.DUMMYFUNCTION("""COMPUTED_VALUE"""),42690.66666666667)</f>
        <v>42690.66667</v>
      </c>
      <c r="N3249" s="2">
        <f>IFERROR(__xludf.DUMMYFUNCTION("""COMPUTED_VALUE"""),5294.58)</f>
        <v>5294.58</v>
      </c>
    </row>
    <row r="3250">
      <c r="A3250" s="10">
        <f t="shared" si="8"/>
        <v>41232.66667</v>
      </c>
      <c r="B3250" s="2" t="str">
        <f t="shared" si="2"/>
        <v/>
      </c>
      <c r="C3250" s="2" t="str">
        <f t="shared" si="3"/>
        <v>SP500</v>
      </c>
      <c r="D3250" s="2">
        <f t="shared" si="4"/>
        <v>2916.07</v>
      </c>
      <c r="E3250" s="2">
        <f t="shared" si="5"/>
        <v>2916.07</v>
      </c>
      <c r="G3250" s="10">
        <f t="shared" si="9"/>
        <v>41232.64583</v>
      </c>
      <c r="H3250" s="6" t="str">
        <f t="shared" si="6"/>
        <v/>
      </c>
      <c r="I3250" s="2">
        <f t="shared" si="7"/>
        <v>1426.89</v>
      </c>
      <c r="M3250" s="10">
        <f>IFERROR(__xludf.DUMMYFUNCTION("""COMPUTED_VALUE"""),42691.66666666667)</f>
        <v>42691.66667</v>
      </c>
      <c r="N3250" s="2">
        <f>IFERROR(__xludf.DUMMYFUNCTION("""COMPUTED_VALUE"""),5333.97)</f>
        <v>5333.97</v>
      </c>
    </row>
    <row r="3251">
      <c r="A3251" s="10">
        <f t="shared" si="8"/>
        <v>41233.66667</v>
      </c>
      <c r="B3251" s="2" t="str">
        <f t="shared" si="2"/>
        <v/>
      </c>
      <c r="C3251" s="2" t="str">
        <f t="shared" si="3"/>
        <v>SP500</v>
      </c>
      <c r="D3251" s="2">
        <f t="shared" si="4"/>
        <v>2916.68</v>
      </c>
      <c r="E3251" s="2">
        <f t="shared" si="5"/>
        <v>2916.68</v>
      </c>
      <c r="G3251" s="10">
        <f t="shared" si="9"/>
        <v>41233.64583</v>
      </c>
      <c r="H3251" s="6" t="str">
        <f t="shared" si="6"/>
        <v/>
      </c>
      <c r="I3251" s="2">
        <f t="shared" si="7"/>
        <v>1426.89</v>
      </c>
      <c r="M3251" s="10">
        <f>IFERROR(__xludf.DUMMYFUNCTION("""COMPUTED_VALUE"""),42692.66666666667)</f>
        <v>42692.66667</v>
      </c>
      <c r="N3251" s="2">
        <f>IFERROR(__xludf.DUMMYFUNCTION("""COMPUTED_VALUE"""),5321.51)</f>
        <v>5321.51</v>
      </c>
    </row>
    <row r="3252">
      <c r="A3252" s="10">
        <f t="shared" si="8"/>
        <v>41234.66667</v>
      </c>
      <c r="B3252" s="2" t="str">
        <f t="shared" si="2"/>
        <v/>
      </c>
      <c r="C3252" s="2" t="str">
        <f t="shared" si="3"/>
        <v>SP500</v>
      </c>
      <c r="D3252" s="2">
        <f t="shared" si="4"/>
        <v>2926.55</v>
      </c>
      <c r="E3252" s="2">
        <f t="shared" si="5"/>
        <v>2926.55</v>
      </c>
      <c r="G3252" s="10">
        <f t="shared" si="9"/>
        <v>41234.64583</v>
      </c>
      <c r="H3252" s="6" t="str">
        <f t="shared" si="6"/>
        <v/>
      </c>
      <c r="I3252" s="2">
        <f t="shared" si="7"/>
        <v>1426.89</v>
      </c>
      <c r="M3252" s="10">
        <f>IFERROR(__xludf.DUMMYFUNCTION("""COMPUTED_VALUE"""),42695.66666666667)</f>
        <v>42695.66667</v>
      </c>
      <c r="N3252" s="2">
        <f>IFERROR(__xludf.DUMMYFUNCTION("""COMPUTED_VALUE"""),5368.86)</f>
        <v>5368.86</v>
      </c>
    </row>
    <row r="3253">
      <c r="A3253" s="10">
        <f t="shared" si="8"/>
        <v>41235.66667</v>
      </c>
      <c r="B3253" s="2" t="str">
        <f t="shared" si="2"/>
        <v/>
      </c>
      <c r="C3253" s="2" t="str">
        <f t="shared" si="3"/>
        <v>SP500</v>
      </c>
      <c r="D3253" s="2" t="str">
        <f t="shared" si="4"/>
        <v/>
      </c>
      <c r="E3253" s="2">
        <f t="shared" si="5"/>
        <v>2926.55</v>
      </c>
      <c r="G3253" s="10">
        <f t="shared" si="9"/>
        <v>41235.64583</v>
      </c>
      <c r="H3253" s="6" t="str">
        <f t="shared" si="6"/>
        <v/>
      </c>
      <c r="I3253" s="2">
        <f t="shared" si="7"/>
        <v>1426.89</v>
      </c>
      <c r="M3253" s="10">
        <f>IFERROR(__xludf.DUMMYFUNCTION("""COMPUTED_VALUE"""),42696.66666666667)</f>
        <v>42696.66667</v>
      </c>
      <c r="N3253" s="2">
        <f>IFERROR(__xludf.DUMMYFUNCTION("""COMPUTED_VALUE"""),5386.35)</f>
        <v>5386.35</v>
      </c>
    </row>
    <row r="3254">
      <c r="A3254" s="10">
        <f t="shared" si="8"/>
        <v>41236.66667</v>
      </c>
      <c r="B3254" s="2" t="str">
        <f t="shared" si="2"/>
        <v/>
      </c>
      <c r="C3254" s="2" t="str">
        <f t="shared" si="3"/>
        <v>SP500</v>
      </c>
      <c r="D3254" s="2">
        <f t="shared" si="4"/>
        <v>2966.85</v>
      </c>
      <c r="E3254" s="2">
        <f t="shared" si="5"/>
        <v>2966.85</v>
      </c>
      <c r="G3254" s="10">
        <f t="shared" si="9"/>
        <v>41236.64583</v>
      </c>
      <c r="H3254" s="6" t="str">
        <f t="shared" si="6"/>
        <v/>
      </c>
      <c r="I3254" s="2">
        <f t="shared" si="7"/>
        <v>1426.89</v>
      </c>
      <c r="M3254" s="10">
        <f>IFERROR(__xludf.DUMMYFUNCTION("""COMPUTED_VALUE"""),42697.66666666667)</f>
        <v>42697.66667</v>
      </c>
      <c r="N3254" s="2">
        <f>IFERROR(__xludf.DUMMYFUNCTION("""COMPUTED_VALUE"""),5380.68)</f>
        <v>5380.68</v>
      </c>
    </row>
    <row r="3255">
      <c r="A3255" s="10">
        <f t="shared" si="8"/>
        <v>41237.66667</v>
      </c>
      <c r="B3255" s="2" t="str">
        <f t="shared" si="2"/>
        <v/>
      </c>
      <c r="C3255" s="2" t="str">
        <f t="shared" si="3"/>
        <v>SP500</v>
      </c>
      <c r="D3255" s="2" t="str">
        <f t="shared" si="4"/>
        <v/>
      </c>
      <c r="E3255" s="2">
        <f t="shared" si="5"/>
        <v>2966.85</v>
      </c>
      <c r="G3255" s="10">
        <f t="shared" si="9"/>
        <v>41237.64583</v>
      </c>
      <c r="H3255" s="6" t="str">
        <f t="shared" si="6"/>
        <v/>
      </c>
      <c r="I3255" s="2">
        <f t="shared" si="7"/>
        <v>1426.89</v>
      </c>
      <c r="M3255" s="10">
        <f>IFERROR(__xludf.DUMMYFUNCTION("""COMPUTED_VALUE"""),42699.66666666667)</f>
        <v>42699.66667</v>
      </c>
      <c r="N3255" s="2">
        <f>IFERROR(__xludf.DUMMYFUNCTION("""COMPUTED_VALUE"""),5398.92)</f>
        <v>5398.92</v>
      </c>
    </row>
    <row r="3256">
      <c r="A3256" s="10">
        <f t="shared" si="8"/>
        <v>41238.66667</v>
      </c>
      <c r="B3256" s="2" t="str">
        <f t="shared" si="2"/>
        <v/>
      </c>
      <c r="C3256" s="2" t="str">
        <f t="shared" si="3"/>
        <v>SP500</v>
      </c>
      <c r="D3256" s="2" t="str">
        <f t="shared" si="4"/>
        <v/>
      </c>
      <c r="E3256" s="2">
        <f t="shared" si="5"/>
        <v>2966.85</v>
      </c>
      <c r="G3256" s="10">
        <f t="shared" si="9"/>
        <v>41238.64583</v>
      </c>
      <c r="H3256" s="6" t="str">
        <f t="shared" si="6"/>
        <v/>
      </c>
      <c r="I3256" s="2">
        <f t="shared" si="7"/>
        <v>1426.89</v>
      </c>
      <c r="M3256" s="10">
        <f>IFERROR(__xludf.DUMMYFUNCTION("""COMPUTED_VALUE"""),42702.66666666667)</f>
        <v>42702.66667</v>
      </c>
      <c r="N3256" s="2">
        <f>IFERROR(__xludf.DUMMYFUNCTION("""COMPUTED_VALUE"""),5368.81)</f>
        <v>5368.81</v>
      </c>
    </row>
    <row r="3257">
      <c r="A3257" s="10">
        <f t="shared" si="8"/>
        <v>41239.66667</v>
      </c>
      <c r="B3257" s="2" t="str">
        <f t="shared" si="2"/>
        <v/>
      </c>
      <c r="C3257" s="2" t="str">
        <f t="shared" si="3"/>
        <v>SP500</v>
      </c>
      <c r="D3257" s="2">
        <f t="shared" si="4"/>
        <v>2976.78</v>
      </c>
      <c r="E3257" s="2">
        <f t="shared" si="5"/>
        <v>2976.78</v>
      </c>
      <c r="G3257" s="10">
        <f t="shared" si="9"/>
        <v>41239.64583</v>
      </c>
      <c r="H3257" s="6" t="str">
        <f t="shared" si="6"/>
        <v/>
      </c>
      <c r="I3257" s="2">
        <f t="shared" si="7"/>
        <v>1426.89</v>
      </c>
      <c r="M3257" s="10">
        <f>IFERROR(__xludf.DUMMYFUNCTION("""COMPUTED_VALUE"""),42703.66666666667)</f>
        <v>42703.66667</v>
      </c>
      <c r="N3257" s="2">
        <f>IFERROR(__xludf.DUMMYFUNCTION("""COMPUTED_VALUE"""),5379.92)</f>
        <v>5379.92</v>
      </c>
    </row>
    <row r="3258">
      <c r="A3258" s="10">
        <f t="shared" si="8"/>
        <v>41240.66667</v>
      </c>
      <c r="B3258" s="2" t="str">
        <f t="shared" si="2"/>
        <v/>
      </c>
      <c r="C3258" s="2" t="str">
        <f t="shared" si="3"/>
        <v>SP500</v>
      </c>
      <c r="D3258" s="2">
        <f t="shared" si="4"/>
        <v>2967.79</v>
      </c>
      <c r="E3258" s="2">
        <f t="shared" si="5"/>
        <v>2967.79</v>
      </c>
      <c r="G3258" s="10">
        <f t="shared" si="9"/>
        <v>41240.64583</v>
      </c>
      <c r="H3258" s="6" t="str">
        <f t="shared" si="6"/>
        <v/>
      </c>
      <c r="I3258" s="2">
        <f t="shared" si="7"/>
        <v>1426.89</v>
      </c>
      <c r="M3258" s="10">
        <f>IFERROR(__xludf.DUMMYFUNCTION("""COMPUTED_VALUE"""),42704.66666666667)</f>
        <v>42704.66667</v>
      </c>
      <c r="N3258" s="2">
        <f>IFERROR(__xludf.DUMMYFUNCTION("""COMPUTED_VALUE"""),5323.68)</f>
        <v>5323.68</v>
      </c>
    </row>
    <row r="3259">
      <c r="A3259" s="10">
        <f t="shared" si="8"/>
        <v>41241.66667</v>
      </c>
      <c r="B3259" s="2" t="str">
        <f t="shared" si="2"/>
        <v/>
      </c>
      <c r="C3259" s="2" t="str">
        <f t="shared" si="3"/>
        <v>SP500</v>
      </c>
      <c r="D3259" s="2">
        <f t="shared" si="4"/>
        <v>2991.78</v>
      </c>
      <c r="E3259" s="2">
        <f t="shared" si="5"/>
        <v>2991.78</v>
      </c>
      <c r="G3259" s="10">
        <f t="shared" si="9"/>
        <v>41241.64583</v>
      </c>
      <c r="H3259" s="6" t="str">
        <f t="shared" si="6"/>
        <v/>
      </c>
      <c r="I3259" s="2">
        <f t="shared" si="7"/>
        <v>1426.89</v>
      </c>
      <c r="M3259" s="10">
        <f>IFERROR(__xludf.DUMMYFUNCTION("""COMPUTED_VALUE"""),42705.66666666667)</f>
        <v>42705.66667</v>
      </c>
      <c r="N3259" s="2">
        <f>IFERROR(__xludf.DUMMYFUNCTION("""COMPUTED_VALUE"""),5251.11)</f>
        <v>5251.11</v>
      </c>
    </row>
    <row r="3260">
      <c r="A3260" s="10">
        <f t="shared" si="8"/>
        <v>41242.66667</v>
      </c>
      <c r="B3260" s="2" t="str">
        <f t="shared" si="2"/>
        <v/>
      </c>
      <c r="C3260" s="2" t="str">
        <f t="shared" si="3"/>
        <v>SP500</v>
      </c>
      <c r="D3260" s="2">
        <f t="shared" si="4"/>
        <v>3012.03</v>
      </c>
      <c r="E3260" s="2">
        <f t="shared" si="5"/>
        <v>3012.03</v>
      </c>
      <c r="G3260" s="10">
        <f t="shared" si="9"/>
        <v>41242.64583</v>
      </c>
      <c r="H3260" s="6" t="str">
        <f t="shared" si="6"/>
        <v/>
      </c>
      <c r="I3260" s="2">
        <f t="shared" si="7"/>
        <v>1426.89</v>
      </c>
      <c r="M3260" s="10">
        <f>IFERROR(__xludf.DUMMYFUNCTION("""COMPUTED_VALUE"""),42706.66666666667)</f>
        <v>42706.66667</v>
      </c>
      <c r="N3260" s="2">
        <f>IFERROR(__xludf.DUMMYFUNCTION("""COMPUTED_VALUE"""),5255.65)</f>
        <v>5255.65</v>
      </c>
    </row>
    <row r="3261">
      <c r="A3261" s="10">
        <f t="shared" si="8"/>
        <v>41243.66667</v>
      </c>
      <c r="B3261" s="2" t="str">
        <f t="shared" si="2"/>
        <v/>
      </c>
      <c r="C3261" s="2" t="str">
        <f t="shared" si="3"/>
        <v>SP500</v>
      </c>
      <c r="D3261" s="2">
        <f t="shared" si="4"/>
        <v>3010.24</v>
      </c>
      <c r="E3261" s="2">
        <f t="shared" si="5"/>
        <v>3010.24</v>
      </c>
      <c r="G3261" s="10">
        <f t="shared" si="9"/>
        <v>41243.64583</v>
      </c>
      <c r="H3261" s="6" t="str">
        <f t="shared" si="6"/>
        <v/>
      </c>
      <c r="I3261" s="2">
        <f t="shared" si="7"/>
        <v>1426.89</v>
      </c>
      <c r="M3261" s="10">
        <f>IFERROR(__xludf.DUMMYFUNCTION("""COMPUTED_VALUE"""),42709.66666666667)</f>
        <v>42709.66667</v>
      </c>
      <c r="N3261" s="2">
        <f>IFERROR(__xludf.DUMMYFUNCTION("""COMPUTED_VALUE"""),5308.89)</f>
        <v>5308.89</v>
      </c>
    </row>
    <row r="3262">
      <c r="A3262" s="10">
        <f t="shared" si="8"/>
        <v>41244.66667</v>
      </c>
      <c r="B3262" s="2" t="str">
        <f t="shared" si="2"/>
        <v/>
      </c>
      <c r="C3262" s="2" t="str">
        <f t="shared" si="3"/>
        <v>SP500</v>
      </c>
      <c r="D3262" s="2" t="str">
        <f t="shared" si="4"/>
        <v/>
      </c>
      <c r="E3262" s="2">
        <f t="shared" si="5"/>
        <v>3010.24</v>
      </c>
      <c r="G3262" s="10">
        <f t="shared" si="9"/>
        <v>41244.64583</v>
      </c>
      <c r="H3262" s="6" t="str">
        <f t="shared" si="6"/>
        <v/>
      </c>
      <c r="I3262" s="2">
        <f t="shared" si="7"/>
        <v>1426.89</v>
      </c>
      <c r="M3262" s="10">
        <f>IFERROR(__xludf.DUMMYFUNCTION("""COMPUTED_VALUE"""),42710.66666666667)</f>
        <v>42710.66667</v>
      </c>
      <c r="N3262" s="2">
        <f>IFERROR(__xludf.DUMMYFUNCTION("""COMPUTED_VALUE"""),5333.0)</f>
        <v>5333</v>
      </c>
    </row>
    <row r="3263">
      <c r="A3263" s="10">
        <f t="shared" si="8"/>
        <v>41245.66667</v>
      </c>
      <c r="B3263" s="2" t="str">
        <f t="shared" si="2"/>
        <v/>
      </c>
      <c r="C3263" s="2" t="str">
        <f t="shared" si="3"/>
        <v>SP500</v>
      </c>
      <c r="D3263" s="2" t="str">
        <f t="shared" si="4"/>
        <v/>
      </c>
      <c r="E3263" s="2">
        <f t="shared" si="5"/>
        <v>3010.24</v>
      </c>
      <c r="G3263" s="10">
        <f t="shared" si="9"/>
        <v>41245.64583</v>
      </c>
      <c r="H3263" s="6" t="str">
        <f t="shared" si="6"/>
        <v/>
      </c>
      <c r="I3263" s="2">
        <f t="shared" si="7"/>
        <v>1426.89</v>
      </c>
      <c r="M3263" s="10">
        <f>IFERROR(__xludf.DUMMYFUNCTION("""COMPUTED_VALUE"""),42711.66666666667)</f>
        <v>42711.66667</v>
      </c>
      <c r="N3263" s="2">
        <f>IFERROR(__xludf.DUMMYFUNCTION("""COMPUTED_VALUE"""),5393.76)</f>
        <v>5393.76</v>
      </c>
    </row>
    <row r="3264">
      <c r="A3264" s="10">
        <f t="shared" si="8"/>
        <v>41246.66667</v>
      </c>
      <c r="B3264" s="2" t="str">
        <f t="shared" si="2"/>
        <v/>
      </c>
      <c r="C3264" s="2" t="str">
        <f t="shared" si="3"/>
        <v>SP500</v>
      </c>
      <c r="D3264" s="2">
        <f t="shared" si="4"/>
        <v>3002.2</v>
      </c>
      <c r="E3264" s="2">
        <f t="shared" si="5"/>
        <v>3002.2</v>
      </c>
      <c r="G3264" s="10">
        <f t="shared" si="9"/>
        <v>41246.64583</v>
      </c>
      <c r="H3264" s="6" t="str">
        <f t="shared" si="6"/>
        <v/>
      </c>
      <c r="I3264" s="2">
        <f t="shared" si="7"/>
        <v>1426.89</v>
      </c>
      <c r="M3264" s="10">
        <f>IFERROR(__xludf.DUMMYFUNCTION("""COMPUTED_VALUE"""),42712.66666666667)</f>
        <v>42712.66667</v>
      </c>
      <c r="N3264" s="2">
        <f>IFERROR(__xludf.DUMMYFUNCTION("""COMPUTED_VALUE"""),5417.36)</f>
        <v>5417.36</v>
      </c>
    </row>
    <row r="3265">
      <c r="A3265" s="10">
        <f t="shared" si="8"/>
        <v>41247.66667</v>
      </c>
      <c r="B3265" s="2" t="str">
        <f t="shared" si="2"/>
        <v/>
      </c>
      <c r="C3265" s="2" t="str">
        <f t="shared" si="3"/>
        <v>SP500</v>
      </c>
      <c r="D3265" s="2">
        <f t="shared" si="4"/>
        <v>2996.69</v>
      </c>
      <c r="E3265" s="2">
        <f t="shared" si="5"/>
        <v>2996.69</v>
      </c>
      <c r="G3265" s="10">
        <f t="shared" si="9"/>
        <v>41247.64583</v>
      </c>
      <c r="H3265" s="6" t="str">
        <f t="shared" si="6"/>
        <v/>
      </c>
      <c r="I3265" s="2">
        <f t="shared" si="7"/>
        <v>1426.89</v>
      </c>
      <c r="M3265" s="10">
        <f>IFERROR(__xludf.DUMMYFUNCTION("""COMPUTED_VALUE"""),42713.66666666667)</f>
        <v>42713.66667</v>
      </c>
      <c r="N3265" s="2">
        <f>IFERROR(__xludf.DUMMYFUNCTION("""COMPUTED_VALUE"""),5444.5)</f>
        <v>5444.5</v>
      </c>
    </row>
    <row r="3266">
      <c r="A3266" s="10">
        <f t="shared" si="8"/>
        <v>41248.66667</v>
      </c>
      <c r="B3266" s="2" t="str">
        <f t="shared" si="2"/>
        <v/>
      </c>
      <c r="C3266" s="2" t="str">
        <f t="shared" si="3"/>
        <v>SP500</v>
      </c>
      <c r="D3266" s="2">
        <f t="shared" si="4"/>
        <v>2973.7</v>
      </c>
      <c r="E3266" s="2">
        <f t="shared" si="5"/>
        <v>2973.7</v>
      </c>
      <c r="G3266" s="10">
        <f t="shared" si="9"/>
        <v>41248.64583</v>
      </c>
      <c r="H3266" s="6" t="str">
        <f t="shared" si="6"/>
        <v/>
      </c>
      <c r="I3266" s="2">
        <f t="shared" si="7"/>
        <v>1426.89</v>
      </c>
      <c r="M3266" s="10">
        <f>IFERROR(__xludf.DUMMYFUNCTION("""COMPUTED_VALUE"""),42716.66666666667)</f>
        <v>42716.66667</v>
      </c>
      <c r="N3266" s="2">
        <f>IFERROR(__xludf.DUMMYFUNCTION("""COMPUTED_VALUE"""),5412.54)</f>
        <v>5412.54</v>
      </c>
    </row>
    <row r="3267">
      <c r="A3267" s="10">
        <f t="shared" si="8"/>
        <v>41249.66667</v>
      </c>
      <c r="B3267" s="2" t="str">
        <f t="shared" si="2"/>
        <v/>
      </c>
      <c r="C3267" s="2" t="str">
        <f t="shared" si="3"/>
        <v>SP500</v>
      </c>
      <c r="D3267" s="2">
        <f t="shared" si="4"/>
        <v>2989.27</v>
      </c>
      <c r="E3267" s="2">
        <f t="shared" si="5"/>
        <v>2989.27</v>
      </c>
      <c r="G3267" s="10">
        <f t="shared" si="9"/>
        <v>41249.64583</v>
      </c>
      <c r="H3267" s="6" t="str">
        <f t="shared" si="6"/>
        <v/>
      </c>
      <c r="I3267" s="2">
        <f t="shared" si="7"/>
        <v>1426.89</v>
      </c>
      <c r="M3267" s="10">
        <f>IFERROR(__xludf.DUMMYFUNCTION("""COMPUTED_VALUE"""),42717.66666666667)</f>
        <v>42717.66667</v>
      </c>
      <c r="N3267" s="2">
        <f>IFERROR(__xludf.DUMMYFUNCTION("""COMPUTED_VALUE"""),5463.83)</f>
        <v>5463.83</v>
      </c>
    </row>
    <row r="3268">
      <c r="A3268" s="10">
        <f t="shared" si="8"/>
        <v>41250.66667</v>
      </c>
      <c r="B3268" s="2" t="str">
        <f t="shared" si="2"/>
        <v/>
      </c>
      <c r="C3268" s="2" t="str">
        <f t="shared" si="3"/>
        <v>SP500</v>
      </c>
      <c r="D3268" s="2">
        <f t="shared" si="4"/>
        <v>2978.04</v>
      </c>
      <c r="E3268" s="2">
        <f t="shared" si="5"/>
        <v>2978.04</v>
      </c>
      <c r="G3268" s="10">
        <f t="shared" si="9"/>
        <v>41250.64583</v>
      </c>
      <c r="H3268" s="6" t="str">
        <f t="shared" si="6"/>
        <v/>
      </c>
      <c r="I3268" s="2">
        <f t="shared" si="7"/>
        <v>1426.89</v>
      </c>
      <c r="M3268" s="10">
        <f>IFERROR(__xludf.DUMMYFUNCTION("""COMPUTED_VALUE"""),42718.66666666667)</f>
        <v>42718.66667</v>
      </c>
      <c r="N3268" s="2">
        <f>IFERROR(__xludf.DUMMYFUNCTION("""COMPUTED_VALUE"""),5436.67)</f>
        <v>5436.67</v>
      </c>
    </row>
    <row r="3269">
      <c r="A3269" s="10">
        <f t="shared" si="8"/>
        <v>41251.66667</v>
      </c>
      <c r="B3269" s="2" t="str">
        <f t="shared" si="2"/>
        <v/>
      </c>
      <c r="C3269" s="2" t="str">
        <f t="shared" si="3"/>
        <v>SP500</v>
      </c>
      <c r="D3269" s="2" t="str">
        <f t="shared" si="4"/>
        <v/>
      </c>
      <c r="E3269" s="2">
        <f t="shared" si="5"/>
        <v>2978.04</v>
      </c>
      <c r="G3269" s="10">
        <f t="shared" si="9"/>
        <v>41251.64583</v>
      </c>
      <c r="H3269" s="6" t="str">
        <f t="shared" si="6"/>
        <v/>
      </c>
      <c r="I3269" s="2">
        <f t="shared" si="7"/>
        <v>1426.89</v>
      </c>
      <c r="M3269" s="10">
        <f>IFERROR(__xludf.DUMMYFUNCTION("""COMPUTED_VALUE"""),42719.66666666667)</f>
        <v>42719.66667</v>
      </c>
      <c r="N3269" s="2">
        <f>IFERROR(__xludf.DUMMYFUNCTION("""COMPUTED_VALUE"""),5456.85)</f>
        <v>5456.85</v>
      </c>
    </row>
    <row r="3270">
      <c r="A3270" s="10">
        <f t="shared" si="8"/>
        <v>41252.66667</v>
      </c>
      <c r="B3270" s="2" t="str">
        <f t="shared" si="2"/>
        <v/>
      </c>
      <c r="C3270" s="2" t="str">
        <f t="shared" si="3"/>
        <v>SP500</v>
      </c>
      <c r="D3270" s="2" t="str">
        <f t="shared" si="4"/>
        <v/>
      </c>
      <c r="E3270" s="2">
        <f t="shared" si="5"/>
        <v>2978.04</v>
      </c>
      <c r="G3270" s="10">
        <f t="shared" si="9"/>
        <v>41252.64583</v>
      </c>
      <c r="H3270" s="6" t="str">
        <f t="shared" si="6"/>
        <v/>
      </c>
      <c r="I3270" s="2">
        <f t="shared" si="7"/>
        <v>1426.89</v>
      </c>
      <c r="M3270" s="10">
        <f>IFERROR(__xludf.DUMMYFUNCTION("""COMPUTED_VALUE"""),42720.66666666667)</f>
        <v>42720.66667</v>
      </c>
      <c r="N3270" s="2">
        <f>IFERROR(__xludf.DUMMYFUNCTION("""COMPUTED_VALUE"""),5437.16)</f>
        <v>5437.16</v>
      </c>
    </row>
    <row r="3271">
      <c r="A3271" s="10">
        <f t="shared" si="8"/>
        <v>41253.66667</v>
      </c>
      <c r="B3271" s="2" t="str">
        <f t="shared" si="2"/>
        <v/>
      </c>
      <c r="C3271" s="2" t="str">
        <f t="shared" si="3"/>
        <v>SP500</v>
      </c>
      <c r="D3271" s="2">
        <f t="shared" si="4"/>
        <v>2986.96</v>
      </c>
      <c r="E3271" s="2">
        <f t="shared" si="5"/>
        <v>2986.96</v>
      </c>
      <c r="G3271" s="10">
        <f t="shared" si="9"/>
        <v>41253.64583</v>
      </c>
      <c r="H3271" s="6" t="str">
        <f t="shared" si="6"/>
        <v/>
      </c>
      <c r="I3271" s="2">
        <f t="shared" si="7"/>
        <v>1426.89</v>
      </c>
      <c r="M3271" s="10">
        <f>IFERROR(__xludf.DUMMYFUNCTION("""COMPUTED_VALUE"""),42723.66666666667)</f>
        <v>42723.66667</v>
      </c>
      <c r="N3271" s="2">
        <f>IFERROR(__xludf.DUMMYFUNCTION("""COMPUTED_VALUE"""),5457.44)</f>
        <v>5457.44</v>
      </c>
    </row>
    <row r="3272">
      <c r="A3272" s="10">
        <f t="shared" si="8"/>
        <v>41254.66667</v>
      </c>
      <c r="B3272" s="2" t="str">
        <f t="shared" si="2"/>
        <v/>
      </c>
      <c r="C3272" s="2" t="str">
        <f t="shared" si="3"/>
        <v>SP500</v>
      </c>
      <c r="D3272" s="2">
        <f t="shared" si="4"/>
        <v>3022.3</v>
      </c>
      <c r="E3272" s="2">
        <f t="shared" si="5"/>
        <v>3022.3</v>
      </c>
      <c r="G3272" s="10">
        <f t="shared" si="9"/>
        <v>41254.64583</v>
      </c>
      <c r="H3272" s="6" t="str">
        <f t="shared" si="6"/>
        <v/>
      </c>
      <c r="I3272" s="2">
        <f t="shared" si="7"/>
        <v>1426.89</v>
      </c>
      <c r="M3272" s="10">
        <f>IFERROR(__xludf.DUMMYFUNCTION("""COMPUTED_VALUE"""),42724.66666666667)</f>
        <v>42724.66667</v>
      </c>
      <c r="N3272" s="2">
        <f>IFERROR(__xludf.DUMMYFUNCTION("""COMPUTED_VALUE"""),5483.94)</f>
        <v>5483.94</v>
      </c>
    </row>
    <row r="3273">
      <c r="A3273" s="10">
        <f t="shared" si="8"/>
        <v>41255.66667</v>
      </c>
      <c r="B3273" s="2" t="str">
        <f t="shared" si="2"/>
        <v/>
      </c>
      <c r="C3273" s="2" t="str">
        <f t="shared" si="3"/>
        <v>SP500</v>
      </c>
      <c r="D3273" s="2">
        <f t="shared" si="4"/>
        <v>3013.81</v>
      </c>
      <c r="E3273" s="2">
        <f t="shared" si="5"/>
        <v>3013.81</v>
      </c>
      <c r="G3273" s="10">
        <f t="shared" si="9"/>
        <v>41255.64583</v>
      </c>
      <c r="H3273" s="6" t="str">
        <f t="shared" si="6"/>
        <v/>
      </c>
      <c r="I3273" s="2">
        <f t="shared" si="7"/>
        <v>1426.89</v>
      </c>
      <c r="M3273" s="10">
        <f>IFERROR(__xludf.DUMMYFUNCTION("""COMPUTED_VALUE"""),42725.66666666667)</f>
        <v>42725.66667</v>
      </c>
      <c r="N3273" s="2">
        <f>IFERROR(__xludf.DUMMYFUNCTION("""COMPUTED_VALUE"""),5471.43)</f>
        <v>5471.43</v>
      </c>
    </row>
    <row r="3274">
      <c r="A3274" s="10">
        <f t="shared" si="8"/>
        <v>41256.66667</v>
      </c>
      <c r="B3274" s="2" t="str">
        <f t="shared" si="2"/>
        <v/>
      </c>
      <c r="C3274" s="2" t="str">
        <f t="shared" si="3"/>
        <v>SP500</v>
      </c>
      <c r="D3274" s="2">
        <f t="shared" si="4"/>
        <v>2992.16</v>
      </c>
      <c r="E3274" s="2">
        <f t="shared" si="5"/>
        <v>2992.16</v>
      </c>
      <c r="G3274" s="10">
        <f t="shared" si="9"/>
        <v>41256.64583</v>
      </c>
      <c r="H3274" s="6" t="str">
        <f t="shared" si="6"/>
        <v/>
      </c>
      <c r="I3274" s="2">
        <f t="shared" si="7"/>
        <v>1426.89</v>
      </c>
      <c r="M3274" s="10">
        <f>IFERROR(__xludf.DUMMYFUNCTION("""COMPUTED_VALUE"""),42726.66666666667)</f>
        <v>42726.66667</v>
      </c>
      <c r="N3274" s="2">
        <f>IFERROR(__xludf.DUMMYFUNCTION("""COMPUTED_VALUE"""),5447.42)</f>
        <v>5447.42</v>
      </c>
    </row>
    <row r="3275">
      <c r="A3275" s="10">
        <f t="shared" si="8"/>
        <v>41257.66667</v>
      </c>
      <c r="B3275" s="2" t="str">
        <f t="shared" si="2"/>
        <v/>
      </c>
      <c r="C3275" s="2" t="str">
        <f t="shared" si="3"/>
        <v>SP500</v>
      </c>
      <c r="D3275" s="2">
        <f t="shared" si="4"/>
        <v>2971.33</v>
      </c>
      <c r="E3275" s="2">
        <f t="shared" si="5"/>
        <v>2971.33</v>
      </c>
      <c r="G3275" s="10">
        <f t="shared" si="9"/>
        <v>41257.64583</v>
      </c>
      <c r="H3275" s="6" t="str">
        <f t="shared" si="6"/>
        <v/>
      </c>
      <c r="I3275" s="2">
        <f t="shared" si="7"/>
        <v>1426.89</v>
      </c>
      <c r="M3275" s="10">
        <f>IFERROR(__xludf.DUMMYFUNCTION("""COMPUTED_VALUE"""),42727.66666666667)</f>
        <v>42727.66667</v>
      </c>
      <c r="N3275" s="2">
        <f>IFERROR(__xludf.DUMMYFUNCTION("""COMPUTED_VALUE"""),5462.69)</f>
        <v>5462.69</v>
      </c>
    </row>
    <row r="3276">
      <c r="A3276" s="10">
        <f t="shared" si="8"/>
        <v>41258.66667</v>
      </c>
      <c r="B3276" s="2" t="str">
        <f t="shared" si="2"/>
        <v/>
      </c>
      <c r="C3276" s="2" t="str">
        <f t="shared" si="3"/>
        <v>SP500</v>
      </c>
      <c r="D3276" s="2" t="str">
        <f t="shared" si="4"/>
        <v/>
      </c>
      <c r="E3276" s="2">
        <f t="shared" si="5"/>
        <v>2971.33</v>
      </c>
      <c r="G3276" s="10">
        <f t="shared" si="9"/>
        <v>41258.64583</v>
      </c>
      <c r="H3276" s="6" t="str">
        <f t="shared" si="6"/>
        <v/>
      </c>
      <c r="I3276" s="2">
        <f t="shared" si="7"/>
        <v>1426.89</v>
      </c>
      <c r="M3276" s="10">
        <f>IFERROR(__xludf.DUMMYFUNCTION("""COMPUTED_VALUE"""),42731.66666666667)</f>
        <v>42731.66667</v>
      </c>
      <c r="N3276" s="2">
        <f>IFERROR(__xludf.DUMMYFUNCTION("""COMPUTED_VALUE"""),5487.44)</f>
        <v>5487.44</v>
      </c>
    </row>
    <row r="3277">
      <c r="A3277" s="10">
        <f t="shared" si="8"/>
        <v>41259.66667</v>
      </c>
      <c r="B3277" s="2" t="str">
        <f t="shared" si="2"/>
        <v/>
      </c>
      <c r="C3277" s="2" t="str">
        <f t="shared" si="3"/>
        <v>SP500</v>
      </c>
      <c r="D3277" s="2" t="str">
        <f t="shared" si="4"/>
        <v/>
      </c>
      <c r="E3277" s="2">
        <f t="shared" si="5"/>
        <v>2971.33</v>
      </c>
      <c r="G3277" s="10">
        <f t="shared" si="9"/>
        <v>41259.64583</v>
      </c>
      <c r="H3277" s="6" t="str">
        <f t="shared" si="6"/>
        <v/>
      </c>
      <c r="I3277" s="2">
        <f t="shared" si="7"/>
        <v>1426.89</v>
      </c>
      <c r="M3277" s="10">
        <f>IFERROR(__xludf.DUMMYFUNCTION("""COMPUTED_VALUE"""),42732.66666666667)</f>
        <v>42732.66667</v>
      </c>
      <c r="N3277" s="2">
        <f>IFERROR(__xludf.DUMMYFUNCTION("""COMPUTED_VALUE"""),5438.56)</f>
        <v>5438.56</v>
      </c>
    </row>
    <row r="3278">
      <c r="A3278" s="10">
        <f t="shared" si="8"/>
        <v>41260.66667</v>
      </c>
      <c r="B3278" s="2" t="str">
        <f t="shared" si="2"/>
        <v/>
      </c>
      <c r="C3278" s="2" t="str">
        <f t="shared" si="3"/>
        <v>SP500</v>
      </c>
      <c r="D3278" s="2">
        <f t="shared" si="4"/>
        <v>3010.6</v>
      </c>
      <c r="E3278" s="2">
        <f t="shared" si="5"/>
        <v>3010.6</v>
      </c>
      <c r="G3278" s="10">
        <f t="shared" si="9"/>
        <v>41260.64583</v>
      </c>
      <c r="H3278" s="6" t="str">
        <f t="shared" si="6"/>
        <v/>
      </c>
      <c r="I3278" s="2">
        <f t="shared" si="7"/>
        <v>1426.89</v>
      </c>
      <c r="M3278" s="10">
        <f>IFERROR(__xludf.DUMMYFUNCTION("""COMPUTED_VALUE"""),42733.66666666667)</f>
        <v>42733.66667</v>
      </c>
      <c r="N3278" s="2">
        <f>IFERROR(__xludf.DUMMYFUNCTION("""COMPUTED_VALUE"""),5432.09)</f>
        <v>5432.09</v>
      </c>
    </row>
    <row r="3279">
      <c r="A3279" s="10">
        <f t="shared" si="8"/>
        <v>41261.66667</v>
      </c>
      <c r="B3279" s="2" t="str">
        <f t="shared" si="2"/>
        <v/>
      </c>
      <c r="C3279" s="2" t="str">
        <f t="shared" si="3"/>
        <v>SP500</v>
      </c>
      <c r="D3279" s="2">
        <f t="shared" si="4"/>
        <v>3054.53</v>
      </c>
      <c r="E3279" s="2">
        <f t="shared" si="5"/>
        <v>3054.53</v>
      </c>
      <c r="G3279" s="10">
        <f t="shared" si="9"/>
        <v>41261.64583</v>
      </c>
      <c r="H3279" s="6" t="str">
        <f t="shared" si="6"/>
        <v/>
      </c>
      <c r="I3279" s="2">
        <f t="shared" si="7"/>
        <v>1426.89</v>
      </c>
      <c r="M3279" s="10">
        <f>IFERROR(__xludf.DUMMYFUNCTION("""COMPUTED_VALUE"""),42734.66666666667)</f>
        <v>42734.66667</v>
      </c>
      <c r="N3279" s="2">
        <f>IFERROR(__xludf.DUMMYFUNCTION("""COMPUTED_VALUE"""),5383.12)</f>
        <v>5383.12</v>
      </c>
    </row>
    <row r="3280">
      <c r="A3280" s="10">
        <f t="shared" si="8"/>
        <v>41262.66667</v>
      </c>
      <c r="B3280" s="2" t="str">
        <f t="shared" si="2"/>
        <v/>
      </c>
      <c r="C3280" s="2" t="str">
        <f t="shared" si="3"/>
        <v>SP500</v>
      </c>
      <c r="D3280" s="2">
        <f t="shared" si="4"/>
        <v>3044.36</v>
      </c>
      <c r="E3280" s="2">
        <f t="shared" si="5"/>
        <v>3044.36</v>
      </c>
      <c r="G3280" s="10">
        <f t="shared" si="9"/>
        <v>41262.64583</v>
      </c>
      <c r="H3280" s="6" t="str">
        <f t="shared" si="6"/>
        <v/>
      </c>
      <c r="I3280" s="2">
        <f t="shared" si="7"/>
        <v>1426.89</v>
      </c>
      <c r="M3280" s="10">
        <f>IFERROR(__xludf.DUMMYFUNCTION("""COMPUTED_VALUE"""),42738.66666666667)</f>
        <v>42738.66667</v>
      </c>
      <c r="N3280" s="2">
        <f>IFERROR(__xludf.DUMMYFUNCTION("""COMPUTED_VALUE"""),5429.08)</f>
        <v>5429.08</v>
      </c>
    </row>
    <row r="3281">
      <c r="A3281" s="10">
        <f t="shared" si="8"/>
        <v>41263.66667</v>
      </c>
      <c r="B3281" s="2" t="str">
        <f t="shared" si="2"/>
        <v/>
      </c>
      <c r="C3281" s="2" t="str">
        <f t="shared" si="3"/>
        <v>SP500</v>
      </c>
      <c r="D3281" s="2">
        <f t="shared" si="4"/>
        <v>3050.39</v>
      </c>
      <c r="E3281" s="2">
        <f t="shared" si="5"/>
        <v>3050.39</v>
      </c>
      <c r="G3281" s="10">
        <f t="shared" si="9"/>
        <v>41263.64583</v>
      </c>
      <c r="H3281" s="6" t="str">
        <f t="shared" si="6"/>
        <v/>
      </c>
      <c r="I3281" s="2">
        <f t="shared" si="7"/>
        <v>1426.89</v>
      </c>
      <c r="M3281" s="10">
        <f>IFERROR(__xludf.DUMMYFUNCTION("""COMPUTED_VALUE"""),42739.66666666667)</f>
        <v>42739.66667</v>
      </c>
      <c r="N3281" s="2">
        <f>IFERROR(__xludf.DUMMYFUNCTION("""COMPUTED_VALUE"""),5477.0)</f>
        <v>5477</v>
      </c>
    </row>
    <row r="3282">
      <c r="A3282" s="10">
        <f t="shared" si="8"/>
        <v>41264.66667</v>
      </c>
      <c r="B3282" s="2" t="str">
        <f t="shared" si="2"/>
        <v/>
      </c>
      <c r="C3282" s="2" t="str">
        <f t="shared" si="3"/>
        <v>SP500</v>
      </c>
      <c r="D3282" s="2">
        <f t="shared" si="4"/>
        <v>3021.01</v>
      </c>
      <c r="E3282" s="2">
        <f t="shared" si="5"/>
        <v>3021.01</v>
      </c>
      <c r="G3282" s="10">
        <f t="shared" si="9"/>
        <v>41264.64583</v>
      </c>
      <c r="H3282" s="6" t="str">
        <f t="shared" si="6"/>
        <v/>
      </c>
      <c r="I3282" s="2">
        <f t="shared" si="7"/>
        <v>1426.89</v>
      </c>
      <c r="M3282" s="10">
        <f>IFERROR(__xludf.DUMMYFUNCTION("""COMPUTED_VALUE"""),42740.66666666667)</f>
        <v>42740.66667</v>
      </c>
      <c r="N3282" s="2">
        <f>IFERROR(__xludf.DUMMYFUNCTION("""COMPUTED_VALUE"""),5487.94)</f>
        <v>5487.94</v>
      </c>
    </row>
    <row r="3283">
      <c r="A3283" s="10">
        <f t="shared" si="8"/>
        <v>41265.66667</v>
      </c>
      <c r="B3283" s="2" t="str">
        <f t="shared" si="2"/>
        <v/>
      </c>
      <c r="C3283" s="2" t="str">
        <f t="shared" si="3"/>
        <v>SP500</v>
      </c>
      <c r="D3283" s="2" t="str">
        <f t="shared" si="4"/>
        <v/>
      </c>
      <c r="E3283" s="2">
        <f t="shared" si="5"/>
        <v>3021.01</v>
      </c>
      <c r="G3283" s="10">
        <f t="shared" si="9"/>
        <v>41265.64583</v>
      </c>
      <c r="H3283" s="6" t="str">
        <f t="shared" si="6"/>
        <v/>
      </c>
      <c r="I3283" s="2">
        <f t="shared" si="7"/>
        <v>1426.89</v>
      </c>
      <c r="M3283" s="10">
        <f>IFERROR(__xludf.DUMMYFUNCTION("""COMPUTED_VALUE"""),42741.66666666667)</f>
        <v>42741.66667</v>
      </c>
      <c r="N3283" s="2">
        <f>IFERROR(__xludf.DUMMYFUNCTION("""COMPUTED_VALUE"""),5521.06)</f>
        <v>5521.06</v>
      </c>
    </row>
    <row r="3284">
      <c r="A3284" s="10">
        <f t="shared" si="8"/>
        <v>41266.66667</v>
      </c>
      <c r="B3284" s="2" t="str">
        <f t="shared" si="2"/>
        <v/>
      </c>
      <c r="C3284" s="2" t="str">
        <f t="shared" si="3"/>
        <v>SP500</v>
      </c>
      <c r="D3284" s="2" t="str">
        <f t="shared" si="4"/>
        <v/>
      </c>
      <c r="E3284" s="2">
        <f t="shared" si="5"/>
        <v>3021.01</v>
      </c>
      <c r="G3284" s="10">
        <f t="shared" si="9"/>
        <v>41266.64583</v>
      </c>
      <c r="H3284" s="6" t="str">
        <f t="shared" si="6"/>
        <v/>
      </c>
      <c r="I3284" s="2">
        <f t="shared" si="7"/>
        <v>1426.89</v>
      </c>
      <c r="M3284" s="10">
        <f>IFERROR(__xludf.DUMMYFUNCTION("""COMPUTED_VALUE"""),42744.66666666667)</f>
        <v>42744.66667</v>
      </c>
      <c r="N3284" s="2">
        <f>IFERROR(__xludf.DUMMYFUNCTION("""COMPUTED_VALUE"""),5531.82)</f>
        <v>5531.82</v>
      </c>
    </row>
    <row r="3285">
      <c r="A3285" s="10">
        <f t="shared" si="8"/>
        <v>41267.66667</v>
      </c>
      <c r="B3285" s="2" t="str">
        <f t="shared" si="2"/>
        <v/>
      </c>
      <c r="C3285" s="2" t="str">
        <f t="shared" si="3"/>
        <v>SP500</v>
      </c>
      <c r="D3285" s="2">
        <f t="shared" si="4"/>
        <v>3012.6</v>
      </c>
      <c r="E3285" s="2">
        <f t="shared" si="5"/>
        <v>3012.6</v>
      </c>
      <c r="G3285" s="10">
        <f t="shared" si="9"/>
        <v>41267.64583</v>
      </c>
      <c r="H3285" s="6" t="str">
        <f t="shared" si="6"/>
        <v/>
      </c>
      <c r="I3285" s="2">
        <f t="shared" si="7"/>
        <v>1426.89</v>
      </c>
      <c r="M3285" s="10">
        <f>IFERROR(__xludf.DUMMYFUNCTION("""COMPUTED_VALUE"""),42745.66666666667)</f>
        <v>42745.66667</v>
      </c>
      <c r="N3285" s="2">
        <f>IFERROR(__xludf.DUMMYFUNCTION("""COMPUTED_VALUE"""),5551.82)</f>
        <v>5551.82</v>
      </c>
    </row>
    <row r="3286">
      <c r="A3286" s="10">
        <f t="shared" si="8"/>
        <v>41268.66667</v>
      </c>
      <c r="B3286" s="2" t="str">
        <f t="shared" si="2"/>
        <v/>
      </c>
      <c r="C3286" s="2" t="str">
        <f t="shared" si="3"/>
        <v>SP500</v>
      </c>
      <c r="D3286" s="2" t="str">
        <f t="shared" si="4"/>
        <v/>
      </c>
      <c r="E3286" s="2">
        <f t="shared" si="5"/>
        <v>3012.6</v>
      </c>
      <c r="G3286" s="10">
        <f t="shared" si="9"/>
        <v>41268.64583</v>
      </c>
      <c r="H3286" s="6" t="str">
        <f t="shared" si="6"/>
        <v/>
      </c>
      <c r="I3286" s="2">
        <f t="shared" si="7"/>
        <v>1426.89</v>
      </c>
      <c r="M3286" s="10">
        <f>IFERROR(__xludf.DUMMYFUNCTION("""COMPUTED_VALUE"""),42746.66666666667)</f>
        <v>42746.66667</v>
      </c>
      <c r="N3286" s="2">
        <f>IFERROR(__xludf.DUMMYFUNCTION("""COMPUTED_VALUE"""),5563.65)</f>
        <v>5563.65</v>
      </c>
    </row>
    <row r="3287">
      <c r="A3287" s="10">
        <f t="shared" si="8"/>
        <v>41269.66667</v>
      </c>
      <c r="B3287" s="2" t="str">
        <f t="shared" si="2"/>
        <v/>
      </c>
      <c r="C3287" s="2" t="str">
        <f t="shared" si="3"/>
        <v>SP500</v>
      </c>
      <c r="D3287" s="2">
        <f t="shared" si="4"/>
        <v>2990.16</v>
      </c>
      <c r="E3287" s="2">
        <f t="shared" si="5"/>
        <v>2990.16</v>
      </c>
      <c r="G3287" s="10">
        <f t="shared" si="9"/>
        <v>41269.64583</v>
      </c>
      <c r="H3287" s="6" t="str">
        <f t="shared" si="6"/>
        <v/>
      </c>
      <c r="I3287" s="2">
        <f t="shared" si="7"/>
        <v>1426.89</v>
      </c>
      <c r="M3287" s="10">
        <f>IFERROR(__xludf.DUMMYFUNCTION("""COMPUTED_VALUE"""),42747.66666666667)</f>
        <v>42747.66667</v>
      </c>
      <c r="N3287" s="2">
        <f>IFERROR(__xludf.DUMMYFUNCTION("""COMPUTED_VALUE"""),5547.49)</f>
        <v>5547.49</v>
      </c>
    </row>
    <row r="3288">
      <c r="A3288" s="10">
        <f t="shared" si="8"/>
        <v>41270.66667</v>
      </c>
      <c r="B3288" s="2" t="str">
        <f t="shared" si="2"/>
        <v/>
      </c>
      <c r="C3288" s="2" t="str">
        <f t="shared" si="3"/>
        <v>SP500</v>
      </c>
      <c r="D3288" s="2">
        <f t="shared" si="4"/>
        <v>2985.91</v>
      </c>
      <c r="E3288" s="2">
        <f t="shared" si="5"/>
        <v>2985.91</v>
      </c>
      <c r="G3288" s="10">
        <f t="shared" si="9"/>
        <v>41270.64583</v>
      </c>
      <c r="H3288" s="6" t="str">
        <f t="shared" si="6"/>
        <v/>
      </c>
      <c r="I3288" s="2">
        <f t="shared" si="7"/>
        <v>1426.89</v>
      </c>
      <c r="M3288" s="10">
        <f>IFERROR(__xludf.DUMMYFUNCTION("""COMPUTED_VALUE"""),42748.66666666667)</f>
        <v>42748.66667</v>
      </c>
      <c r="N3288" s="2">
        <f>IFERROR(__xludf.DUMMYFUNCTION("""COMPUTED_VALUE"""),5574.12)</f>
        <v>5574.12</v>
      </c>
    </row>
    <row r="3289">
      <c r="A3289" s="10">
        <f t="shared" si="8"/>
        <v>41271.66667</v>
      </c>
      <c r="B3289" s="2" t="str">
        <f t="shared" si="2"/>
        <v/>
      </c>
      <c r="C3289" s="2" t="str">
        <f t="shared" si="3"/>
        <v>SP500</v>
      </c>
      <c r="D3289" s="2">
        <f t="shared" si="4"/>
        <v>2960.31</v>
      </c>
      <c r="E3289" s="2">
        <f t="shared" si="5"/>
        <v>2960.31</v>
      </c>
      <c r="G3289" s="10">
        <f t="shared" si="9"/>
        <v>41271.64583</v>
      </c>
      <c r="H3289" s="6" t="str">
        <f t="shared" si="6"/>
        <v/>
      </c>
      <c r="I3289" s="2">
        <f t="shared" si="7"/>
        <v>1426.89</v>
      </c>
      <c r="M3289" s="10">
        <f>IFERROR(__xludf.DUMMYFUNCTION("""COMPUTED_VALUE"""),42752.66666666667)</f>
        <v>42752.66667</v>
      </c>
      <c r="N3289" s="2">
        <f>IFERROR(__xludf.DUMMYFUNCTION("""COMPUTED_VALUE"""),5538.73)</f>
        <v>5538.73</v>
      </c>
    </row>
    <row r="3290">
      <c r="A3290" s="10">
        <f t="shared" si="8"/>
        <v>41272.66667</v>
      </c>
      <c r="B3290" s="2" t="str">
        <f t="shared" si="2"/>
        <v/>
      </c>
      <c r="C3290" s="2" t="str">
        <f t="shared" si="3"/>
        <v>SP500</v>
      </c>
      <c r="D3290" s="2" t="str">
        <f t="shared" si="4"/>
        <v/>
      </c>
      <c r="E3290" s="2">
        <f t="shared" si="5"/>
        <v>2960.31</v>
      </c>
      <c r="G3290" s="10">
        <f t="shared" si="9"/>
        <v>41272.64583</v>
      </c>
      <c r="H3290" s="6" t="str">
        <f t="shared" si="6"/>
        <v/>
      </c>
      <c r="I3290" s="2">
        <f t="shared" si="7"/>
        <v>1426.89</v>
      </c>
      <c r="M3290" s="10">
        <f>IFERROR(__xludf.DUMMYFUNCTION("""COMPUTED_VALUE"""),42753.66666666667)</f>
        <v>42753.66667</v>
      </c>
      <c r="N3290" s="2">
        <f>IFERROR(__xludf.DUMMYFUNCTION("""COMPUTED_VALUE"""),5555.65)</f>
        <v>5555.65</v>
      </c>
    </row>
    <row r="3291">
      <c r="A3291" s="10">
        <f t="shared" si="8"/>
        <v>41273.66667</v>
      </c>
      <c r="B3291" s="2" t="str">
        <f t="shared" si="2"/>
        <v/>
      </c>
      <c r="C3291" s="2" t="str">
        <f t="shared" si="3"/>
        <v>SP500</v>
      </c>
      <c r="D3291" s="2" t="str">
        <f t="shared" si="4"/>
        <v/>
      </c>
      <c r="E3291" s="2">
        <f t="shared" si="5"/>
        <v>2960.31</v>
      </c>
      <c r="G3291" s="10">
        <f t="shared" si="9"/>
        <v>41273.64583</v>
      </c>
      <c r="H3291" s="6" t="str">
        <f t="shared" si="6"/>
        <v/>
      </c>
      <c r="I3291" s="2">
        <f t="shared" si="7"/>
        <v>1426.89</v>
      </c>
      <c r="M3291" s="10">
        <f>IFERROR(__xludf.DUMMYFUNCTION("""COMPUTED_VALUE"""),42754.66666666667)</f>
        <v>42754.66667</v>
      </c>
      <c r="N3291" s="2">
        <f>IFERROR(__xludf.DUMMYFUNCTION("""COMPUTED_VALUE"""),5540.08)</f>
        <v>5540.08</v>
      </c>
    </row>
    <row r="3292">
      <c r="A3292" s="10">
        <f t="shared" si="8"/>
        <v>41274.66667</v>
      </c>
      <c r="B3292" s="2" t="str">
        <f t="shared" si="2"/>
        <v/>
      </c>
      <c r="C3292" s="2" t="str">
        <f t="shared" si="3"/>
        <v>SP500</v>
      </c>
      <c r="D3292" s="2">
        <f t="shared" si="4"/>
        <v>3019.51</v>
      </c>
      <c r="E3292" s="2">
        <f t="shared" si="5"/>
        <v>3019.51</v>
      </c>
      <c r="G3292" s="10">
        <f t="shared" si="9"/>
        <v>41274.64583</v>
      </c>
      <c r="H3292" s="6" t="str">
        <f t="shared" si="6"/>
        <v/>
      </c>
      <c r="I3292" s="2">
        <f t="shared" si="7"/>
        <v>1426.89</v>
      </c>
      <c r="M3292" s="10">
        <f>IFERROR(__xludf.DUMMYFUNCTION("""COMPUTED_VALUE"""),42755.66666666667)</f>
        <v>42755.66667</v>
      </c>
      <c r="N3292" s="2">
        <f>IFERROR(__xludf.DUMMYFUNCTION("""COMPUTED_VALUE"""),5555.33)</f>
        <v>5555.33</v>
      </c>
    </row>
    <row r="3293">
      <c r="A3293" s="10">
        <f t="shared" si="8"/>
        <v>41275.66667</v>
      </c>
      <c r="B3293" s="2" t="str">
        <f t="shared" si="2"/>
        <v/>
      </c>
      <c r="C3293" s="2" t="str">
        <f t="shared" si="3"/>
        <v>SP500</v>
      </c>
      <c r="D3293" s="2" t="str">
        <f t="shared" si="4"/>
        <v/>
      </c>
      <c r="E3293" s="2">
        <f t="shared" si="5"/>
        <v>3019.51</v>
      </c>
      <c r="G3293" s="10">
        <f t="shared" si="9"/>
        <v>41275.64583</v>
      </c>
      <c r="H3293" s="6" t="str">
        <f t="shared" si="6"/>
        <v/>
      </c>
      <c r="I3293" s="2">
        <f t="shared" si="7"/>
        <v>1426.89</v>
      </c>
      <c r="M3293" s="10">
        <f>IFERROR(__xludf.DUMMYFUNCTION("""COMPUTED_VALUE"""),42758.66666666667)</f>
        <v>42758.66667</v>
      </c>
      <c r="N3293" s="2">
        <f>IFERROR(__xludf.DUMMYFUNCTION("""COMPUTED_VALUE"""),5552.94)</f>
        <v>5552.94</v>
      </c>
    </row>
    <row r="3294">
      <c r="A3294" s="10">
        <f t="shared" si="8"/>
        <v>41276.66667</v>
      </c>
      <c r="B3294" s="2" t="str">
        <f t="shared" si="2"/>
        <v/>
      </c>
      <c r="C3294" s="2" t="str">
        <f t="shared" si="3"/>
        <v>SP500</v>
      </c>
      <c r="D3294" s="2">
        <f t="shared" si="4"/>
        <v>3112.26</v>
      </c>
      <c r="E3294" s="2">
        <f t="shared" si="5"/>
        <v>3112.26</v>
      </c>
      <c r="G3294" s="10">
        <f t="shared" si="9"/>
        <v>41276.64583</v>
      </c>
      <c r="H3294" s="6" t="str">
        <f t="shared" si="6"/>
        <v/>
      </c>
      <c r="I3294" s="2">
        <f t="shared" si="7"/>
        <v>1426.89</v>
      </c>
      <c r="M3294" s="10">
        <f>IFERROR(__xludf.DUMMYFUNCTION("""COMPUTED_VALUE"""),42759.66666666667)</f>
        <v>42759.66667</v>
      </c>
      <c r="N3294" s="2">
        <f>IFERROR(__xludf.DUMMYFUNCTION("""COMPUTED_VALUE"""),5600.96)</f>
        <v>5600.96</v>
      </c>
    </row>
    <row r="3295">
      <c r="A3295" s="10">
        <f t="shared" si="8"/>
        <v>41277.66667</v>
      </c>
      <c r="B3295" s="2" t="str">
        <f t="shared" si="2"/>
        <v/>
      </c>
      <c r="C3295" s="2" t="str">
        <f t="shared" si="3"/>
        <v>SP500</v>
      </c>
      <c r="D3295" s="2">
        <f t="shared" si="4"/>
        <v>3100.57</v>
      </c>
      <c r="E3295" s="2">
        <f t="shared" si="5"/>
        <v>3100.57</v>
      </c>
      <c r="G3295" s="10">
        <f t="shared" si="9"/>
        <v>41277.64583</v>
      </c>
      <c r="H3295" s="6" t="str">
        <f t="shared" si="6"/>
        <v/>
      </c>
      <c r="I3295" s="2">
        <f t="shared" si="7"/>
        <v>1426.89</v>
      </c>
      <c r="M3295" s="10">
        <f>IFERROR(__xludf.DUMMYFUNCTION("""COMPUTED_VALUE"""),42760.66666666667)</f>
        <v>42760.66667</v>
      </c>
      <c r="N3295" s="2">
        <f>IFERROR(__xludf.DUMMYFUNCTION("""COMPUTED_VALUE"""),5656.34)</f>
        <v>5656.34</v>
      </c>
    </row>
    <row r="3296">
      <c r="A3296" s="10">
        <f t="shared" si="8"/>
        <v>41278.66667</v>
      </c>
      <c r="B3296" s="2" t="str">
        <f t="shared" si="2"/>
        <v/>
      </c>
      <c r="C3296" s="2" t="str">
        <f t="shared" si="3"/>
        <v>SP500</v>
      </c>
      <c r="D3296" s="2">
        <f t="shared" si="4"/>
        <v>3101.66</v>
      </c>
      <c r="E3296" s="2">
        <f t="shared" si="5"/>
        <v>3101.66</v>
      </c>
      <c r="G3296" s="10">
        <f t="shared" si="9"/>
        <v>41278.64583</v>
      </c>
      <c r="H3296" s="6" t="str">
        <f t="shared" si="6"/>
        <v/>
      </c>
      <c r="I3296" s="2">
        <f t="shared" si="7"/>
        <v>1426.89</v>
      </c>
      <c r="M3296" s="10">
        <f>IFERROR(__xludf.DUMMYFUNCTION("""COMPUTED_VALUE"""),42761.66666666667)</f>
        <v>42761.66667</v>
      </c>
      <c r="N3296" s="2">
        <f>IFERROR(__xludf.DUMMYFUNCTION("""COMPUTED_VALUE"""),5655.18)</f>
        <v>5655.18</v>
      </c>
    </row>
    <row r="3297">
      <c r="A3297" s="10">
        <f t="shared" si="8"/>
        <v>41279.66667</v>
      </c>
      <c r="B3297" s="2" t="str">
        <f t="shared" si="2"/>
        <v/>
      </c>
      <c r="C3297" s="2" t="str">
        <f t="shared" si="3"/>
        <v>SP500</v>
      </c>
      <c r="D3297" s="2" t="str">
        <f t="shared" si="4"/>
        <v/>
      </c>
      <c r="E3297" s="2">
        <f t="shared" si="5"/>
        <v>3101.66</v>
      </c>
      <c r="G3297" s="10">
        <f t="shared" si="9"/>
        <v>41279.64583</v>
      </c>
      <c r="H3297" s="6" t="str">
        <f t="shared" si="6"/>
        <v/>
      </c>
      <c r="I3297" s="2">
        <f t="shared" si="7"/>
        <v>1426.89</v>
      </c>
      <c r="M3297" s="10">
        <f>IFERROR(__xludf.DUMMYFUNCTION("""COMPUTED_VALUE"""),42762.66666666667)</f>
        <v>42762.66667</v>
      </c>
      <c r="N3297" s="2">
        <f>IFERROR(__xludf.DUMMYFUNCTION("""COMPUTED_VALUE"""),5660.78)</f>
        <v>5660.78</v>
      </c>
    </row>
    <row r="3298">
      <c r="A3298" s="10">
        <f t="shared" si="8"/>
        <v>41280.66667</v>
      </c>
      <c r="B3298" s="2" t="str">
        <f t="shared" si="2"/>
        <v/>
      </c>
      <c r="C3298" s="2" t="str">
        <f t="shared" si="3"/>
        <v>SP500</v>
      </c>
      <c r="D3298" s="2" t="str">
        <f t="shared" si="4"/>
        <v/>
      </c>
      <c r="E3298" s="2">
        <f t="shared" si="5"/>
        <v>3101.66</v>
      </c>
      <c r="G3298" s="10">
        <f t="shared" si="9"/>
        <v>41280.64583</v>
      </c>
      <c r="H3298" s="6" t="str">
        <f t="shared" si="6"/>
        <v/>
      </c>
      <c r="I3298" s="2">
        <f t="shared" si="7"/>
        <v>1426.89</v>
      </c>
      <c r="M3298" s="10">
        <f>IFERROR(__xludf.DUMMYFUNCTION("""COMPUTED_VALUE"""),42765.66666666667)</f>
        <v>42765.66667</v>
      </c>
      <c r="N3298" s="2">
        <f>IFERROR(__xludf.DUMMYFUNCTION("""COMPUTED_VALUE"""),5613.71)</f>
        <v>5613.71</v>
      </c>
    </row>
    <row r="3299">
      <c r="A3299" s="10">
        <f t="shared" si="8"/>
        <v>41281.66667</v>
      </c>
      <c r="B3299" s="2" t="str">
        <f t="shared" si="2"/>
        <v/>
      </c>
      <c r="C3299" s="2" t="str">
        <f t="shared" si="3"/>
        <v>SP500</v>
      </c>
      <c r="D3299" s="2">
        <f t="shared" si="4"/>
        <v>3098.81</v>
      </c>
      <c r="E3299" s="2">
        <f t="shared" si="5"/>
        <v>3098.81</v>
      </c>
      <c r="G3299" s="10">
        <f t="shared" si="9"/>
        <v>41281.64583</v>
      </c>
      <c r="H3299" s="6" t="str">
        <f t="shared" si="6"/>
        <v/>
      </c>
      <c r="I3299" s="2">
        <f t="shared" si="7"/>
        <v>1426.89</v>
      </c>
      <c r="M3299" s="10">
        <f>IFERROR(__xludf.DUMMYFUNCTION("""COMPUTED_VALUE"""),42766.66666666667)</f>
        <v>42766.66667</v>
      </c>
      <c r="N3299" s="2">
        <f>IFERROR(__xludf.DUMMYFUNCTION("""COMPUTED_VALUE"""),5614.79)</f>
        <v>5614.79</v>
      </c>
    </row>
    <row r="3300">
      <c r="A3300" s="10">
        <f t="shared" si="8"/>
        <v>41282.66667</v>
      </c>
      <c r="B3300" s="2" t="str">
        <f t="shared" si="2"/>
        <v/>
      </c>
      <c r="C3300" s="2" t="str">
        <f t="shared" si="3"/>
        <v>SP500</v>
      </c>
      <c r="D3300" s="2">
        <f t="shared" si="4"/>
        <v>3091.81</v>
      </c>
      <c r="E3300" s="2">
        <f t="shared" si="5"/>
        <v>3091.81</v>
      </c>
      <c r="G3300" s="10">
        <f t="shared" si="9"/>
        <v>41282.64583</v>
      </c>
      <c r="H3300" s="6" t="str">
        <f t="shared" si="6"/>
        <v/>
      </c>
      <c r="I3300" s="2">
        <f t="shared" si="7"/>
        <v>1426.89</v>
      </c>
      <c r="M3300" s="10">
        <f>IFERROR(__xludf.DUMMYFUNCTION("""COMPUTED_VALUE"""),42767.66666666667)</f>
        <v>42767.66667</v>
      </c>
      <c r="N3300" s="2">
        <f>IFERROR(__xludf.DUMMYFUNCTION("""COMPUTED_VALUE"""),5642.65)</f>
        <v>5642.65</v>
      </c>
    </row>
    <row r="3301">
      <c r="A3301" s="10">
        <f t="shared" si="8"/>
        <v>41283.66667</v>
      </c>
      <c r="B3301" s="2" t="str">
        <f t="shared" si="2"/>
        <v/>
      </c>
      <c r="C3301" s="2" t="str">
        <f t="shared" si="3"/>
        <v>SP500</v>
      </c>
      <c r="D3301" s="2">
        <f t="shared" si="4"/>
        <v>3105.81</v>
      </c>
      <c r="E3301" s="2">
        <f t="shared" si="5"/>
        <v>3105.81</v>
      </c>
      <c r="G3301" s="10">
        <f t="shared" si="9"/>
        <v>41283.64583</v>
      </c>
      <c r="H3301" s="6" t="str">
        <f t="shared" si="6"/>
        <v/>
      </c>
      <c r="I3301" s="2">
        <f t="shared" si="7"/>
        <v>1426.89</v>
      </c>
      <c r="M3301" s="10">
        <f>IFERROR(__xludf.DUMMYFUNCTION("""COMPUTED_VALUE"""),42768.66666666667)</f>
        <v>42768.66667</v>
      </c>
      <c r="N3301" s="2">
        <f>IFERROR(__xludf.DUMMYFUNCTION("""COMPUTED_VALUE"""),5636.2)</f>
        <v>5636.2</v>
      </c>
    </row>
    <row r="3302">
      <c r="A3302" s="10">
        <f t="shared" si="8"/>
        <v>41284.66667</v>
      </c>
      <c r="B3302" s="2" t="str">
        <f t="shared" si="2"/>
        <v/>
      </c>
      <c r="C3302" s="2" t="str">
        <f t="shared" si="3"/>
        <v>SP500</v>
      </c>
      <c r="D3302" s="2">
        <f t="shared" si="4"/>
        <v>3121.76</v>
      </c>
      <c r="E3302" s="2">
        <f t="shared" si="5"/>
        <v>3121.76</v>
      </c>
      <c r="G3302" s="10">
        <f t="shared" si="9"/>
        <v>41284.64583</v>
      </c>
      <c r="H3302" s="6" t="str">
        <f t="shared" si="6"/>
        <v/>
      </c>
      <c r="I3302" s="2">
        <f t="shared" si="7"/>
        <v>1426.89</v>
      </c>
      <c r="M3302" s="10">
        <f>IFERROR(__xludf.DUMMYFUNCTION("""COMPUTED_VALUE"""),42769.66666666667)</f>
        <v>42769.66667</v>
      </c>
      <c r="N3302" s="2">
        <f>IFERROR(__xludf.DUMMYFUNCTION("""COMPUTED_VALUE"""),5666.77)</f>
        <v>5666.77</v>
      </c>
    </row>
    <row r="3303">
      <c r="A3303" s="10">
        <f t="shared" si="8"/>
        <v>41285.66667</v>
      </c>
      <c r="B3303" s="2" t="str">
        <f t="shared" si="2"/>
        <v/>
      </c>
      <c r="C3303" s="2" t="str">
        <f t="shared" si="3"/>
        <v>SP500</v>
      </c>
      <c r="D3303" s="2">
        <f t="shared" si="4"/>
        <v>3125.63</v>
      </c>
      <c r="E3303" s="2">
        <f t="shared" si="5"/>
        <v>3125.63</v>
      </c>
      <c r="G3303" s="10">
        <f t="shared" si="9"/>
        <v>41285.64583</v>
      </c>
      <c r="H3303" s="6" t="str">
        <f t="shared" si="6"/>
        <v/>
      </c>
      <c r="I3303" s="2">
        <f t="shared" si="7"/>
        <v>1426.89</v>
      </c>
      <c r="M3303" s="10">
        <f>IFERROR(__xludf.DUMMYFUNCTION("""COMPUTED_VALUE"""),42772.66666666667)</f>
        <v>42772.66667</v>
      </c>
      <c r="N3303" s="2">
        <f>IFERROR(__xludf.DUMMYFUNCTION("""COMPUTED_VALUE"""),5663.55)</f>
        <v>5663.55</v>
      </c>
    </row>
    <row r="3304">
      <c r="A3304" s="10">
        <f t="shared" si="8"/>
        <v>41286.66667</v>
      </c>
      <c r="B3304" s="2" t="str">
        <f t="shared" si="2"/>
        <v/>
      </c>
      <c r="C3304" s="2" t="str">
        <f t="shared" si="3"/>
        <v>SP500</v>
      </c>
      <c r="D3304" s="2" t="str">
        <f t="shared" si="4"/>
        <v/>
      </c>
      <c r="E3304" s="2">
        <f t="shared" si="5"/>
        <v>3125.63</v>
      </c>
      <c r="G3304" s="10">
        <f t="shared" si="9"/>
        <v>41286.64583</v>
      </c>
      <c r="H3304" s="6" t="str">
        <f t="shared" si="6"/>
        <v/>
      </c>
      <c r="I3304" s="2">
        <f t="shared" si="7"/>
        <v>1426.89</v>
      </c>
      <c r="M3304" s="10">
        <f>IFERROR(__xludf.DUMMYFUNCTION("""COMPUTED_VALUE"""),42773.66666666667)</f>
        <v>42773.66667</v>
      </c>
      <c r="N3304" s="2">
        <f>IFERROR(__xludf.DUMMYFUNCTION("""COMPUTED_VALUE"""),5674.22)</f>
        <v>5674.22</v>
      </c>
    </row>
    <row r="3305">
      <c r="A3305" s="10">
        <f t="shared" si="8"/>
        <v>41287.66667</v>
      </c>
      <c r="B3305" s="2" t="str">
        <f t="shared" si="2"/>
        <v/>
      </c>
      <c r="C3305" s="2" t="str">
        <f t="shared" si="3"/>
        <v>SP500</v>
      </c>
      <c r="D3305" s="2" t="str">
        <f t="shared" si="4"/>
        <v/>
      </c>
      <c r="E3305" s="2">
        <f t="shared" si="5"/>
        <v>3125.63</v>
      </c>
      <c r="G3305" s="10">
        <f t="shared" si="9"/>
        <v>41287.64583</v>
      </c>
      <c r="H3305" s="6" t="str">
        <f t="shared" si="6"/>
        <v/>
      </c>
      <c r="I3305" s="2">
        <f t="shared" si="7"/>
        <v>1426.89</v>
      </c>
      <c r="M3305" s="10">
        <f>IFERROR(__xludf.DUMMYFUNCTION("""COMPUTED_VALUE"""),42774.66666666667)</f>
        <v>42774.66667</v>
      </c>
      <c r="N3305" s="2">
        <f>IFERROR(__xludf.DUMMYFUNCTION("""COMPUTED_VALUE"""),5682.45)</f>
        <v>5682.45</v>
      </c>
    </row>
    <row r="3306">
      <c r="A3306" s="10">
        <f t="shared" si="8"/>
        <v>41288.66667</v>
      </c>
      <c r="B3306" s="2" t="str">
        <f t="shared" si="2"/>
        <v/>
      </c>
      <c r="C3306" s="2" t="str">
        <f t="shared" si="3"/>
        <v>SP500</v>
      </c>
      <c r="D3306" s="2">
        <f t="shared" si="4"/>
        <v>3117.5</v>
      </c>
      <c r="E3306" s="2">
        <f t="shared" si="5"/>
        <v>3117.5</v>
      </c>
      <c r="G3306" s="10">
        <f t="shared" si="9"/>
        <v>41288.64583</v>
      </c>
      <c r="H3306" s="6" t="str">
        <f t="shared" si="6"/>
        <v/>
      </c>
      <c r="I3306" s="2">
        <f t="shared" si="7"/>
        <v>1426.89</v>
      </c>
      <c r="M3306" s="10">
        <f>IFERROR(__xludf.DUMMYFUNCTION("""COMPUTED_VALUE"""),42775.66666666667)</f>
        <v>42775.66667</v>
      </c>
      <c r="N3306" s="2">
        <f>IFERROR(__xludf.DUMMYFUNCTION("""COMPUTED_VALUE"""),5715.18)</f>
        <v>5715.18</v>
      </c>
    </row>
    <row r="3307">
      <c r="A3307" s="10">
        <f t="shared" si="8"/>
        <v>41289.66667</v>
      </c>
      <c r="B3307" s="2" t="str">
        <f t="shared" si="2"/>
        <v/>
      </c>
      <c r="C3307" s="2" t="str">
        <f t="shared" si="3"/>
        <v>SP500</v>
      </c>
      <c r="D3307" s="2">
        <f t="shared" si="4"/>
        <v>3110.78</v>
      </c>
      <c r="E3307" s="2">
        <f t="shared" si="5"/>
        <v>3110.78</v>
      </c>
      <c r="G3307" s="10">
        <f t="shared" si="9"/>
        <v>41289.64583</v>
      </c>
      <c r="H3307" s="6" t="str">
        <f t="shared" si="6"/>
        <v/>
      </c>
      <c r="I3307" s="2">
        <f t="shared" si="7"/>
        <v>1426.89</v>
      </c>
      <c r="M3307" s="10">
        <f>IFERROR(__xludf.DUMMYFUNCTION("""COMPUTED_VALUE"""),42776.66666666667)</f>
        <v>42776.66667</v>
      </c>
      <c r="N3307" s="2">
        <f>IFERROR(__xludf.DUMMYFUNCTION("""COMPUTED_VALUE"""),5734.13)</f>
        <v>5734.13</v>
      </c>
    </row>
    <row r="3308">
      <c r="A3308" s="10">
        <f t="shared" si="8"/>
        <v>41290.66667</v>
      </c>
      <c r="B3308" s="2" t="str">
        <f t="shared" si="2"/>
        <v/>
      </c>
      <c r="C3308" s="2" t="str">
        <f t="shared" si="3"/>
        <v>SP500</v>
      </c>
      <c r="D3308" s="2">
        <f t="shared" si="4"/>
        <v>3117.54</v>
      </c>
      <c r="E3308" s="2">
        <f t="shared" si="5"/>
        <v>3117.54</v>
      </c>
      <c r="G3308" s="10">
        <f t="shared" si="9"/>
        <v>41290.64583</v>
      </c>
      <c r="H3308" s="6" t="str">
        <f t="shared" si="6"/>
        <v/>
      </c>
      <c r="I3308" s="2">
        <f t="shared" si="7"/>
        <v>1426.89</v>
      </c>
      <c r="M3308" s="10">
        <f>IFERROR(__xludf.DUMMYFUNCTION("""COMPUTED_VALUE"""),42779.66666666667)</f>
        <v>42779.66667</v>
      </c>
      <c r="N3308" s="2">
        <f>IFERROR(__xludf.DUMMYFUNCTION("""COMPUTED_VALUE"""),5763.96)</f>
        <v>5763.96</v>
      </c>
    </row>
    <row r="3309">
      <c r="A3309" s="10">
        <f t="shared" si="8"/>
        <v>41291.66667</v>
      </c>
      <c r="B3309" s="2" t="str">
        <f t="shared" si="2"/>
        <v/>
      </c>
      <c r="C3309" s="2" t="str">
        <f t="shared" si="3"/>
        <v>SP500</v>
      </c>
      <c r="D3309" s="2">
        <f t="shared" si="4"/>
        <v>3136</v>
      </c>
      <c r="E3309" s="2">
        <f t="shared" si="5"/>
        <v>3136</v>
      </c>
      <c r="G3309" s="10">
        <f t="shared" si="9"/>
        <v>41291.64583</v>
      </c>
      <c r="H3309" s="6" t="str">
        <f t="shared" si="6"/>
        <v/>
      </c>
      <c r="I3309" s="2">
        <f t="shared" si="7"/>
        <v>1426.89</v>
      </c>
      <c r="M3309" s="10">
        <f>IFERROR(__xludf.DUMMYFUNCTION("""COMPUTED_VALUE"""),42780.66666666667)</f>
        <v>42780.66667</v>
      </c>
      <c r="N3309" s="2">
        <f>IFERROR(__xludf.DUMMYFUNCTION("""COMPUTED_VALUE"""),5782.57)</f>
        <v>5782.57</v>
      </c>
    </row>
    <row r="3310">
      <c r="A3310" s="10">
        <f t="shared" si="8"/>
        <v>41292.66667</v>
      </c>
      <c r="B3310" s="2" t="str">
        <f t="shared" si="2"/>
        <v/>
      </c>
      <c r="C3310" s="2" t="str">
        <f t="shared" si="3"/>
        <v>SP500</v>
      </c>
      <c r="D3310" s="2">
        <f t="shared" si="4"/>
        <v>3134.71</v>
      </c>
      <c r="E3310" s="2">
        <f t="shared" si="5"/>
        <v>3134.71</v>
      </c>
      <c r="G3310" s="10">
        <f t="shared" si="9"/>
        <v>41292.64583</v>
      </c>
      <c r="H3310" s="6" t="str">
        <f t="shared" si="6"/>
        <v/>
      </c>
      <c r="I3310" s="2">
        <f t="shared" si="7"/>
        <v>1426.89</v>
      </c>
      <c r="M3310" s="10">
        <f>IFERROR(__xludf.DUMMYFUNCTION("""COMPUTED_VALUE"""),42781.66666666667)</f>
        <v>42781.66667</v>
      </c>
      <c r="N3310" s="2">
        <f>IFERROR(__xludf.DUMMYFUNCTION("""COMPUTED_VALUE"""),5819.44)</f>
        <v>5819.44</v>
      </c>
    </row>
    <row r="3311">
      <c r="A3311" s="10">
        <f t="shared" si="8"/>
        <v>41293.66667</v>
      </c>
      <c r="B3311" s="2" t="str">
        <f t="shared" si="2"/>
        <v/>
      </c>
      <c r="C3311" s="2" t="str">
        <f t="shared" si="3"/>
        <v>SP500</v>
      </c>
      <c r="D3311" s="2" t="str">
        <f t="shared" si="4"/>
        <v/>
      </c>
      <c r="E3311" s="2">
        <f t="shared" si="5"/>
        <v>3134.71</v>
      </c>
      <c r="G3311" s="10">
        <f t="shared" si="9"/>
        <v>41293.64583</v>
      </c>
      <c r="H3311" s="6" t="str">
        <f t="shared" si="6"/>
        <v/>
      </c>
      <c r="I3311" s="2">
        <f t="shared" si="7"/>
        <v>1426.89</v>
      </c>
      <c r="M3311" s="10">
        <f>IFERROR(__xludf.DUMMYFUNCTION("""COMPUTED_VALUE"""),42782.66666666667)</f>
        <v>42782.66667</v>
      </c>
      <c r="N3311" s="2">
        <f>IFERROR(__xludf.DUMMYFUNCTION("""COMPUTED_VALUE"""),5814.9)</f>
        <v>5814.9</v>
      </c>
    </row>
    <row r="3312">
      <c r="A3312" s="10">
        <f t="shared" si="8"/>
        <v>41294.66667</v>
      </c>
      <c r="B3312" s="2" t="str">
        <f t="shared" si="2"/>
        <v/>
      </c>
      <c r="C3312" s="2" t="str">
        <f t="shared" si="3"/>
        <v>SP500</v>
      </c>
      <c r="D3312" s="2" t="str">
        <f t="shared" si="4"/>
        <v/>
      </c>
      <c r="E3312" s="2">
        <f t="shared" si="5"/>
        <v>3134.71</v>
      </c>
      <c r="G3312" s="10">
        <f t="shared" si="9"/>
        <v>41294.64583</v>
      </c>
      <c r="H3312" s="6" t="str">
        <f t="shared" si="6"/>
        <v/>
      </c>
      <c r="I3312" s="2">
        <f t="shared" si="7"/>
        <v>1426.89</v>
      </c>
      <c r="M3312" s="10">
        <f>IFERROR(__xludf.DUMMYFUNCTION("""COMPUTED_VALUE"""),42783.66666666667)</f>
        <v>42783.66667</v>
      </c>
      <c r="N3312" s="2">
        <f>IFERROR(__xludf.DUMMYFUNCTION("""COMPUTED_VALUE"""),5838.58)</f>
        <v>5838.58</v>
      </c>
    </row>
    <row r="3313">
      <c r="A3313" s="10">
        <f t="shared" si="8"/>
        <v>41295.66667</v>
      </c>
      <c r="B3313" s="2" t="str">
        <f t="shared" si="2"/>
        <v/>
      </c>
      <c r="C3313" s="2" t="str">
        <f t="shared" si="3"/>
        <v>SP500</v>
      </c>
      <c r="D3313" s="2" t="str">
        <f t="shared" si="4"/>
        <v/>
      </c>
      <c r="E3313" s="2">
        <f t="shared" si="5"/>
        <v>3134.71</v>
      </c>
      <c r="G3313" s="10">
        <f t="shared" si="9"/>
        <v>41295.64583</v>
      </c>
      <c r="H3313" s="6" t="str">
        <f t="shared" si="6"/>
        <v/>
      </c>
      <c r="I3313" s="2">
        <f t="shared" si="7"/>
        <v>1426.89</v>
      </c>
      <c r="M3313" s="10">
        <f>IFERROR(__xludf.DUMMYFUNCTION("""COMPUTED_VALUE"""),42787.66666666667)</f>
        <v>42787.66667</v>
      </c>
      <c r="N3313" s="2">
        <f>IFERROR(__xludf.DUMMYFUNCTION("""COMPUTED_VALUE"""),5865.95)</f>
        <v>5865.95</v>
      </c>
    </row>
    <row r="3314">
      <c r="A3314" s="10">
        <f t="shared" si="8"/>
        <v>41296.66667</v>
      </c>
      <c r="B3314" s="2" t="str">
        <f t="shared" si="2"/>
        <v/>
      </c>
      <c r="C3314" s="2" t="str">
        <f t="shared" si="3"/>
        <v>SP500</v>
      </c>
      <c r="D3314" s="2">
        <f t="shared" si="4"/>
        <v>3143.18</v>
      </c>
      <c r="E3314" s="2">
        <f t="shared" si="5"/>
        <v>3143.18</v>
      </c>
      <c r="G3314" s="10">
        <f t="shared" si="9"/>
        <v>41296.64583</v>
      </c>
      <c r="H3314" s="6" t="str">
        <f t="shared" si="6"/>
        <v/>
      </c>
      <c r="I3314" s="2">
        <f t="shared" si="7"/>
        <v>1426.89</v>
      </c>
      <c r="M3314" s="10">
        <f>IFERROR(__xludf.DUMMYFUNCTION("""COMPUTED_VALUE"""),42788.66666666667)</f>
        <v>42788.66667</v>
      </c>
      <c r="N3314" s="2">
        <f>IFERROR(__xludf.DUMMYFUNCTION("""COMPUTED_VALUE"""),5860.63)</f>
        <v>5860.63</v>
      </c>
    </row>
    <row r="3315">
      <c r="A3315" s="10">
        <f t="shared" si="8"/>
        <v>41297.66667</v>
      </c>
      <c r="B3315" s="2" t="str">
        <f t="shared" si="2"/>
        <v/>
      </c>
      <c r="C3315" s="2" t="str">
        <f t="shared" si="3"/>
        <v>SP500</v>
      </c>
      <c r="D3315" s="2">
        <f t="shared" si="4"/>
        <v>3153.67</v>
      </c>
      <c r="E3315" s="2">
        <f t="shared" si="5"/>
        <v>3153.67</v>
      </c>
      <c r="G3315" s="10">
        <f t="shared" si="9"/>
        <v>41297.64583</v>
      </c>
      <c r="H3315" s="6" t="str">
        <f t="shared" si="6"/>
        <v/>
      </c>
      <c r="I3315" s="2">
        <f t="shared" si="7"/>
        <v>1426.89</v>
      </c>
      <c r="M3315" s="10">
        <f>IFERROR(__xludf.DUMMYFUNCTION("""COMPUTED_VALUE"""),42789.66666666667)</f>
        <v>42789.66667</v>
      </c>
      <c r="N3315" s="2">
        <f>IFERROR(__xludf.DUMMYFUNCTION("""COMPUTED_VALUE"""),5835.51)</f>
        <v>5835.51</v>
      </c>
    </row>
    <row r="3316">
      <c r="A3316" s="10">
        <f t="shared" si="8"/>
        <v>41298.66667</v>
      </c>
      <c r="B3316" s="2" t="str">
        <f t="shared" si="2"/>
        <v/>
      </c>
      <c r="C3316" s="2" t="str">
        <f t="shared" si="3"/>
        <v>SP500</v>
      </c>
      <c r="D3316" s="2">
        <f t="shared" si="4"/>
        <v>3130.38</v>
      </c>
      <c r="E3316" s="2">
        <f t="shared" si="5"/>
        <v>3130.38</v>
      </c>
      <c r="G3316" s="10">
        <f t="shared" si="9"/>
        <v>41298.64583</v>
      </c>
      <c r="H3316" s="6" t="str">
        <f t="shared" si="6"/>
        <v/>
      </c>
      <c r="I3316" s="2">
        <f t="shared" si="7"/>
        <v>1426.89</v>
      </c>
      <c r="M3316" s="10">
        <f>IFERROR(__xludf.DUMMYFUNCTION("""COMPUTED_VALUE"""),42790.66666666667)</f>
        <v>42790.66667</v>
      </c>
      <c r="N3316" s="2">
        <f>IFERROR(__xludf.DUMMYFUNCTION("""COMPUTED_VALUE"""),5845.31)</f>
        <v>5845.31</v>
      </c>
    </row>
    <row r="3317">
      <c r="A3317" s="10">
        <f t="shared" si="8"/>
        <v>41299.66667</v>
      </c>
      <c r="B3317" s="2" t="str">
        <f t="shared" si="2"/>
        <v/>
      </c>
      <c r="C3317" s="2" t="str">
        <f t="shared" si="3"/>
        <v>SP500</v>
      </c>
      <c r="D3317" s="2">
        <f t="shared" si="4"/>
        <v>3149.71</v>
      </c>
      <c r="E3317" s="2">
        <f t="shared" si="5"/>
        <v>3149.71</v>
      </c>
      <c r="G3317" s="10">
        <f t="shared" si="9"/>
        <v>41299.64583</v>
      </c>
      <c r="H3317" s="6" t="str">
        <f t="shared" si="6"/>
        <v/>
      </c>
      <c r="I3317" s="2">
        <f t="shared" si="7"/>
        <v>1426.89</v>
      </c>
      <c r="M3317" s="10">
        <f>IFERROR(__xludf.DUMMYFUNCTION("""COMPUTED_VALUE"""),42793.66666666667)</f>
        <v>42793.66667</v>
      </c>
      <c r="N3317" s="2">
        <f>IFERROR(__xludf.DUMMYFUNCTION("""COMPUTED_VALUE"""),5861.9)</f>
        <v>5861.9</v>
      </c>
    </row>
    <row r="3318">
      <c r="A3318" s="10">
        <f t="shared" si="8"/>
        <v>41300.66667</v>
      </c>
      <c r="B3318" s="2" t="str">
        <f t="shared" si="2"/>
        <v/>
      </c>
      <c r="C3318" s="2" t="str">
        <f t="shared" si="3"/>
        <v>SP500</v>
      </c>
      <c r="D3318" s="2" t="str">
        <f t="shared" si="4"/>
        <v/>
      </c>
      <c r="E3318" s="2">
        <f t="shared" si="5"/>
        <v>3149.71</v>
      </c>
      <c r="G3318" s="10">
        <f t="shared" si="9"/>
        <v>41300.64583</v>
      </c>
      <c r="H3318" s="6" t="str">
        <f t="shared" si="6"/>
        <v/>
      </c>
      <c r="I3318" s="2">
        <f t="shared" si="7"/>
        <v>1426.89</v>
      </c>
      <c r="M3318" s="10">
        <f>IFERROR(__xludf.DUMMYFUNCTION("""COMPUTED_VALUE"""),42794.66666666667)</f>
        <v>42794.66667</v>
      </c>
      <c r="N3318" s="2">
        <f>IFERROR(__xludf.DUMMYFUNCTION("""COMPUTED_VALUE"""),5825.44)</f>
        <v>5825.44</v>
      </c>
    </row>
    <row r="3319">
      <c r="A3319" s="10">
        <f t="shared" si="8"/>
        <v>41301.66667</v>
      </c>
      <c r="B3319" s="2" t="str">
        <f t="shared" si="2"/>
        <v/>
      </c>
      <c r="C3319" s="2" t="str">
        <f t="shared" si="3"/>
        <v>SP500</v>
      </c>
      <c r="D3319" s="2" t="str">
        <f t="shared" si="4"/>
        <v/>
      </c>
      <c r="E3319" s="2">
        <f t="shared" si="5"/>
        <v>3149.71</v>
      </c>
      <c r="G3319" s="10">
        <f t="shared" si="9"/>
        <v>41301.64583</v>
      </c>
      <c r="H3319" s="6" t="str">
        <f t="shared" si="6"/>
        <v/>
      </c>
      <c r="I3319" s="2">
        <f t="shared" si="7"/>
        <v>1426.89</v>
      </c>
      <c r="M3319" s="10">
        <f>IFERROR(__xludf.DUMMYFUNCTION("""COMPUTED_VALUE"""),42795.66666666667)</f>
        <v>42795.66667</v>
      </c>
      <c r="N3319" s="2">
        <f>IFERROR(__xludf.DUMMYFUNCTION("""COMPUTED_VALUE"""),5904.03)</f>
        <v>5904.03</v>
      </c>
    </row>
    <row r="3320">
      <c r="A3320" s="10">
        <f t="shared" si="8"/>
        <v>41302.66667</v>
      </c>
      <c r="B3320" s="2" t="str">
        <f t="shared" si="2"/>
        <v/>
      </c>
      <c r="C3320" s="2" t="str">
        <f t="shared" si="3"/>
        <v>SP500</v>
      </c>
      <c r="D3320" s="2">
        <f t="shared" si="4"/>
        <v>3154.3</v>
      </c>
      <c r="E3320" s="2">
        <f t="shared" si="5"/>
        <v>3154.3</v>
      </c>
      <c r="G3320" s="10">
        <f t="shared" si="9"/>
        <v>41302.64583</v>
      </c>
      <c r="H3320" s="6" t="str">
        <f t="shared" si="6"/>
        <v/>
      </c>
      <c r="I3320" s="2">
        <f t="shared" si="7"/>
        <v>1426.89</v>
      </c>
      <c r="M3320" s="10">
        <f>IFERROR(__xludf.DUMMYFUNCTION("""COMPUTED_VALUE"""),42796.66666666667)</f>
        <v>42796.66667</v>
      </c>
      <c r="N3320" s="2">
        <f>IFERROR(__xludf.DUMMYFUNCTION("""COMPUTED_VALUE"""),5861.22)</f>
        <v>5861.22</v>
      </c>
    </row>
    <row r="3321">
      <c r="A3321" s="10">
        <f t="shared" si="8"/>
        <v>41303.66667</v>
      </c>
      <c r="B3321" s="2" t="str">
        <f t="shared" si="2"/>
        <v/>
      </c>
      <c r="C3321" s="2" t="str">
        <f t="shared" si="3"/>
        <v>SP500</v>
      </c>
      <c r="D3321" s="2">
        <f t="shared" si="4"/>
        <v>3153.66</v>
      </c>
      <c r="E3321" s="2">
        <f t="shared" si="5"/>
        <v>3153.66</v>
      </c>
      <c r="G3321" s="10">
        <f t="shared" si="9"/>
        <v>41303.64583</v>
      </c>
      <c r="H3321" s="6" t="str">
        <f t="shared" si="6"/>
        <v/>
      </c>
      <c r="I3321" s="2">
        <f t="shared" si="7"/>
        <v>1426.89</v>
      </c>
      <c r="M3321" s="10">
        <f>IFERROR(__xludf.DUMMYFUNCTION("""COMPUTED_VALUE"""),42797.66666666667)</f>
        <v>42797.66667</v>
      </c>
      <c r="N3321" s="2">
        <f>IFERROR(__xludf.DUMMYFUNCTION("""COMPUTED_VALUE"""),5870.75)</f>
        <v>5870.75</v>
      </c>
    </row>
    <row r="3322">
      <c r="A3322" s="10">
        <f t="shared" si="8"/>
        <v>41304.66667</v>
      </c>
      <c r="B3322" s="2" t="str">
        <f t="shared" si="2"/>
        <v/>
      </c>
      <c r="C3322" s="2" t="str">
        <f t="shared" si="3"/>
        <v>SP500</v>
      </c>
      <c r="D3322" s="2">
        <f t="shared" si="4"/>
        <v>3142.31</v>
      </c>
      <c r="E3322" s="2">
        <f t="shared" si="5"/>
        <v>3142.31</v>
      </c>
      <c r="G3322" s="10">
        <f t="shared" si="9"/>
        <v>41304.64583</v>
      </c>
      <c r="H3322" s="6" t="str">
        <f t="shared" si="6"/>
        <v/>
      </c>
      <c r="I3322" s="2">
        <f t="shared" si="7"/>
        <v>1426.89</v>
      </c>
      <c r="M3322" s="10">
        <f>IFERROR(__xludf.DUMMYFUNCTION("""COMPUTED_VALUE"""),42800.66666666667)</f>
        <v>42800.66667</v>
      </c>
      <c r="N3322" s="2">
        <f>IFERROR(__xludf.DUMMYFUNCTION("""COMPUTED_VALUE"""),5849.17)</f>
        <v>5849.17</v>
      </c>
    </row>
    <row r="3323">
      <c r="A3323" s="10">
        <f t="shared" si="8"/>
        <v>41305.66667</v>
      </c>
      <c r="B3323" s="2" t="str">
        <f t="shared" si="2"/>
        <v/>
      </c>
      <c r="C3323" s="2" t="str">
        <f t="shared" si="3"/>
        <v>SP500</v>
      </c>
      <c r="D3323" s="2">
        <f t="shared" si="4"/>
        <v>3142.13</v>
      </c>
      <c r="E3323" s="2">
        <f t="shared" si="5"/>
        <v>3142.13</v>
      </c>
      <c r="G3323" s="10">
        <f t="shared" si="9"/>
        <v>41305.64583</v>
      </c>
      <c r="H3323" s="6" t="str">
        <f t="shared" si="6"/>
        <v/>
      </c>
      <c r="I3323" s="2">
        <f t="shared" si="7"/>
        <v>1426.89</v>
      </c>
      <c r="M3323" s="10">
        <f>IFERROR(__xludf.DUMMYFUNCTION("""COMPUTED_VALUE"""),42801.66666666667)</f>
        <v>42801.66667</v>
      </c>
      <c r="N3323" s="2">
        <f>IFERROR(__xludf.DUMMYFUNCTION("""COMPUTED_VALUE"""),5833.93)</f>
        <v>5833.93</v>
      </c>
    </row>
    <row r="3324">
      <c r="A3324" s="10">
        <f t="shared" si="8"/>
        <v>41306.66667</v>
      </c>
      <c r="B3324" s="2" t="str">
        <f t="shared" si="2"/>
        <v/>
      </c>
      <c r="C3324" s="2" t="str">
        <f t="shared" si="3"/>
        <v>SP500</v>
      </c>
      <c r="D3324" s="2">
        <f t="shared" si="4"/>
        <v>3179.1</v>
      </c>
      <c r="E3324" s="2">
        <f t="shared" si="5"/>
        <v>3179.1</v>
      </c>
      <c r="G3324" s="10">
        <f t="shared" si="9"/>
        <v>41306.64583</v>
      </c>
      <c r="H3324" s="6" t="str">
        <f t="shared" si="6"/>
        <v/>
      </c>
      <c r="I3324" s="2">
        <f t="shared" si="7"/>
        <v>1426.89</v>
      </c>
      <c r="M3324" s="10">
        <f>IFERROR(__xludf.DUMMYFUNCTION("""COMPUTED_VALUE"""),42802.66666666667)</f>
        <v>42802.66667</v>
      </c>
      <c r="N3324" s="2">
        <f>IFERROR(__xludf.DUMMYFUNCTION("""COMPUTED_VALUE"""),5837.55)</f>
        <v>5837.55</v>
      </c>
    </row>
    <row r="3325">
      <c r="A3325" s="10">
        <f t="shared" si="8"/>
        <v>41307.66667</v>
      </c>
      <c r="B3325" s="2" t="str">
        <f t="shared" si="2"/>
        <v/>
      </c>
      <c r="C3325" s="2" t="str">
        <f t="shared" si="3"/>
        <v>SP500</v>
      </c>
      <c r="D3325" s="2" t="str">
        <f t="shared" si="4"/>
        <v/>
      </c>
      <c r="E3325" s="2">
        <f t="shared" si="5"/>
        <v>3179.1</v>
      </c>
      <c r="G3325" s="10">
        <f t="shared" si="9"/>
        <v>41307.64583</v>
      </c>
      <c r="H3325" s="6" t="str">
        <f t="shared" si="6"/>
        <v/>
      </c>
      <c r="I3325" s="2">
        <f t="shared" si="7"/>
        <v>1426.89</v>
      </c>
      <c r="M3325" s="10">
        <f>IFERROR(__xludf.DUMMYFUNCTION("""COMPUTED_VALUE"""),42803.66666666667)</f>
        <v>42803.66667</v>
      </c>
      <c r="N3325" s="2">
        <f>IFERROR(__xludf.DUMMYFUNCTION("""COMPUTED_VALUE"""),5838.81)</f>
        <v>5838.81</v>
      </c>
    </row>
    <row r="3326">
      <c r="A3326" s="10">
        <f t="shared" si="8"/>
        <v>41308.66667</v>
      </c>
      <c r="B3326" s="2" t="str">
        <f t="shared" si="2"/>
        <v/>
      </c>
      <c r="C3326" s="2" t="str">
        <f t="shared" si="3"/>
        <v>SP500</v>
      </c>
      <c r="D3326" s="2" t="str">
        <f t="shared" si="4"/>
        <v/>
      </c>
      <c r="E3326" s="2">
        <f t="shared" si="5"/>
        <v>3179.1</v>
      </c>
      <c r="G3326" s="10">
        <f t="shared" si="9"/>
        <v>41308.64583</v>
      </c>
      <c r="H3326" s="6" t="str">
        <f t="shared" si="6"/>
        <v/>
      </c>
      <c r="I3326" s="2">
        <f t="shared" si="7"/>
        <v>1426.89</v>
      </c>
      <c r="M3326" s="10">
        <f>IFERROR(__xludf.DUMMYFUNCTION("""COMPUTED_VALUE"""),42804.66666666667)</f>
        <v>42804.66667</v>
      </c>
      <c r="N3326" s="2">
        <f>IFERROR(__xludf.DUMMYFUNCTION("""COMPUTED_VALUE"""),5861.73)</f>
        <v>5861.73</v>
      </c>
    </row>
    <row r="3327">
      <c r="A3327" s="10">
        <f t="shared" si="8"/>
        <v>41309.66667</v>
      </c>
      <c r="B3327" s="2" t="str">
        <f t="shared" si="2"/>
        <v/>
      </c>
      <c r="C3327" s="2" t="str">
        <f t="shared" si="3"/>
        <v>SP500</v>
      </c>
      <c r="D3327" s="2">
        <f t="shared" si="4"/>
        <v>3131.17</v>
      </c>
      <c r="E3327" s="2">
        <f t="shared" si="5"/>
        <v>3131.17</v>
      </c>
      <c r="G3327" s="10">
        <f t="shared" si="9"/>
        <v>41309.64583</v>
      </c>
      <c r="H3327" s="6" t="str">
        <f t="shared" si="6"/>
        <v/>
      </c>
      <c r="I3327" s="2">
        <f t="shared" si="7"/>
        <v>1426.89</v>
      </c>
      <c r="M3327" s="10">
        <f>IFERROR(__xludf.DUMMYFUNCTION("""COMPUTED_VALUE"""),42807.66666666667)</f>
        <v>42807.66667</v>
      </c>
      <c r="N3327" s="2">
        <f>IFERROR(__xludf.DUMMYFUNCTION("""COMPUTED_VALUE"""),5875.78)</f>
        <v>5875.78</v>
      </c>
    </row>
    <row r="3328">
      <c r="A3328" s="10">
        <f t="shared" si="8"/>
        <v>41310.66667</v>
      </c>
      <c r="B3328" s="2" t="str">
        <f t="shared" si="2"/>
        <v/>
      </c>
      <c r="C3328" s="2" t="str">
        <f t="shared" si="3"/>
        <v>SP500</v>
      </c>
      <c r="D3328" s="2">
        <f t="shared" si="4"/>
        <v>3171.58</v>
      </c>
      <c r="E3328" s="2">
        <f t="shared" si="5"/>
        <v>3171.58</v>
      </c>
      <c r="G3328" s="10">
        <f t="shared" si="9"/>
        <v>41310.64583</v>
      </c>
      <c r="H3328" s="6" t="str">
        <f t="shared" si="6"/>
        <v/>
      </c>
      <c r="I3328" s="2">
        <f t="shared" si="7"/>
        <v>1426.89</v>
      </c>
      <c r="M3328" s="10">
        <f>IFERROR(__xludf.DUMMYFUNCTION("""COMPUTED_VALUE"""),42808.66666666667)</f>
        <v>42808.66667</v>
      </c>
      <c r="N3328" s="2">
        <f>IFERROR(__xludf.DUMMYFUNCTION("""COMPUTED_VALUE"""),5856.82)</f>
        <v>5856.82</v>
      </c>
    </row>
    <row r="3329">
      <c r="A3329" s="10">
        <f t="shared" si="8"/>
        <v>41311.66667</v>
      </c>
      <c r="B3329" s="2" t="str">
        <f t="shared" si="2"/>
        <v/>
      </c>
      <c r="C3329" s="2" t="str">
        <f t="shared" si="3"/>
        <v>SP500</v>
      </c>
      <c r="D3329" s="2">
        <f t="shared" si="4"/>
        <v>3168.48</v>
      </c>
      <c r="E3329" s="2">
        <f t="shared" si="5"/>
        <v>3168.48</v>
      </c>
      <c r="G3329" s="10">
        <f t="shared" si="9"/>
        <v>41311.64583</v>
      </c>
      <c r="H3329" s="6" t="str">
        <f t="shared" si="6"/>
        <v/>
      </c>
      <c r="I3329" s="2">
        <f t="shared" si="7"/>
        <v>1426.89</v>
      </c>
      <c r="M3329" s="10">
        <f>IFERROR(__xludf.DUMMYFUNCTION("""COMPUTED_VALUE"""),42809.66666666667)</f>
        <v>42809.66667</v>
      </c>
      <c r="N3329" s="2">
        <f>IFERROR(__xludf.DUMMYFUNCTION("""COMPUTED_VALUE"""),5900.05)</f>
        <v>5900.05</v>
      </c>
    </row>
    <row r="3330">
      <c r="A3330" s="10">
        <f t="shared" si="8"/>
        <v>41312.66667</v>
      </c>
      <c r="B3330" s="2" t="str">
        <f t="shared" si="2"/>
        <v/>
      </c>
      <c r="C3330" s="2" t="str">
        <f t="shared" si="3"/>
        <v>SP500</v>
      </c>
      <c r="D3330" s="2">
        <f t="shared" si="4"/>
        <v>3165.13</v>
      </c>
      <c r="E3330" s="2">
        <f t="shared" si="5"/>
        <v>3165.13</v>
      </c>
      <c r="G3330" s="10">
        <f t="shared" si="9"/>
        <v>41312.64583</v>
      </c>
      <c r="H3330" s="6" t="str">
        <f t="shared" si="6"/>
        <v/>
      </c>
      <c r="I3330" s="2">
        <f t="shared" si="7"/>
        <v>1426.89</v>
      </c>
      <c r="M3330" s="10">
        <f>IFERROR(__xludf.DUMMYFUNCTION("""COMPUTED_VALUE"""),42810.66666666667)</f>
        <v>42810.66667</v>
      </c>
      <c r="N3330" s="2">
        <f>IFERROR(__xludf.DUMMYFUNCTION("""COMPUTED_VALUE"""),5900.76)</f>
        <v>5900.76</v>
      </c>
    </row>
    <row r="3331">
      <c r="A3331" s="10">
        <f t="shared" si="8"/>
        <v>41313.66667</v>
      </c>
      <c r="B3331" s="2" t="str">
        <f t="shared" si="2"/>
        <v/>
      </c>
      <c r="C3331" s="2" t="str">
        <f t="shared" si="3"/>
        <v>SP500</v>
      </c>
      <c r="D3331" s="2">
        <f t="shared" si="4"/>
        <v>3193.87</v>
      </c>
      <c r="E3331" s="2">
        <f t="shared" si="5"/>
        <v>3193.87</v>
      </c>
      <c r="G3331" s="10">
        <f t="shared" si="9"/>
        <v>41313.64583</v>
      </c>
      <c r="H3331" s="6" t="str">
        <f t="shared" si="6"/>
        <v/>
      </c>
      <c r="I3331" s="2">
        <f t="shared" si="7"/>
        <v>1426.89</v>
      </c>
      <c r="M3331" s="10">
        <f>IFERROR(__xludf.DUMMYFUNCTION("""COMPUTED_VALUE"""),42811.66666666667)</f>
        <v>42811.66667</v>
      </c>
      <c r="N3331" s="2">
        <f>IFERROR(__xludf.DUMMYFUNCTION("""COMPUTED_VALUE"""),5901.0)</f>
        <v>5901</v>
      </c>
    </row>
    <row r="3332">
      <c r="A3332" s="10">
        <f t="shared" si="8"/>
        <v>41314.66667</v>
      </c>
      <c r="B3332" s="2" t="str">
        <f t="shared" si="2"/>
        <v/>
      </c>
      <c r="C3332" s="2" t="str">
        <f t="shared" si="3"/>
        <v>SP500</v>
      </c>
      <c r="D3332" s="2" t="str">
        <f t="shared" si="4"/>
        <v/>
      </c>
      <c r="E3332" s="2">
        <f t="shared" si="5"/>
        <v>3193.87</v>
      </c>
      <c r="G3332" s="10">
        <f t="shared" si="9"/>
        <v>41314.64583</v>
      </c>
      <c r="H3332" s="6" t="str">
        <f t="shared" si="6"/>
        <v/>
      </c>
      <c r="I3332" s="2">
        <f t="shared" si="7"/>
        <v>1426.89</v>
      </c>
      <c r="M3332" s="10">
        <f>IFERROR(__xludf.DUMMYFUNCTION("""COMPUTED_VALUE"""),42814.66666666667)</f>
        <v>42814.66667</v>
      </c>
      <c r="N3332" s="2">
        <f>IFERROR(__xludf.DUMMYFUNCTION("""COMPUTED_VALUE"""),5901.53)</f>
        <v>5901.53</v>
      </c>
    </row>
    <row r="3333">
      <c r="A3333" s="10">
        <f t="shared" si="8"/>
        <v>41315.66667</v>
      </c>
      <c r="B3333" s="2" t="str">
        <f t="shared" si="2"/>
        <v/>
      </c>
      <c r="C3333" s="2" t="str">
        <f t="shared" si="3"/>
        <v>SP500</v>
      </c>
      <c r="D3333" s="2" t="str">
        <f t="shared" si="4"/>
        <v/>
      </c>
      <c r="E3333" s="2">
        <f t="shared" si="5"/>
        <v>3193.87</v>
      </c>
      <c r="G3333" s="10">
        <f t="shared" si="9"/>
        <v>41315.64583</v>
      </c>
      <c r="H3333" s="6" t="str">
        <f t="shared" si="6"/>
        <v/>
      </c>
      <c r="I3333" s="2">
        <f t="shared" si="7"/>
        <v>1426.89</v>
      </c>
      <c r="M3333" s="10">
        <f>IFERROR(__xludf.DUMMYFUNCTION("""COMPUTED_VALUE"""),42815.66666666667)</f>
        <v>42815.66667</v>
      </c>
      <c r="N3333" s="2">
        <f>IFERROR(__xludf.DUMMYFUNCTION("""COMPUTED_VALUE"""),5793.83)</f>
        <v>5793.83</v>
      </c>
    </row>
    <row r="3334">
      <c r="A3334" s="10">
        <f t="shared" si="8"/>
        <v>41316.66667</v>
      </c>
      <c r="B3334" s="2" t="str">
        <f t="shared" si="2"/>
        <v/>
      </c>
      <c r="C3334" s="2" t="str">
        <f t="shared" si="3"/>
        <v>SP500</v>
      </c>
      <c r="D3334" s="2">
        <f t="shared" si="4"/>
        <v>3192</v>
      </c>
      <c r="E3334" s="2">
        <f t="shared" si="5"/>
        <v>3192</v>
      </c>
      <c r="G3334" s="10">
        <f t="shared" si="9"/>
        <v>41316.64583</v>
      </c>
      <c r="H3334" s="6" t="str">
        <f t="shared" si="6"/>
        <v/>
      </c>
      <c r="I3334" s="2">
        <f t="shared" si="7"/>
        <v>1426.89</v>
      </c>
      <c r="M3334" s="10">
        <f>IFERROR(__xludf.DUMMYFUNCTION("""COMPUTED_VALUE"""),42816.66666666667)</f>
        <v>42816.66667</v>
      </c>
      <c r="N3334" s="2">
        <f>IFERROR(__xludf.DUMMYFUNCTION("""COMPUTED_VALUE"""),5821.64)</f>
        <v>5821.64</v>
      </c>
    </row>
    <row r="3335">
      <c r="A3335" s="10">
        <f t="shared" si="8"/>
        <v>41317.66667</v>
      </c>
      <c r="B3335" s="2" t="str">
        <f t="shared" si="2"/>
        <v/>
      </c>
      <c r="C3335" s="2" t="str">
        <f t="shared" si="3"/>
        <v>SP500</v>
      </c>
      <c r="D3335" s="2">
        <f t="shared" si="4"/>
        <v>3186.49</v>
      </c>
      <c r="E3335" s="2">
        <f t="shared" si="5"/>
        <v>3186.49</v>
      </c>
      <c r="G3335" s="10">
        <f t="shared" si="9"/>
        <v>41317.64583</v>
      </c>
      <c r="H3335" s="6" t="str">
        <f t="shared" si="6"/>
        <v/>
      </c>
      <c r="I3335" s="2">
        <f t="shared" si="7"/>
        <v>1426.89</v>
      </c>
      <c r="M3335" s="10">
        <f>IFERROR(__xludf.DUMMYFUNCTION("""COMPUTED_VALUE"""),42817.66666666667)</f>
        <v>42817.66667</v>
      </c>
      <c r="N3335" s="2">
        <f>IFERROR(__xludf.DUMMYFUNCTION("""COMPUTED_VALUE"""),5817.69)</f>
        <v>5817.69</v>
      </c>
    </row>
    <row r="3336">
      <c r="A3336" s="10">
        <f t="shared" si="8"/>
        <v>41318.66667</v>
      </c>
      <c r="B3336" s="2" t="str">
        <f t="shared" si="2"/>
        <v/>
      </c>
      <c r="C3336" s="2" t="str">
        <f t="shared" si="3"/>
        <v>SP500</v>
      </c>
      <c r="D3336" s="2">
        <f t="shared" si="4"/>
        <v>3196.88</v>
      </c>
      <c r="E3336" s="2">
        <f t="shared" si="5"/>
        <v>3196.88</v>
      </c>
      <c r="G3336" s="10">
        <f t="shared" si="9"/>
        <v>41318.64583</v>
      </c>
      <c r="H3336" s="6" t="str">
        <f t="shared" si="6"/>
        <v/>
      </c>
      <c r="I3336" s="2">
        <f t="shared" si="7"/>
        <v>1426.89</v>
      </c>
      <c r="M3336" s="10">
        <f>IFERROR(__xludf.DUMMYFUNCTION("""COMPUTED_VALUE"""),42818.66666666667)</f>
        <v>42818.66667</v>
      </c>
      <c r="N3336" s="2">
        <f>IFERROR(__xludf.DUMMYFUNCTION("""COMPUTED_VALUE"""),5828.74)</f>
        <v>5828.74</v>
      </c>
    </row>
    <row r="3337">
      <c r="A3337" s="10">
        <f t="shared" si="8"/>
        <v>41319.66667</v>
      </c>
      <c r="B3337" s="2" t="str">
        <f t="shared" si="2"/>
        <v/>
      </c>
      <c r="C3337" s="2" t="str">
        <f t="shared" si="3"/>
        <v>SP500</v>
      </c>
      <c r="D3337" s="2">
        <f t="shared" si="4"/>
        <v>3198.66</v>
      </c>
      <c r="E3337" s="2">
        <f t="shared" si="5"/>
        <v>3198.66</v>
      </c>
      <c r="G3337" s="10">
        <f t="shared" si="9"/>
        <v>41319.64583</v>
      </c>
      <c r="H3337" s="6" t="str">
        <f t="shared" si="6"/>
        <v/>
      </c>
      <c r="I3337" s="2">
        <f t="shared" si="7"/>
        <v>1426.89</v>
      </c>
      <c r="M3337" s="10">
        <f>IFERROR(__xludf.DUMMYFUNCTION("""COMPUTED_VALUE"""),42821.66666666667)</f>
        <v>42821.66667</v>
      </c>
      <c r="N3337" s="2">
        <f>IFERROR(__xludf.DUMMYFUNCTION("""COMPUTED_VALUE"""),5840.37)</f>
        <v>5840.37</v>
      </c>
    </row>
    <row r="3338">
      <c r="A3338" s="10">
        <f t="shared" si="8"/>
        <v>41320.66667</v>
      </c>
      <c r="B3338" s="2" t="str">
        <f t="shared" si="2"/>
        <v/>
      </c>
      <c r="C3338" s="2" t="str">
        <f t="shared" si="3"/>
        <v>SP500</v>
      </c>
      <c r="D3338" s="2">
        <f t="shared" si="4"/>
        <v>3192.03</v>
      </c>
      <c r="E3338" s="2">
        <f t="shared" si="5"/>
        <v>3192.03</v>
      </c>
      <c r="G3338" s="10">
        <f t="shared" si="9"/>
        <v>41320.64583</v>
      </c>
      <c r="H3338" s="6" t="str">
        <f t="shared" si="6"/>
        <v/>
      </c>
      <c r="I3338" s="2">
        <f t="shared" si="7"/>
        <v>1426.89</v>
      </c>
      <c r="M3338" s="10">
        <f>IFERROR(__xludf.DUMMYFUNCTION("""COMPUTED_VALUE"""),42822.66666666667)</f>
        <v>42822.66667</v>
      </c>
      <c r="N3338" s="2">
        <f>IFERROR(__xludf.DUMMYFUNCTION("""COMPUTED_VALUE"""),5875.14)</f>
        <v>5875.14</v>
      </c>
    </row>
    <row r="3339">
      <c r="A3339" s="10">
        <f t="shared" si="8"/>
        <v>41321.66667</v>
      </c>
      <c r="B3339" s="2" t="str">
        <f t="shared" si="2"/>
        <v/>
      </c>
      <c r="C3339" s="2" t="str">
        <f t="shared" si="3"/>
        <v>SP500</v>
      </c>
      <c r="D3339" s="2" t="str">
        <f t="shared" si="4"/>
        <v/>
      </c>
      <c r="E3339" s="2">
        <f t="shared" si="5"/>
        <v>3192.03</v>
      </c>
      <c r="G3339" s="10">
        <f t="shared" si="9"/>
        <v>41321.64583</v>
      </c>
      <c r="H3339" s="6" t="str">
        <f t="shared" si="6"/>
        <v/>
      </c>
      <c r="I3339" s="2">
        <f t="shared" si="7"/>
        <v>1426.89</v>
      </c>
      <c r="M3339" s="10">
        <f>IFERROR(__xludf.DUMMYFUNCTION("""COMPUTED_VALUE"""),42823.66666666667)</f>
        <v>42823.66667</v>
      </c>
      <c r="N3339" s="2">
        <f>IFERROR(__xludf.DUMMYFUNCTION("""COMPUTED_VALUE"""),5897.55)</f>
        <v>5897.55</v>
      </c>
    </row>
    <row r="3340">
      <c r="A3340" s="10">
        <f t="shared" si="8"/>
        <v>41322.66667</v>
      </c>
      <c r="B3340" s="2" t="str">
        <f t="shared" si="2"/>
        <v/>
      </c>
      <c r="C3340" s="2" t="str">
        <f t="shared" si="3"/>
        <v>SP500</v>
      </c>
      <c r="D3340" s="2" t="str">
        <f t="shared" si="4"/>
        <v/>
      </c>
      <c r="E3340" s="2">
        <f t="shared" si="5"/>
        <v>3192.03</v>
      </c>
      <c r="G3340" s="10">
        <f t="shared" si="9"/>
        <v>41322.64583</v>
      </c>
      <c r="H3340" s="6" t="str">
        <f t="shared" si="6"/>
        <v/>
      </c>
      <c r="I3340" s="2">
        <f t="shared" si="7"/>
        <v>1426.89</v>
      </c>
      <c r="M3340" s="10">
        <f>IFERROR(__xludf.DUMMYFUNCTION("""COMPUTED_VALUE"""),42824.66666666667)</f>
        <v>42824.66667</v>
      </c>
      <c r="N3340" s="2">
        <f>IFERROR(__xludf.DUMMYFUNCTION("""COMPUTED_VALUE"""),5914.34)</f>
        <v>5914.34</v>
      </c>
    </row>
    <row r="3341">
      <c r="A3341" s="10">
        <f t="shared" si="8"/>
        <v>41323.66667</v>
      </c>
      <c r="B3341" s="2" t="str">
        <f t="shared" si="2"/>
        <v/>
      </c>
      <c r="C3341" s="2" t="str">
        <f t="shared" si="3"/>
        <v>SP500</v>
      </c>
      <c r="D3341" s="2" t="str">
        <f t="shared" si="4"/>
        <v/>
      </c>
      <c r="E3341" s="2">
        <f t="shared" si="5"/>
        <v>3192.03</v>
      </c>
      <c r="G3341" s="10">
        <f t="shared" si="9"/>
        <v>41323.64583</v>
      </c>
      <c r="H3341" s="6" t="str">
        <f t="shared" si="6"/>
        <v/>
      </c>
      <c r="I3341" s="2">
        <f t="shared" si="7"/>
        <v>1426.89</v>
      </c>
      <c r="M3341" s="10">
        <f>IFERROR(__xludf.DUMMYFUNCTION("""COMPUTED_VALUE"""),42825.66666666667)</f>
        <v>42825.66667</v>
      </c>
      <c r="N3341" s="2">
        <f>IFERROR(__xludf.DUMMYFUNCTION("""COMPUTED_VALUE"""),5911.74)</f>
        <v>5911.74</v>
      </c>
    </row>
    <row r="3342">
      <c r="A3342" s="10">
        <f t="shared" si="8"/>
        <v>41324.66667</v>
      </c>
      <c r="B3342" s="2" t="str">
        <f t="shared" si="2"/>
        <v/>
      </c>
      <c r="C3342" s="2" t="str">
        <f t="shared" si="3"/>
        <v>SP500</v>
      </c>
      <c r="D3342" s="2">
        <f t="shared" si="4"/>
        <v>3213.6</v>
      </c>
      <c r="E3342" s="2">
        <f t="shared" si="5"/>
        <v>3213.6</v>
      </c>
      <c r="G3342" s="10">
        <f t="shared" si="9"/>
        <v>41324.64583</v>
      </c>
      <c r="H3342" s="6" t="str">
        <f t="shared" si="6"/>
        <v/>
      </c>
      <c r="I3342" s="2">
        <f t="shared" si="7"/>
        <v>1426.89</v>
      </c>
      <c r="M3342" s="10">
        <f>IFERROR(__xludf.DUMMYFUNCTION("""COMPUTED_VALUE"""),42828.66666666667)</f>
        <v>42828.66667</v>
      </c>
      <c r="N3342" s="2">
        <f>IFERROR(__xludf.DUMMYFUNCTION("""COMPUTED_VALUE"""),5894.68)</f>
        <v>5894.68</v>
      </c>
    </row>
    <row r="3343">
      <c r="A3343" s="10">
        <f t="shared" si="8"/>
        <v>41325.66667</v>
      </c>
      <c r="B3343" s="2" t="str">
        <f t="shared" si="2"/>
        <v/>
      </c>
      <c r="C3343" s="2" t="str">
        <f t="shared" si="3"/>
        <v>SP500</v>
      </c>
      <c r="D3343" s="2">
        <f t="shared" si="4"/>
        <v>3164.41</v>
      </c>
      <c r="E3343" s="2">
        <f t="shared" si="5"/>
        <v>3164.41</v>
      </c>
      <c r="G3343" s="10">
        <f t="shared" si="9"/>
        <v>41325.64583</v>
      </c>
      <c r="H3343" s="6" t="str">
        <f t="shared" si="6"/>
        <v/>
      </c>
      <c r="I3343" s="2">
        <f t="shared" si="7"/>
        <v>1426.89</v>
      </c>
      <c r="M3343" s="10">
        <f>IFERROR(__xludf.DUMMYFUNCTION("""COMPUTED_VALUE"""),42829.66666666667)</f>
        <v>42829.66667</v>
      </c>
      <c r="N3343" s="2">
        <f>IFERROR(__xludf.DUMMYFUNCTION("""COMPUTED_VALUE"""),5898.61)</f>
        <v>5898.61</v>
      </c>
    </row>
    <row r="3344">
      <c r="A3344" s="10">
        <f t="shared" si="8"/>
        <v>41326.66667</v>
      </c>
      <c r="B3344" s="2" t="str">
        <f t="shared" si="2"/>
        <v/>
      </c>
      <c r="C3344" s="2" t="str">
        <f t="shared" si="3"/>
        <v>SP500</v>
      </c>
      <c r="D3344" s="2">
        <f t="shared" si="4"/>
        <v>3131.49</v>
      </c>
      <c r="E3344" s="2">
        <f t="shared" si="5"/>
        <v>3131.49</v>
      </c>
      <c r="G3344" s="10">
        <f t="shared" si="9"/>
        <v>41326.64583</v>
      </c>
      <c r="H3344" s="6" t="str">
        <f t="shared" si="6"/>
        <v/>
      </c>
      <c r="I3344" s="2">
        <f t="shared" si="7"/>
        <v>1426.89</v>
      </c>
      <c r="M3344" s="10">
        <f>IFERROR(__xludf.DUMMYFUNCTION("""COMPUTED_VALUE"""),42830.66666666667)</f>
        <v>42830.66667</v>
      </c>
      <c r="N3344" s="2">
        <f>IFERROR(__xludf.DUMMYFUNCTION("""COMPUTED_VALUE"""),5864.48)</f>
        <v>5864.48</v>
      </c>
    </row>
    <row r="3345">
      <c r="A3345" s="10">
        <f t="shared" si="8"/>
        <v>41327.66667</v>
      </c>
      <c r="B3345" s="2" t="str">
        <f t="shared" si="2"/>
        <v/>
      </c>
      <c r="C3345" s="2" t="str">
        <f t="shared" si="3"/>
        <v>SP500</v>
      </c>
      <c r="D3345" s="2">
        <f t="shared" si="4"/>
        <v>3161.82</v>
      </c>
      <c r="E3345" s="2">
        <f t="shared" si="5"/>
        <v>3161.82</v>
      </c>
      <c r="G3345" s="10">
        <f t="shared" si="9"/>
        <v>41327.64583</v>
      </c>
      <c r="H3345" s="6" t="str">
        <f t="shared" si="6"/>
        <v/>
      </c>
      <c r="I3345" s="2">
        <f t="shared" si="7"/>
        <v>1426.89</v>
      </c>
      <c r="M3345" s="10">
        <f>IFERROR(__xludf.DUMMYFUNCTION("""COMPUTED_VALUE"""),42831.66666666667)</f>
        <v>42831.66667</v>
      </c>
      <c r="N3345" s="2">
        <f>IFERROR(__xludf.DUMMYFUNCTION("""COMPUTED_VALUE"""),5878.95)</f>
        <v>5878.95</v>
      </c>
    </row>
    <row r="3346">
      <c r="A3346" s="10">
        <f t="shared" si="8"/>
        <v>41328.66667</v>
      </c>
      <c r="B3346" s="2" t="str">
        <f t="shared" si="2"/>
        <v/>
      </c>
      <c r="C3346" s="2" t="str">
        <f t="shared" si="3"/>
        <v>SP500</v>
      </c>
      <c r="D3346" s="2" t="str">
        <f t="shared" si="4"/>
        <v/>
      </c>
      <c r="E3346" s="2">
        <f t="shared" si="5"/>
        <v>3161.82</v>
      </c>
      <c r="G3346" s="10">
        <f t="shared" si="9"/>
        <v>41328.64583</v>
      </c>
      <c r="H3346" s="6" t="str">
        <f t="shared" si="6"/>
        <v/>
      </c>
      <c r="I3346" s="2">
        <f t="shared" si="7"/>
        <v>1426.89</v>
      </c>
      <c r="M3346" s="10">
        <f>IFERROR(__xludf.DUMMYFUNCTION("""COMPUTED_VALUE"""),42832.66666666667)</f>
        <v>42832.66667</v>
      </c>
      <c r="N3346" s="2">
        <f>IFERROR(__xludf.DUMMYFUNCTION("""COMPUTED_VALUE"""),5877.81)</f>
        <v>5877.81</v>
      </c>
    </row>
    <row r="3347">
      <c r="A3347" s="10">
        <f t="shared" si="8"/>
        <v>41329.66667</v>
      </c>
      <c r="B3347" s="2" t="str">
        <f t="shared" si="2"/>
        <v/>
      </c>
      <c r="C3347" s="2" t="str">
        <f t="shared" si="3"/>
        <v>SP500</v>
      </c>
      <c r="D3347" s="2" t="str">
        <f t="shared" si="4"/>
        <v/>
      </c>
      <c r="E3347" s="2">
        <f t="shared" si="5"/>
        <v>3161.82</v>
      </c>
      <c r="G3347" s="10">
        <f t="shared" si="9"/>
        <v>41329.64583</v>
      </c>
      <c r="H3347" s="6" t="str">
        <f t="shared" si="6"/>
        <v/>
      </c>
      <c r="I3347" s="2">
        <f t="shared" si="7"/>
        <v>1426.89</v>
      </c>
      <c r="M3347" s="10">
        <f>IFERROR(__xludf.DUMMYFUNCTION("""COMPUTED_VALUE"""),42835.66666666667)</f>
        <v>42835.66667</v>
      </c>
      <c r="N3347" s="2">
        <f>IFERROR(__xludf.DUMMYFUNCTION("""COMPUTED_VALUE"""),5880.93)</f>
        <v>5880.93</v>
      </c>
    </row>
    <row r="3348">
      <c r="A3348" s="10">
        <f t="shared" si="8"/>
        <v>41330.66667</v>
      </c>
      <c r="B3348" s="2" t="str">
        <f t="shared" si="2"/>
        <v/>
      </c>
      <c r="C3348" s="2" t="str">
        <f t="shared" si="3"/>
        <v>SP500</v>
      </c>
      <c r="D3348" s="2">
        <f t="shared" si="4"/>
        <v>3116.25</v>
      </c>
      <c r="E3348" s="2">
        <f t="shared" si="5"/>
        <v>3116.25</v>
      </c>
      <c r="G3348" s="10">
        <f t="shared" si="9"/>
        <v>41330.64583</v>
      </c>
      <c r="H3348" s="6" t="str">
        <f t="shared" si="6"/>
        <v/>
      </c>
      <c r="I3348" s="2">
        <f t="shared" si="7"/>
        <v>1426.89</v>
      </c>
      <c r="M3348" s="10">
        <f>IFERROR(__xludf.DUMMYFUNCTION("""COMPUTED_VALUE"""),42836.66666666667)</f>
        <v>42836.66667</v>
      </c>
      <c r="N3348" s="2">
        <f>IFERROR(__xludf.DUMMYFUNCTION("""COMPUTED_VALUE"""),5866.77)</f>
        <v>5866.77</v>
      </c>
    </row>
    <row r="3349">
      <c r="A3349" s="10">
        <f t="shared" si="8"/>
        <v>41331.66667</v>
      </c>
      <c r="B3349" s="2" t="str">
        <f t="shared" si="2"/>
        <v/>
      </c>
      <c r="C3349" s="2" t="str">
        <f t="shared" si="3"/>
        <v>SP500</v>
      </c>
      <c r="D3349" s="2">
        <f t="shared" si="4"/>
        <v>3129.65</v>
      </c>
      <c r="E3349" s="2">
        <f t="shared" si="5"/>
        <v>3129.65</v>
      </c>
      <c r="G3349" s="10">
        <f t="shared" si="9"/>
        <v>41331.64583</v>
      </c>
      <c r="H3349" s="6" t="str">
        <f t="shared" si="6"/>
        <v/>
      </c>
      <c r="I3349" s="2">
        <f t="shared" si="7"/>
        <v>1426.89</v>
      </c>
      <c r="M3349" s="10">
        <f>IFERROR(__xludf.DUMMYFUNCTION("""COMPUTED_VALUE"""),42837.66666666667)</f>
        <v>42837.66667</v>
      </c>
      <c r="N3349" s="2">
        <f>IFERROR(__xludf.DUMMYFUNCTION("""COMPUTED_VALUE"""),5836.16)</f>
        <v>5836.16</v>
      </c>
    </row>
    <row r="3350">
      <c r="A3350" s="10">
        <f t="shared" si="8"/>
        <v>41332.66667</v>
      </c>
      <c r="B3350" s="2" t="str">
        <f t="shared" si="2"/>
        <v/>
      </c>
      <c r="C3350" s="2" t="str">
        <f t="shared" si="3"/>
        <v>SP500</v>
      </c>
      <c r="D3350" s="2">
        <f t="shared" si="4"/>
        <v>3162.26</v>
      </c>
      <c r="E3350" s="2">
        <f t="shared" si="5"/>
        <v>3162.26</v>
      </c>
      <c r="G3350" s="10">
        <f t="shared" si="9"/>
        <v>41332.64583</v>
      </c>
      <c r="H3350" s="6" t="str">
        <f t="shared" si="6"/>
        <v/>
      </c>
      <c r="I3350" s="2">
        <f t="shared" si="7"/>
        <v>1426.89</v>
      </c>
      <c r="M3350" s="10">
        <f>IFERROR(__xludf.DUMMYFUNCTION("""COMPUTED_VALUE"""),42838.66666666667)</f>
        <v>42838.66667</v>
      </c>
      <c r="N3350" s="2">
        <f>IFERROR(__xludf.DUMMYFUNCTION("""COMPUTED_VALUE"""),5805.15)</f>
        <v>5805.15</v>
      </c>
    </row>
    <row r="3351">
      <c r="A3351" s="10">
        <f t="shared" si="8"/>
        <v>41333.66667</v>
      </c>
      <c r="B3351" s="2" t="str">
        <f t="shared" si="2"/>
        <v/>
      </c>
      <c r="C3351" s="2" t="str">
        <f t="shared" si="3"/>
        <v>SP500</v>
      </c>
      <c r="D3351" s="2">
        <f t="shared" si="4"/>
        <v>3160.19</v>
      </c>
      <c r="E3351" s="2">
        <f t="shared" si="5"/>
        <v>3160.19</v>
      </c>
      <c r="G3351" s="10">
        <f t="shared" si="9"/>
        <v>41333.64583</v>
      </c>
      <c r="H3351" s="6" t="str">
        <f t="shared" si="6"/>
        <v/>
      </c>
      <c r="I3351" s="2">
        <f t="shared" si="7"/>
        <v>1426.89</v>
      </c>
      <c r="M3351" s="10">
        <f>IFERROR(__xludf.DUMMYFUNCTION("""COMPUTED_VALUE"""),42842.66666666667)</f>
        <v>42842.66667</v>
      </c>
      <c r="N3351" s="2">
        <f>IFERROR(__xludf.DUMMYFUNCTION("""COMPUTED_VALUE"""),5856.79)</f>
        <v>5856.79</v>
      </c>
    </row>
    <row r="3352">
      <c r="A3352" s="10">
        <f t="shared" si="8"/>
        <v>41334.66667</v>
      </c>
      <c r="B3352" s="2" t="str">
        <f t="shared" si="2"/>
        <v/>
      </c>
      <c r="C3352" s="2" t="str">
        <f t="shared" si="3"/>
        <v>SP500</v>
      </c>
      <c r="D3352" s="2">
        <f t="shared" si="4"/>
        <v>3169.74</v>
      </c>
      <c r="E3352" s="2">
        <f t="shared" si="5"/>
        <v>3169.74</v>
      </c>
      <c r="G3352" s="10">
        <f t="shared" si="9"/>
        <v>41334.64583</v>
      </c>
      <c r="H3352" s="6" t="str">
        <f t="shared" si="6"/>
        <v/>
      </c>
      <c r="I3352" s="2">
        <f t="shared" si="7"/>
        <v>1426.89</v>
      </c>
      <c r="M3352" s="10">
        <f>IFERROR(__xludf.DUMMYFUNCTION("""COMPUTED_VALUE"""),42843.66666666667)</f>
        <v>42843.66667</v>
      </c>
      <c r="N3352" s="2">
        <f>IFERROR(__xludf.DUMMYFUNCTION("""COMPUTED_VALUE"""),5849.47)</f>
        <v>5849.47</v>
      </c>
    </row>
    <row r="3353">
      <c r="A3353" s="10">
        <f t="shared" si="8"/>
        <v>41335.66667</v>
      </c>
      <c r="B3353" s="2" t="str">
        <f t="shared" si="2"/>
        <v/>
      </c>
      <c r="C3353" s="2" t="str">
        <f t="shared" si="3"/>
        <v>SP500</v>
      </c>
      <c r="D3353" s="2" t="str">
        <f t="shared" si="4"/>
        <v/>
      </c>
      <c r="E3353" s="2">
        <f t="shared" si="5"/>
        <v>3169.74</v>
      </c>
      <c r="G3353" s="10">
        <f t="shared" si="9"/>
        <v>41335.64583</v>
      </c>
      <c r="H3353" s="6" t="str">
        <f t="shared" si="6"/>
        <v/>
      </c>
      <c r="I3353" s="2">
        <f t="shared" si="7"/>
        <v>1426.89</v>
      </c>
      <c r="M3353" s="10">
        <f>IFERROR(__xludf.DUMMYFUNCTION("""COMPUTED_VALUE"""),42844.66666666667)</f>
        <v>42844.66667</v>
      </c>
      <c r="N3353" s="2">
        <f>IFERROR(__xludf.DUMMYFUNCTION("""COMPUTED_VALUE"""),5863.03)</f>
        <v>5863.03</v>
      </c>
    </row>
    <row r="3354">
      <c r="A3354" s="10">
        <f t="shared" si="8"/>
        <v>41336.66667</v>
      </c>
      <c r="B3354" s="2" t="str">
        <f t="shared" si="2"/>
        <v/>
      </c>
      <c r="C3354" s="2" t="str">
        <f t="shared" si="3"/>
        <v>SP500</v>
      </c>
      <c r="D3354" s="2" t="str">
        <f t="shared" si="4"/>
        <v/>
      </c>
      <c r="E3354" s="2">
        <f t="shared" si="5"/>
        <v>3169.74</v>
      </c>
      <c r="G3354" s="10">
        <f t="shared" si="9"/>
        <v>41336.64583</v>
      </c>
      <c r="H3354" s="6" t="str">
        <f t="shared" si="6"/>
        <v/>
      </c>
      <c r="I3354" s="2">
        <f t="shared" si="7"/>
        <v>1426.89</v>
      </c>
      <c r="M3354" s="10">
        <f>IFERROR(__xludf.DUMMYFUNCTION("""COMPUTED_VALUE"""),42845.66666666667)</f>
        <v>42845.66667</v>
      </c>
      <c r="N3354" s="2">
        <f>IFERROR(__xludf.DUMMYFUNCTION("""COMPUTED_VALUE"""),5916.78)</f>
        <v>5916.78</v>
      </c>
    </row>
    <row r="3355">
      <c r="A3355" s="10">
        <f t="shared" si="8"/>
        <v>41337.66667</v>
      </c>
      <c r="B3355" s="2" t="str">
        <f t="shared" si="2"/>
        <v/>
      </c>
      <c r="C3355" s="2" t="str">
        <f t="shared" si="3"/>
        <v>SP500</v>
      </c>
      <c r="D3355" s="2">
        <f t="shared" si="4"/>
        <v>3182.03</v>
      </c>
      <c r="E3355" s="2">
        <f t="shared" si="5"/>
        <v>3182.03</v>
      </c>
      <c r="G3355" s="10">
        <f t="shared" si="9"/>
        <v>41337.64583</v>
      </c>
      <c r="H3355" s="6" t="str">
        <f t="shared" si="6"/>
        <v/>
      </c>
      <c r="I3355" s="2">
        <f t="shared" si="7"/>
        <v>1426.89</v>
      </c>
      <c r="M3355" s="10">
        <f>IFERROR(__xludf.DUMMYFUNCTION("""COMPUTED_VALUE"""),42846.66666666667)</f>
        <v>42846.66667</v>
      </c>
      <c r="N3355" s="2">
        <f>IFERROR(__xludf.DUMMYFUNCTION("""COMPUTED_VALUE"""),5910.52)</f>
        <v>5910.52</v>
      </c>
    </row>
    <row r="3356">
      <c r="A3356" s="10">
        <f t="shared" si="8"/>
        <v>41338.66667</v>
      </c>
      <c r="B3356" s="2" t="str">
        <f t="shared" si="2"/>
        <v/>
      </c>
      <c r="C3356" s="2" t="str">
        <f t="shared" si="3"/>
        <v>SP500</v>
      </c>
      <c r="D3356" s="2">
        <f t="shared" si="4"/>
        <v>3224.13</v>
      </c>
      <c r="E3356" s="2">
        <f t="shared" si="5"/>
        <v>3224.13</v>
      </c>
      <c r="G3356" s="10">
        <f t="shared" si="9"/>
        <v>41338.64583</v>
      </c>
      <c r="H3356" s="6" t="str">
        <f t="shared" si="6"/>
        <v/>
      </c>
      <c r="I3356" s="2">
        <f t="shared" si="7"/>
        <v>1426.89</v>
      </c>
      <c r="M3356" s="10">
        <f>IFERROR(__xludf.DUMMYFUNCTION("""COMPUTED_VALUE"""),42849.66666666667)</f>
        <v>42849.66667</v>
      </c>
      <c r="N3356" s="2">
        <f>IFERROR(__xludf.DUMMYFUNCTION("""COMPUTED_VALUE"""),5983.82)</f>
        <v>5983.82</v>
      </c>
    </row>
    <row r="3357">
      <c r="A3357" s="10">
        <f t="shared" si="8"/>
        <v>41339.66667</v>
      </c>
      <c r="B3357" s="2" t="str">
        <f t="shared" si="2"/>
        <v/>
      </c>
      <c r="C3357" s="2" t="str">
        <f t="shared" si="3"/>
        <v>SP500</v>
      </c>
      <c r="D3357" s="2">
        <f t="shared" si="4"/>
        <v>3222.37</v>
      </c>
      <c r="E3357" s="2">
        <f t="shared" si="5"/>
        <v>3222.37</v>
      </c>
      <c r="G3357" s="10">
        <f t="shared" si="9"/>
        <v>41339.64583</v>
      </c>
      <c r="H3357" s="6" t="str">
        <f t="shared" si="6"/>
        <v/>
      </c>
      <c r="I3357" s="2">
        <f t="shared" si="7"/>
        <v>1426.89</v>
      </c>
      <c r="M3357" s="10">
        <f>IFERROR(__xludf.DUMMYFUNCTION("""COMPUTED_VALUE"""),42850.66666666667)</f>
        <v>42850.66667</v>
      </c>
      <c r="N3357" s="2">
        <f>IFERROR(__xludf.DUMMYFUNCTION("""COMPUTED_VALUE"""),6025.49)</f>
        <v>6025.49</v>
      </c>
    </row>
    <row r="3358">
      <c r="A3358" s="10">
        <f t="shared" si="8"/>
        <v>41340.66667</v>
      </c>
      <c r="B3358" s="2" t="str">
        <f t="shared" si="2"/>
        <v/>
      </c>
      <c r="C3358" s="2" t="str">
        <f t="shared" si="3"/>
        <v>SP500</v>
      </c>
      <c r="D3358" s="2">
        <f t="shared" si="4"/>
        <v>3232.09</v>
      </c>
      <c r="E3358" s="2">
        <f t="shared" si="5"/>
        <v>3232.09</v>
      </c>
      <c r="G3358" s="10">
        <f t="shared" si="9"/>
        <v>41340.64583</v>
      </c>
      <c r="H3358" s="6" t="str">
        <f t="shared" si="6"/>
        <v/>
      </c>
      <c r="I3358" s="2">
        <f t="shared" si="7"/>
        <v>1426.89</v>
      </c>
      <c r="M3358" s="10">
        <f>IFERROR(__xludf.DUMMYFUNCTION("""COMPUTED_VALUE"""),42851.66666666667)</f>
        <v>42851.66667</v>
      </c>
      <c r="N3358" s="2">
        <f>IFERROR(__xludf.DUMMYFUNCTION("""COMPUTED_VALUE"""),6025.23)</f>
        <v>6025.23</v>
      </c>
    </row>
    <row r="3359">
      <c r="A3359" s="10">
        <f t="shared" si="8"/>
        <v>41341.66667</v>
      </c>
      <c r="B3359" s="2" t="str">
        <f t="shared" si="2"/>
        <v/>
      </c>
      <c r="C3359" s="2" t="str">
        <f t="shared" si="3"/>
        <v>SP500</v>
      </c>
      <c r="D3359" s="2">
        <f t="shared" si="4"/>
        <v>3244.37</v>
      </c>
      <c r="E3359" s="2">
        <f t="shared" si="5"/>
        <v>3244.37</v>
      </c>
      <c r="G3359" s="10">
        <f t="shared" si="9"/>
        <v>41341.64583</v>
      </c>
      <c r="H3359" s="6" t="str">
        <f t="shared" si="6"/>
        <v/>
      </c>
      <c r="I3359" s="2">
        <f t="shared" si="7"/>
        <v>1426.89</v>
      </c>
      <c r="M3359" s="10">
        <f>IFERROR(__xludf.DUMMYFUNCTION("""COMPUTED_VALUE"""),42852.66666666667)</f>
        <v>42852.66667</v>
      </c>
      <c r="N3359" s="2">
        <f>IFERROR(__xludf.DUMMYFUNCTION("""COMPUTED_VALUE"""),6048.94)</f>
        <v>6048.94</v>
      </c>
    </row>
    <row r="3360">
      <c r="A3360" s="10">
        <f t="shared" si="8"/>
        <v>41342.66667</v>
      </c>
      <c r="B3360" s="2" t="str">
        <f t="shared" si="2"/>
        <v/>
      </c>
      <c r="C3360" s="2" t="str">
        <f t="shared" si="3"/>
        <v>SP500</v>
      </c>
      <c r="D3360" s="2" t="str">
        <f t="shared" si="4"/>
        <v/>
      </c>
      <c r="E3360" s="2">
        <f t="shared" si="5"/>
        <v>3244.37</v>
      </c>
      <c r="G3360" s="10">
        <f t="shared" si="9"/>
        <v>41342.64583</v>
      </c>
      <c r="H3360" s="6" t="str">
        <f t="shared" si="6"/>
        <v/>
      </c>
      <c r="I3360" s="2">
        <f t="shared" si="7"/>
        <v>1426.89</v>
      </c>
      <c r="M3360" s="10">
        <f>IFERROR(__xludf.DUMMYFUNCTION("""COMPUTED_VALUE"""),42853.66666666667)</f>
        <v>42853.66667</v>
      </c>
      <c r="N3360" s="2">
        <f>IFERROR(__xludf.DUMMYFUNCTION("""COMPUTED_VALUE"""),6047.61)</f>
        <v>6047.61</v>
      </c>
    </row>
    <row r="3361">
      <c r="A3361" s="10">
        <f t="shared" si="8"/>
        <v>41343.66667</v>
      </c>
      <c r="B3361" s="2" t="str">
        <f t="shared" si="2"/>
        <v/>
      </c>
      <c r="C3361" s="2" t="str">
        <f t="shared" si="3"/>
        <v>SP500</v>
      </c>
      <c r="D3361" s="2" t="str">
        <f t="shared" si="4"/>
        <v/>
      </c>
      <c r="E3361" s="2">
        <f t="shared" si="5"/>
        <v>3244.37</v>
      </c>
      <c r="G3361" s="10">
        <f t="shared" si="9"/>
        <v>41343.64583</v>
      </c>
      <c r="H3361" s="6" t="str">
        <f t="shared" si="6"/>
        <v/>
      </c>
      <c r="I3361" s="2">
        <f t="shared" si="7"/>
        <v>1426.89</v>
      </c>
      <c r="M3361" s="10">
        <f>IFERROR(__xludf.DUMMYFUNCTION("""COMPUTED_VALUE"""),42856.66666666667)</f>
        <v>42856.66667</v>
      </c>
      <c r="N3361" s="2">
        <f>IFERROR(__xludf.DUMMYFUNCTION("""COMPUTED_VALUE"""),6091.6)</f>
        <v>6091.6</v>
      </c>
    </row>
    <row r="3362">
      <c r="A3362" s="10">
        <f t="shared" si="8"/>
        <v>41344.66667</v>
      </c>
      <c r="B3362" s="2" t="str">
        <f t="shared" si="2"/>
        <v/>
      </c>
      <c r="C3362" s="2" t="str">
        <f t="shared" si="3"/>
        <v>SP500</v>
      </c>
      <c r="D3362" s="2">
        <f t="shared" si="4"/>
        <v>3252.87</v>
      </c>
      <c r="E3362" s="2">
        <f t="shared" si="5"/>
        <v>3252.87</v>
      </c>
      <c r="G3362" s="10">
        <f t="shared" si="9"/>
        <v>41344.64583</v>
      </c>
      <c r="H3362" s="6" t="str">
        <f t="shared" si="6"/>
        <v/>
      </c>
      <c r="I3362" s="2">
        <f t="shared" si="7"/>
        <v>1426.89</v>
      </c>
      <c r="M3362" s="10">
        <f>IFERROR(__xludf.DUMMYFUNCTION("""COMPUTED_VALUE"""),42857.66666666667)</f>
        <v>42857.66667</v>
      </c>
      <c r="N3362" s="2">
        <f>IFERROR(__xludf.DUMMYFUNCTION("""COMPUTED_VALUE"""),6095.37)</f>
        <v>6095.37</v>
      </c>
    </row>
    <row r="3363">
      <c r="A3363" s="10">
        <f t="shared" si="8"/>
        <v>41345.66667</v>
      </c>
      <c r="B3363" s="2" t="str">
        <f t="shared" si="2"/>
        <v/>
      </c>
      <c r="C3363" s="2" t="str">
        <f t="shared" si="3"/>
        <v>SP500</v>
      </c>
      <c r="D3363" s="2">
        <f t="shared" si="4"/>
        <v>3242.32</v>
      </c>
      <c r="E3363" s="2">
        <f t="shared" si="5"/>
        <v>3242.32</v>
      </c>
      <c r="G3363" s="10">
        <f t="shared" si="9"/>
        <v>41345.64583</v>
      </c>
      <c r="H3363" s="6" t="str">
        <f t="shared" si="6"/>
        <v/>
      </c>
      <c r="I3363" s="2">
        <f t="shared" si="7"/>
        <v>1426.89</v>
      </c>
      <c r="M3363" s="10">
        <f>IFERROR(__xludf.DUMMYFUNCTION("""COMPUTED_VALUE"""),42858.66666666667)</f>
        <v>42858.66667</v>
      </c>
      <c r="N3363" s="2">
        <f>IFERROR(__xludf.DUMMYFUNCTION("""COMPUTED_VALUE"""),6072.55)</f>
        <v>6072.55</v>
      </c>
    </row>
    <row r="3364">
      <c r="A3364" s="10">
        <f t="shared" si="8"/>
        <v>41346.66667</v>
      </c>
      <c r="B3364" s="2" t="str">
        <f t="shared" si="2"/>
        <v/>
      </c>
      <c r="C3364" s="2" t="str">
        <f t="shared" si="3"/>
        <v>SP500</v>
      </c>
      <c r="D3364" s="2">
        <f t="shared" si="4"/>
        <v>3245.12</v>
      </c>
      <c r="E3364" s="2">
        <f t="shared" si="5"/>
        <v>3245.12</v>
      </c>
      <c r="G3364" s="10">
        <f t="shared" si="9"/>
        <v>41346.64583</v>
      </c>
      <c r="H3364" s="6" t="str">
        <f t="shared" si="6"/>
        <v/>
      </c>
      <c r="I3364" s="2">
        <f t="shared" si="7"/>
        <v>1426.89</v>
      </c>
      <c r="M3364" s="10">
        <f>IFERROR(__xludf.DUMMYFUNCTION("""COMPUTED_VALUE"""),42859.66666666667)</f>
        <v>42859.66667</v>
      </c>
      <c r="N3364" s="2">
        <f>IFERROR(__xludf.DUMMYFUNCTION("""COMPUTED_VALUE"""),6075.34)</f>
        <v>6075.34</v>
      </c>
    </row>
    <row r="3365">
      <c r="A3365" s="10">
        <f t="shared" si="8"/>
        <v>41347.66667</v>
      </c>
      <c r="B3365" s="2" t="str">
        <f t="shared" si="2"/>
        <v/>
      </c>
      <c r="C3365" s="2" t="str">
        <f t="shared" si="3"/>
        <v>SP500</v>
      </c>
      <c r="D3365" s="2">
        <f t="shared" si="4"/>
        <v>3258.93</v>
      </c>
      <c r="E3365" s="2">
        <f t="shared" si="5"/>
        <v>3258.93</v>
      </c>
      <c r="G3365" s="10">
        <f t="shared" si="9"/>
        <v>41347.64583</v>
      </c>
      <c r="H3365" s="6" t="str">
        <f t="shared" si="6"/>
        <v/>
      </c>
      <c r="I3365" s="2">
        <f t="shared" si="7"/>
        <v>1426.89</v>
      </c>
      <c r="M3365" s="10">
        <f>IFERROR(__xludf.DUMMYFUNCTION("""COMPUTED_VALUE"""),42860.66666666667)</f>
        <v>42860.66667</v>
      </c>
      <c r="N3365" s="2">
        <f>IFERROR(__xludf.DUMMYFUNCTION("""COMPUTED_VALUE"""),6100.76)</f>
        <v>6100.76</v>
      </c>
    </row>
    <row r="3366">
      <c r="A3366" s="10">
        <f t="shared" si="8"/>
        <v>41348.66667</v>
      </c>
      <c r="B3366" s="2" t="str">
        <f t="shared" si="2"/>
        <v/>
      </c>
      <c r="C3366" s="2" t="str">
        <f t="shared" si="3"/>
        <v>SP500</v>
      </c>
      <c r="D3366" s="2">
        <f t="shared" si="4"/>
        <v>3249.07</v>
      </c>
      <c r="E3366" s="2">
        <f t="shared" si="5"/>
        <v>3249.07</v>
      </c>
      <c r="G3366" s="10">
        <f t="shared" si="9"/>
        <v>41348.64583</v>
      </c>
      <c r="H3366" s="6" t="str">
        <f t="shared" si="6"/>
        <v/>
      </c>
      <c r="I3366" s="2">
        <f t="shared" si="7"/>
        <v>1426.89</v>
      </c>
      <c r="M3366" s="10">
        <f>IFERROR(__xludf.DUMMYFUNCTION("""COMPUTED_VALUE"""),42863.66666666667)</f>
        <v>42863.66667</v>
      </c>
      <c r="N3366" s="2">
        <f>IFERROR(__xludf.DUMMYFUNCTION("""COMPUTED_VALUE"""),6102.66)</f>
        <v>6102.66</v>
      </c>
    </row>
    <row r="3367">
      <c r="A3367" s="10">
        <f t="shared" si="8"/>
        <v>41349.66667</v>
      </c>
      <c r="B3367" s="2" t="str">
        <f t="shared" si="2"/>
        <v/>
      </c>
      <c r="C3367" s="2" t="str">
        <f t="shared" si="3"/>
        <v>SP500</v>
      </c>
      <c r="D3367" s="2" t="str">
        <f t="shared" si="4"/>
        <v/>
      </c>
      <c r="E3367" s="2">
        <f t="shared" si="5"/>
        <v>3249.07</v>
      </c>
      <c r="G3367" s="10">
        <f t="shared" si="9"/>
        <v>41349.64583</v>
      </c>
      <c r="H3367" s="6" t="str">
        <f t="shared" si="6"/>
        <v/>
      </c>
      <c r="I3367" s="2">
        <f t="shared" si="7"/>
        <v>1426.89</v>
      </c>
      <c r="M3367" s="10">
        <f>IFERROR(__xludf.DUMMYFUNCTION("""COMPUTED_VALUE"""),42864.66666666667)</f>
        <v>42864.66667</v>
      </c>
      <c r="N3367" s="2">
        <f>IFERROR(__xludf.DUMMYFUNCTION("""COMPUTED_VALUE"""),6120.59)</f>
        <v>6120.59</v>
      </c>
    </row>
    <row r="3368">
      <c r="A3368" s="10">
        <f t="shared" si="8"/>
        <v>41350.66667</v>
      </c>
      <c r="B3368" s="2" t="str">
        <f t="shared" si="2"/>
        <v/>
      </c>
      <c r="C3368" s="2" t="str">
        <f t="shared" si="3"/>
        <v>SP500</v>
      </c>
      <c r="D3368" s="2" t="str">
        <f t="shared" si="4"/>
        <v/>
      </c>
      <c r="E3368" s="2">
        <f t="shared" si="5"/>
        <v>3249.07</v>
      </c>
      <c r="G3368" s="10">
        <f t="shared" si="9"/>
        <v>41350.64583</v>
      </c>
      <c r="H3368" s="6" t="str">
        <f t="shared" si="6"/>
        <v/>
      </c>
      <c r="I3368" s="2">
        <f t="shared" si="7"/>
        <v>1426.89</v>
      </c>
      <c r="M3368" s="10">
        <f>IFERROR(__xludf.DUMMYFUNCTION("""COMPUTED_VALUE"""),42865.66666666667)</f>
        <v>42865.66667</v>
      </c>
      <c r="N3368" s="2">
        <f>IFERROR(__xludf.DUMMYFUNCTION("""COMPUTED_VALUE"""),6129.14)</f>
        <v>6129.14</v>
      </c>
    </row>
    <row r="3369">
      <c r="A3369" s="10">
        <f t="shared" si="8"/>
        <v>41351.66667</v>
      </c>
      <c r="B3369" s="2" t="str">
        <f t="shared" si="2"/>
        <v/>
      </c>
      <c r="C3369" s="2" t="str">
        <f t="shared" si="3"/>
        <v>SP500</v>
      </c>
      <c r="D3369" s="2">
        <f t="shared" si="4"/>
        <v>3237.59</v>
      </c>
      <c r="E3369" s="2">
        <f t="shared" si="5"/>
        <v>3237.59</v>
      </c>
      <c r="G3369" s="10">
        <f t="shared" si="9"/>
        <v>41351.64583</v>
      </c>
      <c r="H3369" s="6" t="str">
        <f t="shared" si="6"/>
        <v/>
      </c>
      <c r="I3369" s="2">
        <f t="shared" si="7"/>
        <v>1426.89</v>
      </c>
      <c r="M3369" s="10">
        <f>IFERROR(__xludf.DUMMYFUNCTION("""COMPUTED_VALUE"""),42866.66666666667)</f>
        <v>42866.66667</v>
      </c>
      <c r="N3369" s="2">
        <f>IFERROR(__xludf.DUMMYFUNCTION("""COMPUTED_VALUE"""),6115.96)</f>
        <v>6115.96</v>
      </c>
    </row>
    <row r="3370">
      <c r="A3370" s="10">
        <f t="shared" si="8"/>
        <v>41352.66667</v>
      </c>
      <c r="B3370" s="2" t="str">
        <f t="shared" si="2"/>
        <v/>
      </c>
      <c r="C3370" s="2" t="str">
        <f t="shared" si="3"/>
        <v>SP500</v>
      </c>
      <c r="D3370" s="2">
        <f t="shared" si="4"/>
        <v>3229.1</v>
      </c>
      <c r="E3370" s="2">
        <f t="shared" si="5"/>
        <v>3229.1</v>
      </c>
      <c r="G3370" s="10">
        <f t="shared" si="9"/>
        <v>41352.64583</v>
      </c>
      <c r="H3370" s="6" t="str">
        <f t="shared" si="6"/>
        <v/>
      </c>
      <c r="I3370" s="2">
        <f t="shared" si="7"/>
        <v>1426.89</v>
      </c>
      <c r="M3370" s="10">
        <f>IFERROR(__xludf.DUMMYFUNCTION("""COMPUTED_VALUE"""),42867.66666666667)</f>
        <v>42867.66667</v>
      </c>
      <c r="N3370" s="2">
        <f>IFERROR(__xludf.DUMMYFUNCTION("""COMPUTED_VALUE"""),6121.23)</f>
        <v>6121.23</v>
      </c>
    </row>
    <row r="3371">
      <c r="A3371" s="10">
        <f t="shared" si="8"/>
        <v>41353.66667</v>
      </c>
      <c r="B3371" s="2" t="str">
        <f t="shared" si="2"/>
        <v/>
      </c>
      <c r="C3371" s="2" t="str">
        <f t="shared" si="3"/>
        <v>SP500</v>
      </c>
      <c r="D3371" s="2">
        <f t="shared" si="4"/>
        <v>3254.19</v>
      </c>
      <c r="E3371" s="2">
        <f t="shared" si="5"/>
        <v>3254.19</v>
      </c>
      <c r="G3371" s="10">
        <f t="shared" si="9"/>
        <v>41353.64583</v>
      </c>
      <c r="H3371" s="6" t="str">
        <f t="shared" si="6"/>
        <v/>
      </c>
      <c r="I3371" s="2">
        <f t="shared" si="7"/>
        <v>1426.89</v>
      </c>
      <c r="M3371" s="10">
        <f>IFERROR(__xludf.DUMMYFUNCTION("""COMPUTED_VALUE"""),42870.66666666667)</f>
        <v>42870.66667</v>
      </c>
      <c r="N3371" s="2">
        <f>IFERROR(__xludf.DUMMYFUNCTION("""COMPUTED_VALUE"""),6149.67)</f>
        <v>6149.67</v>
      </c>
    </row>
    <row r="3372">
      <c r="A3372" s="10">
        <f t="shared" si="8"/>
        <v>41354.66667</v>
      </c>
      <c r="B3372" s="2" t="str">
        <f t="shared" si="2"/>
        <v/>
      </c>
      <c r="C3372" s="2" t="str">
        <f t="shared" si="3"/>
        <v>SP500</v>
      </c>
      <c r="D3372" s="2">
        <f t="shared" si="4"/>
        <v>3222.6</v>
      </c>
      <c r="E3372" s="2">
        <f t="shared" si="5"/>
        <v>3222.6</v>
      </c>
      <c r="G3372" s="10">
        <f t="shared" si="9"/>
        <v>41354.64583</v>
      </c>
      <c r="H3372" s="6" t="str">
        <f t="shared" si="6"/>
        <v/>
      </c>
      <c r="I3372" s="2">
        <f t="shared" si="7"/>
        <v>1426.89</v>
      </c>
      <c r="M3372" s="10">
        <f>IFERROR(__xludf.DUMMYFUNCTION("""COMPUTED_VALUE"""),42871.66666666667)</f>
        <v>42871.66667</v>
      </c>
      <c r="N3372" s="2">
        <f>IFERROR(__xludf.DUMMYFUNCTION("""COMPUTED_VALUE"""),6169.87)</f>
        <v>6169.87</v>
      </c>
    </row>
    <row r="3373">
      <c r="A3373" s="10">
        <f t="shared" si="8"/>
        <v>41355.66667</v>
      </c>
      <c r="B3373" s="2" t="str">
        <f t="shared" si="2"/>
        <v/>
      </c>
      <c r="C3373" s="2" t="str">
        <f t="shared" si="3"/>
        <v>SP500</v>
      </c>
      <c r="D3373" s="2">
        <f t="shared" si="4"/>
        <v>3245</v>
      </c>
      <c r="E3373" s="2">
        <f t="shared" si="5"/>
        <v>3245</v>
      </c>
      <c r="G3373" s="10">
        <f t="shared" si="9"/>
        <v>41355.64583</v>
      </c>
      <c r="H3373" s="6" t="str">
        <f t="shared" si="6"/>
        <v/>
      </c>
      <c r="I3373" s="2">
        <f t="shared" si="7"/>
        <v>1426.89</v>
      </c>
      <c r="M3373" s="10">
        <f>IFERROR(__xludf.DUMMYFUNCTION("""COMPUTED_VALUE"""),42872.66666666667)</f>
        <v>42872.66667</v>
      </c>
      <c r="N3373" s="2">
        <f>IFERROR(__xludf.DUMMYFUNCTION("""COMPUTED_VALUE"""),6011.24)</f>
        <v>6011.24</v>
      </c>
    </row>
    <row r="3374">
      <c r="A3374" s="10">
        <f t="shared" si="8"/>
        <v>41356.66667</v>
      </c>
      <c r="B3374" s="2" t="str">
        <f t="shared" si="2"/>
        <v/>
      </c>
      <c r="C3374" s="2" t="str">
        <f t="shared" si="3"/>
        <v>SP500</v>
      </c>
      <c r="D3374" s="2" t="str">
        <f t="shared" si="4"/>
        <v/>
      </c>
      <c r="E3374" s="2">
        <f t="shared" si="5"/>
        <v>3245</v>
      </c>
      <c r="G3374" s="10">
        <f t="shared" si="9"/>
        <v>41356.64583</v>
      </c>
      <c r="H3374" s="6" t="str">
        <f t="shared" si="6"/>
        <v/>
      </c>
      <c r="I3374" s="2">
        <f t="shared" si="7"/>
        <v>1426.89</v>
      </c>
      <c r="M3374" s="10">
        <f>IFERROR(__xludf.DUMMYFUNCTION("""COMPUTED_VALUE"""),42873.66666666667)</f>
        <v>42873.66667</v>
      </c>
      <c r="N3374" s="2">
        <f>IFERROR(__xludf.DUMMYFUNCTION("""COMPUTED_VALUE"""),6055.13)</f>
        <v>6055.13</v>
      </c>
    </row>
    <row r="3375">
      <c r="A3375" s="10">
        <f t="shared" si="8"/>
        <v>41357.66667</v>
      </c>
      <c r="B3375" s="2" t="str">
        <f t="shared" si="2"/>
        <v/>
      </c>
      <c r="C3375" s="2" t="str">
        <f t="shared" si="3"/>
        <v>SP500</v>
      </c>
      <c r="D3375" s="2" t="str">
        <f t="shared" si="4"/>
        <v/>
      </c>
      <c r="E3375" s="2">
        <f t="shared" si="5"/>
        <v>3245</v>
      </c>
      <c r="G3375" s="10">
        <f t="shared" si="9"/>
        <v>41357.64583</v>
      </c>
      <c r="H3375" s="6" t="str">
        <f t="shared" si="6"/>
        <v/>
      </c>
      <c r="I3375" s="2">
        <f t="shared" si="7"/>
        <v>1426.89</v>
      </c>
      <c r="M3375" s="10">
        <f>IFERROR(__xludf.DUMMYFUNCTION("""COMPUTED_VALUE"""),42874.66666666667)</f>
        <v>42874.66667</v>
      </c>
      <c r="N3375" s="2">
        <f>IFERROR(__xludf.DUMMYFUNCTION("""COMPUTED_VALUE"""),6083.7)</f>
        <v>6083.7</v>
      </c>
    </row>
    <row r="3376">
      <c r="A3376" s="10">
        <f t="shared" si="8"/>
        <v>41358.66667</v>
      </c>
      <c r="B3376" s="2" t="str">
        <f t="shared" si="2"/>
        <v/>
      </c>
      <c r="C3376" s="2" t="str">
        <f t="shared" si="3"/>
        <v>SP500</v>
      </c>
      <c r="D3376" s="2">
        <f t="shared" si="4"/>
        <v>3235.3</v>
      </c>
      <c r="E3376" s="2">
        <f t="shared" si="5"/>
        <v>3235.3</v>
      </c>
      <c r="G3376" s="10">
        <f t="shared" si="9"/>
        <v>41358.64583</v>
      </c>
      <c r="H3376" s="6" t="str">
        <f t="shared" si="6"/>
        <v/>
      </c>
      <c r="I3376" s="2">
        <f t="shared" si="7"/>
        <v>1426.89</v>
      </c>
      <c r="M3376" s="10">
        <f>IFERROR(__xludf.DUMMYFUNCTION("""COMPUTED_VALUE"""),42877.66666666667)</f>
        <v>42877.66667</v>
      </c>
      <c r="N3376" s="2">
        <f>IFERROR(__xludf.DUMMYFUNCTION("""COMPUTED_VALUE"""),6133.62)</f>
        <v>6133.62</v>
      </c>
    </row>
    <row r="3377">
      <c r="A3377" s="10">
        <f t="shared" si="8"/>
        <v>41359.66667</v>
      </c>
      <c r="B3377" s="2" t="str">
        <f t="shared" si="2"/>
        <v/>
      </c>
      <c r="C3377" s="2" t="str">
        <f t="shared" si="3"/>
        <v>SP500</v>
      </c>
      <c r="D3377" s="2">
        <f t="shared" si="4"/>
        <v>3252.48</v>
      </c>
      <c r="E3377" s="2">
        <f t="shared" si="5"/>
        <v>3252.48</v>
      </c>
      <c r="G3377" s="10">
        <f t="shared" si="9"/>
        <v>41359.64583</v>
      </c>
      <c r="H3377" s="6" t="str">
        <f t="shared" si="6"/>
        <v/>
      </c>
      <c r="I3377" s="2">
        <f t="shared" si="7"/>
        <v>1426.89</v>
      </c>
      <c r="M3377" s="10">
        <f>IFERROR(__xludf.DUMMYFUNCTION("""COMPUTED_VALUE"""),42878.66666666667)</f>
        <v>42878.66667</v>
      </c>
      <c r="N3377" s="2">
        <f>IFERROR(__xludf.DUMMYFUNCTION("""COMPUTED_VALUE"""),6138.71)</f>
        <v>6138.71</v>
      </c>
    </row>
    <row r="3378">
      <c r="A3378" s="10">
        <f t="shared" si="8"/>
        <v>41360.66667</v>
      </c>
      <c r="B3378" s="2" t="str">
        <f t="shared" si="2"/>
        <v/>
      </c>
      <c r="C3378" s="2" t="str">
        <f t="shared" si="3"/>
        <v>SP500</v>
      </c>
      <c r="D3378" s="2">
        <f t="shared" si="4"/>
        <v>3256.52</v>
      </c>
      <c r="E3378" s="2">
        <f t="shared" si="5"/>
        <v>3256.52</v>
      </c>
      <c r="G3378" s="10">
        <f t="shared" si="9"/>
        <v>41360.64583</v>
      </c>
      <c r="H3378" s="6" t="str">
        <f t="shared" si="6"/>
        <v/>
      </c>
      <c r="I3378" s="2">
        <f t="shared" si="7"/>
        <v>1426.89</v>
      </c>
      <c r="M3378" s="10">
        <f>IFERROR(__xludf.DUMMYFUNCTION("""COMPUTED_VALUE"""),42879.66666666667)</f>
        <v>42879.66667</v>
      </c>
      <c r="N3378" s="2">
        <f>IFERROR(__xludf.DUMMYFUNCTION("""COMPUTED_VALUE"""),6163.02)</f>
        <v>6163.02</v>
      </c>
    </row>
    <row r="3379">
      <c r="A3379" s="10">
        <f t="shared" si="8"/>
        <v>41361.66667</v>
      </c>
      <c r="B3379" s="2" t="str">
        <f t="shared" si="2"/>
        <v/>
      </c>
      <c r="C3379" s="2" t="str">
        <f t="shared" si="3"/>
        <v>SP500</v>
      </c>
      <c r="D3379" s="2">
        <f t="shared" si="4"/>
        <v>3267.52</v>
      </c>
      <c r="E3379" s="2">
        <f t="shared" si="5"/>
        <v>3267.52</v>
      </c>
      <c r="G3379" s="10">
        <f t="shared" si="9"/>
        <v>41361.64583</v>
      </c>
      <c r="H3379" s="6" t="str">
        <f t="shared" si="6"/>
        <v/>
      </c>
      <c r="I3379" s="2">
        <f t="shared" si="7"/>
        <v>1426.89</v>
      </c>
      <c r="M3379" s="10">
        <f>IFERROR(__xludf.DUMMYFUNCTION("""COMPUTED_VALUE"""),42880.66666666667)</f>
        <v>42880.66667</v>
      </c>
      <c r="N3379" s="2">
        <f>IFERROR(__xludf.DUMMYFUNCTION("""COMPUTED_VALUE"""),6205.26)</f>
        <v>6205.26</v>
      </c>
    </row>
    <row r="3380">
      <c r="A3380" s="10">
        <f t="shared" si="8"/>
        <v>41362.66667</v>
      </c>
      <c r="B3380" s="2" t="str">
        <f t="shared" si="2"/>
        <v/>
      </c>
      <c r="C3380" s="2" t="str">
        <f t="shared" si="3"/>
        <v>SP500</v>
      </c>
      <c r="D3380" s="2" t="str">
        <f t="shared" si="4"/>
        <v/>
      </c>
      <c r="E3380" s="2">
        <f t="shared" si="5"/>
        <v>3267.52</v>
      </c>
      <c r="G3380" s="10">
        <f t="shared" si="9"/>
        <v>41362.64583</v>
      </c>
      <c r="H3380" s="6" t="str">
        <f t="shared" si="6"/>
        <v/>
      </c>
      <c r="I3380" s="2">
        <f t="shared" si="7"/>
        <v>1426.89</v>
      </c>
      <c r="M3380" s="10">
        <f>IFERROR(__xludf.DUMMYFUNCTION("""COMPUTED_VALUE"""),42881.66666666667)</f>
        <v>42881.66667</v>
      </c>
      <c r="N3380" s="2">
        <f>IFERROR(__xludf.DUMMYFUNCTION("""COMPUTED_VALUE"""),6210.19)</f>
        <v>6210.19</v>
      </c>
    </row>
    <row r="3381">
      <c r="A3381" s="10">
        <f t="shared" si="8"/>
        <v>41363.66667</v>
      </c>
      <c r="B3381" s="2" t="str">
        <f t="shared" si="2"/>
        <v/>
      </c>
      <c r="C3381" s="2" t="str">
        <f t="shared" si="3"/>
        <v>SP500</v>
      </c>
      <c r="D3381" s="2" t="str">
        <f t="shared" si="4"/>
        <v/>
      </c>
      <c r="E3381" s="2">
        <f t="shared" si="5"/>
        <v>3267.52</v>
      </c>
      <c r="G3381" s="10">
        <f t="shared" si="9"/>
        <v>41363.64583</v>
      </c>
      <c r="H3381" s="6" t="str">
        <f t="shared" si="6"/>
        <v/>
      </c>
      <c r="I3381" s="2">
        <f t="shared" si="7"/>
        <v>1426.89</v>
      </c>
      <c r="M3381" s="10">
        <f>IFERROR(__xludf.DUMMYFUNCTION("""COMPUTED_VALUE"""),42885.66666666667)</f>
        <v>42885.66667</v>
      </c>
      <c r="N3381" s="2">
        <f>IFERROR(__xludf.DUMMYFUNCTION("""COMPUTED_VALUE"""),6203.19)</f>
        <v>6203.19</v>
      </c>
    </row>
    <row r="3382">
      <c r="A3382" s="10">
        <f t="shared" si="8"/>
        <v>41364.66667</v>
      </c>
      <c r="B3382" s="2" t="str">
        <f t="shared" si="2"/>
        <v/>
      </c>
      <c r="C3382" s="2" t="str">
        <f t="shared" si="3"/>
        <v>SP500</v>
      </c>
      <c r="D3382" s="2" t="str">
        <f t="shared" si="4"/>
        <v/>
      </c>
      <c r="E3382" s="2">
        <f t="shared" si="5"/>
        <v>3267.52</v>
      </c>
      <c r="G3382" s="10">
        <f t="shared" si="9"/>
        <v>41364.64583</v>
      </c>
      <c r="H3382" s="6" t="str">
        <f t="shared" si="6"/>
        <v/>
      </c>
      <c r="I3382" s="2">
        <f t="shared" si="7"/>
        <v>1426.89</v>
      </c>
      <c r="M3382" s="10">
        <f>IFERROR(__xludf.DUMMYFUNCTION("""COMPUTED_VALUE"""),42886.66666666667)</f>
        <v>42886.66667</v>
      </c>
      <c r="N3382" s="2">
        <f>IFERROR(__xludf.DUMMYFUNCTION("""COMPUTED_VALUE"""),6198.52)</f>
        <v>6198.52</v>
      </c>
    </row>
    <row r="3383">
      <c r="A3383" s="10">
        <f t="shared" si="8"/>
        <v>41365.66667</v>
      </c>
      <c r="B3383" s="2" t="str">
        <f t="shared" si="2"/>
        <v/>
      </c>
      <c r="C3383" s="2" t="str">
        <f t="shared" si="3"/>
        <v>SP500</v>
      </c>
      <c r="D3383" s="2">
        <f t="shared" si="4"/>
        <v>3239.17</v>
      </c>
      <c r="E3383" s="2">
        <f t="shared" si="5"/>
        <v>3239.17</v>
      </c>
      <c r="G3383" s="10">
        <f t="shared" si="9"/>
        <v>41365.64583</v>
      </c>
      <c r="H3383" s="6" t="str">
        <f t="shared" si="6"/>
        <v/>
      </c>
      <c r="I3383" s="2">
        <f t="shared" si="7"/>
        <v>1426.89</v>
      </c>
      <c r="M3383" s="10">
        <f>IFERROR(__xludf.DUMMYFUNCTION("""COMPUTED_VALUE"""),42887.66666666667)</f>
        <v>42887.66667</v>
      </c>
      <c r="N3383" s="2">
        <f>IFERROR(__xludf.DUMMYFUNCTION("""COMPUTED_VALUE"""),6246.83)</f>
        <v>6246.83</v>
      </c>
    </row>
    <row r="3384">
      <c r="A3384" s="10">
        <f t="shared" si="8"/>
        <v>41366.66667</v>
      </c>
      <c r="B3384" s="2" t="str">
        <f t="shared" si="2"/>
        <v/>
      </c>
      <c r="C3384" s="2" t="str">
        <f t="shared" si="3"/>
        <v>SP500</v>
      </c>
      <c r="D3384" s="2">
        <f t="shared" si="4"/>
        <v>3254.86</v>
      </c>
      <c r="E3384" s="2">
        <f t="shared" si="5"/>
        <v>3254.86</v>
      </c>
      <c r="G3384" s="10">
        <f t="shared" si="9"/>
        <v>41366.64583</v>
      </c>
      <c r="H3384" s="6" t="str">
        <f t="shared" si="6"/>
        <v/>
      </c>
      <c r="I3384" s="2">
        <f t="shared" si="7"/>
        <v>1426.89</v>
      </c>
      <c r="M3384" s="10">
        <f>IFERROR(__xludf.DUMMYFUNCTION("""COMPUTED_VALUE"""),42888.66666666667)</f>
        <v>42888.66667</v>
      </c>
      <c r="N3384" s="2">
        <f>IFERROR(__xludf.DUMMYFUNCTION("""COMPUTED_VALUE"""),6305.8)</f>
        <v>6305.8</v>
      </c>
    </row>
    <row r="3385">
      <c r="A3385" s="10">
        <f t="shared" si="8"/>
        <v>41367.66667</v>
      </c>
      <c r="B3385" s="2" t="str">
        <f t="shared" si="2"/>
        <v/>
      </c>
      <c r="C3385" s="2" t="str">
        <f t="shared" si="3"/>
        <v>SP500</v>
      </c>
      <c r="D3385" s="2">
        <f t="shared" si="4"/>
        <v>3218.6</v>
      </c>
      <c r="E3385" s="2">
        <f t="shared" si="5"/>
        <v>3218.6</v>
      </c>
      <c r="G3385" s="10">
        <f t="shared" si="9"/>
        <v>41367.64583</v>
      </c>
      <c r="H3385" s="6" t="str">
        <f t="shared" si="6"/>
        <v/>
      </c>
      <c r="I3385" s="2">
        <f t="shared" si="7"/>
        <v>1426.89</v>
      </c>
      <c r="M3385" s="10">
        <f>IFERROR(__xludf.DUMMYFUNCTION("""COMPUTED_VALUE"""),42891.66666666667)</f>
        <v>42891.66667</v>
      </c>
      <c r="N3385" s="2">
        <f>IFERROR(__xludf.DUMMYFUNCTION("""COMPUTED_VALUE"""),6295.68)</f>
        <v>6295.68</v>
      </c>
    </row>
    <row r="3386">
      <c r="A3386" s="10">
        <f t="shared" si="8"/>
        <v>41368.66667</v>
      </c>
      <c r="B3386" s="2" t="str">
        <f t="shared" si="2"/>
        <v/>
      </c>
      <c r="C3386" s="2" t="str">
        <f t="shared" si="3"/>
        <v>SP500</v>
      </c>
      <c r="D3386" s="2">
        <f t="shared" si="4"/>
        <v>3224.98</v>
      </c>
      <c r="E3386" s="2">
        <f t="shared" si="5"/>
        <v>3224.98</v>
      </c>
      <c r="G3386" s="10">
        <f t="shared" si="9"/>
        <v>41368.64583</v>
      </c>
      <c r="H3386" s="6" t="str">
        <f t="shared" si="6"/>
        <v/>
      </c>
      <c r="I3386" s="2">
        <f t="shared" si="7"/>
        <v>1426.89</v>
      </c>
      <c r="M3386" s="10">
        <f>IFERROR(__xludf.DUMMYFUNCTION("""COMPUTED_VALUE"""),42892.66666666667)</f>
        <v>42892.66667</v>
      </c>
      <c r="N3386" s="2">
        <f>IFERROR(__xludf.DUMMYFUNCTION("""COMPUTED_VALUE"""),6275.06)</f>
        <v>6275.06</v>
      </c>
    </row>
    <row r="3387">
      <c r="A3387" s="10">
        <f t="shared" si="8"/>
        <v>41369.66667</v>
      </c>
      <c r="B3387" s="2" t="str">
        <f t="shared" si="2"/>
        <v/>
      </c>
      <c r="C3387" s="2" t="str">
        <f t="shared" si="3"/>
        <v>SP500</v>
      </c>
      <c r="D3387" s="2">
        <f t="shared" si="4"/>
        <v>3203.86</v>
      </c>
      <c r="E3387" s="2">
        <f t="shared" si="5"/>
        <v>3203.86</v>
      </c>
      <c r="G3387" s="10">
        <f t="shared" si="9"/>
        <v>41369.64583</v>
      </c>
      <c r="H3387" s="6" t="str">
        <f t="shared" si="6"/>
        <v/>
      </c>
      <c r="I3387" s="2">
        <f t="shared" si="7"/>
        <v>1426.89</v>
      </c>
      <c r="M3387" s="10">
        <f>IFERROR(__xludf.DUMMYFUNCTION("""COMPUTED_VALUE"""),42893.66666666667)</f>
        <v>42893.66667</v>
      </c>
      <c r="N3387" s="2">
        <f>IFERROR(__xludf.DUMMYFUNCTION("""COMPUTED_VALUE"""),6297.38)</f>
        <v>6297.38</v>
      </c>
    </row>
    <row r="3388">
      <c r="A3388" s="10">
        <f t="shared" si="8"/>
        <v>41370.66667</v>
      </c>
      <c r="B3388" s="2" t="str">
        <f t="shared" si="2"/>
        <v/>
      </c>
      <c r="C3388" s="2" t="str">
        <f t="shared" si="3"/>
        <v>SP500</v>
      </c>
      <c r="D3388" s="2" t="str">
        <f t="shared" si="4"/>
        <v/>
      </c>
      <c r="E3388" s="2">
        <f t="shared" si="5"/>
        <v>3203.86</v>
      </c>
      <c r="G3388" s="10">
        <f t="shared" si="9"/>
        <v>41370.64583</v>
      </c>
      <c r="H3388" s="6" t="str">
        <f t="shared" si="6"/>
        <v/>
      </c>
      <c r="I3388" s="2">
        <f t="shared" si="7"/>
        <v>1426.89</v>
      </c>
      <c r="M3388" s="10">
        <f>IFERROR(__xludf.DUMMYFUNCTION("""COMPUTED_VALUE"""),42894.66666666667)</f>
        <v>42894.66667</v>
      </c>
      <c r="N3388" s="2">
        <f>IFERROR(__xludf.DUMMYFUNCTION("""COMPUTED_VALUE"""),6321.76)</f>
        <v>6321.76</v>
      </c>
    </row>
    <row r="3389">
      <c r="A3389" s="10">
        <f t="shared" si="8"/>
        <v>41371.66667</v>
      </c>
      <c r="B3389" s="2" t="str">
        <f t="shared" si="2"/>
        <v/>
      </c>
      <c r="C3389" s="2" t="str">
        <f t="shared" si="3"/>
        <v>SP500</v>
      </c>
      <c r="D3389" s="2" t="str">
        <f t="shared" si="4"/>
        <v/>
      </c>
      <c r="E3389" s="2">
        <f t="shared" si="5"/>
        <v>3203.86</v>
      </c>
      <c r="G3389" s="10">
        <f t="shared" si="9"/>
        <v>41371.64583</v>
      </c>
      <c r="H3389" s="6" t="str">
        <f t="shared" si="6"/>
        <v/>
      </c>
      <c r="I3389" s="2">
        <f t="shared" si="7"/>
        <v>1426.89</v>
      </c>
      <c r="M3389" s="10">
        <f>IFERROR(__xludf.DUMMYFUNCTION("""COMPUTED_VALUE"""),42895.66666666667)</f>
        <v>42895.66667</v>
      </c>
      <c r="N3389" s="2">
        <f>IFERROR(__xludf.DUMMYFUNCTION("""COMPUTED_VALUE"""),6207.92)</f>
        <v>6207.92</v>
      </c>
    </row>
    <row r="3390">
      <c r="A3390" s="10">
        <f t="shared" si="8"/>
        <v>41372.66667</v>
      </c>
      <c r="B3390" s="2" t="str">
        <f t="shared" si="2"/>
        <v/>
      </c>
      <c r="C3390" s="2" t="str">
        <f t="shared" si="3"/>
        <v>SP500</v>
      </c>
      <c r="D3390" s="2">
        <f t="shared" si="4"/>
        <v>3222.25</v>
      </c>
      <c r="E3390" s="2">
        <f t="shared" si="5"/>
        <v>3222.25</v>
      </c>
      <c r="G3390" s="10">
        <f t="shared" si="9"/>
        <v>41372.64583</v>
      </c>
      <c r="H3390" s="6" t="str">
        <f t="shared" si="6"/>
        <v/>
      </c>
      <c r="I3390" s="2">
        <f t="shared" si="7"/>
        <v>1426.89</v>
      </c>
      <c r="M3390" s="10">
        <f>IFERROR(__xludf.DUMMYFUNCTION("""COMPUTED_VALUE"""),42898.66666666667)</f>
        <v>42898.66667</v>
      </c>
      <c r="N3390" s="2">
        <f>IFERROR(__xludf.DUMMYFUNCTION("""COMPUTED_VALUE"""),6175.46)</f>
        <v>6175.46</v>
      </c>
    </row>
    <row r="3391">
      <c r="A3391" s="10">
        <f t="shared" si="8"/>
        <v>41373.66667</v>
      </c>
      <c r="B3391" s="2" t="str">
        <f t="shared" si="2"/>
        <v/>
      </c>
      <c r="C3391" s="2" t="str">
        <f t="shared" si="3"/>
        <v>SP500</v>
      </c>
      <c r="D3391" s="2">
        <f t="shared" si="4"/>
        <v>3237.86</v>
      </c>
      <c r="E3391" s="2">
        <f t="shared" si="5"/>
        <v>3237.86</v>
      </c>
      <c r="G3391" s="10">
        <f t="shared" si="9"/>
        <v>41373.64583</v>
      </c>
      <c r="H3391" s="6" t="str">
        <f t="shared" si="6"/>
        <v/>
      </c>
      <c r="I3391" s="2">
        <f t="shared" si="7"/>
        <v>1426.89</v>
      </c>
      <c r="M3391" s="10">
        <f>IFERROR(__xludf.DUMMYFUNCTION("""COMPUTED_VALUE"""),42899.66666666667)</f>
        <v>42899.66667</v>
      </c>
      <c r="N3391" s="2">
        <f>IFERROR(__xludf.DUMMYFUNCTION("""COMPUTED_VALUE"""),6220.37)</f>
        <v>6220.37</v>
      </c>
    </row>
    <row r="3392">
      <c r="A3392" s="10">
        <f t="shared" si="8"/>
        <v>41374.66667</v>
      </c>
      <c r="B3392" s="2" t="str">
        <f t="shared" si="2"/>
        <v/>
      </c>
      <c r="C3392" s="2" t="str">
        <f t="shared" si="3"/>
        <v>SP500</v>
      </c>
      <c r="D3392" s="2">
        <f t="shared" si="4"/>
        <v>3297.25</v>
      </c>
      <c r="E3392" s="2">
        <f t="shared" si="5"/>
        <v>3297.25</v>
      </c>
      <c r="G3392" s="10">
        <f t="shared" si="9"/>
        <v>41374.64583</v>
      </c>
      <c r="H3392" s="6" t="str">
        <f t="shared" si="6"/>
        <v/>
      </c>
      <c r="I3392" s="2">
        <f t="shared" si="7"/>
        <v>1426.89</v>
      </c>
      <c r="M3392" s="10">
        <f>IFERROR(__xludf.DUMMYFUNCTION("""COMPUTED_VALUE"""),42900.66666666667)</f>
        <v>42900.66667</v>
      </c>
      <c r="N3392" s="2">
        <f>IFERROR(__xludf.DUMMYFUNCTION("""COMPUTED_VALUE"""),6194.89)</f>
        <v>6194.89</v>
      </c>
    </row>
    <row r="3393">
      <c r="A3393" s="10">
        <f t="shared" si="8"/>
        <v>41375.66667</v>
      </c>
      <c r="B3393" s="2" t="str">
        <f t="shared" si="2"/>
        <v/>
      </c>
      <c r="C3393" s="2" t="str">
        <f t="shared" si="3"/>
        <v>SP500</v>
      </c>
      <c r="D3393" s="2">
        <f t="shared" si="4"/>
        <v>3300.16</v>
      </c>
      <c r="E3393" s="2">
        <f t="shared" si="5"/>
        <v>3300.16</v>
      </c>
      <c r="G3393" s="10">
        <f t="shared" si="9"/>
        <v>41375.64583</v>
      </c>
      <c r="H3393" s="6" t="str">
        <f t="shared" si="6"/>
        <v/>
      </c>
      <c r="I3393" s="2">
        <f t="shared" si="7"/>
        <v>1426.89</v>
      </c>
      <c r="M3393" s="10">
        <f>IFERROR(__xludf.DUMMYFUNCTION("""COMPUTED_VALUE"""),42901.66666666667)</f>
        <v>42901.66667</v>
      </c>
      <c r="N3393" s="2">
        <f>IFERROR(__xludf.DUMMYFUNCTION("""COMPUTED_VALUE"""),6165.5)</f>
        <v>6165.5</v>
      </c>
    </row>
    <row r="3394">
      <c r="A3394" s="10">
        <f t="shared" si="8"/>
        <v>41376.66667</v>
      </c>
      <c r="B3394" s="2" t="str">
        <f t="shared" si="2"/>
        <v/>
      </c>
      <c r="C3394" s="2" t="str">
        <f t="shared" si="3"/>
        <v>SP500</v>
      </c>
      <c r="D3394" s="2">
        <f t="shared" si="4"/>
        <v>3294.95</v>
      </c>
      <c r="E3394" s="2">
        <f t="shared" si="5"/>
        <v>3294.95</v>
      </c>
      <c r="G3394" s="10">
        <f t="shared" si="9"/>
        <v>41376.64583</v>
      </c>
      <c r="H3394" s="6" t="str">
        <f t="shared" si="6"/>
        <v/>
      </c>
      <c r="I3394" s="2">
        <f t="shared" si="7"/>
        <v>1426.89</v>
      </c>
      <c r="M3394" s="10">
        <f>IFERROR(__xludf.DUMMYFUNCTION("""COMPUTED_VALUE"""),42902.66666666667)</f>
        <v>42902.66667</v>
      </c>
      <c r="N3394" s="2">
        <f>IFERROR(__xludf.DUMMYFUNCTION("""COMPUTED_VALUE"""),6151.76)</f>
        <v>6151.76</v>
      </c>
    </row>
    <row r="3395">
      <c r="A3395" s="10">
        <f t="shared" si="8"/>
        <v>41377.66667</v>
      </c>
      <c r="B3395" s="2" t="str">
        <f t="shared" si="2"/>
        <v/>
      </c>
      <c r="C3395" s="2" t="str">
        <f t="shared" si="3"/>
        <v>SP500</v>
      </c>
      <c r="D3395" s="2" t="str">
        <f t="shared" si="4"/>
        <v/>
      </c>
      <c r="E3395" s="2">
        <f t="shared" si="5"/>
        <v>3294.95</v>
      </c>
      <c r="G3395" s="10">
        <f t="shared" si="9"/>
        <v>41377.64583</v>
      </c>
      <c r="H3395" s="6" t="str">
        <f t="shared" si="6"/>
        <v/>
      </c>
      <c r="I3395" s="2">
        <f t="shared" si="7"/>
        <v>1426.89</v>
      </c>
      <c r="M3395" s="10">
        <f>IFERROR(__xludf.DUMMYFUNCTION("""COMPUTED_VALUE"""),42905.66666666667)</f>
        <v>42905.66667</v>
      </c>
      <c r="N3395" s="2">
        <f>IFERROR(__xludf.DUMMYFUNCTION("""COMPUTED_VALUE"""),6239.01)</f>
        <v>6239.01</v>
      </c>
    </row>
    <row r="3396">
      <c r="A3396" s="10">
        <f t="shared" si="8"/>
        <v>41378.66667</v>
      </c>
      <c r="B3396" s="2" t="str">
        <f t="shared" si="2"/>
        <v/>
      </c>
      <c r="C3396" s="2" t="str">
        <f t="shared" si="3"/>
        <v>SP500</v>
      </c>
      <c r="D3396" s="2" t="str">
        <f t="shared" si="4"/>
        <v/>
      </c>
      <c r="E3396" s="2">
        <f t="shared" si="5"/>
        <v>3294.95</v>
      </c>
      <c r="G3396" s="10">
        <f t="shared" si="9"/>
        <v>41378.64583</v>
      </c>
      <c r="H3396" s="6" t="str">
        <f t="shared" si="6"/>
        <v/>
      </c>
      <c r="I3396" s="2">
        <f t="shared" si="7"/>
        <v>1426.89</v>
      </c>
      <c r="M3396" s="10">
        <f>IFERROR(__xludf.DUMMYFUNCTION("""COMPUTED_VALUE"""),42906.66666666667)</f>
        <v>42906.66667</v>
      </c>
      <c r="N3396" s="2">
        <f>IFERROR(__xludf.DUMMYFUNCTION("""COMPUTED_VALUE"""),6188.03)</f>
        <v>6188.03</v>
      </c>
    </row>
    <row r="3397">
      <c r="A3397" s="10">
        <f t="shared" si="8"/>
        <v>41379.66667</v>
      </c>
      <c r="B3397" s="2" t="str">
        <f t="shared" si="2"/>
        <v/>
      </c>
      <c r="C3397" s="2" t="str">
        <f t="shared" si="3"/>
        <v>SP500</v>
      </c>
      <c r="D3397" s="2">
        <f t="shared" si="4"/>
        <v>3216.49</v>
      </c>
      <c r="E3397" s="2">
        <f t="shared" si="5"/>
        <v>3216.49</v>
      </c>
      <c r="G3397" s="10">
        <f t="shared" si="9"/>
        <v>41379.64583</v>
      </c>
      <c r="H3397" s="6" t="str">
        <f t="shared" si="6"/>
        <v/>
      </c>
      <c r="I3397" s="2">
        <f t="shared" si="7"/>
        <v>1426.89</v>
      </c>
      <c r="M3397" s="10">
        <f>IFERROR(__xludf.DUMMYFUNCTION("""COMPUTED_VALUE"""),42907.66666666667)</f>
        <v>42907.66667</v>
      </c>
      <c r="N3397" s="2">
        <f>IFERROR(__xludf.DUMMYFUNCTION("""COMPUTED_VALUE"""),6233.95)</f>
        <v>6233.95</v>
      </c>
    </row>
    <row r="3398">
      <c r="A3398" s="10">
        <f t="shared" si="8"/>
        <v>41380.66667</v>
      </c>
      <c r="B3398" s="2" t="str">
        <f t="shared" si="2"/>
        <v/>
      </c>
      <c r="C3398" s="2" t="str">
        <f t="shared" si="3"/>
        <v>SP500</v>
      </c>
      <c r="D3398" s="2">
        <f t="shared" si="4"/>
        <v>3264.63</v>
      </c>
      <c r="E3398" s="2">
        <f t="shared" si="5"/>
        <v>3264.63</v>
      </c>
      <c r="G3398" s="10">
        <f t="shared" si="9"/>
        <v>41380.64583</v>
      </c>
      <c r="H3398" s="6" t="str">
        <f t="shared" si="6"/>
        <v/>
      </c>
      <c r="I3398" s="2">
        <f t="shared" si="7"/>
        <v>1426.89</v>
      </c>
      <c r="M3398" s="10">
        <f>IFERROR(__xludf.DUMMYFUNCTION("""COMPUTED_VALUE"""),42908.66666666667)</f>
        <v>42908.66667</v>
      </c>
      <c r="N3398" s="2">
        <f>IFERROR(__xludf.DUMMYFUNCTION("""COMPUTED_VALUE"""),6236.69)</f>
        <v>6236.69</v>
      </c>
    </row>
    <row r="3399">
      <c r="A3399" s="10">
        <f t="shared" si="8"/>
        <v>41381.66667</v>
      </c>
      <c r="B3399" s="2" t="str">
        <f t="shared" si="2"/>
        <v/>
      </c>
      <c r="C3399" s="2" t="str">
        <f t="shared" si="3"/>
        <v>SP500</v>
      </c>
      <c r="D3399" s="2">
        <f t="shared" si="4"/>
        <v>3204.67</v>
      </c>
      <c r="E3399" s="2">
        <f t="shared" si="5"/>
        <v>3204.67</v>
      </c>
      <c r="G3399" s="10">
        <f t="shared" si="9"/>
        <v>41381.64583</v>
      </c>
      <c r="H3399" s="6" t="str">
        <f t="shared" si="6"/>
        <v/>
      </c>
      <c r="I3399" s="2">
        <f t="shared" si="7"/>
        <v>1426.89</v>
      </c>
      <c r="M3399" s="10">
        <f>IFERROR(__xludf.DUMMYFUNCTION("""COMPUTED_VALUE"""),42909.66666666667)</f>
        <v>42909.66667</v>
      </c>
      <c r="N3399" s="2">
        <f>IFERROR(__xludf.DUMMYFUNCTION("""COMPUTED_VALUE"""),6265.25)</f>
        <v>6265.25</v>
      </c>
    </row>
    <row r="3400">
      <c r="A3400" s="10">
        <f t="shared" si="8"/>
        <v>41382.66667</v>
      </c>
      <c r="B3400" s="2" t="str">
        <f t="shared" si="2"/>
        <v/>
      </c>
      <c r="C3400" s="2" t="str">
        <f t="shared" si="3"/>
        <v>SP500</v>
      </c>
      <c r="D3400" s="2">
        <f t="shared" si="4"/>
        <v>3166.36</v>
      </c>
      <c r="E3400" s="2">
        <f t="shared" si="5"/>
        <v>3166.36</v>
      </c>
      <c r="G3400" s="10">
        <f t="shared" si="9"/>
        <v>41382.64583</v>
      </c>
      <c r="H3400" s="6" t="str">
        <f t="shared" si="6"/>
        <v/>
      </c>
      <c r="I3400" s="2">
        <f t="shared" si="7"/>
        <v>1426.89</v>
      </c>
      <c r="M3400" s="10">
        <f>IFERROR(__xludf.DUMMYFUNCTION("""COMPUTED_VALUE"""),42912.66666666667)</f>
        <v>42912.66667</v>
      </c>
      <c r="N3400" s="2">
        <f>IFERROR(__xludf.DUMMYFUNCTION("""COMPUTED_VALUE"""),6247.15)</f>
        <v>6247.15</v>
      </c>
    </row>
    <row r="3401">
      <c r="A3401" s="10">
        <f t="shared" si="8"/>
        <v>41383.66667</v>
      </c>
      <c r="B3401" s="2" t="str">
        <f t="shared" si="2"/>
        <v/>
      </c>
      <c r="C3401" s="2" t="str">
        <f t="shared" si="3"/>
        <v>SP500</v>
      </c>
      <c r="D3401" s="2">
        <f t="shared" si="4"/>
        <v>3206.06</v>
      </c>
      <c r="E3401" s="2">
        <f t="shared" si="5"/>
        <v>3206.06</v>
      </c>
      <c r="G3401" s="10">
        <f t="shared" si="9"/>
        <v>41383.64583</v>
      </c>
      <c r="H3401" s="6" t="str">
        <f t="shared" si="6"/>
        <v/>
      </c>
      <c r="I3401" s="2">
        <f t="shared" si="7"/>
        <v>1426.89</v>
      </c>
      <c r="M3401" s="10">
        <f>IFERROR(__xludf.DUMMYFUNCTION("""COMPUTED_VALUE"""),42913.66666666667)</f>
        <v>42913.66667</v>
      </c>
      <c r="N3401" s="2">
        <f>IFERROR(__xludf.DUMMYFUNCTION("""COMPUTED_VALUE"""),6146.62)</f>
        <v>6146.62</v>
      </c>
    </row>
    <row r="3402">
      <c r="A3402" s="10">
        <f t="shared" si="8"/>
        <v>41384.66667</v>
      </c>
      <c r="B3402" s="2" t="str">
        <f t="shared" si="2"/>
        <v/>
      </c>
      <c r="C3402" s="2" t="str">
        <f t="shared" si="3"/>
        <v>SP500</v>
      </c>
      <c r="D3402" s="2" t="str">
        <f t="shared" si="4"/>
        <v/>
      </c>
      <c r="E3402" s="2">
        <f t="shared" si="5"/>
        <v>3206.06</v>
      </c>
      <c r="G3402" s="10">
        <f t="shared" si="9"/>
        <v>41384.64583</v>
      </c>
      <c r="H3402" s="6" t="str">
        <f t="shared" si="6"/>
        <v/>
      </c>
      <c r="I3402" s="2">
        <f t="shared" si="7"/>
        <v>1426.89</v>
      </c>
      <c r="M3402" s="10">
        <f>IFERROR(__xludf.DUMMYFUNCTION("""COMPUTED_VALUE"""),42914.66666666667)</f>
        <v>42914.66667</v>
      </c>
      <c r="N3402" s="2">
        <f>IFERROR(__xludf.DUMMYFUNCTION("""COMPUTED_VALUE"""),6234.41)</f>
        <v>6234.41</v>
      </c>
    </row>
    <row r="3403">
      <c r="A3403" s="10">
        <f t="shared" si="8"/>
        <v>41385.66667</v>
      </c>
      <c r="B3403" s="2" t="str">
        <f t="shared" si="2"/>
        <v/>
      </c>
      <c r="C3403" s="2" t="str">
        <f t="shared" si="3"/>
        <v>SP500</v>
      </c>
      <c r="D3403" s="2" t="str">
        <f t="shared" si="4"/>
        <v/>
      </c>
      <c r="E3403" s="2">
        <f t="shared" si="5"/>
        <v>3206.06</v>
      </c>
      <c r="G3403" s="10">
        <f t="shared" si="9"/>
        <v>41385.64583</v>
      </c>
      <c r="H3403" s="6" t="str">
        <f t="shared" si="6"/>
        <v/>
      </c>
      <c r="I3403" s="2">
        <f t="shared" si="7"/>
        <v>1426.89</v>
      </c>
      <c r="M3403" s="10">
        <f>IFERROR(__xludf.DUMMYFUNCTION("""COMPUTED_VALUE"""),42915.66666666667)</f>
        <v>42915.66667</v>
      </c>
      <c r="N3403" s="2">
        <f>IFERROR(__xludf.DUMMYFUNCTION("""COMPUTED_VALUE"""),6144.35)</f>
        <v>6144.35</v>
      </c>
    </row>
    <row r="3404">
      <c r="A3404" s="10">
        <f t="shared" si="8"/>
        <v>41386.66667</v>
      </c>
      <c r="B3404" s="2" t="str">
        <f t="shared" si="2"/>
        <v/>
      </c>
      <c r="C3404" s="2" t="str">
        <f t="shared" si="3"/>
        <v>SP500</v>
      </c>
      <c r="D3404" s="2">
        <f t="shared" si="4"/>
        <v>3233.55</v>
      </c>
      <c r="E3404" s="2">
        <f t="shared" si="5"/>
        <v>3233.55</v>
      </c>
      <c r="G3404" s="10">
        <f t="shared" si="9"/>
        <v>41386.64583</v>
      </c>
      <c r="H3404" s="6" t="str">
        <f t="shared" si="6"/>
        <v/>
      </c>
      <c r="I3404" s="2">
        <f t="shared" si="7"/>
        <v>1426.89</v>
      </c>
      <c r="M3404" s="10">
        <f>IFERROR(__xludf.DUMMYFUNCTION("""COMPUTED_VALUE"""),42916.66666666667)</f>
        <v>42916.66667</v>
      </c>
      <c r="N3404" s="2">
        <f>IFERROR(__xludf.DUMMYFUNCTION("""COMPUTED_VALUE"""),6140.42)</f>
        <v>6140.42</v>
      </c>
    </row>
    <row r="3405">
      <c r="A3405" s="10">
        <f t="shared" si="8"/>
        <v>41387.66667</v>
      </c>
      <c r="B3405" s="2" t="str">
        <f t="shared" si="2"/>
        <v/>
      </c>
      <c r="C3405" s="2" t="str">
        <f t="shared" si="3"/>
        <v>SP500</v>
      </c>
      <c r="D3405" s="2">
        <f t="shared" si="4"/>
        <v>3269.33</v>
      </c>
      <c r="E3405" s="2">
        <f t="shared" si="5"/>
        <v>3269.33</v>
      </c>
      <c r="G3405" s="10">
        <f t="shared" si="9"/>
        <v>41387.64583</v>
      </c>
      <c r="H3405" s="6" t="str">
        <f t="shared" si="6"/>
        <v/>
      </c>
      <c r="I3405" s="2">
        <f t="shared" si="7"/>
        <v>1426.89</v>
      </c>
      <c r="M3405" s="10">
        <f>IFERROR(__xludf.DUMMYFUNCTION("""COMPUTED_VALUE"""),42919.66666666667)</f>
        <v>42919.66667</v>
      </c>
      <c r="N3405" s="2">
        <f>IFERROR(__xludf.DUMMYFUNCTION("""COMPUTED_VALUE"""),6110.06)</f>
        <v>6110.06</v>
      </c>
    </row>
    <row r="3406">
      <c r="A3406" s="10">
        <f t="shared" si="8"/>
        <v>41388.66667</v>
      </c>
      <c r="B3406" s="2" t="str">
        <f t="shared" si="2"/>
        <v/>
      </c>
      <c r="C3406" s="2" t="str">
        <f t="shared" si="3"/>
        <v>SP500</v>
      </c>
      <c r="D3406" s="2">
        <f t="shared" si="4"/>
        <v>3269.65</v>
      </c>
      <c r="E3406" s="2">
        <f t="shared" si="5"/>
        <v>3269.65</v>
      </c>
      <c r="G3406" s="10">
        <f t="shared" si="9"/>
        <v>41388.64583</v>
      </c>
      <c r="H3406" s="6" t="str">
        <f t="shared" si="6"/>
        <v/>
      </c>
      <c r="I3406" s="2">
        <f t="shared" si="7"/>
        <v>1426.89</v>
      </c>
      <c r="M3406" s="10">
        <f>IFERROR(__xludf.DUMMYFUNCTION("""COMPUTED_VALUE"""),42921.66666666667)</f>
        <v>42921.66667</v>
      </c>
      <c r="N3406" s="2">
        <f>IFERROR(__xludf.DUMMYFUNCTION("""COMPUTED_VALUE"""),6150.86)</f>
        <v>6150.86</v>
      </c>
    </row>
    <row r="3407">
      <c r="A3407" s="10">
        <f t="shared" si="8"/>
        <v>41389.66667</v>
      </c>
      <c r="B3407" s="2" t="str">
        <f t="shared" si="2"/>
        <v/>
      </c>
      <c r="C3407" s="2" t="str">
        <f t="shared" si="3"/>
        <v>SP500</v>
      </c>
      <c r="D3407" s="2">
        <f t="shared" si="4"/>
        <v>3289.99</v>
      </c>
      <c r="E3407" s="2">
        <f t="shared" si="5"/>
        <v>3289.99</v>
      </c>
      <c r="G3407" s="10">
        <f t="shared" si="9"/>
        <v>41389.64583</v>
      </c>
      <c r="H3407" s="6" t="str">
        <f t="shared" si="6"/>
        <v/>
      </c>
      <c r="I3407" s="2">
        <f t="shared" si="7"/>
        <v>1426.89</v>
      </c>
      <c r="M3407" s="10">
        <f>IFERROR(__xludf.DUMMYFUNCTION("""COMPUTED_VALUE"""),42922.66666666667)</f>
        <v>42922.66667</v>
      </c>
      <c r="N3407" s="2">
        <f>IFERROR(__xludf.DUMMYFUNCTION("""COMPUTED_VALUE"""),6089.46)</f>
        <v>6089.46</v>
      </c>
    </row>
    <row r="3408">
      <c r="A3408" s="10">
        <f t="shared" si="8"/>
        <v>41390.66667</v>
      </c>
      <c r="B3408" s="2" t="str">
        <f t="shared" si="2"/>
        <v/>
      </c>
      <c r="C3408" s="2" t="str">
        <f t="shared" si="3"/>
        <v>SP500</v>
      </c>
      <c r="D3408" s="2">
        <f t="shared" si="4"/>
        <v>3279.26</v>
      </c>
      <c r="E3408" s="2">
        <f t="shared" si="5"/>
        <v>3279.26</v>
      </c>
      <c r="G3408" s="10">
        <f t="shared" si="9"/>
        <v>41390.64583</v>
      </c>
      <c r="H3408" s="6" t="str">
        <f t="shared" si="6"/>
        <v/>
      </c>
      <c r="I3408" s="2">
        <f t="shared" si="7"/>
        <v>1426.89</v>
      </c>
      <c r="M3408" s="10">
        <f>IFERROR(__xludf.DUMMYFUNCTION("""COMPUTED_VALUE"""),42923.66666666667)</f>
        <v>42923.66667</v>
      </c>
      <c r="N3408" s="2">
        <f>IFERROR(__xludf.DUMMYFUNCTION("""COMPUTED_VALUE"""),6153.08)</f>
        <v>6153.08</v>
      </c>
    </row>
    <row r="3409">
      <c r="A3409" s="10">
        <f t="shared" si="8"/>
        <v>41391.66667</v>
      </c>
      <c r="B3409" s="2" t="str">
        <f t="shared" si="2"/>
        <v/>
      </c>
      <c r="C3409" s="2" t="str">
        <f t="shared" si="3"/>
        <v>SP500</v>
      </c>
      <c r="D3409" s="2" t="str">
        <f t="shared" si="4"/>
        <v/>
      </c>
      <c r="E3409" s="2">
        <f t="shared" si="5"/>
        <v>3279.26</v>
      </c>
      <c r="G3409" s="10">
        <f t="shared" si="9"/>
        <v>41391.64583</v>
      </c>
      <c r="H3409" s="6" t="str">
        <f t="shared" si="6"/>
        <v/>
      </c>
      <c r="I3409" s="2">
        <f t="shared" si="7"/>
        <v>1426.89</v>
      </c>
      <c r="M3409" s="10">
        <f>IFERROR(__xludf.DUMMYFUNCTION("""COMPUTED_VALUE"""),42926.66666666667)</f>
        <v>42926.66667</v>
      </c>
      <c r="N3409" s="2">
        <f>IFERROR(__xludf.DUMMYFUNCTION("""COMPUTED_VALUE"""),6176.39)</f>
        <v>6176.39</v>
      </c>
    </row>
    <row r="3410">
      <c r="A3410" s="10">
        <f t="shared" si="8"/>
        <v>41392.66667</v>
      </c>
      <c r="B3410" s="2" t="str">
        <f t="shared" si="2"/>
        <v/>
      </c>
      <c r="C3410" s="2" t="str">
        <f t="shared" si="3"/>
        <v>SP500</v>
      </c>
      <c r="D3410" s="2" t="str">
        <f t="shared" si="4"/>
        <v/>
      </c>
      <c r="E3410" s="2">
        <f t="shared" si="5"/>
        <v>3279.26</v>
      </c>
      <c r="G3410" s="10">
        <f t="shared" si="9"/>
        <v>41392.64583</v>
      </c>
      <c r="H3410" s="6" t="str">
        <f t="shared" si="6"/>
        <v/>
      </c>
      <c r="I3410" s="2">
        <f t="shared" si="7"/>
        <v>1426.89</v>
      </c>
      <c r="M3410" s="10">
        <f>IFERROR(__xludf.DUMMYFUNCTION("""COMPUTED_VALUE"""),42927.66666666667)</f>
        <v>42927.66667</v>
      </c>
      <c r="N3410" s="2">
        <f>IFERROR(__xludf.DUMMYFUNCTION("""COMPUTED_VALUE"""),6193.3)</f>
        <v>6193.3</v>
      </c>
    </row>
    <row r="3411">
      <c r="A3411" s="10">
        <f t="shared" si="8"/>
        <v>41393.66667</v>
      </c>
      <c r="B3411" s="2" t="str">
        <f t="shared" si="2"/>
        <v/>
      </c>
      <c r="C3411" s="2" t="str">
        <f t="shared" si="3"/>
        <v>SP500</v>
      </c>
      <c r="D3411" s="2">
        <f t="shared" si="4"/>
        <v>3307.02</v>
      </c>
      <c r="E3411" s="2">
        <f t="shared" si="5"/>
        <v>3307.02</v>
      </c>
      <c r="G3411" s="10">
        <f t="shared" si="9"/>
        <v>41393.64583</v>
      </c>
      <c r="H3411" s="6" t="str">
        <f t="shared" si="6"/>
        <v/>
      </c>
      <c r="I3411" s="2">
        <f t="shared" si="7"/>
        <v>1426.89</v>
      </c>
      <c r="M3411" s="10">
        <f>IFERROR(__xludf.DUMMYFUNCTION("""COMPUTED_VALUE"""),42928.66666666667)</f>
        <v>42928.66667</v>
      </c>
      <c r="N3411" s="2">
        <f>IFERROR(__xludf.DUMMYFUNCTION("""COMPUTED_VALUE"""),6261.17)</f>
        <v>6261.17</v>
      </c>
    </row>
    <row r="3412">
      <c r="A3412" s="10">
        <f t="shared" si="8"/>
        <v>41394.66667</v>
      </c>
      <c r="B3412" s="2" t="str">
        <f t="shared" si="2"/>
        <v/>
      </c>
      <c r="C3412" s="2" t="str">
        <f t="shared" si="3"/>
        <v>SP500</v>
      </c>
      <c r="D3412" s="2">
        <f t="shared" si="4"/>
        <v>3328.79</v>
      </c>
      <c r="E3412" s="2">
        <f t="shared" si="5"/>
        <v>3328.79</v>
      </c>
      <c r="G3412" s="10">
        <f t="shared" si="9"/>
        <v>41394.64583</v>
      </c>
      <c r="H3412" s="6" t="str">
        <f t="shared" si="6"/>
        <v/>
      </c>
      <c r="I3412" s="2">
        <f t="shared" si="7"/>
        <v>1426.89</v>
      </c>
      <c r="M3412" s="10">
        <f>IFERROR(__xludf.DUMMYFUNCTION("""COMPUTED_VALUE"""),42929.66666666667)</f>
        <v>42929.66667</v>
      </c>
      <c r="N3412" s="2">
        <f>IFERROR(__xludf.DUMMYFUNCTION("""COMPUTED_VALUE"""),6274.44)</f>
        <v>6274.44</v>
      </c>
    </row>
    <row r="3413">
      <c r="A3413" s="10">
        <f t="shared" si="8"/>
        <v>41395.66667</v>
      </c>
      <c r="B3413" s="2" t="str">
        <f t="shared" si="2"/>
        <v/>
      </c>
      <c r="C3413" s="2" t="str">
        <f t="shared" si="3"/>
        <v>SP500</v>
      </c>
      <c r="D3413" s="2">
        <f t="shared" si="4"/>
        <v>3299.13</v>
      </c>
      <c r="E3413" s="2">
        <f t="shared" si="5"/>
        <v>3299.13</v>
      </c>
      <c r="G3413" s="10">
        <f t="shared" si="9"/>
        <v>41395.64583</v>
      </c>
      <c r="H3413" s="6" t="str">
        <f t="shared" si="6"/>
        <v/>
      </c>
      <c r="I3413" s="2">
        <f t="shared" si="7"/>
        <v>1426.89</v>
      </c>
      <c r="M3413" s="10">
        <f>IFERROR(__xludf.DUMMYFUNCTION("""COMPUTED_VALUE"""),42930.66666666667)</f>
        <v>42930.66667</v>
      </c>
      <c r="N3413" s="2">
        <f>IFERROR(__xludf.DUMMYFUNCTION("""COMPUTED_VALUE"""),6312.47)</f>
        <v>6312.47</v>
      </c>
    </row>
    <row r="3414">
      <c r="A3414" s="10">
        <f t="shared" si="8"/>
        <v>41396.66667</v>
      </c>
      <c r="B3414" s="2" t="str">
        <f t="shared" si="2"/>
        <v/>
      </c>
      <c r="C3414" s="2" t="str">
        <f t="shared" si="3"/>
        <v>SP500</v>
      </c>
      <c r="D3414" s="2">
        <f t="shared" si="4"/>
        <v>3340.62</v>
      </c>
      <c r="E3414" s="2">
        <f t="shared" si="5"/>
        <v>3340.62</v>
      </c>
      <c r="G3414" s="10">
        <f t="shared" si="9"/>
        <v>41396.64583</v>
      </c>
      <c r="H3414" s="6" t="str">
        <f t="shared" si="6"/>
        <v/>
      </c>
      <c r="I3414" s="2">
        <f t="shared" si="7"/>
        <v>1426.89</v>
      </c>
      <c r="M3414" s="10">
        <f>IFERROR(__xludf.DUMMYFUNCTION("""COMPUTED_VALUE"""),42933.66666666667)</f>
        <v>42933.66667</v>
      </c>
      <c r="N3414" s="2">
        <f>IFERROR(__xludf.DUMMYFUNCTION("""COMPUTED_VALUE"""),6314.43)</f>
        <v>6314.43</v>
      </c>
    </row>
    <row r="3415">
      <c r="A3415" s="10">
        <f t="shared" si="8"/>
        <v>41397.66667</v>
      </c>
      <c r="B3415" s="2" t="str">
        <f t="shared" si="2"/>
        <v/>
      </c>
      <c r="C3415" s="2" t="str">
        <f t="shared" si="3"/>
        <v>SP500</v>
      </c>
      <c r="D3415" s="2">
        <f t="shared" si="4"/>
        <v>3378.63</v>
      </c>
      <c r="E3415" s="2">
        <f t="shared" si="5"/>
        <v>3378.63</v>
      </c>
      <c r="G3415" s="10">
        <f t="shared" si="9"/>
        <v>41397.64583</v>
      </c>
      <c r="H3415" s="6" t="str">
        <f t="shared" si="6"/>
        <v/>
      </c>
      <c r="I3415" s="2">
        <f t="shared" si="7"/>
        <v>1426.89</v>
      </c>
      <c r="M3415" s="10">
        <f>IFERROR(__xludf.DUMMYFUNCTION("""COMPUTED_VALUE"""),42934.66666666667)</f>
        <v>42934.66667</v>
      </c>
      <c r="N3415" s="2">
        <f>IFERROR(__xludf.DUMMYFUNCTION("""COMPUTED_VALUE"""),6344.31)</f>
        <v>6344.31</v>
      </c>
    </row>
    <row r="3416">
      <c r="A3416" s="10">
        <f t="shared" si="8"/>
        <v>41398.66667</v>
      </c>
      <c r="B3416" s="2" t="str">
        <f t="shared" si="2"/>
        <v/>
      </c>
      <c r="C3416" s="2" t="str">
        <f t="shared" si="3"/>
        <v>SP500</v>
      </c>
      <c r="D3416" s="2" t="str">
        <f t="shared" si="4"/>
        <v/>
      </c>
      <c r="E3416" s="2">
        <f t="shared" si="5"/>
        <v>3378.63</v>
      </c>
      <c r="G3416" s="10">
        <f t="shared" si="9"/>
        <v>41398.64583</v>
      </c>
      <c r="H3416" s="6" t="str">
        <f t="shared" si="6"/>
        <v/>
      </c>
      <c r="I3416" s="2">
        <f t="shared" si="7"/>
        <v>1426.89</v>
      </c>
      <c r="M3416" s="10">
        <f>IFERROR(__xludf.DUMMYFUNCTION("""COMPUTED_VALUE"""),42935.66666666667)</f>
        <v>42935.66667</v>
      </c>
      <c r="N3416" s="2">
        <f>IFERROR(__xludf.DUMMYFUNCTION("""COMPUTED_VALUE"""),6385.04)</f>
        <v>6385.04</v>
      </c>
    </row>
    <row r="3417">
      <c r="A3417" s="10">
        <f t="shared" si="8"/>
        <v>41399.66667</v>
      </c>
      <c r="B3417" s="2" t="str">
        <f t="shared" si="2"/>
        <v/>
      </c>
      <c r="C3417" s="2" t="str">
        <f t="shared" si="3"/>
        <v>SP500</v>
      </c>
      <c r="D3417" s="2" t="str">
        <f t="shared" si="4"/>
        <v/>
      </c>
      <c r="E3417" s="2">
        <f t="shared" si="5"/>
        <v>3378.63</v>
      </c>
      <c r="G3417" s="10">
        <f t="shared" si="9"/>
        <v>41399.64583</v>
      </c>
      <c r="H3417" s="6" t="str">
        <f t="shared" si="6"/>
        <v/>
      </c>
      <c r="I3417" s="2">
        <f t="shared" si="7"/>
        <v>1426.89</v>
      </c>
      <c r="M3417" s="10">
        <f>IFERROR(__xludf.DUMMYFUNCTION("""COMPUTED_VALUE"""),42936.66666666667)</f>
        <v>42936.66667</v>
      </c>
      <c r="N3417" s="2">
        <f>IFERROR(__xludf.DUMMYFUNCTION("""COMPUTED_VALUE"""),6390.0)</f>
        <v>6390</v>
      </c>
    </row>
    <row r="3418">
      <c r="A3418" s="10">
        <f t="shared" si="8"/>
        <v>41400.66667</v>
      </c>
      <c r="B3418" s="2" t="str">
        <f t="shared" si="2"/>
        <v/>
      </c>
      <c r="C3418" s="2" t="str">
        <f t="shared" si="3"/>
        <v>SP500</v>
      </c>
      <c r="D3418" s="2">
        <f t="shared" si="4"/>
        <v>3392.97</v>
      </c>
      <c r="E3418" s="2">
        <f t="shared" si="5"/>
        <v>3392.97</v>
      </c>
      <c r="G3418" s="10">
        <f t="shared" si="9"/>
        <v>41400.64583</v>
      </c>
      <c r="H3418" s="6" t="str">
        <f t="shared" si="6"/>
        <v/>
      </c>
      <c r="I3418" s="2">
        <f t="shared" si="7"/>
        <v>1426.89</v>
      </c>
      <c r="M3418" s="10">
        <f>IFERROR(__xludf.DUMMYFUNCTION("""COMPUTED_VALUE"""),42937.66666666667)</f>
        <v>42937.66667</v>
      </c>
      <c r="N3418" s="2">
        <f>IFERROR(__xludf.DUMMYFUNCTION("""COMPUTED_VALUE"""),6387.75)</f>
        <v>6387.75</v>
      </c>
    </row>
    <row r="3419">
      <c r="A3419" s="10">
        <f t="shared" si="8"/>
        <v>41401.66667</v>
      </c>
      <c r="B3419" s="2" t="str">
        <f t="shared" si="2"/>
        <v/>
      </c>
      <c r="C3419" s="2" t="str">
        <f t="shared" si="3"/>
        <v>SP500</v>
      </c>
      <c r="D3419" s="2">
        <f t="shared" si="4"/>
        <v>3396.63</v>
      </c>
      <c r="E3419" s="2">
        <f t="shared" si="5"/>
        <v>3396.63</v>
      </c>
      <c r="G3419" s="10">
        <f t="shared" si="9"/>
        <v>41401.64583</v>
      </c>
      <c r="H3419" s="6" t="str">
        <f t="shared" si="6"/>
        <v/>
      </c>
      <c r="I3419" s="2">
        <f t="shared" si="7"/>
        <v>1426.89</v>
      </c>
      <c r="M3419" s="10">
        <f>IFERROR(__xludf.DUMMYFUNCTION("""COMPUTED_VALUE"""),42940.66666666667)</f>
        <v>42940.66667</v>
      </c>
      <c r="N3419" s="2">
        <f>IFERROR(__xludf.DUMMYFUNCTION("""COMPUTED_VALUE"""),6410.81)</f>
        <v>6410.81</v>
      </c>
    </row>
    <row r="3420">
      <c r="A3420" s="10">
        <f t="shared" si="8"/>
        <v>41402.66667</v>
      </c>
      <c r="B3420" s="2" t="str">
        <f t="shared" si="2"/>
        <v/>
      </c>
      <c r="C3420" s="2" t="str">
        <f t="shared" si="3"/>
        <v>SP500</v>
      </c>
      <c r="D3420" s="2">
        <f t="shared" si="4"/>
        <v>3413.27</v>
      </c>
      <c r="E3420" s="2">
        <f t="shared" si="5"/>
        <v>3413.27</v>
      </c>
      <c r="G3420" s="10">
        <f t="shared" si="9"/>
        <v>41402.64583</v>
      </c>
      <c r="H3420" s="6" t="str">
        <f t="shared" si="6"/>
        <v/>
      </c>
      <c r="I3420" s="2">
        <f t="shared" si="7"/>
        <v>1426.89</v>
      </c>
      <c r="M3420" s="10">
        <f>IFERROR(__xludf.DUMMYFUNCTION("""COMPUTED_VALUE"""),42941.66666666667)</f>
        <v>42941.66667</v>
      </c>
      <c r="N3420" s="2">
        <f>IFERROR(__xludf.DUMMYFUNCTION("""COMPUTED_VALUE"""),6412.17)</f>
        <v>6412.17</v>
      </c>
    </row>
    <row r="3421">
      <c r="A3421" s="10">
        <f t="shared" si="8"/>
        <v>41403.66667</v>
      </c>
      <c r="B3421" s="2" t="str">
        <f t="shared" si="2"/>
        <v/>
      </c>
      <c r="C3421" s="2" t="str">
        <f t="shared" si="3"/>
        <v>SP500</v>
      </c>
      <c r="D3421" s="2">
        <f t="shared" si="4"/>
        <v>3409.17</v>
      </c>
      <c r="E3421" s="2">
        <f t="shared" si="5"/>
        <v>3409.17</v>
      </c>
      <c r="G3421" s="10">
        <f t="shared" si="9"/>
        <v>41403.64583</v>
      </c>
      <c r="H3421" s="6" t="str">
        <f t="shared" si="6"/>
        <v/>
      </c>
      <c r="I3421" s="2">
        <f t="shared" si="7"/>
        <v>1426.89</v>
      </c>
      <c r="M3421" s="10">
        <f>IFERROR(__xludf.DUMMYFUNCTION("""COMPUTED_VALUE"""),42942.66666666667)</f>
        <v>42942.66667</v>
      </c>
      <c r="N3421" s="2">
        <f>IFERROR(__xludf.DUMMYFUNCTION("""COMPUTED_VALUE"""),6422.75)</f>
        <v>6422.75</v>
      </c>
    </row>
    <row r="3422">
      <c r="A3422" s="10">
        <f t="shared" si="8"/>
        <v>41404.66667</v>
      </c>
      <c r="B3422" s="2" t="str">
        <f t="shared" si="2"/>
        <v/>
      </c>
      <c r="C3422" s="2" t="str">
        <f t="shared" si="3"/>
        <v>SP500</v>
      </c>
      <c r="D3422" s="2">
        <f t="shared" si="4"/>
        <v>3436.58</v>
      </c>
      <c r="E3422" s="2">
        <f t="shared" si="5"/>
        <v>3436.58</v>
      </c>
      <c r="G3422" s="10">
        <f t="shared" si="9"/>
        <v>41404.64583</v>
      </c>
      <c r="H3422" s="6" t="str">
        <f t="shared" si="6"/>
        <v/>
      </c>
      <c r="I3422" s="2">
        <f t="shared" si="7"/>
        <v>1426.89</v>
      </c>
      <c r="M3422" s="10">
        <f>IFERROR(__xludf.DUMMYFUNCTION("""COMPUTED_VALUE"""),42943.66666666667)</f>
        <v>42943.66667</v>
      </c>
      <c r="N3422" s="2">
        <f>IFERROR(__xludf.DUMMYFUNCTION("""COMPUTED_VALUE"""),6382.19)</f>
        <v>6382.19</v>
      </c>
    </row>
    <row r="3423">
      <c r="A3423" s="10">
        <f t="shared" si="8"/>
        <v>41405.66667</v>
      </c>
      <c r="B3423" s="2" t="str">
        <f t="shared" si="2"/>
        <v/>
      </c>
      <c r="C3423" s="2" t="str">
        <f t="shared" si="3"/>
        <v>SP500</v>
      </c>
      <c r="D3423" s="2" t="str">
        <f t="shared" si="4"/>
        <v/>
      </c>
      <c r="E3423" s="2">
        <f t="shared" si="5"/>
        <v>3436.58</v>
      </c>
      <c r="G3423" s="10">
        <f t="shared" si="9"/>
        <v>41405.64583</v>
      </c>
      <c r="H3423" s="6" t="str">
        <f t="shared" si="6"/>
        <v/>
      </c>
      <c r="I3423" s="2">
        <f t="shared" si="7"/>
        <v>1426.89</v>
      </c>
      <c r="M3423" s="10">
        <f>IFERROR(__xludf.DUMMYFUNCTION("""COMPUTED_VALUE"""),42944.66666666667)</f>
        <v>42944.66667</v>
      </c>
      <c r="N3423" s="2">
        <f>IFERROR(__xludf.DUMMYFUNCTION("""COMPUTED_VALUE"""),6374.68)</f>
        <v>6374.68</v>
      </c>
    </row>
    <row r="3424">
      <c r="A3424" s="10">
        <f t="shared" si="8"/>
        <v>41406.66667</v>
      </c>
      <c r="B3424" s="2" t="str">
        <f t="shared" si="2"/>
        <v/>
      </c>
      <c r="C3424" s="2" t="str">
        <f t="shared" si="3"/>
        <v>SP500</v>
      </c>
      <c r="D3424" s="2" t="str">
        <f t="shared" si="4"/>
        <v/>
      </c>
      <c r="E3424" s="2">
        <f t="shared" si="5"/>
        <v>3436.58</v>
      </c>
      <c r="G3424" s="10">
        <f t="shared" si="9"/>
        <v>41406.64583</v>
      </c>
      <c r="H3424" s="6" t="str">
        <f t="shared" si="6"/>
        <v/>
      </c>
      <c r="I3424" s="2">
        <f t="shared" si="7"/>
        <v>1426.89</v>
      </c>
      <c r="M3424" s="10">
        <f>IFERROR(__xludf.DUMMYFUNCTION("""COMPUTED_VALUE"""),42947.66666666667)</f>
        <v>42947.66667</v>
      </c>
      <c r="N3424" s="2">
        <f>IFERROR(__xludf.DUMMYFUNCTION("""COMPUTED_VALUE"""),6348.12)</f>
        <v>6348.12</v>
      </c>
    </row>
    <row r="3425">
      <c r="A3425" s="10">
        <f t="shared" si="8"/>
        <v>41407.66667</v>
      </c>
      <c r="B3425" s="2" t="str">
        <f t="shared" si="2"/>
        <v/>
      </c>
      <c r="C3425" s="2" t="str">
        <f t="shared" si="3"/>
        <v>SP500</v>
      </c>
      <c r="D3425" s="2">
        <f t="shared" si="4"/>
        <v>3438.79</v>
      </c>
      <c r="E3425" s="2">
        <f t="shared" si="5"/>
        <v>3438.79</v>
      </c>
      <c r="G3425" s="10">
        <f t="shared" si="9"/>
        <v>41407.64583</v>
      </c>
      <c r="H3425" s="6" t="str">
        <f t="shared" si="6"/>
        <v/>
      </c>
      <c r="I3425" s="2">
        <f t="shared" si="7"/>
        <v>1426.89</v>
      </c>
      <c r="M3425" s="10">
        <f>IFERROR(__xludf.DUMMYFUNCTION("""COMPUTED_VALUE"""),42948.66666666667)</f>
        <v>42948.66667</v>
      </c>
      <c r="N3425" s="2">
        <f>IFERROR(__xludf.DUMMYFUNCTION("""COMPUTED_VALUE"""),6362.94)</f>
        <v>6362.94</v>
      </c>
    </row>
    <row r="3426">
      <c r="A3426" s="10">
        <f t="shared" si="8"/>
        <v>41408.66667</v>
      </c>
      <c r="B3426" s="2" t="str">
        <f t="shared" si="2"/>
        <v/>
      </c>
      <c r="C3426" s="2" t="str">
        <f t="shared" si="3"/>
        <v>SP500</v>
      </c>
      <c r="D3426" s="2">
        <f t="shared" si="4"/>
        <v>3462.61</v>
      </c>
      <c r="E3426" s="2">
        <f t="shared" si="5"/>
        <v>3462.61</v>
      </c>
      <c r="G3426" s="10">
        <f t="shared" si="9"/>
        <v>41408.64583</v>
      </c>
      <c r="H3426" s="6" t="str">
        <f t="shared" si="6"/>
        <v/>
      </c>
      <c r="I3426" s="2">
        <f t="shared" si="7"/>
        <v>1426.89</v>
      </c>
      <c r="M3426" s="10">
        <f>IFERROR(__xludf.DUMMYFUNCTION("""COMPUTED_VALUE"""),42949.66666666667)</f>
        <v>42949.66667</v>
      </c>
      <c r="N3426" s="2">
        <f>IFERROR(__xludf.DUMMYFUNCTION("""COMPUTED_VALUE"""),6362.65)</f>
        <v>6362.65</v>
      </c>
    </row>
    <row r="3427">
      <c r="A3427" s="10">
        <f t="shared" si="8"/>
        <v>41409.66667</v>
      </c>
      <c r="B3427" s="2" t="str">
        <f t="shared" si="2"/>
        <v/>
      </c>
      <c r="C3427" s="2" t="str">
        <f t="shared" si="3"/>
        <v>SP500</v>
      </c>
      <c r="D3427" s="2">
        <f t="shared" si="4"/>
        <v>3471.62</v>
      </c>
      <c r="E3427" s="2">
        <f t="shared" si="5"/>
        <v>3471.62</v>
      </c>
      <c r="G3427" s="10">
        <f t="shared" si="9"/>
        <v>41409.64583</v>
      </c>
      <c r="H3427" s="6" t="str">
        <f t="shared" si="6"/>
        <v/>
      </c>
      <c r="I3427" s="2">
        <f t="shared" si="7"/>
        <v>1426.89</v>
      </c>
      <c r="M3427" s="10">
        <f>IFERROR(__xludf.DUMMYFUNCTION("""COMPUTED_VALUE"""),42950.66666666667)</f>
        <v>42950.66667</v>
      </c>
      <c r="N3427" s="2">
        <f>IFERROR(__xludf.DUMMYFUNCTION("""COMPUTED_VALUE"""),6340.34)</f>
        <v>6340.34</v>
      </c>
    </row>
    <row r="3428">
      <c r="A3428" s="10">
        <f t="shared" si="8"/>
        <v>41410.66667</v>
      </c>
      <c r="B3428" s="2" t="str">
        <f t="shared" si="2"/>
        <v/>
      </c>
      <c r="C3428" s="2" t="str">
        <f t="shared" si="3"/>
        <v>SP500</v>
      </c>
      <c r="D3428" s="2">
        <f t="shared" si="4"/>
        <v>3465.24</v>
      </c>
      <c r="E3428" s="2">
        <f t="shared" si="5"/>
        <v>3465.24</v>
      </c>
      <c r="G3428" s="10">
        <f t="shared" si="9"/>
        <v>41410.64583</v>
      </c>
      <c r="H3428" s="6" t="str">
        <f t="shared" si="6"/>
        <v/>
      </c>
      <c r="I3428" s="2">
        <f t="shared" si="7"/>
        <v>1426.89</v>
      </c>
      <c r="M3428" s="10">
        <f>IFERROR(__xludf.DUMMYFUNCTION("""COMPUTED_VALUE"""),42951.66666666667)</f>
        <v>42951.66667</v>
      </c>
      <c r="N3428" s="2">
        <f>IFERROR(__xludf.DUMMYFUNCTION("""COMPUTED_VALUE"""),6351.56)</f>
        <v>6351.56</v>
      </c>
    </row>
    <row r="3429">
      <c r="A3429" s="10">
        <f t="shared" si="8"/>
        <v>41411.66667</v>
      </c>
      <c r="B3429" s="2" t="str">
        <f t="shared" si="2"/>
        <v/>
      </c>
      <c r="C3429" s="2" t="str">
        <f t="shared" si="3"/>
        <v>SP500</v>
      </c>
      <c r="D3429" s="2">
        <f t="shared" si="4"/>
        <v>3498.97</v>
      </c>
      <c r="E3429" s="2">
        <f t="shared" si="5"/>
        <v>3498.97</v>
      </c>
      <c r="G3429" s="10">
        <f t="shared" si="9"/>
        <v>41411.64583</v>
      </c>
      <c r="H3429" s="6" t="str">
        <f t="shared" si="6"/>
        <v/>
      </c>
      <c r="I3429" s="2">
        <f t="shared" si="7"/>
        <v>1426.89</v>
      </c>
      <c r="M3429" s="10">
        <f>IFERROR(__xludf.DUMMYFUNCTION("""COMPUTED_VALUE"""),42954.66666666667)</f>
        <v>42954.66667</v>
      </c>
      <c r="N3429" s="2">
        <f>IFERROR(__xludf.DUMMYFUNCTION("""COMPUTED_VALUE"""),6383.77)</f>
        <v>6383.77</v>
      </c>
    </row>
    <row r="3430">
      <c r="A3430" s="10">
        <f t="shared" si="8"/>
        <v>41412.66667</v>
      </c>
      <c r="B3430" s="2" t="str">
        <f t="shared" si="2"/>
        <v/>
      </c>
      <c r="C3430" s="2" t="str">
        <f t="shared" si="3"/>
        <v>SP500</v>
      </c>
      <c r="D3430" s="2" t="str">
        <f t="shared" si="4"/>
        <v/>
      </c>
      <c r="E3430" s="2">
        <f t="shared" si="5"/>
        <v>3498.97</v>
      </c>
      <c r="G3430" s="10">
        <f t="shared" si="9"/>
        <v>41412.64583</v>
      </c>
      <c r="H3430" s="6" t="str">
        <f t="shared" si="6"/>
        <v/>
      </c>
      <c r="I3430" s="2">
        <f t="shared" si="7"/>
        <v>1426.89</v>
      </c>
      <c r="M3430" s="10">
        <f>IFERROR(__xludf.DUMMYFUNCTION("""COMPUTED_VALUE"""),42955.66666666667)</f>
        <v>42955.66667</v>
      </c>
      <c r="N3430" s="2">
        <f>IFERROR(__xludf.DUMMYFUNCTION("""COMPUTED_VALUE"""),6370.46)</f>
        <v>6370.46</v>
      </c>
    </row>
    <row r="3431">
      <c r="A3431" s="10">
        <f t="shared" si="8"/>
        <v>41413.66667</v>
      </c>
      <c r="B3431" s="2" t="str">
        <f t="shared" si="2"/>
        <v/>
      </c>
      <c r="C3431" s="2" t="str">
        <f t="shared" si="3"/>
        <v>SP500</v>
      </c>
      <c r="D3431" s="2" t="str">
        <f t="shared" si="4"/>
        <v/>
      </c>
      <c r="E3431" s="2">
        <f t="shared" si="5"/>
        <v>3498.97</v>
      </c>
      <c r="G3431" s="10">
        <f t="shared" si="9"/>
        <v>41413.64583</v>
      </c>
      <c r="H3431" s="6" t="str">
        <f t="shared" si="6"/>
        <v/>
      </c>
      <c r="I3431" s="2">
        <f t="shared" si="7"/>
        <v>1426.89</v>
      </c>
      <c r="M3431" s="10">
        <f>IFERROR(__xludf.DUMMYFUNCTION("""COMPUTED_VALUE"""),42956.66666666667)</f>
        <v>42956.66667</v>
      </c>
      <c r="N3431" s="2">
        <f>IFERROR(__xludf.DUMMYFUNCTION("""COMPUTED_VALUE"""),6352.33)</f>
        <v>6352.33</v>
      </c>
    </row>
    <row r="3432">
      <c r="A3432" s="10">
        <f t="shared" si="8"/>
        <v>41414.66667</v>
      </c>
      <c r="B3432" s="2" t="str">
        <f t="shared" si="2"/>
        <v/>
      </c>
      <c r="C3432" s="2" t="str">
        <f t="shared" si="3"/>
        <v>SP500</v>
      </c>
      <c r="D3432" s="2">
        <f t="shared" si="4"/>
        <v>3496.43</v>
      </c>
      <c r="E3432" s="2">
        <f t="shared" si="5"/>
        <v>3496.43</v>
      </c>
      <c r="G3432" s="10">
        <f t="shared" si="9"/>
        <v>41414.64583</v>
      </c>
      <c r="H3432" s="6" t="str">
        <f t="shared" si="6"/>
        <v/>
      </c>
      <c r="I3432" s="2">
        <f t="shared" si="7"/>
        <v>1426.89</v>
      </c>
      <c r="M3432" s="10">
        <f>IFERROR(__xludf.DUMMYFUNCTION("""COMPUTED_VALUE"""),42957.66666666667)</f>
        <v>42957.66667</v>
      </c>
      <c r="N3432" s="2">
        <f>IFERROR(__xludf.DUMMYFUNCTION("""COMPUTED_VALUE"""),6216.87)</f>
        <v>6216.87</v>
      </c>
    </row>
    <row r="3433">
      <c r="A3433" s="10">
        <f t="shared" si="8"/>
        <v>41415.66667</v>
      </c>
      <c r="B3433" s="2" t="str">
        <f t="shared" si="2"/>
        <v/>
      </c>
      <c r="C3433" s="2" t="str">
        <f t="shared" si="3"/>
        <v>SP500</v>
      </c>
      <c r="D3433" s="2">
        <f t="shared" si="4"/>
        <v>3502.12</v>
      </c>
      <c r="E3433" s="2">
        <f t="shared" si="5"/>
        <v>3502.12</v>
      </c>
      <c r="G3433" s="10">
        <f t="shared" si="9"/>
        <v>41415.64583</v>
      </c>
      <c r="H3433" s="6" t="str">
        <f t="shared" si="6"/>
        <v/>
      </c>
      <c r="I3433" s="2">
        <f t="shared" si="7"/>
        <v>1426.89</v>
      </c>
      <c r="M3433" s="10">
        <f>IFERROR(__xludf.DUMMYFUNCTION("""COMPUTED_VALUE"""),42958.66666666667)</f>
        <v>42958.66667</v>
      </c>
      <c r="N3433" s="2">
        <f>IFERROR(__xludf.DUMMYFUNCTION("""COMPUTED_VALUE"""),6256.56)</f>
        <v>6256.56</v>
      </c>
    </row>
    <row r="3434">
      <c r="A3434" s="10">
        <f t="shared" si="8"/>
        <v>41416.66667</v>
      </c>
      <c r="B3434" s="2" t="str">
        <f t="shared" si="2"/>
        <v/>
      </c>
      <c r="C3434" s="2" t="str">
        <f t="shared" si="3"/>
        <v>SP500</v>
      </c>
      <c r="D3434" s="2">
        <f t="shared" si="4"/>
        <v>3463.3</v>
      </c>
      <c r="E3434" s="2">
        <f t="shared" si="5"/>
        <v>3463.3</v>
      </c>
      <c r="G3434" s="10">
        <f t="shared" si="9"/>
        <v>41416.64583</v>
      </c>
      <c r="H3434" s="6" t="str">
        <f t="shared" si="6"/>
        <v/>
      </c>
      <c r="I3434" s="2">
        <f t="shared" si="7"/>
        <v>1426.89</v>
      </c>
      <c r="M3434" s="10">
        <f>IFERROR(__xludf.DUMMYFUNCTION("""COMPUTED_VALUE"""),42961.66666666667)</f>
        <v>42961.66667</v>
      </c>
      <c r="N3434" s="2">
        <f>IFERROR(__xludf.DUMMYFUNCTION("""COMPUTED_VALUE"""),6340.23)</f>
        <v>6340.23</v>
      </c>
    </row>
    <row r="3435">
      <c r="A3435" s="10">
        <f t="shared" si="8"/>
        <v>41417.66667</v>
      </c>
      <c r="B3435" s="2" t="str">
        <f t="shared" si="2"/>
        <v/>
      </c>
      <c r="C3435" s="2" t="str">
        <f t="shared" si="3"/>
        <v>SP500</v>
      </c>
      <c r="D3435" s="2">
        <f t="shared" si="4"/>
        <v>3459.42</v>
      </c>
      <c r="E3435" s="2">
        <f t="shared" si="5"/>
        <v>3459.42</v>
      </c>
      <c r="G3435" s="10">
        <f t="shared" si="9"/>
        <v>41417.64583</v>
      </c>
      <c r="H3435" s="6" t="str">
        <f t="shared" si="6"/>
        <v/>
      </c>
      <c r="I3435" s="2">
        <f t="shared" si="7"/>
        <v>1426.89</v>
      </c>
      <c r="M3435" s="10">
        <f>IFERROR(__xludf.DUMMYFUNCTION("""COMPUTED_VALUE"""),42962.66666666667)</f>
        <v>42962.66667</v>
      </c>
      <c r="N3435" s="2">
        <f>IFERROR(__xludf.DUMMYFUNCTION("""COMPUTED_VALUE"""),6333.01)</f>
        <v>6333.01</v>
      </c>
    </row>
    <row r="3436">
      <c r="A3436" s="10">
        <f t="shared" si="8"/>
        <v>41418.66667</v>
      </c>
      <c r="B3436" s="2" t="str">
        <f t="shared" si="2"/>
        <v/>
      </c>
      <c r="C3436" s="2" t="str">
        <f t="shared" si="3"/>
        <v>SP500</v>
      </c>
      <c r="D3436" s="2">
        <f t="shared" si="4"/>
        <v>3459.14</v>
      </c>
      <c r="E3436" s="2">
        <f t="shared" si="5"/>
        <v>3459.14</v>
      </c>
      <c r="G3436" s="10">
        <f t="shared" si="9"/>
        <v>41418.64583</v>
      </c>
      <c r="H3436" s="6" t="str">
        <f t="shared" si="6"/>
        <v/>
      </c>
      <c r="I3436" s="2">
        <f t="shared" si="7"/>
        <v>1426.89</v>
      </c>
      <c r="M3436" s="10">
        <f>IFERROR(__xludf.DUMMYFUNCTION("""COMPUTED_VALUE"""),42963.66666666667)</f>
        <v>42963.66667</v>
      </c>
      <c r="N3436" s="2">
        <f>IFERROR(__xludf.DUMMYFUNCTION("""COMPUTED_VALUE"""),6345.11)</f>
        <v>6345.11</v>
      </c>
    </row>
    <row r="3437">
      <c r="A3437" s="10">
        <f t="shared" si="8"/>
        <v>41419.66667</v>
      </c>
      <c r="B3437" s="2" t="str">
        <f t="shared" si="2"/>
        <v/>
      </c>
      <c r="C3437" s="2" t="str">
        <f t="shared" si="3"/>
        <v>SP500</v>
      </c>
      <c r="D3437" s="2" t="str">
        <f t="shared" si="4"/>
        <v/>
      </c>
      <c r="E3437" s="2">
        <f t="shared" si="5"/>
        <v>3459.14</v>
      </c>
      <c r="G3437" s="10">
        <f t="shared" si="9"/>
        <v>41419.64583</v>
      </c>
      <c r="H3437" s="6" t="str">
        <f t="shared" si="6"/>
        <v/>
      </c>
      <c r="I3437" s="2">
        <f t="shared" si="7"/>
        <v>1426.89</v>
      </c>
      <c r="M3437" s="10">
        <f>IFERROR(__xludf.DUMMYFUNCTION("""COMPUTED_VALUE"""),42964.66666666667)</f>
        <v>42964.66667</v>
      </c>
      <c r="N3437" s="2">
        <f>IFERROR(__xludf.DUMMYFUNCTION("""COMPUTED_VALUE"""),6221.91)</f>
        <v>6221.91</v>
      </c>
    </row>
    <row r="3438">
      <c r="A3438" s="10">
        <f t="shared" si="8"/>
        <v>41420.66667</v>
      </c>
      <c r="B3438" s="2" t="str">
        <f t="shared" si="2"/>
        <v/>
      </c>
      <c r="C3438" s="2" t="str">
        <f t="shared" si="3"/>
        <v>SP500</v>
      </c>
      <c r="D3438" s="2" t="str">
        <f t="shared" si="4"/>
        <v/>
      </c>
      <c r="E3438" s="2">
        <f t="shared" si="5"/>
        <v>3459.14</v>
      </c>
      <c r="G3438" s="10">
        <f t="shared" si="9"/>
        <v>41420.64583</v>
      </c>
      <c r="H3438" s="6" t="str">
        <f t="shared" si="6"/>
        <v/>
      </c>
      <c r="I3438" s="2">
        <f t="shared" si="7"/>
        <v>1426.89</v>
      </c>
      <c r="M3438" s="10">
        <f>IFERROR(__xludf.DUMMYFUNCTION("""COMPUTED_VALUE"""),42965.66666666667)</f>
        <v>42965.66667</v>
      </c>
      <c r="N3438" s="2">
        <f>IFERROR(__xludf.DUMMYFUNCTION("""COMPUTED_VALUE"""),6216.53)</f>
        <v>6216.53</v>
      </c>
    </row>
    <row r="3439">
      <c r="A3439" s="10">
        <f t="shared" si="8"/>
        <v>41421.66667</v>
      </c>
      <c r="B3439" s="2" t="str">
        <f t="shared" si="2"/>
        <v/>
      </c>
      <c r="C3439" s="2" t="str">
        <f t="shared" si="3"/>
        <v>SP500</v>
      </c>
      <c r="D3439" s="2" t="str">
        <f t="shared" si="4"/>
        <v/>
      </c>
      <c r="E3439" s="2">
        <f t="shared" si="5"/>
        <v>3459.14</v>
      </c>
      <c r="G3439" s="10">
        <f t="shared" si="9"/>
        <v>41421.64583</v>
      </c>
      <c r="H3439" s="6" t="str">
        <f t="shared" si="6"/>
        <v/>
      </c>
      <c r="I3439" s="2">
        <f t="shared" si="7"/>
        <v>1426.89</v>
      </c>
      <c r="M3439" s="10">
        <f>IFERROR(__xludf.DUMMYFUNCTION("""COMPUTED_VALUE"""),42968.66666666667)</f>
        <v>42968.66667</v>
      </c>
      <c r="N3439" s="2">
        <f>IFERROR(__xludf.DUMMYFUNCTION("""COMPUTED_VALUE"""),6213.13)</f>
        <v>6213.13</v>
      </c>
    </row>
    <row r="3440">
      <c r="A3440" s="10">
        <f t="shared" si="8"/>
        <v>41422.66667</v>
      </c>
      <c r="B3440" s="2" t="str">
        <f t="shared" si="2"/>
        <v/>
      </c>
      <c r="C3440" s="2" t="str">
        <f t="shared" si="3"/>
        <v>SP500</v>
      </c>
      <c r="D3440" s="2">
        <f t="shared" si="4"/>
        <v>3488.89</v>
      </c>
      <c r="E3440" s="2">
        <f t="shared" si="5"/>
        <v>3488.89</v>
      </c>
      <c r="G3440" s="10">
        <f t="shared" si="9"/>
        <v>41422.64583</v>
      </c>
      <c r="H3440" s="6" t="str">
        <f t="shared" si="6"/>
        <v/>
      </c>
      <c r="I3440" s="2">
        <f t="shared" si="7"/>
        <v>1426.89</v>
      </c>
      <c r="M3440" s="10">
        <f>IFERROR(__xludf.DUMMYFUNCTION("""COMPUTED_VALUE"""),42969.66666666667)</f>
        <v>42969.66667</v>
      </c>
      <c r="N3440" s="2">
        <f>IFERROR(__xludf.DUMMYFUNCTION("""COMPUTED_VALUE"""),6297.48)</f>
        <v>6297.48</v>
      </c>
    </row>
    <row r="3441">
      <c r="A3441" s="10">
        <f t="shared" si="8"/>
        <v>41423.66667</v>
      </c>
      <c r="B3441" s="2" t="str">
        <f t="shared" si="2"/>
        <v/>
      </c>
      <c r="C3441" s="2" t="str">
        <f t="shared" si="3"/>
        <v>SP500</v>
      </c>
      <c r="D3441" s="2">
        <f t="shared" si="4"/>
        <v>3467.52</v>
      </c>
      <c r="E3441" s="2">
        <f t="shared" si="5"/>
        <v>3467.52</v>
      </c>
      <c r="G3441" s="10">
        <f t="shared" si="9"/>
        <v>41423.64583</v>
      </c>
      <c r="H3441" s="6" t="str">
        <f t="shared" si="6"/>
        <v/>
      </c>
      <c r="I3441" s="2">
        <f t="shared" si="7"/>
        <v>1426.89</v>
      </c>
      <c r="M3441" s="10">
        <f>IFERROR(__xludf.DUMMYFUNCTION("""COMPUTED_VALUE"""),42970.66666666667)</f>
        <v>42970.66667</v>
      </c>
      <c r="N3441" s="2">
        <f>IFERROR(__xludf.DUMMYFUNCTION("""COMPUTED_VALUE"""),6278.41)</f>
        <v>6278.41</v>
      </c>
    </row>
    <row r="3442">
      <c r="A3442" s="10">
        <f t="shared" si="8"/>
        <v>41424.66667</v>
      </c>
      <c r="B3442" s="2" t="str">
        <f t="shared" si="2"/>
        <v/>
      </c>
      <c r="C3442" s="2" t="str">
        <f t="shared" si="3"/>
        <v>SP500</v>
      </c>
      <c r="D3442" s="2">
        <f t="shared" si="4"/>
        <v>3491.3</v>
      </c>
      <c r="E3442" s="2">
        <f t="shared" si="5"/>
        <v>3491.3</v>
      </c>
      <c r="G3442" s="10">
        <f t="shared" si="9"/>
        <v>41424.64583</v>
      </c>
      <c r="H3442" s="6" t="str">
        <f t="shared" si="6"/>
        <v/>
      </c>
      <c r="I3442" s="2">
        <f t="shared" si="7"/>
        <v>1426.89</v>
      </c>
      <c r="M3442" s="10">
        <f>IFERROR(__xludf.DUMMYFUNCTION("""COMPUTED_VALUE"""),42971.66666666667)</f>
        <v>42971.66667</v>
      </c>
      <c r="N3442" s="2">
        <f>IFERROR(__xludf.DUMMYFUNCTION("""COMPUTED_VALUE"""),6271.33)</f>
        <v>6271.33</v>
      </c>
    </row>
    <row r="3443">
      <c r="A3443" s="10">
        <f t="shared" si="8"/>
        <v>41425.66667</v>
      </c>
      <c r="B3443" s="2" t="str">
        <f t="shared" si="2"/>
        <v/>
      </c>
      <c r="C3443" s="2" t="str">
        <f t="shared" si="3"/>
        <v>SP500</v>
      </c>
      <c r="D3443" s="2">
        <f t="shared" si="4"/>
        <v>3455.91</v>
      </c>
      <c r="E3443" s="2">
        <f t="shared" si="5"/>
        <v>3455.91</v>
      </c>
      <c r="G3443" s="10">
        <f t="shared" si="9"/>
        <v>41425.64583</v>
      </c>
      <c r="H3443" s="6" t="str">
        <f t="shared" si="6"/>
        <v/>
      </c>
      <c r="I3443" s="2">
        <f t="shared" si="7"/>
        <v>1426.89</v>
      </c>
      <c r="M3443" s="10">
        <f>IFERROR(__xludf.DUMMYFUNCTION("""COMPUTED_VALUE"""),42972.66666666667)</f>
        <v>42972.66667</v>
      </c>
      <c r="N3443" s="2">
        <f>IFERROR(__xludf.DUMMYFUNCTION("""COMPUTED_VALUE"""),6265.64)</f>
        <v>6265.64</v>
      </c>
    </row>
    <row r="3444">
      <c r="A3444" s="10">
        <f t="shared" si="8"/>
        <v>41426.66667</v>
      </c>
      <c r="B3444" s="2" t="str">
        <f t="shared" si="2"/>
        <v/>
      </c>
      <c r="C3444" s="2" t="str">
        <f t="shared" si="3"/>
        <v>SP500</v>
      </c>
      <c r="D3444" s="2" t="str">
        <f t="shared" si="4"/>
        <v/>
      </c>
      <c r="E3444" s="2">
        <f t="shared" si="5"/>
        <v>3455.91</v>
      </c>
      <c r="G3444" s="10">
        <f t="shared" si="9"/>
        <v>41426.64583</v>
      </c>
      <c r="H3444" s="6" t="str">
        <f t="shared" si="6"/>
        <v/>
      </c>
      <c r="I3444" s="2">
        <f t="shared" si="7"/>
        <v>1426.89</v>
      </c>
      <c r="M3444" s="10">
        <f>IFERROR(__xludf.DUMMYFUNCTION("""COMPUTED_VALUE"""),42975.66666666667)</f>
        <v>42975.66667</v>
      </c>
      <c r="N3444" s="2">
        <f>IFERROR(__xludf.DUMMYFUNCTION("""COMPUTED_VALUE"""),6283.02)</f>
        <v>6283.02</v>
      </c>
    </row>
    <row r="3445">
      <c r="A3445" s="10">
        <f t="shared" si="8"/>
        <v>41427.66667</v>
      </c>
      <c r="B3445" s="2" t="str">
        <f t="shared" si="2"/>
        <v/>
      </c>
      <c r="C3445" s="2" t="str">
        <f t="shared" si="3"/>
        <v>SP500</v>
      </c>
      <c r="D3445" s="2" t="str">
        <f t="shared" si="4"/>
        <v/>
      </c>
      <c r="E3445" s="2">
        <f t="shared" si="5"/>
        <v>3455.91</v>
      </c>
      <c r="G3445" s="10">
        <f t="shared" si="9"/>
        <v>41427.64583</v>
      </c>
      <c r="H3445" s="6" t="str">
        <f t="shared" si="6"/>
        <v/>
      </c>
      <c r="I3445" s="2">
        <f t="shared" si="7"/>
        <v>1426.89</v>
      </c>
      <c r="M3445" s="10">
        <f>IFERROR(__xludf.DUMMYFUNCTION("""COMPUTED_VALUE"""),42976.66666666667)</f>
        <v>42976.66667</v>
      </c>
      <c r="N3445" s="2">
        <f>IFERROR(__xludf.DUMMYFUNCTION("""COMPUTED_VALUE"""),6301.89)</f>
        <v>6301.89</v>
      </c>
    </row>
    <row r="3446">
      <c r="A3446" s="10">
        <f t="shared" si="8"/>
        <v>41428.66667</v>
      </c>
      <c r="B3446" s="2" t="str">
        <f t="shared" si="2"/>
        <v/>
      </c>
      <c r="C3446" s="2" t="str">
        <f t="shared" si="3"/>
        <v>SP500</v>
      </c>
      <c r="D3446" s="2">
        <f t="shared" si="4"/>
        <v>3465.37</v>
      </c>
      <c r="E3446" s="2">
        <f t="shared" si="5"/>
        <v>3465.37</v>
      </c>
      <c r="G3446" s="10">
        <f t="shared" si="9"/>
        <v>41428.64583</v>
      </c>
      <c r="H3446" s="6" t="str">
        <f t="shared" si="6"/>
        <v/>
      </c>
      <c r="I3446" s="2">
        <f t="shared" si="7"/>
        <v>1426.89</v>
      </c>
      <c r="M3446" s="10">
        <f>IFERROR(__xludf.DUMMYFUNCTION("""COMPUTED_VALUE"""),42977.66666666667)</f>
        <v>42977.66667</v>
      </c>
      <c r="N3446" s="2">
        <f>IFERROR(__xludf.DUMMYFUNCTION("""COMPUTED_VALUE"""),6368.31)</f>
        <v>6368.31</v>
      </c>
    </row>
    <row r="3447">
      <c r="A3447" s="10">
        <f t="shared" si="8"/>
        <v>41429.66667</v>
      </c>
      <c r="B3447" s="2" t="str">
        <f t="shared" si="2"/>
        <v/>
      </c>
      <c r="C3447" s="2" t="str">
        <f t="shared" si="3"/>
        <v>SP500</v>
      </c>
      <c r="D3447" s="2">
        <f t="shared" si="4"/>
        <v>3445.26</v>
      </c>
      <c r="E3447" s="2">
        <f t="shared" si="5"/>
        <v>3445.26</v>
      </c>
      <c r="G3447" s="10">
        <f t="shared" si="9"/>
        <v>41429.64583</v>
      </c>
      <c r="H3447" s="6" t="str">
        <f t="shared" si="6"/>
        <v/>
      </c>
      <c r="I3447" s="2">
        <f t="shared" si="7"/>
        <v>1426.89</v>
      </c>
      <c r="M3447" s="10">
        <f>IFERROR(__xludf.DUMMYFUNCTION("""COMPUTED_VALUE"""),42978.66666666667)</f>
        <v>42978.66667</v>
      </c>
      <c r="N3447" s="2">
        <f>IFERROR(__xludf.DUMMYFUNCTION("""COMPUTED_VALUE"""),6428.66)</f>
        <v>6428.66</v>
      </c>
    </row>
    <row r="3448">
      <c r="A3448" s="10">
        <f t="shared" si="8"/>
        <v>41430.66667</v>
      </c>
      <c r="B3448" s="2" t="str">
        <f t="shared" si="2"/>
        <v/>
      </c>
      <c r="C3448" s="2" t="str">
        <f t="shared" si="3"/>
        <v>SP500</v>
      </c>
      <c r="D3448" s="2">
        <f t="shared" si="4"/>
        <v>3401.48</v>
      </c>
      <c r="E3448" s="2">
        <f t="shared" si="5"/>
        <v>3401.48</v>
      </c>
      <c r="G3448" s="10">
        <f t="shared" si="9"/>
        <v>41430.64583</v>
      </c>
      <c r="H3448" s="6" t="str">
        <f t="shared" si="6"/>
        <v/>
      </c>
      <c r="I3448" s="2">
        <f t="shared" si="7"/>
        <v>1426.89</v>
      </c>
      <c r="M3448" s="10">
        <f>IFERROR(__xludf.DUMMYFUNCTION("""COMPUTED_VALUE"""),42979.66666666667)</f>
        <v>42979.66667</v>
      </c>
      <c r="N3448" s="2">
        <f>IFERROR(__xludf.DUMMYFUNCTION("""COMPUTED_VALUE"""),6435.33)</f>
        <v>6435.33</v>
      </c>
    </row>
    <row r="3449">
      <c r="A3449" s="10">
        <f t="shared" si="8"/>
        <v>41431.66667</v>
      </c>
      <c r="B3449" s="2" t="str">
        <f t="shared" si="2"/>
        <v/>
      </c>
      <c r="C3449" s="2" t="str">
        <f t="shared" si="3"/>
        <v>SP500</v>
      </c>
      <c r="D3449" s="2">
        <f t="shared" si="4"/>
        <v>3424.05</v>
      </c>
      <c r="E3449" s="2">
        <f t="shared" si="5"/>
        <v>3424.05</v>
      </c>
      <c r="G3449" s="10">
        <f t="shared" si="9"/>
        <v>41431.64583</v>
      </c>
      <c r="H3449" s="6" t="str">
        <f t="shared" si="6"/>
        <v/>
      </c>
      <c r="I3449" s="2">
        <f t="shared" si="7"/>
        <v>1426.89</v>
      </c>
      <c r="M3449" s="10">
        <f>IFERROR(__xludf.DUMMYFUNCTION("""COMPUTED_VALUE"""),42983.66666666667)</f>
        <v>42983.66667</v>
      </c>
      <c r="N3449" s="2">
        <f>IFERROR(__xludf.DUMMYFUNCTION("""COMPUTED_VALUE"""),6375.57)</f>
        <v>6375.57</v>
      </c>
    </row>
    <row r="3450">
      <c r="A3450" s="10">
        <f t="shared" si="8"/>
        <v>41432.66667</v>
      </c>
      <c r="B3450" s="2" t="str">
        <f t="shared" si="2"/>
        <v/>
      </c>
      <c r="C3450" s="2" t="str">
        <f t="shared" si="3"/>
        <v>SP500</v>
      </c>
      <c r="D3450" s="2">
        <f t="shared" si="4"/>
        <v>3469.22</v>
      </c>
      <c r="E3450" s="2">
        <f t="shared" si="5"/>
        <v>3469.22</v>
      </c>
      <c r="G3450" s="10">
        <f t="shared" si="9"/>
        <v>41432.64583</v>
      </c>
      <c r="H3450" s="6" t="str">
        <f t="shared" si="6"/>
        <v/>
      </c>
      <c r="I3450" s="2">
        <f t="shared" si="7"/>
        <v>1426.89</v>
      </c>
      <c r="M3450" s="10">
        <f>IFERROR(__xludf.DUMMYFUNCTION("""COMPUTED_VALUE"""),42984.66666666667)</f>
        <v>42984.66667</v>
      </c>
      <c r="N3450" s="2">
        <f>IFERROR(__xludf.DUMMYFUNCTION("""COMPUTED_VALUE"""),6393.31)</f>
        <v>6393.31</v>
      </c>
    </row>
    <row r="3451">
      <c r="A3451" s="10">
        <f t="shared" si="8"/>
        <v>41433.66667</v>
      </c>
      <c r="B3451" s="2" t="str">
        <f t="shared" si="2"/>
        <v/>
      </c>
      <c r="C3451" s="2" t="str">
        <f t="shared" si="3"/>
        <v>SP500</v>
      </c>
      <c r="D3451" s="2" t="str">
        <f t="shared" si="4"/>
        <v/>
      </c>
      <c r="E3451" s="2">
        <f t="shared" si="5"/>
        <v>3469.22</v>
      </c>
      <c r="G3451" s="10">
        <f t="shared" si="9"/>
        <v>41433.64583</v>
      </c>
      <c r="H3451" s="6" t="str">
        <f t="shared" si="6"/>
        <v/>
      </c>
      <c r="I3451" s="2">
        <f t="shared" si="7"/>
        <v>1426.89</v>
      </c>
      <c r="M3451" s="10">
        <f>IFERROR(__xludf.DUMMYFUNCTION("""COMPUTED_VALUE"""),42985.66666666667)</f>
        <v>42985.66667</v>
      </c>
      <c r="N3451" s="2">
        <f>IFERROR(__xludf.DUMMYFUNCTION("""COMPUTED_VALUE"""),6397.87)</f>
        <v>6397.87</v>
      </c>
    </row>
    <row r="3452">
      <c r="A3452" s="10">
        <f t="shared" si="8"/>
        <v>41434.66667</v>
      </c>
      <c r="B3452" s="2" t="str">
        <f t="shared" si="2"/>
        <v/>
      </c>
      <c r="C3452" s="2" t="str">
        <f t="shared" si="3"/>
        <v>SP500</v>
      </c>
      <c r="D3452" s="2" t="str">
        <f t="shared" si="4"/>
        <v/>
      </c>
      <c r="E3452" s="2">
        <f t="shared" si="5"/>
        <v>3469.22</v>
      </c>
      <c r="G3452" s="10">
        <f t="shared" si="9"/>
        <v>41434.64583</v>
      </c>
      <c r="H3452" s="6" t="str">
        <f t="shared" si="6"/>
        <v/>
      </c>
      <c r="I3452" s="2">
        <f t="shared" si="7"/>
        <v>1426.89</v>
      </c>
      <c r="M3452" s="10">
        <f>IFERROR(__xludf.DUMMYFUNCTION("""COMPUTED_VALUE"""),42986.66666666667)</f>
        <v>42986.66667</v>
      </c>
      <c r="N3452" s="2">
        <f>IFERROR(__xludf.DUMMYFUNCTION("""COMPUTED_VALUE"""),6360.19)</f>
        <v>6360.19</v>
      </c>
    </row>
    <row r="3453">
      <c r="A3453" s="10">
        <f t="shared" si="8"/>
        <v>41435.66667</v>
      </c>
      <c r="B3453" s="2" t="str">
        <f t="shared" si="2"/>
        <v/>
      </c>
      <c r="C3453" s="2" t="str">
        <f t="shared" si="3"/>
        <v>SP500</v>
      </c>
      <c r="D3453" s="2">
        <f t="shared" si="4"/>
        <v>3473.77</v>
      </c>
      <c r="E3453" s="2">
        <f t="shared" si="5"/>
        <v>3473.77</v>
      </c>
      <c r="G3453" s="10">
        <f t="shared" si="9"/>
        <v>41435.64583</v>
      </c>
      <c r="H3453" s="6" t="str">
        <f t="shared" si="6"/>
        <v/>
      </c>
      <c r="I3453" s="2">
        <f t="shared" si="7"/>
        <v>1426.89</v>
      </c>
      <c r="M3453" s="10">
        <f>IFERROR(__xludf.DUMMYFUNCTION("""COMPUTED_VALUE"""),42989.66666666667)</f>
        <v>42989.66667</v>
      </c>
      <c r="N3453" s="2">
        <f>IFERROR(__xludf.DUMMYFUNCTION("""COMPUTED_VALUE"""),6432.26)</f>
        <v>6432.26</v>
      </c>
    </row>
    <row r="3454">
      <c r="A3454" s="10">
        <f t="shared" si="8"/>
        <v>41436.66667</v>
      </c>
      <c r="B3454" s="2" t="str">
        <f t="shared" si="2"/>
        <v/>
      </c>
      <c r="C3454" s="2" t="str">
        <f t="shared" si="3"/>
        <v>SP500</v>
      </c>
      <c r="D3454" s="2">
        <f t="shared" si="4"/>
        <v>3436.95</v>
      </c>
      <c r="E3454" s="2">
        <f t="shared" si="5"/>
        <v>3436.95</v>
      </c>
      <c r="G3454" s="10">
        <f t="shared" si="9"/>
        <v>41436.64583</v>
      </c>
      <c r="H3454" s="6" t="str">
        <f t="shared" si="6"/>
        <v/>
      </c>
      <c r="I3454" s="2">
        <f t="shared" si="7"/>
        <v>1426.89</v>
      </c>
      <c r="M3454" s="10">
        <f>IFERROR(__xludf.DUMMYFUNCTION("""COMPUTED_VALUE"""),42990.66666666667)</f>
        <v>42990.66667</v>
      </c>
      <c r="N3454" s="2">
        <f>IFERROR(__xludf.DUMMYFUNCTION("""COMPUTED_VALUE"""),6454.28)</f>
        <v>6454.28</v>
      </c>
    </row>
    <row r="3455">
      <c r="A3455" s="10">
        <f t="shared" si="8"/>
        <v>41437.66667</v>
      </c>
      <c r="B3455" s="2" t="str">
        <f t="shared" si="2"/>
        <v/>
      </c>
      <c r="C3455" s="2" t="str">
        <f t="shared" si="3"/>
        <v>SP500</v>
      </c>
      <c r="D3455" s="2">
        <f t="shared" si="4"/>
        <v>3400.43</v>
      </c>
      <c r="E3455" s="2">
        <f t="shared" si="5"/>
        <v>3400.43</v>
      </c>
      <c r="G3455" s="10">
        <f t="shared" si="9"/>
        <v>41437.64583</v>
      </c>
      <c r="H3455" s="6" t="str">
        <f t="shared" si="6"/>
        <v/>
      </c>
      <c r="I3455" s="2">
        <f t="shared" si="7"/>
        <v>1426.89</v>
      </c>
      <c r="M3455" s="10">
        <f>IFERROR(__xludf.DUMMYFUNCTION("""COMPUTED_VALUE"""),42991.66666666667)</f>
        <v>42991.66667</v>
      </c>
      <c r="N3455" s="2">
        <f>IFERROR(__xludf.DUMMYFUNCTION("""COMPUTED_VALUE"""),6460.19)</f>
        <v>6460.19</v>
      </c>
    </row>
    <row r="3456">
      <c r="A3456" s="10">
        <f t="shared" si="8"/>
        <v>41438.66667</v>
      </c>
      <c r="B3456" s="2" t="str">
        <f t="shared" si="2"/>
        <v/>
      </c>
      <c r="C3456" s="2" t="str">
        <f t="shared" si="3"/>
        <v>SP500</v>
      </c>
      <c r="D3456" s="2">
        <f t="shared" si="4"/>
        <v>3445.37</v>
      </c>
      <c r="E3456" s="2">
        <f t="shared" si="5"/>
        <v>3445.37</v>
      </c>
      <c r="G3456" s="10">
        <f t="shared" si="9"/>
        <v>41438.64583</v>
      </c>
      <c r="H3456" s="6" t="str">
        <f t="shared" si="6"/>
        <v/>
      </c>
      <c r="I3456" s="2">
        <f t="shared" si="7"/>
        <v>1426.89</v>
      </c>
      <c r="M3456" s="10">
        <f>IFERROR(__xludf.DUMMYFUNCTION("""COMPUTED_VALUE"""),42992.66666666667)</f>
        <v>42992.66667</v>
      </c>
      <c r="N3456" s="2">
        <f>IFERROR(__xludf.DUMMYFUNCTION("""COMPUTED_VALUE"""),6429.08)</f>
        <v>6429.08</v>
      </c>
    </row>
    <row r="3457">
      <c r="A3457" s="10">
        <f t="shared" si="8"/>
        <v>41439.66667</v>
      </c>
      <c r="B3457" s="2" t="str">
        <f t="shared" si="2"/>
        <v/>
      </c>
      <c r="C3457" s="2" t="str">
        <f t="shared" si="3"/>
        <v>SP500</v>
      </c>
      <c r="D3457" s="2">
        <f t="shared" si="4"/>
        <v>3423.56</v>
      </c>
      <c r="E3457" s="2">
        <f t="shared" si="5"/>
        <v>3423.56</v>
      </c>
      <c r="G3457" s="10">
        <f t="shared" si="9"/>
        <v>41439.64583</v>
      </c>
      <c r="H3457" s="6" t="str">
        <f t="shared" si="6"/>
        <v/>
      </c>
      <c r="I3457" s="2">
        <f t="shared" si="7"/>
        <v>1426.89</v>
      </c>
      <c r="M3457" s="10">
        <f>IFERROR(__xludf.DUMMYFUNCTION("""COMPUTED_VALUE"""),42993.66666666667)</f>
        <v>42993.66667</v>
      </c>
      <c r="N3457" s="2">
        <f>IFERROR(__xludf.DUMMYFUNCTION("""COMPUTED_VALUE"""),6448.47)</f>
        <v>6448.47</v>
      </c>
    </row>
    <row r="3458">
      <c r="A3458" s="10">
        <f t="shared" si="8"/>
        <v>41440.66667</v>
      </c>
      <c r="B3458" s="2" t="str">
        <f t="shared" si="2"/>
        <v/>
      </c>
      <c r="C3458" s="2" t="str">
        <f t="shared" si="3"/>
        <v>SP500</v>
      </c>
      <c r="D3458" s="2" t="str">
        <f t="shared" si="4"/>
        <v/>
      </c>
      <c r="E3458" s="2">
        <f t="shared" si="5"/>
        <v>3423.56</v>
      </c>
      <c r="G3458" s="10">
        <f t="shared" si="9"/>
        <v>41440.64583</v>
      </c>
      <c r="H3458" s="6" t="str">
        <f t="shared" si="6"/>
        <v/>
      </c>
      <c r="I3458" s="2">
        <f t="shared" si="7"/>
        <v>1426.89</v>
      </c>
      <c r="M3458" s="10">
        <f>IFERROR(__xludf.DUMMYFUNCTION("""COMPUTED_VALUE"""),42996.66666666667)</f>
        <v>42996.66667</v>
      </c>
      <c r="N3458" s="2">
        <f>IFERROR(__xludf.DUMMYFUNCTION("""COMPUTED_VALUE"""),6454.64)</f>
        <v>6454.64</v>
      </c>
    </row>
    <row r="3459">
      <c r="A3459" s="10">
        <f t="shared" si="8"/>
        <v>41441.66667</v>
      </c>
      <c r="B3459" s="2" t="str">
        <f t="shared" si="2"/>
        <v/>
      </c>
      <c r="C3459" s="2" t="str">
        <f t="shared" si="3"/>
        <v>SP500</v>
      </c>
      <c r="D3459" s="2" t="str">
        <f t="shared" si="4"/>
        <v/>
      </c>
      <c r="E3459" s="2">
        <f t="shared" si="5"/>
        <v>3423.56</v>
      </c>
      <c r="G3459" s="10">
        <f t="shared" si="9"/>
        <v>41441.64583</v>
      </c>
      <c r="H3459" s="6" t="str">
        <f t="shared" si="6"/>
        <v/>
      </c>
      <c r="I3459" s="2">
        <f t="shared" si="7"/>
        <v>1426.89</v>
      </c>
      <c r="M3459" s="10">
        <f>IFERROR(__xludf.DUMMYFUNCTION("""COMPUTED_VALUE"""),42997.66666666667)</f>
        <v>42997.66667</v>
      </c>
      <c r="N3459" s="2">
        <f>IFERROR(__xludf.DUMMYFUNCTION("""COMPUTED_VALUE"""),6461.32)</f>
        <v>6461.32</v>
      </c>
    </row>
    <row r="3460">
      <c r="A3460" s="10">
        <f t="shared" si="8"/>
        <v>41442.66667</v>
      </c>
      <c r="B3460" s="2" t="str">
        <f t="shared" si="2"/>
        <v/>
      </c>
      <c r="C3460" s="2" t="str">
        <f t="shared" si="3"/>
        <v>SP500</v>
      </c>
      <c r="D3460" s="2">
        <f t="shared" si="4"/>
        <v>3452.13</v>
      </c>
      <c r="E3460" s="2">
        <f t="shared" si="5"/>
        <v>3452.13</v>
      </c>
      <c r="G3460" s="10">
        <f t="shared" si="9"/>
        <v>41442.64583</v>
      </c>
      <c r="H3460" s="6" t="str">
        <f t="shared" si="6"/>
        <v/>
      </c>
      <c r="I3460" s="2">
        <f t="shared" si="7"/>
        <v>1426.89</v>
      </c>
      <c r="M3460" s="10">
        <f>IFERROR(__xludf.DUMMYFUNCTION("""COMPUTED_VALUE"""),42998.66666666667)</f>
        <v>42998.66667</v>
      </c>
      <c r="N3460" s="2">
        <f>IFERROR(__xludf.DUMMYFUNCTION("""COMPUTED_VALUE"""),6456.04)</f>
        <v>6456.04</v>
      </c>
    </row>
    <row r="3461">
      <c r="A3461" s="10">
        <f t="shared" si="8"/>
        <v>41443.66667</v>
      </c>
      <c r="B3461" s="2" t="str">
        <f t="shared" si="2"/>
        <v/>
      </c>
      <c r="C3461" s="2" t="str">
        <f t="shared" si="3"/>
        <v>SP500</v>
      </c>
      <c r="D3461" s="2">
        <f t="shared" si="4"/>
        <v>3482.18</v>
      </c>
      <c r="E3461" s="2">
        <f t="shared" si="5"/>
        <v>3482.18</v>
      </c>
      <c r="G3461" s="10">
        <f t="shared" si="9"/>
        <v>41443.64583</v>
      </c>
      <c r="H3461" s="6" t="str">
        <f t="shared" si="6"/>
        <v/>
      </c>
      <c r="I3461" s="2">
        <f t="shared" si="7"/>
        <v>1426.89</v>
      </c>
      <c r="M3461" s="10">
        <f>IFERROR(__xludf.DUMMYFUNCTION("""COMPUTED_VALUE"""),42999.66666666667)</f>
        <v>42999.66667</v>
      </c>
      <c r="N3461" s="2">
        <f>IFERROR(__xludf.DUMMYFUNCTION("""COMPUTED_VALUE"""),6422.69)</f>
        <v>6422.69</v>
      </c>
    </row>
    <row r="3462">
      <c r="A3462" s="10">
        <f t="shared" si="8"/>
        <v>41444.66667</v>
      </c>
      <c r="B3462" s="2" t="str">
        <f t="shared" si="2"/>
        <v/>
      </c>
      <c r="C3462" s="2" t="str">
        <f t="shared" si="3"/>
        <v>SP500</v>
      </c>
      <c r="D3462" s="2">
        <f t="shared" si="4"/>
        <v>3443.2</v>
      </c>
      <c r="E3462" s="2">
        <f t="shared" si="5"/>
        <v>3443.2</v>
      </c>
      <c r="G3462" s="10">
        <f t="shared" si="9"/>
        <v>41444.64583</v>
      </c>
      <c r="H3462" s="6" t="str">
        <f t="shared" si="6"/>
        <v/>
      </c>
      <c r="I3462" s="2">
        <f t="shared" si="7"/>
        <v>1426.89</v>
      </c>
      <c r="M3462" s="10">
        <f>IFERROR(__xludf.DUMMYFUNCTION("""COMPUTED_VALUE"""),43000.66666666667)</f>
        <v>43000.66667</v>
      </c>
      <c r="N3462" s="2">
        <f>IFERROR(__xludf.DUMMYFUNCTION("""COMPUTED_VALUE"""),6426.92)</f>
        <v>6426.92</v>
      </c>
    </row>
    <row r="3463">
      <c r="A3463" s="10">
        <f t="shared" si="8"/>
        <v>41445.66667</v>
      </c>
      <c r="B3463" s="2" t="str">
        <f t="shared" si="2"/>
        <v/>
      </c>
      <c r="C3463" s="2" t="str">
        <f t="shared" si="3"/>
        <v>SP500</v>
      </c>
      <c r="D3463" s="2">
        <f t="shared" si="4"/>
        <v>3364.64</v>
      </c>
      <c r="E3463" s="2">
        <f t="shared" si="5"/>
        <v>3364.64</v>
      </c>
      <c r="G3463" s="10">
        <f t="shared" si="9"/>
        <v>41445.64583</v>
      </c>
      <c r="H3463" s="6" t="str">
        <f t="shared" si="6"/>
        <v/>
      </c>
      <c r="I3463" s="2">
        <f t="shared" si="7"/>
        <v>1426.89</v>
      </c>
      <c r="M3463" s="10">
        <f>IFERROR(__xludf.DUMMYFUNCTION("""COMPUTED_VALUE"""),43003.66666666667)</f>
        <v>43003.66667</v>
      </c>
      <c r="N3463" s="2">
        <f>IFERROR(__xludf.DUMMYFUNCTION("""COMPUTED_VALUE"""),6370.59)</f>
        <v>6370.59</v>
      </c>
    </row>
    <row r="3464">
      <c r="A3464" s="10">
        <f t="shared" si="8"/>
        <v>41446.66667</v>
      </c>
      <c r="B3464" s="2" t="str">
        <f t="shared" si="2"/>
        <v/>
      </c>
      <c r="C3464" s="2" t="str">
        <f t="shared" si="3"/>
        <v>SP500</v>
      </c>
      <c r="D3464" s="2">
        <f t="shared" si="4"/>
        <v>3357.25</v>
      </c>
      <c r="E3464" s="2">
        <f t="shared" si="5"/>
        <v>3357.25</v>
      </c>
      <c r="G3464" s="10">
        <f t="shared" si="9"/>
        <v>41446.64583</v>
      </c>
      <c r="H3464" s="6" t="str">
        <f t="shared" si="6"/>
        <v/>
      </c>
      <c r="I3464" s="2">
        <f t="shared" si="7"/>
        <v>1426.89</v>
      </c>
      <c r="M3464" s="10">
        <f>IFERROR(__xludf.DUMMYFUNCTION("""COMPUTED_VALUE"""),43004.66666666667)</f>
        <v>43004.66667</v>
      </c>
      <c r="N3464" s="2">
        <f>IFERROR(__xludf.DUMMYFUNCTION("""COMPUTED_VALUE"""),6380.16)</f>
        <v>6380.16</v>
      </c>
    </row>
    <row r="3465">
      <c r="A3465" s="10">
        <f t="shared" si="8"/>
        <v>41447.66667</v>
      </c>
      <c r="B3465" s="2" t="str">
        <f t="shared" si="2"/>
        <v/>
      </c>
      <c r="C3465" s="2" t="str">
        <f t="shared" si="3"/>
        <v>SP500</v>
      </c>
      <c r="D3465" s="2" t="str">
        <f t="shared" si="4"/>
        <v/>
      </c>
      <c r="E3465" s="2">
        <f t="shared" si="5"/>
        <v>3357.25</v>
      </c>
      <c r="G3465" s="10">
        <f t="shared" si="9"/>
        <v>41447.64583</v>
      </c>
      <c r="H3465" s="6" t="str">
        <f t="shared" si="6"/>
        <v/>
      </c>
      <c r="I3465" s="2">
        <f t="shared" si="7"/>
        <v>1426.89</v>
      </c>
      <c r="M3465" s="10">
        <f>IFERROR(__xludf.DUMMYFUNCTION("""COMPUTED_VALUE"""),43005.66666666667)</f>
        <v>43005.66667</v>
      </c>
      <c r="N3465" s="2">
        <f>IFERROR(__xludf.DUMMYFUNCTION("""COMPUTED_VALUE"""),6453.26)</f>
        <v>6453.26</v>
      </c>
    </row>
    <row r="3466">
      <c r="A3466" s="10">
        <f t="shared" si="8"/>
        <v>41448.66667</v>
      </c>
      <c r="B3466" s="2" t="str">
        <f t="shared" si="2"/>
        <v/>
      </c>
      <c r="C3466" s="2" t="str">
        <f t="shared" si="3"/>
        <v>SP500</v>
      </c>
      <c r="D3466" s="2" t="str">
        <f t="shared" si="4"/>
        <v/>
      </c>
      <c r="E3466" s="2">
        <f t="shared" si="5"/>
        <v>3357.25</v>
      </c>
      <c r="G3466" s="10">
        <f t="shared" si="9"/>
        <v>41448.64583</v>
      </c>
      <c r="H3466" s="6" t="str">
        <f t="shared" si="6"/>
        <v/>
      </c>
      <c r="I3466" s="2">
        <f t="shared" si="7"/>
        <v>1426.89</v>
      </c>
      <c r="M3466" s="10">
        <f>IFERROR(__xludf.DUMMYFUNCTION("""COMPUTED_VALUE"""),43006.66666666667)</f>
        <v>43006.66667</v>
      </c>
      <c r="N3466" s="2">
        <f>IFERROR(__xludf.DUMMYFUNCTION("""COMPUTED_VALUE"""),6453.45)</f>
        <v>6453.45</v>
      </c>
    </row>
    <row r="3467">
      <c r="A3467" s="10">
        <f t="shared" si="8"/>
        <v>41449.66667</v>
      </c>
      <c r="B3467" s="2" t="str">
        <f t="shared" si="2"/>
        <v/>
      </c>
      <c r="C3467" s="2" t="str">
        <f t="shared" si="3"/>
        <v>SP500</v>
      </c>
      <c r="D3467" s="2">
        <f t="shared" si="4"/>
        <v>3320.76</v>
      </c>
      <c r="E3467" s="2">
        <f t="shared" si="5"/>
        <v>3320.76</v>
      </c>
      <c r="G3467" s="10">
        <f t="shared" si="9"/>
        <v>41449.64583</v>
      </c>
      <c r="H3467" s="6" t="str">
        <f t="shared" si="6"/>
        <v/>
      </c>
      <c r="I3467" s="2">
        <f t="shared" si="7"/>
        <v>1426.89</v>
      </c>
      <c r="M3467" s="10">
        <f>IFERROR(__xludf.DUMMYFUNCTION("""COMPUTED_VALUE"""),43007.66666666667)</f>
        <v>43007.66667</v>
      </c>
      <c r="N3467" s="2">
        <f>IFERROR(__xludf.DUMMYFUNCTION("""COMPUTED_VALUE"""),6495.96)</f>
        <v>6495.96</v>
      </c>
    </row>
    <row r="3468">
      <c r="A3468" s="10">
        <f t="shared" si="8"/>
        <v>41450.66667</v>
      </c>
      <c r="B3468" s="2" t="str">
        <f t="shared" si="2"/>
        <v/>
      </c>
      <c r="C3468" s="2" t="str">
        <f t="shared" si="3"/>
        <v>SP500</v>
      </c>
      <c r="D3468" s="2">
        <f t="shared" si="4"/>
        <v>3347.89</v>
      </c>
      <c r="E3468" s="2">
        <f t="shared" si="5"/>
        <v>3347.89</v>
      </c>
      <c r="G3468" s="10">
        <f t="shared" si="9"/>
        <v>41450.64583</v>
      </c>
      <c r="H3468" s="6" t="str">
        <f t="shared" si="6"/>
        <v/>
      </c>
      <c r="I3468" s="2">
        <f t="shared" si="7"/>
        <v>1426.89</v>
      </c>
      <c r="M3468" s="10">
        <f>IFERROR(__xludf.DUMMYFUNCTION("""COMPUTED_VALUE"""),43010.66666666667)</f>
        <v>43010.66667</v>
      </c>
      <c r="N3468" s="2">
        <f>IFERROR(__xludf.DUMMYFUNCTION("""COMPUTED_VALUE"""),6516.72)</f>
        <v>6516.72</v>
      </c>
    </row>
    <row r="3469">
      <c r="A3469" s="10">
        <f t="shared" si="8"/>
        <v>41451.66667</v>
      </c>
      <c r="B3469" s="2" t="str">
        <f t="shared" si="2"/>
        <v/>
      </c>
      <c r="C3469" s="2" t="str">
        <f t="shared" si="3"/>
        <v>SP500</v>
      </c>
      <c r="D3469" s="2">
        <f t="shared" si="4"/>
        <v>3376.22</v>
      </c>
      <c r="E3469" s="2">
        <f t="shared" si="5"/>
        <v>3376.22</v>
      </c>
      <c r="G3469" s="10">
        <f t="shared" si="9"/>
        <v>41451.64583</v>
      </c>
      <c r="H3469" s="6" t="str">
        <f t="shared" si="6"/>
        <v/>
      </c>
      <c r="I3469" s="2">
        <f t="shared" si="7"/>
        <v>1426.89</v>
      </c>
      <c r="M3469" s="10">
        <f>IFERROR(__xludf.DUMMYFUNCTION("""COMPUTED_VALUE"""),43011.66666666667)</f>
        <v>43011.66667</v>
      </c>
      <c r="N3469" s="2">
        <f>IFERROR(__xludf.DUMMYFUNCTION("""COMPUTED_VALUE"""),6531.71)</f>
        <v>6531.71</v>
      </c>
    </row>
    <row r="3470">
      <c r="A3470" s="10">
        <f t="shared" si="8"/>
        <v>41452.66667</v>
      </c>
      <c r="B3470" s="2" t="str">
        <f t="shared" si="2"/>
        <v/>
      </c>
      <c r="C3470" s="2" t="str">
        <f t="shared" si="3"/>
        <v>SP500</v>
      </c>
      <c r="D3470" s="2">
        <f t="shared" si="4"/>
        <v>3401.86</v>
      </c>
      <c r="E3470" s="2">
        <f t="shared" si="5"/>
        <v>3401.86</v>
      </c>
      <c r="G3470" s="10">
        <f t="shared" si="9"/>
        <v>41452.64583</v>
      </c>
      <c r="H3470" s="6" t="str">
        <f t="shared" si="6"/>
        <v/>
      </c>
      <c r="I3470" s="2">
        <f t="shared" si="7"/>
        <v>1426.89</v>
      </c>
      <c r="M3470" s="10">
        <f>IFERROR(__xludf.DUMMYFUNCTION("""COMPUTED_VALUE"""),43012.66666666667)</f>
        <v>43012.66667</v>
      </c>
      <c r="N3470" s="2">
        <f>IFERROR(__xludf.DUMMYFUNCTION("""COMPUTED_VALUE"""),6534.63)</f>
        <v>6534.63</v>
      </c>
    </row>
    <row r="3471">
      <c r="A3471" s="10">
        <f t="shared" si="8"/>
        <v>41453.66667</v>
      </c>
      <c r="B3471" s="2" t="str">
        <f t="shared" si="2"/>
        <v/>
      </c>
      <c r="C3471" s="2" t="str">
        <f t="shared" si="3"/>
        <v>SP500</v>
      </c>
      <c r="D3471" s="2">
        <f t="shared" si="4"/>
        <v>3403.25</v>
      </c>
      <c r="E3471" s="2">
        <f t="shared" si="5"/>
        <v>3403.25</v>
      </c>
      <c r="G3471" s="10">
        <f t="shared" si="9"/>
        <v>41453.64583</v>
      </c>
      <c r="H3471" s="6" t="str">
        <f t="shared" si="6"/>
        <v/>
      </c>
      <c r="I3471" s="2">
        <f t="shared" si="7"/>
        <v>1426.89</v>
      </c>
      <c r="M3471" s="10">
        <f>IFERROR(__xludf.DUMMYFUNCTION("""COMPUTED_VALUE"""),43013.66666666667)</f>
        <v>43013.66667</v>
      </c>
      <c r="N3471" s="2">
        <f>IFERROR(__xludf.DUMMYFUNCTION("""COMPUTED_VALUE"""),6585.36)</f>
        <v>6585.36</v>
      </c>
    </row>
    <row r="3472">
      <c r="A3472" s="10">
        <f t="shared" si="8"/>
        <v>41454.66667</v>
      </c>
      <c r="B3472" s="2" t="str">
        <f t="shared" si="2"/>
        <v/>
      </c>
      <c r="C3472" s="2" t="str">
        <f t="shared" si="3"/>
        <v>SP500</v>
      </c>
      <c r="D3472" s="2" t="str">
        <f t="shared" si="4"/>
        <v/>
      </c>
      <c r="E3472" s="2">
        <f t="shared" si="5"/>
        <v>3403.25</v>
      </c>
      <c r="G3472" s="10">
        <f t="shared" si="9"/>
        <v>41454.64583</v>
      </c>
      <c r="H3472" s="6" t="str">
        <f t="shared" si="6"/>
        <v/>
      </c>
      <c r="I3472" s="2">
        <f t="shared" si="7"/>
        <v>1426.89</v>
      </c>
      <c r="M3472" s="10">
        <f>IFERROR(__xludf.DUMMYFUNCTION("""COMPUTED_VALUE"""),43014.66666666667)</f>
        <v>43014.66667</v>
      </c>
      <c r="N3472" s="2">
        <f>IFERROR(__xludf.DUMMYFUNCTION("""COMPUTED_VALUE"""),6590.18)</f>
        <v>6590.18</v>
      </c>
    </row>
    <row r="3473">
      <c r="A3473" s="10">
        <f t="shared" si="8"/>
        <v>41455.66667</v>
      </c>
      <c r="B3473" s="2" t="str">
        <f t="shared" si="2"/>
        <v/>
      </c>
      <c r="C3473" s="2" t="str">
        <f t="shared" si="3"/>
        <v>SP500</v>
      </c>
      <c r="D3473" s="2" t="str">
        <f t="shared" si="4"/>
        <v/>
      </c>
      <c r="E3473" s="2">
        <f t="shared" si="5"/>
        <v>3403.25</v>
      </c>
      <c r="G3473" s="10">
        <f t="shared" si="9"/>
        <v>41455.64583</v>
      </c>
      <c r="H3473" s="6" t="str">
        <f t="shared" si="6"/>
        <v/>
      </c>
      <c r="I3473" s="2">
        <f t="shared" si="7"/>
        <v>1426.89</v>
      </c>
      <c r="M3473" s="10">
        <f>IFERROR(__xludf.DUMMYFUNCTION("""COMPUTED_VALUE"""),43017.66666666667)</f>
        <v>43017.66667</v>
      </c>
      <c r="N3473" s="2">
        <f>IFERROR(__xludf.DUMMYFUNCTION("""COMPUTED_VALUE"""),6579.73)</f>
        <v>6579.73</v>
      </c>
    </row>
    <row r="3474">
      <c r="A3474" s="10">
        <f t="shared" si="8"/>
        <v>41456.66667</v>
      </c>
      <c r="B3474" s="2" t="str">
        <f t="shared" si="2"/>
        <v/>
      </c>
      <c r="C3474" s="2" t="str">
        <f t="shared" si="3"/>
        <v>SP500</v>
      </c>
      <c r="D3474" s="2">
        <f t="shared" si="4"/>
        <v>3434.49</v>
      </c>
      <c r="E3474" s="2">
        <f t="shared" si="5"/>
        <v>3434.49</v>
      </c>
      <c r="G3474" s="10">
        <f t="shared" si="9"/>
        <v>41456.64583</v>
      </c>
      <c r="H3474" s="6" t="str">
        <f t="shared" si="6"/>
        <v/>
      </c>
      <c r="I3474" s="2">
        <f t="shared" si="7"/>
        <v>1426.89</v>
      </c>
      <c r="M3474" s="10">
        <f>IFERROR(__xludf.DUMMYFUNCTION("""COMPUTED_VALUE"""),43018.66666666667)</f>
        <v>43018.66667</v>
      </c>
      <c r="N3474" s="2">
        <f>IFERROR(__xludf.DUMMYFUNCTION("""COMPUTED_VALUE"""),6587.25)</f>
        <v>6587.25</v>
      </c>
    </row>
    <row r="3475">
      <c r="A3475" s="10">
        <f t="shared" si="8"/>
        <v>41457.66667</v>
      </c>
      <c r="B3475" s="2" t="str">
        <f t="shared" si="2"/>
        <v/>
      </c>
      <c r="C3475" s="2" t="str">
        <f t="shared" si="3"/>
        <v>SP500</v>
      </c>
      <c r="D3475" s="2">
        <f t="shared" si="4"/>
        <v>3433.4</v>
      </c>
      <c r="E3475" s="2">
        <f t="shared" si="5"/>
        <v>3433.4</v>
      </c>
      <c r="G3475" s="10">
        <f t="shared" si="9"/>
        <v>41457.64583</v>
      </c>
      <c r="H3475" s="6" t="str">
        <f t="shared" si="6"/>
        <v/>
      </c>
      <c r="I3475" s="2">
        <f t="shared" si="7"/>
        <v>1426.89</v>
      </c>
      <c r="M3475" s="10">
        <f>IFERROR(__xludf.DUMMYFUNCTION("""COMPUTED_VALUE"""),43019.66666666667)</f>
        <v>43019.66667</v>
      </c>
      <c r="N3475" s="2">
        <f>IFERROR(__xludf.DUMMYFUNCTION("""COMPUTED_VALUE"""),6603.55)</f>
        <v>6603.55</v>
      </c>
    </row>
    <row r="3476">
      <c r="A3476" s="10">
        <f t="shared" si="8"/>
        <v>41458.66667</v>
      </c>
      <c r="B3476" s="2" t="str">
        <f t="shared" si="2"/>
        <v/>
      </c>
      <c r="C3476" s="2" t="str">
        <f t="shared" si="3"/>
        <v>SP500</v>
      </c>
      <c r="D3476" s="2">
        <f t="shared" si="4"/>
        <v>3443.67</v>
      </c>
      <c r="E3476" s="2">
        <f t="shared" si="5"/>
        <v>3443.67</v>
      </c>
      <c r="G3476" s="10">
        <f t="shared" si="9"/>
        <v>41458.64583</v>
      </c>
      <c r="H3476" s="6" t="str">
        <f t="shared" si="6"/>
        <v/>
      </c>
      <c r="I3476" s="2">
        <f t="shared" si="7"/>
        <v>1426.89</v>
      </c>
      <c r="M3476" s="10">
        <f>IFERROR(__xludf.DUMMYFUNCTION("""COMPUTED_VALUE"""),43020.66666666667)</f>
        <v>43020.66667</v>
      </c>
      <c r="N3476" s="2">
        <f>IFERROR(__xludf.DUMMYFUNCTION("""COMPUTED_VALUE"""),6591.51)</f>
        <v>6591.51</v>
      </c>
    </row>
    <row r="3477">
      <c r="A3477" s="10">
        <f t="shared" si="8"/>
        <v>41459.66667</v>
      </c>
      <c r="B3477" s="2" t="str">
        <f t="shared" si="2"/>
        <v/>
      </c>
      <c r="C3477" s="2" t="str">
        <f t="shared" si="3"/>
        <v>SP500</v>
      </c>
      <c r="D3477" s="2" t="str">
        <f t="shared" si="4"/>
        <v/>
      </c>
      <c r="E3477" s="2">
        <f t="shared" si="5"/>
        <v>3443.67</v>
      </c>
      <c r="G3477" s="10">
        <f t="shared" si="9"/>
        <v>41459.64583</v>
      </c>
      <c r="H3477" s="6" t="str">
        <f t="shared" si="6"/>
        <v/>
      </c>
      <c r="I3477" s="2">
        <f t="shared" si="7"/>
        <v>1426.89</v>
      </c>
      <c r="M3477" s="10">
        <f>IFERROR(__xludf.DUMMYFUNCTION("""COMPUTED_VALUE"""),43021.66666666667)</f>
        <v>43021.66667</v>
      </c>
      <c r="N3477" s="2">
        <f>IFERROR(__xludf.DUMMYFUNCTION("""COMPUTED_VALUE"""),6605.8)</f>
        <v>6605.8</v>
      </c>
    </row>
    <row r="3478">
      <c r="A3478" s="10">
        <f t="shared" si="8"/>
        <v>41460.66667</v>
      </c>
      <c r="B3478" s="2" t="str">
        <f t="shared" si="2"/>
        <v/>
      </c>
      <c r="C3478" s="2" t="str">
        <f t="shared" si="3"/>
        <v>SP500</v>
      </c>
      <c r="D3478" s="2">
        <f t="shared" si="4"/>
        <v>3479.38</v>
      </c>
      <c r="E3478" s="2">
        <f t="shared" si="5"/>
        <v>3479.38</v>
      </c>
      <c r="G3478" s="10">
        <f t="shared" si="9"/>
        <v>41460.64583</v>
      </c>
      <c r="H3478" s="6" t="str">
        <f t="shared" si="6"/>
        <v/>
      </c>
      <c r="I3478" s="2">
        <f t="shared" si="7"/>
        <v>1426.89</v>
      </c>
      <c r="M3478" s="10">
        <f>IFERROR(__xludf.DUMMYFUNCTION("""COMPUTED_VALUE"""),43024.66666666667)</f>
        <v>43024.66667</v>
      </c>
      <c r="N3478" s="2">
        <f>IFERROR(__xludf.DUMMYFUNCTION("""COMPUTED_VALUE"""),6624.0)</f>
        <v>6624</v>
      </c>
    </row>
    <row r="3479">
      <c r="A3479" s="10">
        <f t="shared" si="8"/>
        <v>41461.66667</v>
      </c>
      <c r="B3479" s="2" t="str">
        <f t="shared" si="2"/>
        <v/>
      </c>
      <c r="C3479" s="2" t="str">
        <f t="shared" si="3"/>
        <v>SP500</v>
      </c>
      <c r="D3479" s="2" t="str">
        <f t="shared" si="4"/>
        <v/>
      </c>
      <c r="E3479" s="2">
        <f t="shared" si="5"/>
        <v>3479.38</v>
      </c>
      <c r="G3479" s="10">
        <f t="shared" si="9"/>
        <v>41461.64583</v>
      </c>
      <c r="H3479" s="6" t="str">
        <f t="shared" si="6"/>
        <v/>
      </c>
      <c r="I3479" s="2">
        <f t="shared" si="7"/>
        <v>1426.89</v>
      </c>
      <c r="M3479" s="10">
        <f>IFERROR(__xludf.DUMMYFUNCTION("""COMPUTED_VALUE"""),43025.66666666667)</f>
        <v>43025.66667</v>
      </c>
      <c r="N3479" s="2">
        <f>IFERROR(__xludf.DUMMYFUNCTION("""COMPUTED_VALUE"""),6623.66)</f>
        <v>6623.66</v>
      </c>
    </row>
    <row r="3480">
      <c r="A3480" s="10">
        <f t="shared" si="8"/>
        <v>41462.66667</v>
      </c>
      <c r="B3480" s="2" t="str">
        <f t="shared" si="2"/>
        <v/>
      </c>
      <c r="C3480" s="2" t="str">
        <f t="shared" si="3"/>
        <v>SP500</v>
      </c>
      <c r="D3480" s="2" t="str">
        <f t="shared" si="4"/>
        <v/>
      </c>
      <c r="E3480" s="2">
        <f t="shared" si="5"/>
        <v>3479.38</v>
      </c>
      <c r="G3480" s="10">
        <f t="shared" si="9"/>
        <v>41462.64583</v>
      </c>
      <c r="H3480" s="6" t="str">
        <f t="shared" si="6"/>
        <v/>
      </c>
      <c r="I3480" s="2">
        <f t="shared" si="7"/>
        <v>1426.89</v>
      </c>
      <c r="M3480" s="10">
        <f>IFERROR(__xludf.DUMMYFUNCTION("""COMPUTED_VALUE"""),43026.66666666667)</f>
        <v>43026.66667</v>
      </c>
      <c r="N3480" s="2">
        <f>IFERROR(__xludf.DUMMYFUNCTION("""COMPUTED_VALUE"""),6624.22)</f>
        <v>6624.22</v>
      </c>
    </row>
    <row r="3481">
      <c r="A3481" s="10">
        <f t="shared" si="8"/>
        <v>41463.66667</v>
      </c>
      <c r="B3481" s="2" t="str">
        <f t="shared" si="2"/>
        <v/>
      </c>
      <c r="C3481" s="2" t="str">
        <f t="shared" si="3"/>
        <v>SP500</v>
      </c>
      <c r="D3481" s="2">
        <f t="shared" si="4"/>
        <v>3484.83</v>
      </c>
      <c r="E3481" s="2">
        <f t="shared" si="5"/>
        <v>3484.83</v>
      </c>
      <c r="G3481" s="10">
        <f t="shared" si="9"/>
        <v>41463.64583</v>
      </c>
      <c r="H3481" s="6" t="str">
        <f t="shared" si="6"/>
        <v/>
      </c>
      <c r="I3481" s="2">
        <f t="shared" si="7"/>
        <v>1426.89</v>
      </c>
      <c r="M3481" s="10">
        <f>IFERROR(__xludf.DUMMYFUNCTION("""COMPUTED_VALUE"""),43027.66666666667)</f>
        <v>43027.66667</v>
      </c>
      <c r="N3481" s="2">
        <f>IFERROR(__xludf.DUMMYFUNCTION("""COMPUTED_VALUE"""),6605.07)</f>
        <v>6605.07</v>
      </c>
    </row>
    <row r="3482">
      <c r="A3482" s="10">
        <f t="shared" si="8"/>
        <v>41464.66667</v>
      </c>
      <c r="B3482" s="2" t="str">
        <f t="shared" si="2"/>
        <v/>
      </c>
      <c r="C3482" s="2" t="str">
        <f t="shared" si="3"/>
        <v>SP500</v>
      </c>
      <c r="D3482" s="2">
        <f t="shared" si="4"/>
        <v>3504.26</v>
      </c>
      <c r="E3482" s="2">
        <f t="shared" si="5"/>
        <v>3504.26</v>
      </c>
      <c r="G3482" s="10">
        <f t="shared" si="9"/>
        <v>41464.64583</v>
      </c>
      <c r="H3482" s="6" t="str">
        <f t="shared" si="6"/>
        <v/>
      </c>
      <c r="I3482" s="2">
        <f t="shared" si="7"/>
        <v>1426.89</v>
      </c>
      <c r="M3482" s="10">
        <f>IFERROR(__xludf.DUMMYFUNCTION("""COMPUTED_VALUE"""),43028.66666666667)</f>
        <v>43028.66667</v>
      </c>
      <c r="N3482" s="2">
        <f>IFERROR(__xludf.DUMMYFUNCTION("""COMPUTED_VALUE"""),6629.05)</f>
        <v>6629.05</v>
      </c>
    </row>
    <row r="3483">
      <c r="A3483" s="10">
        <f t="shared" si="8"/>
        <v>41465.66667</v>
      </c>
      <c r="B3483" s="2" t="str">
        <f t="shared" si="2"/>
        <v/>
      </c>
      <c r="C3483" s="2" t="str">
        <f t="shared" si="3"/>
        <v>SP500</v>
      </c>
      <c r="D3483" s="2">
        <f t="shared" si="4"/>
        <v>3520.76</v>
      </c>
      <c r="E3483" s="2">
        <f t="shared" si="5"/>
        <v>3520.76</v>
      </c>
      <c r="G3483" s="10">
        <f t="shared" si="9"/>
        <v>41465.64583</v>
      </c>
      <c r="H3483" s="6" t="str">
        <f t="shared" si="6"/>
        <v/>
      </c>
      <c r="I3483" s="2">
        <f t="shared" si="7"/>
        <v>1426.89</v>
      </c>
      <c r="M3483" s="10">
        <f>IFERROR(__xludf.DUMMYFUNCTION("""COMPUTED_VALUE"""),43031.66666666667)</f>
        <v>43031.66667</v>
      </c>
      <c r="N3483" s="2">
        <f>IFERROR(__xludf.DUMMYFUNCTION("""COMPUTED_VALUE"""),6586.83)</f>
        <v>6586.83</v>
      </c>
    </row>
    <row r="3484">
      <c r="A3484" s="10">
        <f t="shared" si="8"/>
        <v>41466.66667</v>
      </c>
      <c r="B3484" s="2" t="str">
        <f t="shared" si="2"/>
        <v/>
      </c>
      <c r="C3484" s="2" t="str">
        <f t="shared" si="3"/>
        <v>SP500</v>
      </c>
      <c r="D3484" s="2">
        <f t="shared" si="4"/>
        <v>3578.3</v>
      </c>
      <c r="E3484" s="2">
        <f t="shared" si="5"/>
        <v>3578.3</v>
      </c>
      <c r="G3484" s="10">
        <f t="shared" si="9"/>
        <v>41466.64583</v>
      </c>
      <c r="H3484" s="6" t="str">
        <f t="shared" si="6"/>
        <v/>
      </c>
      <c r="I3484" s="2">
        <f t="shared" si="7"/>
        <v>1426.89</v>
      </c>
      <c r="M3484" s="10">
        <f>IFERROR(__xludf.DUMMYFUNCTION("""COMPUTED_VALUE"""),43032.66666666667)</f>
        <v>43032.66667</v>
      </c>
      <c r="N3484" s="2">
        <f>IFERROR(__xludf.DUMMYFUNCTION("""COMPUTED_VALUE"""),6598.43)</f>
        <v>6598.43</v>
      </c>
    </row>
    <row r="3485">
      <c r="A3485" s="10">
        <f t="shared" si="8"/>
        <v>41467.66667</v>
      </c>
      <c r="B3485" s="2" t="str">
        <f t="shared" si="2"/>
        <v/>
      </c>
      <c r="C3485" s="2" t="str">
        <f t="shared" si="3"/>
        <v>SP500</v>
      </c>
      <c r="D3485" s="2">
        <f t="shared" si="4"/>
        <v>3600.08</v>
      </c>
      <c r="E3485" s="2">
        <f t="shared" si="5"/>
        <v>3600.08</v>
      </c>
      <c r="G3485" s="10">
        <f t="shared" si="9"/>
        <v>41467.64583</v>
      </c>
      <c r="H3485" s="6" t="str">
        <f t="shared" si="6"/>
        <v/>
      </c>
      <c r="I3485" s="2">
        <f t="shared" si="7"/>
        <v>1426.89</v>
      </c>
      <c r="M3485" s="10">
        <f>IFERROR(__xludf.DUMMYFUNCTION("""COMPUTED_VALUE"""),43033.66666666667)</f>
        <v>43033.66667</v>
      </c>
      <c r="N3485" s="2">
        <f>IFERROR(__xludf.DUMMYFUNCTION("""COMPUTED_VALUE"""),6563.89)</f>
        <v>6563.89</v>
      </c>
    </row>
    <row r="3486">
      <c r="A3486" s="10">
        <f t="shared" si="8"/>
        <v>41468.66667</v>
      </c>
      <c r="B3486" s="2" t="str">
        <f t="shared" si="2"/>
        <v/>
      </c>
      <c r="C3486" s="2" t="str">
        <f t="shared" si="3"/>
        <v>SP500</v>
      </c>
      <c r="D3486" s="2" t="str">
        <f t="shared" si="4"/>
        <v/>
      </c>
      <c r="E3486" s="2">
        <f t="shared" si="5"/>
        <v>3600.08</v>
      </c>
      <c r="G3486" s="10">
        <f t="shared" si="9"/>
        <v>41468.64583</v>
      </c>
      <c r="H3486" s="6" t="str">
        <f t="shared" si="6"/>
        <v/>
      </c>
      <c r="I3486" s="2">
        <f t="shared" si="7"/>
        <v>1426.89</v>
      </c>
      <c r="M3486" s="10">
        <f>IFERROR(__xludf.DUMMYFUNCTION("""COMPUTED_VALUE"""),43034.66666666667)</f>
        <v>43034.66667</v>
      </c>
      <c r="N3486" s="2">
        <f>IFERROR(__xludf.DUMMYFUNCTION("""COMPUTED_VALUE"""),6556.77)</f>
        <v>6556.77</v>
      </c>
    </row>
    <row r="3487">
      <c r="A3487" s="10">
        <f t="shared" si="8"/>
        <v>41469.66667</v>
      </c>
      <c r="B3487" s="2" t="str">
        <f t="shared" si="2"/>
        <v/>
      </c>
      <c r="C3487" s="2" t="str">
        <f t="shared" si="3"/>
        <v>SP500</v>
      </c>
      <c r="D3487" s="2" t="str">
        <f t="shared" si="4"/>
        <v/>
      </c>
      <c r="E3487" s="2">
        <f t="shared" si="5"/>
        <v>3600.08</v>
      </c>
      <c r="G3487" s="10">
        <f t="shared" si="9"/>
        <v>41469.64583</v>
      </c>
      <c r="H3487" s="6" t="str">
        <f t="shared" si="6"/>
        <v/>
      </c>
      <c r="I3487" s="2">
        <f t="shared" si="7"/>
        <v>1426.89</v>
      </c>
      <c r="M3487" s="10">
        <f>IFERROR(__xludf.DUMMYFUNCTION("""COMPUTED_VALUE"""),43035.66666666667)</f>
        <v>43035.66667</v>
      </c>
      <c r="N3487" s="2">
        <f>IFERROR(__xludf.DUMMYFUNCTION("""COMPUTED_VALUE"""),6701.26)</f>
        <v>6701.26</v>
      </c>
    </row>
    <row r="3488">
      <c r="A3488" s="10">
        <f t="shared" si="8"/>
        <v>41470.66667</v>
      </c>
      <c r="B3488" s="2" t="str">
        <f t="shared" si="2"/>
        <v/>
      </c>
      <c r="C3488" s="2" t="str">
        <f t="shared" si="3"/>
        <v>SP500</v>
      </c>
      <c r="D3488" s="2">
        <f t="shared" si="4"/>
        <v>3607.49</v>
      </c>
      <c r="E3488" s="2">
        <f t="shared" si="5"/>
        <v>3607.49</v>
      </c>
      <c r="G3488" s="10">
        <f t="shared" si="9"/>
        <v>41470.64583</v>
      </c>
      <c r="H3488" s="6" t="str">
        <f t="shared" si="6"/>
        <v/>
      </c>
      <c r="I3488" s="2">
        <f t="shared" si="7"/>
        <v>1426.89</v>
      </c>
      <c r="M3488" s="10">
        <f>IFERROR(__xludf.DUMMYFUNCTION("""COMPUTED_VALUE"""),43038.66666666667)</f>
        <v>43038.66667</v>
      </c>
      <c r="N3488" s="2">
        <f>IFERROR(__xludf.DUMMYFUNCTION("""COMPUTED_VALUE"""),6698.96)</f>
        <v>6698.96</v>
      </c>
    </row>
    <row r="3489">
      <c r="A3489" s="10">
        <f t="shared" si="8"/>
        <v>41471.66667</v>
      </c>
      <c r="B3489" s="2" t="str">
        <f t="shared" si="2"/>
        <v/>
      </c>
      <c r="C3489" s="2" t="str">
        <f t="shared" si="3"/>
        <v>SP500</v>
      </c>
      <c r="D3489" s="2">
        <f t="shared" si="4"/>
        <v>3598.5</v>
      </c>
      <c r="E3489" s="2">
        <f t="shared" si="5"/>
        <v>3598.5</v>
      </c>
      <c r="G3489" s="10">
        <f t="shared" si="9"/>
        <v>41471.64583</v>
      </c>
      <c r="H3489" s="6" t="str">
        <f t="shared" si="6"/>
        <v/>
      </c>
      <c r="I3489" s="2">
        <f t="shared" si="7"/>
        <v>1426.89</v>
      </c>
      <c r="M3489" s="10">
        <f>IFERROR(__xludf.DUMMYFUNCTION("""COMPUTED_VALUE"""),43039.66666666667)</f>
        <v>43039.66667</v>
      </c>
      <c r="N3489" s="2">
        <f>IFERROR(__xludf.DUMMYFUNCTION("""COMPUTED_VALUE"""),6727.67)</f>
        <v>6727.67</v>
      </c>
    </row>
    <row r="3490">
      <c r="A3490" s="10">
        <f t="shared" si="8"/>
        <v>41472.66667</v>
      </c>
      <c r="B3490" s="2" t="str">
        <f t="shared" si="2"/>
        <v/>
      </c>
      <c r="C3490" s="2" t="str">
        <f t="shared" si="3"/>
        <v>SP500</v>
      </c>
      <c r="D3490" s="2">
        <f t="shared" si="4"/>
        <v>3610</v>
      </c>
      <c r="E3490" s="2">
        <f t="shared" si="5"/>
        <v>3610</v>
      </c>
      <c r="G3490" s="10">
        <f t="shared" si="9"/>
        <v>41472.64583</v>
      </c>
      <c r="H3490" s="6" t="str">
        <f t="shared" si="6"/>
        <v/>
      </c>
      <c r="I3490" s="2">
        <f t="shared" si="7"/>
        <v>1426.89</v>
      </c>
      <c r="M3490" s="10">
        <f>IFERROR(__xludf.DUMMYFUNCTION("""COMPUTED_VALUE"""),43040.66666666667)</f>
        <v>43040.66667</v>
      </c>
      <c r="N3490" s="2">
        <f>IFERROR(__xludf.DUMMYFUNCTION("""COMPUTED_VALUE"""),6716.53)</f>
        <v>6716.53</v>
      </c>
    </row>
    <row r="3491">
      <c r="A3491" s="10">
        <f t="shared" si="8"/>
        <v>41473.66667</v>
      </c>
      <c r="B3491" s="2" t="str">
        <f t="shared" si="2"/>
        <v/>
      </c>
      <c r="C3491" s="2" t="str">
        <f t="shared" si="3"/>
        <v>SP500</v>
      </c>
      <c r="D3491" s="2">
        <f t="shared" si="4"/>
        <v>3611.28</v>
      </c>
      <c r="E3491" s="2">
        <f t="shared" si="5"/>
        <v>3611.28</v>
      </c>
      <c r="G3491" s="10">
        <f t="shared" si="9"/>
        <v>41473.64583</v>
      </c>
      <c r="H3491" s="6" t="str">
        <f t="shared" si="6"/>
        <v/>
      </c>
      <c r="I3491" s="2">
        <f t="shared" si="7"/>
        <v>1426.89</v>
      </c>
      <c r="M3491" s="10">
        <f>IFERROR(__xludf.DUMMYFUNCTION("""COMPUTED_VALUE"""),43041.66666666667)</f>
        <v>43041.66667</v>
      </c>
      <c r="N3491" s="2">
        <f>IFERROR(__xludf.DUMMYFUNCTION("""COMPUTED_VALUE"""),6714.94)</f>
        <v>6714.94</v>
      </c>
    </row>
    <row r="3492">
      <c r="A3492" s="10">
        <f t="shared" si="8"/>
        <v>41474.66667</v>
      </c>
      <c r="B3492" s="2" t="str">
        <f t="shared" si="2"/>
        <v/>
      </c>
      <c r="C3492" s="2" t="str">
        <f t="shared" si="3"/>
        <v>SP500</v>
      </c>
      <c r="D3492" s="2">
        <f t="shared" si="4"/>
        <v>3587.61</v>
      </c>
      <c r="E3492" s="2">
        <f t="shared" si="5"/>
        <v>3587.61</v>
      </c>
      <c r="G3492" s="10">
        <f t="shared" si="9"/>
        <v>41474.64583</v>
      </c>
      <c r="H3492" s="6" t="str">
        <f t="shared" si="6"/>
        <v/>
      </c>
      <c r="I3492" s="2">
        <f t="shared" si="7"/>
        <v>1426.89</v>
      </c>
      <c r="M3492" s="10">
        <f>IFERROR(__xludf.DUMMYFUNCTION("""COMPUTED_VALUE"""),43042.66666666667)</f>
        <v>43042.66667</v>
      </c>
      <c r="N3492" s="2">
        <f>IFERROR(__xludf.DUMMYFUNCTION("""COMPUTED_VALUE"""),6764.44)</f>
        <v>6764.44</v>
      </c>
    </row>
    <row r="3493">
      <c r="A3493" s="10">
        <f t="shared" si="8"/>
        <v>41475.66667</v>
      </c>
      <c r="B3493" s="2" t="str">
        <f t="shared" si="2"/>
        <v/>
      </c>
      <c r="C3493" s="2" t="str">
        <f t="shared" si="3"/>
        <v>SP500</v>
      </c>
      <c r="D3493" s="2" t="str">
        <f t="shared" si="4"/>
        <v/>
      </c>
      <c r="E3493" s="2">
        <f t="shared" si="5"/>
        <v>3587.61</v>
      </c>
      <c r="G3493" s="10">
        <f t="shared" si="9"/>
        <v>41475.64583</v>
      </c>
      <c r="H3493" s="6" t="str">
        <f t="shared" si="6"/>
        <v/>
      </c>
      <c r="I3493" s="2">
        <f t="shared" si="7"/>
        <v>1426.89</v>
      </c>
      <c r="M3493" s="10">
        <f>IFERROR(__xludf.DUMMYFUNCTION("""COMPUTED_VALUE"""),43045.66666666667)</f>
        <v>43045.66667</v>
      </c>
      <c r="N3493" s="2">
        <f>IFERROR(__xludf.DUMMYFUNCTION("""COMPUTED_VALUE"""),6786.44)</f>
        <v>6786.44</v>
      </c>
    </row>
    <row r="3494">
      <c r="A3494" s="10">
        <f t="shared" si="8"/>
        <v>41476.66667</v>
      </c>
      <c r="B3494" s="2" t="str">
        <f t="shared" si="2"/>
        <v/>
      </c>
      <c r="C3494" s="2" t="str">
        <f t="shared" si="3"/>
        <v>SP500</v>
      </c>
      <c r="D3494" s="2" t="str">
        <f t="shared" si="4"/>
        <v/>
      </c>
      <c r="E3494" s="2">
        <f t="shared" si="5"/>
        <v>3587.61</v>
      </c>
      <c r="G3494" s="10">
        <f t="shared" si="9"/>
        <v>41476.64583</v>
      </c>
      <c r="H3494" s="6" t="str">
        <f t="shared" si="6"/>
        <v/>
      </c>
      <c r="I3494" s="2">
        <f t="shared" si="7"/>
        <v>1426.89</v>
      </c>
      <c r="M3494" s="10">
        <f>IFERROR(__xludf.DUMMYFUNCTION("""COMPUTED_VALUE"""),43046.66666666667)</f>
        <v>43046.66667</v>
      </c>
      <c r="N3494" s="2">
        <f>IFERROR(__xludf.DUMMYFUNCTION("""COMPUTED_VALUE"""),6767.78)</f>
        <v>6767.78</v>
      </c>
    </row>
    <row r="3495">
      <c r="A3495" s="10">
        <f t="shared" si="8"/>
        <v>41477.66667</v>
      </c>
      <c r="B3495" s="2" t="str">
        <f t="shared" si="2"/>
        <v/>
      </c>
      <c r="C3495" s="2" t="str">
        <f t="shared" si="3"/>
        <v>SP500</v>
      </c>
      <c r="D3495" s="2">
        <f t="shared" si="4"/>
        <v>3600.39</v>
      </c>
      <c r="E3495" s="2">
        <f t="shared" si="5"/>
        <v>3600.39</v>
      </c>
      <c r="G3495" s="10">
        <f t="shared" si="9"/>
        <v>41477.64583</v>
      </c>
      <c r="H3495" s="6" t="str">
        <f t="shared" si="6"/>
        <v/>
      </c>
      <c r="I3495" s="2">
        <f t="shared" si="7"/>
        <v>1426.89</v>
      </c>
      <c r="M3495" s="10">
        <f>IFERROR(__xludf.DUMMYFUNCTION("""COMPUTED_VALUE"""),43047.66666666667)</f>
        <v>43047.66667</v>
      </c>
      <c r="N3495" s="2">
        <f>IFERROR(__xludf.DUMMYFUNCTION("""COMPUTED_VALUE"""),6789.12)</f>
        <v>6789.12</v>
      </c>
    </row>
    <row r="3496">
      <c r="A3496" s="10">
        <f t="shared" si="8"/>
        <v>41478.66667</v>
      </c>
      <c r="B3496" s="2" t="str">
        <f t="shared" si="2"/>
        <v/>
      </c>
      <c r="C3496" s="2" t="str">
        <f t="shared" si="3"/>
        <v>SP500</v>
      </c>
      <c r="D3496" s="2">
        <f t="shared" si="4"/>
        <v>3579.27</v>
      </c>
      <c r="E3496" s="2">
        <f t="shared" si="5"/>
        <v>3579.27</v>
      </c>
      <c r="G3496" s="10">
        <f t="shared" si="9"/>
        <v>41478.64583</v>
      </c>
      <c r="H3496" s="6" t="str">
        <f t="shared" si="6"/>
        <v/>
      </c>
      <c r="I3496" s="2">
        <f t="shared" si="7"/>
        <v>1426.89</v>
      </c>
      <c r="M3496" s="10">
        <f>IFERROR(__xludf.DUMMYFUNCTION("""COMPUTED_VALUE"""),43048.66666666667)</f>
        <v>43048.66667</v>
      </c>
      <c r="N3496" s="2">
        <f>IFERROR(__xludf.DUMMYFUNCTION("""COMPUTED_VALUE"""),6750.05)</f>
        <v>6750.05</v>
      </c>
    </row>
    <row r="3497">
      <c r="A3497" s="10">
        <f t="shared" si="8"/>
        <v>41479.66667</v>
      </c>
      <c r="B3497" s="2" t="str">
        <f t="shared" si="2"/>
        <v/>
      </c>
      <c r="C3497" s="2" t="str">
        <f t="shared" si="3"/>
        <v>SP500</v>
      </c>
      <c r="D3497" s="2">
        <f t="shared" si="4"/>
        <v>3579.6</v>
      </c>
      <c r="E3497" s="2">
        <f t="shared" si="5"/>
        <v>3579.6</v>
      </c>
      <c r="G3497" s="10">
        <f t="shared" si="9"/>
        <v>41479.64583</v>
      </c>
      <c r="H3497" s="6" t="str">
        <f t="shared" si="6"/>
        <v/>
      </c>
      <c r="I3497" s="2">
        <f t="shared" si="7"/>
        <v>1426.89</v>
      </c>
      <c r="M3497" s="10">
        <f>IFERROR(__xludf.DUMMYFUNCTION("""COMPUTED_VALUE"""),43049.66666666667)</f>
        <v>43049.66667</v>
      </c>
      <c r="N3497" s="2">
        <f>IFERROR(__xludf.DUMMYFUNCTION("""COMPUTED_VALUE"""),6750.94)</f>
        <v>6750.94</v>
      </c>
    </row>
    <row r="3498">
      <c r="A3498" s="10">
        <f t="shared" si="8"/>
        <v>41480.66667</v>
      </c>
      <c r="B3498" s="2" t="str">
        <f t="shared" si="2"/>
        <v/>
      </c>
      <c r="C3498" s="2" t="str">
        <f t="shared" si="3"/>
        <v>SP500</v>
      </c>
      <c r="D3498" s="2">
        <f t="shared" si="4"/>
        <v>3605.19</v>
      </c>
      <c r="E3498" s="2">
        <f t="shared" si="5"/>
        <v>3605.19</v>
      </c>
      <c r="G3498" s="10">
        <f t="shared" si="9"/>
        <v>41480.64583</v>
      </c>
      <c r="H3498" s="6" t="str">
        <f t="shared" si="6"/>
        <v/>
      </c>
      <c r="I3498" s="2">
        <f t="shared" si="7"/>
        <v>1426.89</v>
      </c>
      <c r="M3498" s="10">
        <f>IFERROR(__xludf.DUMMYFUNCTION("""COMPUTED_VALUE"""),43052.66666666667)</f>
        <v>43052.66667</v>
      </c>
      <c r="N3498" s="2">
        <f>IFERROR(__xludf.DUMMYFUNCTION("""COMPUTED_VALUE"""),6757.6)</f>
        <v>6757.6</v>
      </c>
    </row>
    <row r="3499">
      <c r="A3499" s="10">
        <f t="shared" si="8"/>
        <v>41481.66667</v>
      </c>
      <c r="B3499" s="2" t="str">
        <f t="shared" si="2"/>
        <v/>
      </c>
      <c r="C3499" s="2" t="str">
        <f t="shared" si="3"/>
        <v>SP500</v>
      </c>
      <c r="D3499" s="2">
        <f t="shared" si="4"/>
        <v>3613.16</v>
      </c>
      <c r="E3499" s="2">
        <f t="shared" si="5"/>
        <v>3613.16</v>
      </c>
      <c r="G3499" s="10">
        <f t="shared" si="9"/>
        <v>41481.64583</v>
      </c>
      <c r="H3499" s="6" t="str">
        <f t="shared" si="6"/>
        <v/>
      </c>
      <c r="I3499" s="2">
        <f t="shared" si="7"/>
        <v>1426.89</v>
      </c>
      <c r="M3499" s="10">
        <f>IFERROR(__xludf.DUMMYFUNCTION("""COMPUTED_VALUE"""),43053.66666666667)</f>
        <v>43053.66667</v>
      </c>
      <c r="N3499" s="2">
        <f>IFERROR(__xludf.DUMMYFUNCTION("""COMPUTED_VALUE"""),6737.87)</f>
        <v>6737.87</v>
      </c>
    </row>
    <row r="3500">
      <c r="A3500" s="10">
        <f t="shared" si="8"/>
        <v>41482.66667</v>
      </c>
      <c r="B3500" s="2" t="str">
        <f t="shared" si="2"/>
        <v/>
      </c>
      <c r="C3500" s="2" t="str">
        <f t="shared" si="3"/>
        <v>SP500</v>
      </c>
      <c r="D3500" s="2" t="str">
        <f t="shared" si="4"/>
        <v/>
      </c>
      <c r="E3500" s="2">
        <f t="shared" si="5"/>
        <v>3613.16</v>
      </c>
      <c r="G3500" s="10">
        <f t="shared" si="9"/>
        <v>41482.64583</v>
      </c>
      <c r="H3500" s="6" t="str">
        <f t="shared" si="6"/>
        <v/>
      </c>
      <c r="I3500" s="2">
        <f t="shared" si="7"/>
        <v>1426.89</v>
      </c>
      <c r="M3500" s="10">
        <f>IFERROR(__xludf.DUMMYFUNCTION("""COMPUTED_VALUE"""),43054.66666666667)</f>
        <v>43054.66667</v>
      </c>
      <c r="N3500" s="2">
        <f>IFERROR(__xludf.DUMMYFUNCTION("""COMPUTED_VALUE"""),6706.21)</f>
        <v>6706.21</v>
      </c>
    </row>
    <row r="3501">
      <c r="A3501" s="10">
        <f t="shared" si="8"/>
        <v>41483.66667</v>
      </c>
      <c r="B3501" s="2" t="str">
        <f t="shared" si="2"/>
        <v/>
      </c>
      <c r="C3501" s="2" t="str">
        <f t="shared" si="3"/>
        <v>SP500</v>
      </c>
      <c r="D3501" s="2" t="str">
        <f t="shared" si="4"/>
        <v/>
      </c>
      <c r="E3501" s="2">
        <f t="shared" si="5"/>
        <v>3613.16</v>
      </c>
      <c r="G3501" s="10">
        <f t="shared" si="9"/>
        <v>41483.64583</v>
      </c>
      <c r="H3501" s="6" t="str">
        <f t="shared" si="6"/>
        <v/>
      </c>
      <c r="I3501" s="2">
        <f t="shared" si="7"/>
        <v>1426.89</v>
      </c>
      <c r="M3501" s="10">
        <f>IFERROR(__xludf.DUMMYFUNCTION("""COMPUTED_VALUE"""),43055.66666666667)</f>
        <v>43055.66667</v>
      </c>
      <c r="N3501" s="2">
        <f>IFERROR(__xludf.DUMMYFUNCTION("""COMPUTED_VALUE"""),6793.29)</f>
        <v>6793.29</v>
      </c>
    </row>
    <row r="3502">
      <c r="A3502" s="10">
        <f t="shared" si="8"/>
        <v>41484.66667</v>
      </c>
      <c r="B3502" s="2" t="str">
        <f t="shared" si="2"/>
        <v/>
      </c>
      <c r="C3502" s="2" t="str">
        <f t="shared" si="3"/>
        <v>SP500</v>
      </c>
      <c r="D3502" s="2">
        <f t="shared" si="4"/>
        <v>3599.14</v>
      </c>
      <c r="E3502" s="2">
        <f t="shared" si="5"/>
        <v>3599.14</v>
      </c>
      <c r="G3502" s="10">
        <f t="shared" si="9"/>
        <v>41484.64583</v>
      </c>
      <c r="H3502" s="6" t="str">
        <f t="shared" si="6"/>
        <v/>
      </c>
      <c r="I3502" s="2">
        <f t="shared" si="7"/>
        <v>1426.89</v>
      </c>
      <c r="M3502" s="10">
        <f>IFERROR(__xludf.DUMMYFUNCTION("""COMPUTED_VALUE"""),43056.66666666667)</f>
        <v>43056.66667</v>
      </c>
      <c r="N3502" s="2">
        <f>IFERROR(__xludf.DUMMYFUNCTION("""COMPUTED_VALUE"""),6782.79)</f>
        <v>6782.79</v>
      </c>
    </row>
    <row r="3503">
      <c r="A3503" s="10">
        <f t="shared" si="8"/>
        <v>41485.66667</v>
      </c>
      <c r="B3503" s="2" t="str">
        <f t="shared" si="2"/>
        <v/>
      </c>
      <c r="C3503" s="2" t="str">
        <f t="shared" si="3"/>
        <v>SP500</v>
      </c>
      <c r="D3503" s="2">
        <f t="shared" si="4"/>
        <v>3616.47</v>
      </c>
      <c r="E3503" s="2">
        <f t="shared" si="5"/>
        <v>3616.47</v>
      </c>
      <c r="G3503" s="10">
        <f t="shared" si="9"/>
        <v>41485.64583</v>
      </c>
      <c r="H3503" s="6" t="str">
        <f t="shared" si="6"/>
        <v/>
      </c>
      <c r="I3503" s="2">
        <f t="shared" si="7"/>
        <v>1426.89</v>
      </c>
      <c r="M3503" s="10">
        <f>IFERROR(__xludf.DUMMYFUNCTION("""COMPUTED_VALUE"""),43059.66666666667)</f>
        <v>43059.66667</v>
      </c>
      <c r="N3503" s="2">
        <f>IFERROR(__xludf.DUMMYFUNCTION("""COMPUTED_VALUE"""),6790.71)</f>
        <v>6790.71</v>
      </c>
    </row>
    <row r="3504">
      <c r="A3504" s="10">
        <f t="shared" si="8"/>
        <v>41486.66667</v>
      </c>
      <c r="B3504" s="2" t="str">
        <f t="shared" si="2"/>
        <v/>
      </c>
      <c r="C3504" s="2" t="str">
        <f t="shared" si="3"/>
        <v>SP500</v>
      </c>
      <c r="D3504" s="2">
        <f t="shared" si="4"/>
        <v>3626.37</v>
      </c>
      <c r="E3504" s="2">
        <f t="shared" si="5"/>
        <v>3626.37</v>
      </c>
      <c r="G3504" s="10">
        <f t="shared" si="9"/>
        <v>41486.64583</v>
      </c>
      <c r="H3504" s="6" t="str">
        <f t="shared" si="6"/>
        <v/>
      </c>
      <c r="I3504" s="2">
        <f t="shared" si="7"/>
        <v>1426.89</v>
      </c>
      <c r="M3504" s="10">
        <f>IFERROR(__xludf.DUMMYFUNCTION("""COMPUTED_VALUE"""),43060.66666666667)</f>
        <v>43060.66667</v>
      </c>
      <c r="N3504" s="2">
        <f>IFERROR(__xludf.DUMMYFUNCTION("""COMPUTED_VALUE"""),6862.48)</f>
        <v>6862.48</v>
      </c>
    </row>
    <row r="3505">
      <c r="A3505" s="10">
        <f t="shared" si="8"/>
        <v>41487.66667</v>
      </c>
      <c r="B3505" s="2" t="str">
        <f t="shared" si="2"/>
        <v/>
      </c>
      <c r="C3505" s="2" t="str">
        <f t="shared" si="3"/>
        <v>SP500</v>
      </c>
      <c r="D3505" s="2">
        <f t="shared" si="4"/>
        <v>3675.74</v>
      </c>
      <c r="E3505" s="2">
        <f t="shared" si="5"/>
        <v>3675.74</v>
      </c>
      <c r="G3505" s="10">
        <f t="shared" si="9"/>
        <v>41487.64583</v>
      </c>
      <c r="H3505" s="6" t="str">
        <f t="shared" si="6"/>
        <v/>
      </c>
      <c r="I3505" s="2">
        <f t="shared" si="7"/>
        <v>1426.89</v>
      </c>
      <c r="M3505" s="10">
        <f>IFERROR(__xludf.DUMMYFUNCTION("""COMPUTED_VALUE"""),43061.66666666667)</f>
        <v>43061.66667</v>
      </c>
      <c r="N3505" s="2">
        <f>IFERROR(__xludf.DUMMYFUNCTION("""COMPUTED_VALUE"""),6867.36)</f>
        <v>6867.36</v>
      </c>
    </row>
    <row r="3506">
      <c r="A3506" s="10">
        <f t="shared" si="8"/>
        <v>41488.66667</v>
      </c>
      <c r="B3506" s="2" t="str">
        <f t="shared" si="2"/>
        <v/>
      </c>
      <c r="C3506" s="2" t="str">
        <f t="shared" si="3"/>
        <v>SP500</v>
      </c>
      <c r="D3506" s="2">
        <f t="shared" si="4"/>
        <v>3689.59</v>
      </c>
      <c r="E3506" s="2">
        <f t="shared" si="5"/>
        <v>3689.59</v>
      </c>
      <c r="G3506" s="10">
        <f t="shared" si="9"/>
        <v>41488.64583</v>
      </c>
      <c r="H3506" s="6" t="str">
        <f t="shared" si="6"/>
        <v/>
      </c>
      <c r="I3506" s="2">
        <f t="shared" si="7"/>
        <v>1426.89</v>
      </c>
      <c r="M3506" s="10">
        <f>IFERROR(__xludf.DUMMYFUNCTION("""COMPUTED_VALUE"""),43063.54166666667)</f>
        <v>43063.54167</v>
      </c>
      <c r="N3506" s="2">
        <f>IFERROR(__xludf.DUMMYFUNCTION("""COMPUTED_VALUE"""),6889.16)</f>
        <v>6889.16</v>
      </c>
    </row>
    <row r="3507">
      <c r="A3507" s="10">
        <f t="shared" si="8"/>
        <v>41489.66667</v>
      </c>
      <c r="B3507" s="2" t="str">
        <f t="shared" si="2"/>
        <v/>
      </c>
      <c r="C3507" s="2" t="str">
        <f t="shared" si="3"/>
        <v>SP500</v>
      </c>
      <c r="D3507" s="2" t="str">
        <f t="shared" si="4"/>
        <v/>
      </c>
      <c r="E3507" s="2">
        <f t="shared" si="5"/>
        <v>3689.59</v>
      </c>
      <c r="G3507" s="10">
        <f t="shared" si="9"/>
        <v>41489.64583</v>
      </c>
      <c r="H3507" s="6" t="str">
        <f t="shared" si="6"/>
        <v/>
      </c>
      <c r="I3507" s="2">
        <f t="shared" si="7"/>
        <v>1426.89</v>
      </c>
      <c r="M3507" s="10">
        <f>IFERROR(__xludf.DUMMYFUNCTION("""COMPUTED_VALUE"""),43066.66666666667)</f>
        <v>43066.66667</v>
      </c>
      <c r="N3507" s="2">
        <f>IFERROR(__xludf.DUMMYFUNCTION("""COMPUTED_VALUE"""),6878.52)</f>
        <v>6878.52</v>
      </c>
    </row>
    <row r="3508">
      <c r="A3508" s="10">
        <f t="shared" si="8"/>
        <v>41490.66667</v>
      </c>
      <c r="B3508" s="2" t="str">
        <f t="shared" si="2"/>
        <v/>
      </c>
      <c r="C3508" s="2" t="str">
        <f t="shared" si="3"/>
        <v>SP500</v>
      </c>
      <c r="D3508" s="2" t="str">
        <f t="shared" si="4"/>
        <v/>
      </c>
      <c r="E3508" s="2">
        <f t="shared" si="5"/>
        <v>3689.59</v>
      </c>
      <c r="G3508" s="10">
        <f t="shared" si="9"/>
        <v>41490.64583</v>
      </c>
      <c r="H3508" s="6" t="str">
        <f t="shared" si="6"/>
        <v/>
      </c>
      <c r="I3508" s="2">
        <f t="shared" si="7"/>
        <v>1426.89</v>
      </c>
      <c r="M3508" s="10">
        <f>IFERROR(__xludf.DUMMYFUNCTION("""COMPUTED_VALUE"""),43067.66666666667)</f>
        <v>43067.66667</v>
      </c>
      <c r="N3508" s="2">
        <f>IFERROR(__xludf.DUMMYFUNCTION("""COMPUTED_VALUE"""),6912.36)</f>
        <v>6912.36</v>
      </c>
    </row>
    <row r="3509">
      <c r="A3509" s="10">
        <f t="shared" si="8"/>
        <v>41491.66667</v>
      </c>
      <c r="B3509" s="2" t="str">
        <f t="shared" si="2"/>
        <v/>
      </c>
      <c r="C3509" s="2" t="str">
        <f t="shared" si="3"/>
        <v>SP500</v>
      </c>
      <c r="D3509" s="2">
        <f t="shared" si="4"/>
        <v>3692.95</v>
      </c>
      <c r="E3509" s="2">
        <f t="shared" si="5"/>
        <v>3692.95</v>
      </c>
      <c r="G3509" s="10">
        <f t="shared" si="9"/>
        <v>41491.64583</v>
      </c>
      <c r="H3509" s="6" t="str">
        <f t="shared" si="6"/>
        <v/>
      </c>
      <c r="I3509" s="2">
        <f t="shared" si="7"/>
        <v>1426.89</v>
      </c>
      <c r="M3509" s="10">
        <f>IFERROR(__xludf.DUMMYFUNCTION("""COMPUTED_VALUE"""),43068.66666666667)</f>
        <v>43068.66667</v>
      </c>
      <c r="N3509" s="2">
        <f>IFERROR(__xludf.DUMMYFUNCTION("""COMPUTED_VALUE"""),6824.39)</f>
        <v>6824.39</v>
      </c>
    </row>
    <row r="3510">
      <c r="A3510" s="10">
        <f t="shared" si="8"/>
        <v>41492.66667</v>
      </c>
      <c r="B3510" s="2" t="str">
        <f t="shared" si="2"/>
        <v/>
      </c>
      <c r="C3510" s="2" t="str">
        <f t="shared" si="3"/>
        <v>SP500</v>
      </c>
      <c r="D3510" s="2">
        <f t="shared" si="4"/>
        <v>3665.77</v>
      </c>
      <c r="E3510" s="2">
        <f t="shared" si="5"/>
        <v>3665.77</v>
      </c>
      <c r="G3510" s="10">
        <f t="shared" si="9"/>
        <v>41492.64583</v>
      </c>
      <c r="H3510" s="6" t="str">
        <f t="shared" si="6"/>
        <v/>
      </c>
      <c r="I3510" s="2">
        <f t="shared" si="7"/>
        <v>1426.89</v>
      </c>
      <c r="M3510" s="10">
        <f>IFERROR(__xludf.DUMMYFUNCTION("""COMPUTED_VALUE"""),43069.66666666667)</f>
        <v>43069.66667</v>
      </c>
      <c r="N3510" s="2">
        <f>IFERROR(__xludf.DUMMYFUNCTION("""COMPUTED_VALUE"""),6873.97)</f>
        <v>6873.97</v>
      </c>
    </row>
    <row r="3511">
      <c r="A3511" s="10">
        <f t="shared" si="8"/>
        <v>41493.66667</v>
      </c>
      <c r="B3511" s="2" t="str">
        <f t="shared" si="2"/>
        <v/>
      </c>
      <c r="C3511" s="2" t="str">
        <f t="shared" si="3"/>
        <v>SP500</v>
      </c>
      <c r="D3511" s="2">
        <f t="shared" si="4"/>
        <v>3654.01</v>
      </c>
      <c r="E3511" s="2">
        <f t="shared" si="5"/>
        <v>3654.01</v>
      </c>
      <c r="G3511" s="10">
        <f t="shared" si="9"/>
        <v>41493.64583</v>
      </c>
      <c r="H3511" s="6" t="str">
        <f t="shared" si="6"/>
        <v/>
      </c>
      <c r="I3511" s="2">
        <f t="shared" si="7"/>
        <v>1426.89</v>
      </c>
      <c r="M3511" s="10">
        <f>IFERROR(__xludf.DUMMYFUNCTION("""COMPUTED_VALUE"""),43070.66666666667)</f>
        <v>43070.66667</v>
      </c>
      <c r="N3511" s="2">
        <f>IFERROR(__xludf.DUMMYFUNCTION("""COMPUTED_VALUE"""),6847.59)</f>
        <v>6847.59</v>
      </c>
    </row>
    <row r="3512">
      <c r="A3512" s="10">
        <f t="shared" si="8"/>
        <v>41494.66667</v>
      </c>
      <c r="B3512" s="2" t="str">
        <f t="shared" si="2"/>
        <v/>
      </c>
      <c r="C3512" s="2" t="str">
        <f t="shared" si="3"/>
        <v>SP500</v>
      </c>
      <c r="D3512" s="2">
        <f t="shared" si="4"/>
        <v>3669.12</v>
      </c>
      <c r="E3512" s="2">
        <f t="shared" si="5"/>
        <v>3669.12</v>
      </c>
      <c r="G3512" s="10">
        <f t="shared" si="9"/>
        <v>41494.64583</v>
      </c>
      <c r="H3512" s="6" t="str">
        <f t="shared" si="6"/>
        <v/>
      </c>
      <c r="I3512" s="2">
        <f t="shared" si="7"/>
        <v>1426.89</v>
      </c>
      <c r="M3512" s="10">
        <f>IFERROR(__xludf.DUMMYFUNCTION("""COMPUTED_VALUE"""),43073.66666666667)</f>
        <v>43073.66667</v>
      </c>
      <c r="N3512" s="2">
        <f>IFERROR(__xludf.DUMMYFUNCTION("""COMPUTED_VALUE"""),6775.37)</f>
        <v>6775.37</v>
      </c>
    </row>
    <row r="3513">
      <c r="A3513" s="10">
        <f t="shared" si="8"/>
        <v>41495.66667</v>
      </c>
      <c r="B3513" s="2" t="str">
        <f t="shared" si="2"/>
        <v/>
      </c>
      <c r="C3513" s="2" t="str">
        <f t="shared" si="3"/>
        <v>SP500</v>
      </c>
      <c r="D3513" s="2">
        <f t="shared" si="4"/>
        <v>3660.11</v>
      </c>
      <c r="E3513" s="2">
        <f t="shared" si="5"/>
        <v>3660.11</v>
      </c>
      <c r="G3513" s="10">
        <f t="shared" si="9"/>
        <v>41495.64583</v>
      </c>
      <c r="H3513" s="6" t="str">
        <f t="shared" si="6"/>
        <v/>
      </c>
      <c r="I3513" s="2">
        <f t="shared" si="7"/>
        <v>1426.89</v>
      </c>
      <c r="M3513" s="10">
        <f>IFERROR(__xludf.DUMMYFUNCTION("""COMPUTED_VALUE"""),43074.66666666667)</f>
        <v>43074.66667</v>
      </c>
      <c r="N3513" s="2">
        <f>IFERROR(__xludf.DUMMYFUNCTION("""COMPUTED_VALUE"""),6762.21)</f>
        <v>6762.21</v>
      </c>
    </row>
    <row r="3514">
      <c r="A3514" s="10">
        <f t="shared" si="8"/>
        <v>41496.66667</v>
      </c>
      <c r="B3514" s="2" t="str">
        <f t="shared" si="2"/>
        <v/>
      </c>
      <c r="C3514" s="2" t="str">
        <f t="shared" si="3"/>
        <v>SP500</v>
      </c>
      <c r="D3514" s="2" t="str">
        <f t="shared" si="4"/>
        <v/>
      </c>
      <c r="E3514" s="2">
        <f t="shared" si="5"/>
        <v>3660.11</v>
      </c>
      <c r="G3514" s="10">
        <f t="shared" si="9"/>
        <v>41496.64583</v>
      </c>
      <c r="H3514" s="6" t="str">
        <f t="shared" si="6"/>
        <v/>
      </c>
      <c r="I3514" s="2">
        <f t="shared" si="7"/>
        <v>1426.89</v>
      </c>
      <c r="M3514" s="10">
        <f>IFERROR(__xludf.DUMMYFUNCTION("""COMPUTED_VALUE"""),43075.66666666667)</f>
        <v>43075.66667</v>
      </c>
      <c r="N3514" s="2">
        <f>IFERROR(__xludf.DUMMYFUNCTION("""COMPUTED_VALUE"""),6776.38)</f>
        <v>6776.38</v>
      </c>
    </row>
    <row r="3515">
      <c r="A3515" s="10">
        <f t="shared" si="8"/>
        <v>41497.66667</v>
      </c>
      <c r="B3515" s="2" t="str">
        <f t="shared" si="2"/>
        <v/>
      </c>
      <c r="C3515" s="2" t="str">
        <f t="shared" si="3"/>
        <v>SP500</v>
      </c>
      <c r="D3515" s="2" t="str">
        <f t="shared" si="4"/>
        <v/>
      </c>
      <c r="E3515" s="2">
        <f t="shared" si="5"/>
        <v>3660.11</v>
      </c>
      <c r="G3515" s="10">
        <f t="shared" si="9"/>
        <v>41497.64583</v>
      </c>
      <c r="H3515" s="6" t="str">
        <f t="shared" si="6"/>
        <v/>
      </c>
      <c r="I3515" s="2">
        <f t="shared" si="7"/>
        <v>1426.89</v>
      </c>
      <c r="M3515" s="10">
        <f>IFERROR(__xludf.DUMMYFUNCTION("""COMPUTED_VALUE"""),43076.66666666667)</f>
        <v>43076.66667</v>
      </c>
      <c r="N3515" s="2">
        <f>IFERROR(__xludf.DUMMYFUNCTION("""COMPUTED_VALUE"""),6812.84)</f>
        <v>6812.84</v>
      </c>
    </row>
    <row r="3516">
      <c r="A3516" s="10">
        <f t="shared" si="8"/>
        <v>41498.66667</v>
      </c>
      <c r="B3516" s="2" t="str">
        <f t="shared" si="2"/>
        <v/>
      </c>
      <c r="C3516" s="2" t="str">
        <f t="shared" si="3"/>
        <v>SP500</v>
      </c>
      <c r="D3516" s="2">
        <f t="shared" si="4"/>
        <v>3669.95</v>
      </c>
      <c r="E3516" s="2">
        <f t="shared" si="5"/>
        <v>3669.95</v>
      </c>
      <c r="G3516" s="10">
        <f t="shared" si="9"/>
        <v>41498.64583</v>
      </c>
      <c r="H3516" s="6" t="str">
        <f t="shared" si="6"/>
        <v/>
      </c>
      <c r="I3516" s="2">
        <f t="shared" si="7"/>
        <v>1426.89</v>
      </c>
      <c r="M3516" s="10">
        <f>IFERROR(__xludf.DUMMYFUNCTION("""COMPUTED_VALUE"""),43077.66666666667)</f>
        <v>43077.66667</v>
      </c>
      <c r="N3516" s="2">
        <f>IFERROR(__xludf.DUMMYFUNCTION("""COMPUTED_VALUE"""),6840.08)</f>
        <v>6840.08</v>
      </c>
    </row>
    <row r="3517">
      <c r="A3517" s="10">
        <f t="shared" si="8"/>
        <v>41499.66667</v>
      </c>
      <c r="B3517" s="2" t="str">
        <f t="shared" si="2"/>
        <v/>
      </c>
      <c r="C3517" s="2" t="str">
        <f t="shared" si="3"/>
        <v>SP500</v>
      </c>
      <c r="D3517" s="2">
        <f t="shared" si="4"/>
        <v>3684.44</v>
      </c>
      <c r="E3517" s="2">
        <f t="shared" si="5"/>
        <v>3684.44</v>
      </c>
      <c r="G3517" s="10">
        <f t="shared" si="9"/>
        <v>41499.64583</v>
      </c>
      <c r="H3517" s="6" t="str">
        <f t="shared" si="6"/>
        <v/>
      </c>
      <c r="I3517" s="2">
        <f t="shared" si="7"/>
        <v>1426.89</v>
      </c>
      <c r="M3517" s="10">
        <f>IFERROR(__xludf.DUMMYFUNCTION("""COMPUTED_VALUE"""),43080.66666666667)</f>
        <v>43080.66667</v>
      </c>
      <c r="N3517" s="2">
        <f>IFERROR(__xludf.DUMMYFUNCTION("""COMPUTED_VALUE"""),6875.08)</f>
        <v>6875.08</v>
      </c>
    </row>
    <row r="3518">
      <c r="A3518" s="10">
        <f t="shared" si="8"/>
        <v>41500.66667</v>
      </c>
      <c r="B3518" s="2" t="str">
        <f t="shared" si="2"/>
        <v/>
      </c>
      <c r="C3518" s="2" t="str">
        <f t="shared" si="3"/>
        <v>SP500</v>
      </c>
      <c r="D3518" s="2">
        <f t="shared" si="4"/>
        <v>3669.27</v>
      </c>
      <c r="E3518" s="2">
        <f t="shared" si="5"/>
        <v>3669.27</v>
      </c>
      <c r="G3518" s="10">
        <f t="shared" si="9"/>
        <v>41500.64583</v>
      </c>
      <c r="H3518" s="6" t="str">
        <f t="shared" si="6"/>
        <v/>
      </c>
      <c r="I3518" s="2">
        <f t="shared" si="7"/>
        <v>1426.89</v>
      </c>
      <c r="M3518" s="10">
        <f>IFERROR(__xludf.DUMMYFUNCTION("""COMPUTED_VALUE"""),43081.66666666667)</f>
        <v>43081.66667</v>
      </c>
      <c r="N3518" s="2">
        <f>IFERROR(__xludf.DUMMYFUNCTION("""COMPUTED_VALUE"""),6862.32)</f>
        <v>6862.32</v>
      </c>
    </row>
    <row r="3519">
      <c r="A3519" s="10">
        <f t="shared" si="8"/>
        <v>41501.66667</v>
      </c>
      <c r="B3519" s="2" t="str">
        <f t="shared" si="2"/>
        <v/>
      </c>
      <c r="C3519" s="2" t="str">
        <f t="shared" si="3"/>
        <v>SP500</v>
      </c>
      <c r="D3519" s="2">
        <f t="shared" si="4"/>
        <v>3606.12</v>
      </c>
      <c r="E3519" s="2">
        <f t="shared" si="5"/>
        <v>3606.12</v>
      </c>
      <c r="G3519" s="10">
        <f t="shared" si="9"/>
        <v>41501.64583</v>
      </c>
      <c r="H3519" s="6" t="str">
        <f t="shared" si="6"/>
        <v/>
      </c>
      <c r="I3519" s="2">
        <f t="shared" si="7"/>
        <v>1426.89</v>
      </c>
      <c r="M3519" s="10">
        <f>IFERROR(__xludf.DUMMYFUNCTION("""COMPUTED_VALUE"""),43082.66666666667)</f>
        <v>43082.66667</v>
      </c>
      <c r="N3519" s="2">
        <f>IFERROR(__xludf.DUMMYFUNCTION("""COMPUTED_VALUE"""),6875.8)</f>
        <v>6875.8</v>
      </c>
    </row>
    <row r="3520">
      <c r="A3520" s="10">
        <f t="shared" si="8"/>
        <v>41502.66667</v>
      </c>
      <c r="B3520" s="2" t="str">
        <f t="shared" si="2"/>
        <v/>
      </c>
      <c r="C3520" s="2" t="str">
        <f t="shared" si="3"/>
        <v>SP500</v>
      </c>
      <c r="D3520" s="2">
        <f t="shared" si="4"/>
        <v>3602.78</v>
      </c>
      <c r="E3520" s="2">
        <f t="shared" si="5"/>
        <v>3602.78</v>
      </c>
      <c r="G3520" s="10">
        <f t="shared" si="9"/>
        <v>41502.64583</v>
      </c>
      <c r="H3520" s="6" t="str">
        <f t="shared" si="6"/>
        <v/>
      </c>
      <c r="I3520" s="2">
        <f t="shared" si="7"/>
        <v>1426.89</v>
      </c>
      <c r="M3520" s="10">
        <f>IFERROR(__xludf.DUMMYFUNCTION("""COMPUTED_VALUE"""),43083.66666666667)</f>
        <v>43083.66667</v>
      </c>
      <c r="N3520" s="2">
        <f>IFERROR(__xludf.DUMMYFUNCTION("""COMPUTED_VALUE"""),6856.53)</f>
        <v>6856.53</v>
      </c>
    </row>
    <row r="3521">
      <c r="A3521" s="10">
        <f t="shared" si="8"/>
        <v>41503.66667</v>
      </c>
      <c r="B3521" s="2" t="str">
        <f t="shared" si="2"/>
        <v/>
      </c>
      <c r="C3521" s="2" t="str">
        <f t="shared" si="3"/>
        <v>SP500</v>
      </c>
      <c r="D3521" s="2" t="str">
        <f t="shared" si="4"/>
        <v/>
      </c>
      <c r="E3521" s="2">
        <f t="shared" si="5"/>
        <v>3602.78</v>
      </c>
      <c r="G3521" s="10">
        <f t="shared" si="9"/>
        <v>41503.64583</v>
      </c>
      <c r="H3521" s="6" t="str">
        <f t="shared" si="6"/>
        <v/>
      </c>
      <c r="I3521" s="2">
        <f t="shared" si="7"/>
        <v>1426.89</v>
      </c>
      <c r="M3521" s="10">
        <f>IFERROR(__xludf.DUMMYFUNCTION("""COMPUTED_VALUE"""),43084.66666666667)</f>
        <v>43084.66667</v>
      </c>
      <c r="N3521" s="2">
        <f>IFERROR(__xludf.DUMMYFUNCTION("""COMPUTED_VALUE"""),6936.58)</f>
        <v>6936.58</v>
      </c>
    </row>
    <row r="3522">
      <c r="A3522" s="10">
        <f t="shared" si="8"/>
        <v>41504.66667</v>
      </c>
      <c r="B3522" s="2" t="str">
        <f t="shared" si="2"/>
        <v/>
      </c>
      <c r="C3522" s="2" t="str">
        <f t="shared" si="3"/>
        <v>SP500</v>
      </c>
      <c r="D3522" s="2" t="str">
        <f t="shared" si="4"/>
        <v/>
      </c>
      <c r="E3522" s="2">
        <f t="shared" si="5"/>
        <v>3602.78</v>
      </c>
      <c r="G3522" s="10">
        <f t="shared" si="9"/>
        <v>41504.64583</v>
      </c>
      <c r="H3522" s="6" t="str">
        <f t="shared" si="6"/>
        <v/>
      </c>
      <c r="I3522" s="2">
        <f t="shared" si="7"/>
        <v>1426.89</v>
      </c>
      <c r="M3522" s="10">
        <f>IFERROR(__xludf.DUMMYFUNCTION("""COMPUTED_VALUE"""),43087.66666666667)</f>
        <v>43087.66667</v>
      </c>
      <c r="N3522" s="2">
        <f>IFERROR(__xludf.DUMMYFUNCTION("""COMPUTED_VALUE"""),6994.76)</f>
        <v>6994.76</v>
      </c>
    </row>
    <row r="3523">
      <c r="A3523" s="10">
        <f t="shared" si="8"/>
        <v>41505.66667</v>
      </c>
      <c r="B3523" s="2" t="str">
        <f t="shared" si="2"/>
        <v/>
      </c>
      <c r="C3523" s="2" t="str">
        <f t="shared" si="3"/>
        <v>SP500</v>
      </c>
      <c r="D3523" s="2">
        <f t="shared" si="4"/>
        <v>3589.09</v>
      </c>
      <c r="E3523" s="2">
        <f t="shared" si="5"/>
        <v>3589.09</v>
      </c>
      <c r="G3523" s="10">
        <f t="shared" si="9"/>
        <v>41505.64583</v>
      </c>
      <c r="H3523" s="6" t="str">
        <f t="shared" si="6"/>
        <v/>
      </c>
      <c r="I3523" s="2">
        <f t="shared" si="7"/>
        <v>1426.89</v>
      </c>
      <c r="M3523" s="10">
        <f>IFERROR(__xludf.DUMMYFUNCTION("""COMPUTED_VALUE"""),43088.66666666667)</f>
        <v>43088.66667</v>
      </c>
      <c r="N3523" s="2">
        <f>IFERROR(__xludf.DUMMYFUNCTION("""COMPUTED_VALUE"""),6963.85)</f>
        <v>6963.85</v>
      </c>
    </row>
    <row r="3524">
      <c r="A3524" s="10">
        <f t="shared" si="8"/>
        <v>41506.66667</v>
      </c>
      <c r="B3524" s="2" t="str">
        <f t="shared" si="2"/>
        <v/>
      </c>
      <c r="C3524" s="2" t="str">
        <f t="shared" si="3"/>
        <v>SP500</v>
      </c>
      <c r="D3524" s="2">
        <f t="shared" si="4"/>
        <v>3613.59</v>
      </c>
      <c r="E3524" s="2">
        <f t="shared" si="5"/>
        <v>3613.59</v>
      </c>
      <c r="G3524" s="10">
        <f t="shared" si="9"/>
        <v>41506.64583</v>
      </c>
      <c r="H3524" s="6" t="str">
        <f t="shared" si="6"/>
        <v/>
      </c>
      <c r="I3524" s="2">
        <f t="shared" si="7"/>
        <v>1426.89</v>
      </c>
      <c r="M3524" s="10">
        <f>IFERROR(__xludf.DUMMYFUNCTION("""COMPUTED_VALUE"""),43089.66666666667)</f>
        <v>43089.66667</v>
      </c>
      <c r="N3524" s="2">
        <f>IFERROR(__xludf.DUMMYFUNCTION("""COMPUTED_VALUE"""),6960.96)</f>
        <v>6960.96</v>
      </c>
    </row>
    <row r="3525">
      <c r="A3525" s="10">
        <f t="shared" si="8"/>
        <v>41507.66667</v>
      </c>
      <c r="B3525" s="2" t="str">
        <f t="shared" si="2"/>
        <v/>
      </c>
      <c r="C3525" s="2" t="str">
        <f t="shared" si="3"/>
        <v>SP500</v>
      </c>
      <c r="D3525" s="2">
        <f t="shared" si="4"/>
        <v>3599.79</v>
      </c>
      <c r="E3525" s="2">
        <f t="shared" si="5"/>
        <v>3599.79</v>
      </c>
      <c r="G3525" s="10">
        <f t="shared" si="9"/>
        <v>41507.64583</v>
      </c>
      <c r="H3525" s="6" t="str">
        <f t="shared" si="6"/>
        <v/>
      </c>
      <c r="I3525" s="2">
        <f t="shared" si="7"/>
        <v>1426.89</v>
      </c>
      <c r="M3525" s="10">
        <f>IFERROR(__xludf.DUMMYFUNCTION("""COMPUTED_VALUE"""),43090.66666666667)</f>
        <v>43090.66667</v>
      </c>
      <c r="N3525" s="2">
        <f>IFERROR(__xludf.DUMMYFUNCTION("""COMPUTED_VALUE"""),6965.36)</f>
        <v>6965.36</v>
      </c>
    </row>
    <row r="3526">
      <c r="A3526" s="10">
        <f t="shared" si="8"/>
        <v>41508.66667</v>
      </c>
      <c r="B3526" s="2" t="str">
        <f t="shared" si="2"/>
        <v/>
      </c>
      <c r="C3526" s="2" t="str">
        <f t="shared" si="3"/>
        <v>SP500</v>
      </c>
      <c r="D3526" s="2">
        <f t="shared" si="4"/>
        <v>3638.71</v>
      </c>
      <c r="E3526" s="2">
        <f t="shared" si="5"/>
        <v>3638.71</v>
      </c>
      <c r="G3526" s="10">
        <f t="shared" si="9"/>
        <v>41508.64583</v>
      </c>
      <c r="H3526" s="6" t="str">
        <f t="shared" si="6"/>
        <v/>
      </c>
      <c r="I3526" s="2">
        <f t="shared" si="7"/>
        <v>1426.89</v>
      </c>
      <c r="M3526" s="10">
        <f>IFERROR(__xludf.DUMMYFUNCTION("""COMPUTED_VALUE"""),43091.66666666667)</f>
        <v>43091.66667</v>
      </c>
      <c r="N3526" s="2">
        <f>IFERROR(__xludf.DUMMYFUNCTION("""COMPUTED_VALUE"""),6959.96)</f>
        <v>6959.96</v>
      </c>
    </row>
    <row r="3527">
      <c r="A3527" s="10">
        <f t="shared" si="8"/>
        <v>41509.66667</v>
      </c>
      <c r="B3527" s="2" t="str">
        <f t="shared" si="2"/>
        <v/>
      </c>
      <c r="C3527" s="2" t="str">
        <f t="shared" si="3"/>
        <v>SP500</v>
      </c>
      <c r="D3527" s="2">
        <f t="shared" si="4"/>
        <v>3657.79</v>
      </c>
      <c r="E3527" s="2">
        <f t="shared" si="5"/>
        <v>3657.79</v>
      </c>
      <c r="G3527" s="10">
        <f t="shared" si="9"/>
        <v>41509.64583</v>
      </c>
      <c r="H3527" s="6" t="str">
        <f t="shared" si="6"/>
        <v/>
      </c>
      <c r="I3527" s="2">
        <f t="shared" si="7"/>
        <v>1426.89</v>
      </c>
      <c r="M3527" s="10">
        <f>IFERROR(__xludf.DUMMYFUNCTION("""COMPUTED_VALUE"""),43095.66666666667)</f>
        <v>43095.66667</v>
      </c>
      <c r="N3527" s="2">
        <f>IFERROR(__xludf.DUMMYFUNCTION("""COMPUTED_VALUE"""),6936.25)</f>
        <v>6936.25</v>
      </c>
    </row>
    <row r="3528">
      <c r="A3528" s="10">
        <f t="shared" si="8"/>
        <v>41510.66667</v>
      </c>
      <c r="B3528" s="2" t="str">
        <f t="shared" si="2"/>
        <v/>
      </c>
      <c r="C3528" s="2" t="str">
        <f t="shared" si="3"/>
        <v>SP500</v>
      </c>
      <c r="D3528" s="2" t="str">
        <f t="shared" si="4"/>
        <v/>
      </c>
      <c r="E3528" s="2">
        <f t="shared" si="5"/>
        <v>3657.79</v>
      </c>
      <c r="G3528" s="10">
        <f t="shared" si="9"/>
        <v>41510.64583</v>
      </c>
      <c r="H3528" s="6" t="str">
        <f t="shared" si="6"/>
        <v/>
      </c>
      <c r="I3528" s="2">
        <f t="shared" si="7"/>
        <v>1426.89</v>
      </c>
      <c r="M3528" s="10">
        <f>IFERROR(__xludf.DUMMYFUNCTION("""COMPUTED_VALUE"""),43096.66666666667)</f>
        <v>43096.66667</v>
      </c>
      <c r="N3528" s="2">
        <f>IFERROR(__xludf.DUMMYFUNCTION("""COMPUTED_VALUE"""),6939.34)</f>
        <v>6939.34</v>
      </c>
    </row>
    <row r="3529">
      <c r="A3529" s="10">
        <f t="shared" si="8"/>
        <v>41511.66667</v>
      </c>
      <c r="B3529" s="2" t="str">
        <f t="shared" si="2"/>
        <v/>
      </c>
      <c r="C3529" s="2" t="str">
        <f t="shared" si="3"/>
        <v>SP500</v>
      </c>
      <c r="D3529" s="2" t="str">
        <f t="shared" si="4"/>
        <v/>
      </c>
      <c r="E3529" s="2">
        <f t="shared" si="5"/>
        <v>3657.79</v>
      </c>
      <c r="G3529" s="10">
        <f t="shared" si="9"/>
        <v>41511.64583</v>
      </c>
      <c r="H3529" s="6" t="str">
        <f t="shared" si="6"/>
        <v/>
      </c>
      <c r="I3529" s="2">
        <f t="shared" si="7"/>
        <v>1426.89</v>
      </c>
      <c r="M3529" s="10">
        <f>IFERROR(__xludf.DUMMYFUNCTION("""COMPUTED_VALUE"""),43097.66666666667)</f>
        <v>43097.66667</v>
      </c>
      <c r="N3529" s="2">
        <f>IFERROR(__xludf.DUMMYFUNCTION("""COMPUTED_VALUE"""),6950.16)</f>
        <v>6950.16</v>
      </c>
    </row>
    <row r="3530">
      <c r="A3530" s="10">
        <f t="shared" si="8"/>
        <v>41512.66667</v>
      </c>
      <c r="B3530" s="2" t="str">
        <f t="shared" si="2"/>
        <v/>
      </c>
      <c r="C3530" s="2" t="str">
        <f t="shared" si="3"/>
        <v>SP500</v>
      </c>
      <c r="D3530" s="2">
        <f t="shared" si="4"/>
        <v>3657.57</v>
      </c>
      <c r="E3530" s="2">
        <f t="shared" si="5"/>
        <v>3657.57</v>
      </c>
      <c r="G3530" s="10">
        <f t="shared" si="9"/>
        <v>41512.64583</v>
      </c>
      <c r="H3530" s="6" t="str">
        <f t="shared" si="6"/>
        <v/>
      </c>
      <c r="I3530" s="2">
        <f t="shared" si="7"/>
        <v>1426.89</v>
      </c>
      <c r="M3530" s="10">
        <f>IFERROR(__xludf.DUMMYFUNCTION("""COMPUTED_VALUE"""),43098.66666666667)</f>
        <v>43098.66667</v>
      </c>
      <c r="N3530" s="2">
        <f>IFERROR(__xludf.DUMMYFUNCTION("""COMPUTED_VALUE"""),6903.39)</f>
        <v>6903.39</v>
      </c>
    </row>
    <row r="3531">
      <c r="A3531" s="10">
        <f t="shared" si="8"/>
        <v>41513.66667</v>
      </c>
      <c r="B3531" s="2" t="str">
        <f t="shared" si="2"/>
        <v/>
      </c>
      <c r="C3531" s="2" t="str">
        <f t="shared" si="3"/>
        <v>SP500</v>
      </c>
      <c r="D3531" s="2">
        <f t="shared" si="4"/>
        <v>3578.52</v>
      </c>
      <c r="E3531" s="2">
        <f t="shared" si="5"/>
        <v>3578.52</v>
      </c>
      <c r="G3531" s="10">
        <f t="shared" si="9"/>
        <v>41513.64583</v>
      </c>
      <c r="H3531" s="6" t="str">
        <f t="shared" si="6"/>
        <v/>
      </c>
      <c r="I3531" s="2">
        <f t="shared" si="7"/>
        <v>1426.89</v>
      </c>
      <c r="M3531" s="10">
        <f>IFERROR(__xludf.DUMMYFUNCTION("""COMPUTED_VALUE"""),43102.66666666667)</f>
        <v>43102.66667</v>
      </c>
      <c r="N3531" s="2">
        <f>IFERROR(__xludf.DUMMYFUNCTION("""COMPUTED_VALUE"""),7006.9)</f>
        <v>7006.9</v>
      </c>
    </row>
    <row r="3532">
      <c r="A3532" s="10">
        <f t="shared" si="8"/>
        <v>41514.66667</v>
      </c>
      <c r="B3532" s="2" t="str">
        <f t="shared" si="2"/>
        <v/>
      </c>
      <c r="C3532" s="2" t="str">
        <f t="shared" si="3"/>
        <v>SP500</v>
      </c>
      <c r="D3532" s="2">
        <f t="shared" si="4"/>
        <v>3593.35</v>
      </c>
      <c r="E3532" s="2">
        <f t="shared" si="5"/>
        <v>3593.35</v>
      </c>
      <c r="G3532" s="10">
        <f t="shared" si="9"/>
        <v>41514.64583</v>
      </c>
      <c r="H3532" s="6" t="str">
        <f t="shared" si="6"/>
        <v/>
      </c>
      <c r="I3532" s="2">
        <f t="shared" si="7"/>
        <v>1426.89</v>
      </c>
      <c r="M3532" s="10">
        <f>IFERROR(__xludf.DUMMYFUNCTION("""COMPUTED_VALUE"""),43103.66666666667)</f>
        <v>43103.66667</v>
      </c>
      <c r="N3532" s="2">
        <f>IFERROR(__xludf.DUMMYFUNCTION("""COMPUTED_VALUE"""),7065.53)</f>
        <v>7065.53</v>
      </c>
    </row>
    <row r="3533">
      <c r="A3533" s="10">
        <f t="shared" si="8"/>
        <v>41515.66667</v>
      </c>
      <c r="B3533" s="2" t="str">
        <f t="shared" si="2"/>
        <v/>
      </c>
      <c r="C3533" s="2" t="str">
        <f t="shared" si="3"/>
        <v>SP500</v>
      </c>
      <c r="D3533" s="2">
        <f t="shared" si="4"/>
        <v>3620.3</v>
      </c>
      <c r="E3533" s="2">
        <f t="shared" si="5"/>
        <v>3620.3</v>
      </c>
      <c r="G3533" s="10">
        <f t="shared" si="9"/>
        <v>41515.64583</v>
      </c>
      <c r="H3533" s="6" t="str">
        <f t="shared" si="6"/>
        <v/>
      </c>
      <c r="I3533" s="2">
        <f t="shared" si="7"/>
        <v>1426.89</v>
      </c>
      <c r="M3533" s="10">
        <f>IFERROR(__xludf.DUMMYFUNCTION("""COMPUTED_VALUE"""),43104.66666666667)</f>
        <v>43104.66667</v>
      </c>
      <c r="N3533" s="2">
        <f>IFERROR(__xludf.DUMMYFUNCTION("""COMPUTED_VALUE"""),7077.92)</f>
        <v>7077.92</v>
      </c>
    </row>
    <row r="3534">
      <c r="A3534" s="10">
        <f t="shared" si="8"/>
        <v>41516.66667</v>
      </c>
      <c r="B3534" s="2" t="str">
        <f t="shared" si="2"/>
        <v/>
      </c>
      <c r="C3534" s="2" t="str">
        <f t="shared" si="3"/>
        <v>SP500</v>
      </c>
      <c r="D3534" s="2">
        <f t="shared" si="4"/>
        <v>3589.87</v>
      </c>
      <c r="E3534" s="2">
        <f t="shared" si="5"/>
        <v>3589.87</v>
      </c>
      <c r="G3534" s="10">
        <f t="shared" si="9"/>
        <v>41516.64583</v>
      </c>
      <c r="H3534" s="6" t="str">
        <f t="shared" si="6"/>
        <v/>
      </c>
      <c r="I3534" s="2">
        <f t="shared" si="7"/>
        <v>1426.89</v>
      </c>
      <c r="M3534" s="10">
        <f>IFERROR(__xludf.DUMMYFUNCTION("""COMPUTED_VALUE"""),43105.66666666667)</f>
        <v>43105.66667</v>
      </c>
      <c r="N3534" s="2">
        <f>IFERROR(__xludf.DUMMYFUNCTION("""COMPUTED_VALUE"""),7136.56)</f>
        <v>7136.56</v>
      </c>
    </row>
    <row r="3535">
      <c r="A3535" s="10">
        <f t="shared" si="8"/>
        <v>41517.66667</v>
      </c>
      <c r="B3535" s="2" t="str">
        <f t="shared" si="2"/>
        <v/>
      </c>
      <c r="C3535" s="2" t="str">
        <f t="shared" si="3"/>
        <v>SP500</v>
      </c>
      <c r="D3535" s="2" t="str">
        <f t="shared" si="4"/>
        <v/>
      </c>
      <c r="E3535" s="2">
        <f t="shared" si="5"/>
        <v>3589.87</v>
      </c>
      <c r="G3535" s="10">
        <f t="shared" si="9"/>
        <v>41517.64583</v>
      </c>
      <c r="H3535" s="6" t="str">
        <f t="shared" si="6"/>
        <v/>
      </c>
      <c r="I3535" s="2">
        <f t="shared" si="7"/>
        <v>1426.89</v>
      </c>
      <c r="M3535" s="10">
        <f>IFERROR(__xludf.DUMMYFUNCTION("""COMPUTED_VALUE"""),43108.66666666667)</f>
        <v>43108.66667</v>
      </c>
      <c r="N3535" s="2">
        <f>IFERROR(__xludf.DUMMYFUNCTION("""COMPUTED_VALUE"""),7157.39)</f>
        <v>7157.39</v>
      </c>
    </row>
    <row r="3536">
      <c r="A3536" s="10">
        <f t="shared" si="8"/>
        <v>41518.66667</v>
      </c>
      <c r="B3536" s="2" t="str">
        <f t="shared" si="2"/>
        <v/>
      </c>
      <c r="C3536" s="2" t="str">
        <f t="shared" si="3"/>
        <v>SP500</v>
      </c>
      <c r="D3536" s="2" t="str">
        <f t="shared" si="4"/>
        <v/>
      </c>
      <c r="E3536" s="2">
        <f t="shared" si="5"/>
        <v>3589.87</v>
      </c>
      <c r="G3536" s="10">
        <f t="shared" si="9"/>
        <v>41518.64583</v>
      </c>
      <c r="H3536" s="6" t="str">
        <f t="shared" si="6"/>
        <v/>
      </c>
      <c r="I3536" s="2">
        <f t="shared" si="7"/>
        <v>1426.89</v>
      </c>
      <c r="M3536" s="10">
        <f>IFERROR(__xludf.DUMMYFUNCTION("""COMPUTED_VALUE"""),43109.66666666667)</f>
        <v>43109.66667</v>
      </c>
      <c r="N3536" s="2">
        <f>IFERROR(__xludf.DUMMYFUNCTION("""COMPUTED_VALUE"""),7163.58)</f>
        <v>7163.58</v>
      </c>
    </row>
    <row r="3537">
      <c r="A3537" s="10">
        <f t="shared" si="8"/>
        <v>41519.66667</v>
      </c>
      <c r="B3537" s="2" t="str">
        <f t="shared" si="2"/>
        <v/>
      </c>
      <c r="C3537" s="2" t="str">
        <f t="shared" si="3"/>
        <v>SP500</v>
      </c>
      <c r="D3537" s="2" t="str">
        <f t="shared" si="4"/>
        <v/>
      </c>
      <c r="E3537" s="2">
        <f t="shared" si="5"/>
        <v>3589.87</v>
      </c>
      <c r="G3537" s="10">
        <f t="shared" si="9"/>
        <v>41519.64583</v>
      </c>
      <c r="H3537" s="6" t="str">
        <f t="shared" si="6"/>
        <v/>
      </c>
      <c r="I3537" s="2">
        <f t="shared" si="7"/>
        <v>1426.89</v>
      </c>
      <c r="M3537" s="10">
        <f>IFERROR(__xludf.DUMMYFUNCTION("""COMPUTED_VALUE"""),43110.66666666667)</f>
        <v>43110.66667</v>
      </c>
      <c r="N3537" s="2">
        <f>IFERROR(__xludf.DUMMYFUNCTION("""COMPUTED_VALUE"""),7153.57)</f>
        <v>7153.57</v>
      </c>
    </row>
    <row r="3538">
      <c r="A3538" s="10">
        <f t="shared" si="8"/>
        <v>41520.66667</v>
      </c>
      <c r="B3538" s="2" t="str">
        <f t="shared" si="2"/>
        <v/>
      </c>
      <c r="C3538" s="2" t="str">
        <f t="shared" si="3"/>
        <v>SP500</v>
      </c>
      <c r="D3538" s="2">
        <f t="shared" si="4"/>
        <v>3612.61</v>
      </c>
      <c r="E3538" s="2">
        <f t="shared" si="5"/>
        <v>3612.61</v>
      </c>
      <c r="G3538" s="10">
        <f t="shared" si="9"/>
        <v>41520.64583</v>
      </c>
      <c r="H3538" s="6" t="str">
        <f t="shared" si="6"/>
        <v/>
      </c>
      <c r="I3538" s="2">
        <f t="shared" si="7"/>
        <v>1426.89</v>
      </c>
      <c r="M3538" s="10">
        <f>IFERROR(__xludf.DUMMYFUNCTION("""COMPUTED_VALUE"""),43111.66666666667)</f>
        <v>43111.66667</v>
      </c>
      <c r="N3538" s="2">
        <f>IFERROR(__xludf.DUMMYFUNCTION("""COMPUTED_VALUE"""),7211.78)</f>
        <v>7211.78</v>
      </c>
    </row>
    <row r="3539">
      <c r="A3539" s="10">
        <f t="shared" si="8"/>
        <v>41521.66667</v>
      </c>
      <c r="B3539" s="2" t="str">
        <f t="shared" si="2"/>
        <v/>
      </c>
      <c r="C3539" s="2" t="str">
        <f t="shared" si="3"/>
        <v>SP500</v>
      </c>
      <c r="D3539" s="2">
        <f t="shared" si="4"/>
        <v>3649.04</v>
      </c>
      <c r="E3539" s="2">
        <f t="shared" si="5"/>
        <v>3649.04</v>
      </c>
      <c r="G3539" s="10">
        <f t="shared" si="9"/>
        <v>41521.64583</v>
      </c>
      <c r="H3539" s="6" t="str">
        <f t="shared" si="6"/>
        <v/>
      </c>
      <c r="I3539" s="2">
        <f t="shared" si="7"/>
        <v>1426.89</v>
      </c>
      <c r="M3539" s="10">
        <f>IFERROR(__xludf.DUMMYFUNCTION("""COMPUTED_VALUE"""),43112.66666666667)</f>
        <v>43112.66667</v>
      </c>
      <c r="N3539" s="2">
        <f>IFERROR(__xludf.DUMMYFUNCTION("""COMPUTED_VALUE"""),7261.06)</f>
        <v>7261.06</v>
      </c>
    </row>
    <row r="3540">
      <c r="A3540" s="10">
        <f t="shared" si="8"/>
        <v>41522.66667</v>
      </c>
      <c r="B3540" s="2" t="str">
        <f t="shared" si="2"/>
        <v/>
      </c>
      <c r="C3540" s="2" t="str">
        <f t="shared" si="3"/>
        <v>SP500</v>
      </c>
      <c r="D3540" s="2">
        <f t="shared" si="4"/>
        <v>3658.78</v>
      </c>
      <c r="E3540" s="2">
        <f t="shared" si="5"/>
        <v>3658.78</v>
      </c>
      <c r="G3540" s="10">
        <f t="shared" si="9"/>
        <v>41522.64583</v>
      </c>
      <c r="H3540" s="6" t="str">
        <f t="shared" si="6"/>
        <v/>
      </c>
      <c r="I3540" s="2">
        <f t="shared" si="7"/>
        <v>1426.89</v>
      </c>
      <c r="M3540" s="10">
        <f>IFERROR(__xludf.DUMMYFUNCTION("""COMPUTED_VALUE"""),43116.66666666667)</f>
        <v>43116.66667</v>
      </c>
      <c r="N3540" s="2">
        <f>IFERROR(__xludf.DUMMYFUNCTION("""COMPUTED_VALUE"""),7223.69)</f>
        <v>7223.69</v>
      </c>
    </row>
    <row r="3541">
      <c r="A3541" s="10">
        <f t="shared" si="8"/>
        <v>41523.66667</v>
      </c>
      <c r="B3541" s="2" t="str">
        <f t="shared" si="2"/>
        <v/>
      </c>
      <c r="C3541" s="2" t="str">
        <f t="shared" si="3"/>
        <v>SP500</v>
      </c>
      <c r="D3541" s="2">
        <f t="shared" si="4"/>
        <v>3660.01</v>
      </c>
      <c r="E3541" s="2">
        <f t="shared" si="5"/>
        <v>3660.01</v>
      </c>
      <c r="G3541" s="10">
        <f t="shared" si="9"/>
        <v>41523.64583</v>
      </c>
      <c r="H3541" s="6" t="str">
        <f t="shared" si="6"/>
        <v/>
      </c>
      <c r="I3541" s="2">
        <f t="shared" si="7"/>
        <v>1426.89</v>
      </c>
      <c r="M3541" s="10">
        <f>IFERROR(__xludf.DUMMYFUNCTION("""COMPUTED_VALUE"""),43117.66666666667)</f>
        <v>43117.66667</v>
      </c>
      <c r="N3541" s="2">
        <f>IFERROR(__xludf.DUMMYFUNCTION("""COMPUTED_VALUE"""),7298.28)</f>
        <v>7298.28</v>
      </c>
    </row>
    <row r="3542">
      <c r="A3542" s="10">
        <f t="shared" si="8"/>
        <v>41524.66667</v>
      </c>
      <c r="B3542" s="2" t="str">
        <f t="shared" si="2"/>
        <v/>
      </c>
      <c r="C3542" s="2" t="str">
        <f t="shared" si="3"/>
        <v>SP500</v>
      </c>
      <c r="D3542" s="2" t="str">
        <f t="shared" si="4"/>
        <v/>
      </c>
      <c r="E3542" s="2">
        <f t="shared" si="5"/>
        <v>3660.01</v>
      </c>
      <c r="G3542" s="10">
        <f t="shared" si="9"/>
        <v>41524.64583</v>
      </c>
      <c r="H3542" s="6" t="str">
        <f t="shared" si="6"/>
        <v/>
      </c>
      <c r="I3542" s="2">
        <f t="shared" si="7"/>
        <v>1426.89</v>
      </c>
      <c r="M3542" s="10">
        <f>IFERROR(__xludf.DUMMYFUNCTION("""COMPUTED_VALUE"""),43118.66666666667)</f>
        <v>43118.66667</v>
      </c>
      <c r="N3542" s="2">
        <f>IFERROR(__xludf.DUMMYFUNCTION("""COMPUTED_VALUE"""),7296.05)</f>
        <v>7296.05</v>
      </c>
    </row>
    <row r="3543">
      <c r="A3543" s="10">
        <f t="shared" si="8"/>
        <v>41525.66667</v>
      </c>
      <c r="B3543" s="2" t="str">
        <f t="shared" si="2"/>
        <v/>
      </c>
      <c r="C3543" s="2" t="str">
        <f t="shared" si="3"/>
        <v>SP500</v>
      </c>
      <c r="D3543" s="2" t="str">
        <f t="shared" si="4"/>
        <v/>
      </c>
      <c r="E3543" s="2">
        <f t="shared" si="5"/>
        <v>3660.01</v>
      </c>
      <c r="G3543" s="10">
        <f t="shared" si="9"/>
        <v>41525.64583</v>
      </c>
      <c r="H3543" s="6" t="str">
        <f t="shared" si="6"/>
        <v/>
      </c>
      <c r="I3543" s="2">
        <f t="shared" si="7"/>
        <v>1426.89</v>
      </c>
      <c r="M3543" s="10">
        <f>IFERROR(__xludf.DUMMYFUNCTION("""COMPUTED_VALUE"""),43119.66666666667)</f>
        <v>43119.66667</v>
      </c>
      <c r="N3543" s="2">
        <f>IFERROR(__xludf.DUMMYFUNCTION("""COMPUTED_VALUE"""),7336.38)</f>
        <v>7336.38</v>
      </c>
    </row>
    <row r="3544">
      <c r="A3544" s="10">
        <f t="shared" si="8"/>
        <v>41526.66667</v>
      </c>
      <c r="B3544" s="2" t="str">
        <f t="shared" si="2"/>
        <v/>
      </c>
      <c r="C3544" s="2" t="str">
        <f t="shared" si="3"/>
        <v>SP500</v>
      </c>
      <c r="D3544" s="2">
        <f t="shared" si="4"/>
        <v>3706.18</v>
      </c>
      <c r="E3544" s="2">
        <f t="shared" si="5"/>
        <v>3706.18</v>
      </c>
      <c r="G3544" s="10">
        <f t="shared" si="9"/>
        <v>41526.64583</v>
      </c>
      <c r="H3544" s="6" t="str">
        <f t="shared" si="6"/>
        <v/>
      </c>
      <c r="I3544" s="2">
        <f t="shared" si="7"/>
        <v>1426.89</v>
      </c>
      <c r="M3544" s="10">
        <f>IFERROR(__xludf.DUMMYFUNCTION("""COMPUTED_VALUE"""),43122.66666666667)</f>
        <v>43122.66667</v>
      </c>
      <c r="N3544" s="2">
        <f>IFERROR(__xludf.DUMMYFUNCTION("""COMPUTED_VALUE"""),7408.03)</f>
        <v>7408.03</v>
      </c>
    </row>
    <row r="3545">
      <c r="A3545" s="10">
        <f t="shared" si="8"/>
        <v>41527.66667</v>
      </c>
      <c r="B3545" s="2" t="str">
        <f t="shared" si="2"/>
        <v/>
      </c>
      <c r="C3545" s="2" t="str">
        <f t="shared" si="3"/>
        <v>SP500</v>
      </c>
      <c r="D3545" s="2">
        <f t="shared" si="4"/>
        <v>3729.02</v>
      </c>
      <c r="E3545" s="2">
        <f t="shared" si="5"/>
        <v>3729.02</v>
      </c>
      <c r="G3545" s="10">
        <f t="shared" si="9"/>
        <v>41527.64583</v>
      </c>
      <c r="H3545" s="6" t="str">
        <f t="shared" si="6"/>
        <v/>
      </c>
      <c r="I3545" s="2">
        <f t="shared" si="7"/>
        <v>1426.89</v>
      </c>
      <c r="M3545" s="10">
        <f>IFERROR(__xludf.DUMMYFUNCTION("""COMPUTED_VALUE"""),43123.66666666667)</f>
        <v>43123.66667</v>
      </c>
      <c r="N3545" s="2">
        <f>IFERROR(__xludf.DUMMYFUNCTION("""COMPUTED_VALUE"""),7460.29)</f>
        <v>7460.29</v>
      </c>
    </row>
    <row r="3546">
      <c r="A3546" s="10">
        <f t="shared" si="8"/>
        <v>41528.66667</v>
      </c>
      <c r="B3546" s="2" t="str">
        <f t="shared" si="2"/>
        <v/>
      </c>
      <c r="C3546" s="2" t="str">
        <f t="shared" si="3"/>
        <v>SP500</v>
      </c>
      <c r="D3546" s="2">
        <f t="shared" si="4"/>
        <v>3725.01</v>
      </c>
      <c r="E3546" s="2">
        <f t="shared" si="5"/>
        <v>3725.01</v>
      </c>
      <c r="G3546" s="10">
        <f t="shared" si="9"/>
        <v>41528.64583</v>
      </c>
      <c r="H3546" s="6" t="str">
        <f t="shared" si="6"/>
        <v/>
      </c>
      <c r="I3546" s="2">
        <f t="shared" si="7"/>
        <v>1426.89</v>
      </c>
      <c r="M3546" s="10">
        <f>IFERROR(__xludf.DUMMYFUNCTION("""COMPUTED_VALUE"""),43124.66666666667)</f>
        <v>43124.66667</v>
      </c>
      <c r="N3546" s="2">
        <f>IFERROR(__xludf.DUMMYFUNCTION("""COMPUTED_VALUE"""),7415.06)</f>
        <v>7415.06</v>
      </c>
    </row>
    <row r="3547">
      <c r="A3547" s="10">
        <f t="shared" si="8"/>
        <v>41529.66667</v>
      </c>
      <c r="B3547" s="2" t="str">
        <f t="shared" si="2"/>
        <v/>
      </c>
      <c r="C3547" s="2" t="str">
        <f t="shared" si="3"/>
        <v>SP500</v>
      </c>
      <c r="D3547" s="2">
        <f t="shared" si="4"/>
        <v>3715.97</v>
      </c>
      <c r="E3547" s="2">
        <f t="shared" si="5"/>
        <v>3715.97</v>
      </c>
      <c r="G3547" s="10">
        <f t="shared" si="9"/>
        <v>41529.64583</v>
      </c>
      <c r="H3547" s="6" t="str">
        <f t="shared" si="6"/>
        <v/>
      </c>
      <c r="I3547" s="2">
        <f t="shared" si="7"/>
        <v>1426.89</v>
      </c>
      <c r="M3547" s="10">
        <f>IFERROR(__xludf.DUMMYFUNCTION("""COMPUTED_VALUE"""),43125.66666666667)</f>
        <v>43125.66667</v>
      </c>
      <c r="N3547" s="2">
        <f>IFERROR(__xludf.DUMMYFUNCTION("""COMPUTED_VALUE"""),7411.16)</f>
        <v>7411.16</v>
      </c>
    </row>
    <row r="3548">
      <c r="A3548" s="10">
        <f t="shared" si="8"/>
        <v>41530.66667</v>
      </c>
      <c r="B3548" s="2" t="str">
        <f t="shared" si="2"/>
        <v/>
      </c>
      <c r="C3548" s="2" t="str">
        <f t="shared" si="3"/>
        <v>SP500</v>
      </c>
      <c r="D3548" s="2">
        <f t="shared" si="4"/>
        <v>3722.18</v>
      </c>
      <c r="E3548" s="2">
        <f t="shared" si="5"/>
        <v>3722.18</v>
      </c>
      <c r="G3548" s="10">
        <f t="shared" si="9"/>
        <v>41530.64583</v>
      </c>
      <c r="H3548" s="6" t="str">
        <f t="shared" si="6"/>
        <v/>
      </c>
      <c r="I3548" s="2">
        <f t="shared" si="7"/>
        <v>1426.89</v>
      </c>
      <c r="M3548" s="10">
        <f>IFERROR(__xludf.DUMMYFUNCTION("""COMPUTED_VALUE"""),43126.66666666667)</f>
        <v>43126.66667</v>
      </c>
      <c r="N3548" s="2">
        <f>IFERROR(__xludf.DUMMYFUNCTION("""COMPUTED_VALUE"""),7505.77)</f>
        <v>7505.77</v>
      </c>
    </row>
    <row r="3549">
      <c r="A3549" s="10">
        <f t="shared" si="8"/>
        <v>41531.66667</v>
      </c>
      <c r="B3549" s="2" t="str">
        <f t="shared" si="2"/>
        <v/>
      </c>
      <c r="C3549" s="2" t="str">
        <f t="shared" si="3"/>
        <v>SP500</v>
      </c>
      <c r="D3549" s="2" t="str">
        <f t="shared" si="4"/>
        <v/>
      </c>
      <c r="E3549" s="2">
        <f t="shared" si="5"/>
        <v>3722.18</v>
      </c>
      <c r="G3549" s="10">
        <f t="shared" si="9"/>
        <v>41531.64583</v>
      </c>
      <c r="H3549" s="6" t="str">
        <f t="shared" si="6"/>
        <v/>
      </c>
      <c r="I3549" s="2">
        <f t="shared" si="7"/>
        <v>1426.89</v>
      </c>
      <c r="M3549" s="10">
        <f>IFERROR(__xludf.DUMMYFUNCTION("""COMPUTED_VALUE"""),43129.66666666667)</f>
        <v>43129.66667</v>
      </c>
      <c r="N3549" s="2">
        <f>IFERROR(__xludf.DUMMYFUNCTION("""COMPUTED_VALUE"""),7466.51)</f>
        <v>7466.51</v>
      </c>
    </row>
    <row r="3550">
      <c r="A3550" s="10">
        <f t="shared" si="8"/>
        <v>41532.66667</v>
      </c>
      <c r="B3550" s="2" t="str">
        <f t="shared" si="2"/>
        <v/>
      </c>
      <c r="C3550" s="2" t="str">
        <f t="shared" si="3"/>
        <v>SP500</v>
      </c>
      <c r="D3550" s="2" t="str">
        <f t="shared" si="4"/>
        <v/>
      </c>
      <c r="E3550" s="2">
        <f t="shared" si="5"/>
        <v>3722.18</v>
      </c>
      <c r="G3550" s="10">
        <f t="shared" si="9"/>
        <v>41532.64583</v>
      </c>
      <c r="H3550" s="6" t="str">
        <f t="shared" si="6"/>
        <v/>
      </c>
      <c r="I3550" s="2">
        <f t="shared" si="7"/>
        <v>1426.89</v>
      </c>
      <c r="M3550" s="10">
        <f>IFERROR(__xludf.DUMMYFUNCTION("""COMPUTED_VALUE"""),43130.66666666667)</f>
        <v>43130.66667</v>
      </c>
      <c r="N3550" s="2">
        <f>IFERROR(__xludf.DUMMYFUNCTION("""COMPUTED_VALUE"""),7402.48)</f>
        <v>7402.48</v>
      </c>
    </row>
    <row r="3551">
      <c r="A3551" s="10">
        <f t="shared" si="8"/>
        <v>41533.66667</v>
      </c>
      <c r="B3551" s="2" t="str">
        <f t="shared" si="2"/>
        <v/>
      </c>
      <c r="C3551" s="2" t="str">
        <f t="shared" si="3"/>
        <v>SP500</v>
      </c>
      <c r="D3551" s="2">
        <f t="shared" si="4"/>
        <v>3717.85</v>
      </c>
      <c r="E3551" s="2">
        <f t="shared" si="5"/>
        <v>3717.85</v>
      </c>
      <c r="G3551" s="10">
        <f t="shared" si="9"/>
        <v>41533.64583</v>
      </c>
      <c r="H3551" s="6" t="str">
        <f t="shared" si="6"/>
        <v/>
      </c>
      <c r="I3551" s="2">
        <f t="shared" si="7"/>
        <v>1426.89</v>
      </c>
      <c r="M3551" s="10">
        <f>IFERROR(__xludf.DUMMYFUNCTION("""COMPUTED_VALUE"""),43131.66666666667)</f>
        <v>43131.66667</v>
      </c>
      <c r="N3551" s="2">
        <f>IFERROR(__xludf.DUMMYFUNCTION("""COMPUTED_VALUE"""),7411.48)</f>
        <v>7411.48</v>
      </c>
    </row>
    <row r="3552">
      <c r="A3552" s="10">
        <f t="shared" si="8"/>
        <v>41534.66667</v>
      </c>
      <c r="B3552" s="2" t="str">
        <f t="shared" si="2"/>
        <v/>
      </c>
      <c r="C3552" s="2" t="str">
        <f t="shared" si="3"/>
        <v>SP500</v>
      </c>
      <c r="D3552" s="2">
        <f t="shared" si="4"/>
        <v>3745.7</v>
      </c>
      <c r="E3552" s="2">
        <f t="shared" si="5"/>
        <v>3745.7</v>
      </c>
      <c r="G3552" s="10">
        <f t="shared" si="9"/>
        <v>41534.64583</v>
      </c>
      <c r="H3552" s="6" t="str">
        <f t="shared" si="6"/>
        <v/>
      </c>
      <c r="I3552" s="2">
        <f t="shared" si="7"/>
        <v>1426.89</v>
      </c>
      <c r="M3552" s="10">
        <f>IFERROR(__xludf.DUMMYFUNCTION("""COMPUTED_VALUE"""),43132.66666666667)</f>
        <v>43132.66667</v>
      </c>
      <c r="N3552" s="2">
        <f>IFERROR(__xludf.DUMMYFUNCTION("""COMPUTED_VALUE"""),7385.86)</f>
        <v>7385.86</v>
      </c>
    </row>
    <row r="3553">
      <c r="A3553" s="10">
        <f t="shared" si="8"/>
        <v>41535.66667</v>
      </c>
      <c r="B3553" s="2" t="str">
        <f t="shared" si="2"/>
        <v/>
      </c>
      <c r="C3553" s="2" t="str">
        <f t="shared" si="3"/>
        <v>SP500</v>
      </c>
      <c r="D3553" s="2">
        <f t="shared" si="4"/>
        <v>3783.64</v>
      </c>
      <c r="E3553" s="2">
        <f t="shared" si="5"/>
        <v>3783.64</v>
      </c>
      <c r="G3553" s="10">
        <f t="shared" si="9"/>
        <v>41535.64583</v>
      </c>
      <c r="H3553" s="6" t="str">
        <f t="shared" si="6"/>
        <v/>
      </c>
      <c r="I3553" s="2">
        <f t="shared" si="7"/>
        <v>1426.89</v>
      </c>
      <c r="M3553" s="10">
        <f>IFERROR(__xludf.DUMMYFUNCTION("""COMPUTED_VALUE"""),43133.66666666667)</f>
        <v>43133.66667</v>
      </c>
      <c r="N3553" s="2">
        <f>IFERROR(__xludf.DUMMYFUNCTION("""COMPUTED_VALUE"""),7240.95)</f>
        <v>7240.95</v>
      </c>
    </row>
    <row r="3554">
      <c r="A3554" s="10">
        <f t="shared" si="8"/>
        <v>41536.66667</v>
      </c>
      <c r="B3554" s="2" t="str">
        <f t="shared" si="2"/>
        <v/>
      </c>
      <c r="C3554" s="2" t="str">
        <f t="shared" si="3"/>
        <v>SP500</v>
      </c>
      <c r="D3554" s="2">
        <f t="shared" si="4"/>
        <v>3789.38</v>
      </c>
      <c r="E3554" s="2">
        <f t="shared" si="5"/>
        <v>3789.38</v>
      </c>
      <c r="G3554" s="10">
        <f t="shared" si="9"/>
        <v>41536.64583</v>
      </c>
      <c r="H3554" s="6" t="str">
        <f t="shared" si="6"/>
        <v/>
      </c>
      <c r="I3554" s="2">
        <f t="shared" si="7"/>
        <v>1426.89</v>
      </c>
      <c r="M3554" s="10">
        <f>IFERROR(__xludf.DUMMYFUNCTION("""COMPUTED_VALUE"""),43136.66666666667)</f>
        <v>43136.66667</v>
      </c>
      <c r="N3554" s="2">
        <f>IFERROR(__xludf.DUMMYFUNCTION("""COMPUTED_VALUE"""),6967.53)</f>
        <v>6967.53</v>
      </c>
    </row>
    <row r="3555">
      <c r="A3555" s="10">
        <f t="shared" si="8"/>
        <v>41537.66667</v>
      </c>
      <c r="B3555" s="2" t="str">
        <f t="shared" si="2"/>
        <v/>
      </c>
      <c r="C3555" s="2" t="str">
        <f t="shared" si="3"/>
        <v>SP500</v>
      </c>
      <c r="D3555" s="2">
        <f t="shared" si="4"/>
        <v>3774.73</v>
      </c>
      <c r="E3555" s="2">
        <f t="shared" si="5"/>
        <v>3774.73</v>
      </c>
      <c r="G3555" s="10">
        <f t="shared" si="9"/>
        <v>41537.64583</v>
      </c>
      <c r="H3555" s="6" t="str">
        <f t="shared" si="6"/>
        <v/>
      </c>
      <c r="I3555" s="2">
        <f t="shared" si="7"/>
        <v>1426.89</v>
      </c>
      <c r="M3555" s="10">
        <f>IFERROR(__xludf.DUMMYFUNCTION("""COMPUTED_VALUE"""),43137.66666666667)</f>
        <v>43137.66667</v>
      </c>
      <c r="N3555" s="2">
        <f>IFERROR(__xludf.DUMMYFUNCTION("""COMPUTED_VALUE"""),7115.88)</f>
        <v>7115.88</v>
      </c>
    </row>
    <row r="3556">
      <c r="A3556" s="10">
        <f t="shared" si="8"/>
        <v>41538.66667</v>
      </c>
      <c r="B3556" s="2" t="str">
        <f t="shared" si="2"/>
        <v/>
      </c>
      <c r="C3556" s="2" t="str">
        <f t="shared" si="3"/>
        <v>SP500</v>
      </c>
      <c r="D3556" s="2" t="str">
        <f t="shared" si="4"/>
        <v/>
      </c>
      <c r="E3556" s="2">
        <f t="shared" si="5"/>
        <v>3774.73</v>
      </c>
      <c r="G3556" s="10">
        <f t="shared" si="9"/>
        <v>41538.64583</v>
      </c>
      <c r="H3556" s="6" t="str">
        <f t="shared" si="6"/>
        <v/>
      </c>
      <c r="I3556" s="2">
        <f t="shared" si="7"/>
        <v>1426.89</v>
      </c>
      <c r="M3556" s="10">
        <f>IFERROR(__xludf.DUMMYFUNCTION("""COMPUTED_VALUE"""),43138.66666666667)</f>
        <v>43138.66667</v>
      </c>
      <c r="N3556" s="2">
        <f>IFERROR(__xludf.DUMMYFUNCTION("""COMPUTED_VALUE"""),7051.98)</f>
        <v>7051.98</v>
      </c>
    </row>
    <row r="3557">
      <c r="A3557" s="10">
        <f t="shared" si="8"/>
        <v>41539.66667</v>
      </c>
      <c r="B3557" s="2" t="str">
        <f t="shared" si="2"/>
        <v/>
      </c>
      <c r="C3557" s="2" t="str">
        <f t="shared" si="3"/>
        <v>SP500</v>
      </c>
      <c r="D3557" s="2" t="str">
        <f t="shared" si="4"/>
        <v/>
      </c>
      <c r="E3557" s="2">
        <f t="shared" si="5"/>
        <v>3774.73</v>
      </c>
      <c r="G3557" s="10">
        <f t="shared" si="9"/>
        <v>41539.64583</v>
      </c>
      <c r="H3557" s="6" t="str">
        <f t="shared" si="6"/>
        <v/>
      </c>
      <c r="I3557" s="2">
        <f t="shared" si="7"/>
        <v>1426.89</v>
      </c>
      <c r="M3557" s="10">
        <f>IFERROR(__xludf.DUMMYFUNCTION("""COMPUTED_VALUE"""),43139.66666666667)</f>
        <v>43139.66667</v>
      </c>
      <c r="N3557" s="2">
        <f>IFERROR(__xludf.DUMMYFUNCTION("""COMPUTED_VALUE"""),6777.16)</f>
        <v>6777.16</v>
      </c>
    </row>
    <row r="3558">
      <c r="A3558" s="10">
        <f t="shared" si="8"/>
        <v>41540.66667</v>
      </c>
      <c r="B3558" s="2" t="str">
        <f t="shared" si="2"/>
        <v/>
      </c>
      <c r="C3558" s="2" t="str">
        <f t="shared" si="3"/>
        <v>SP500</v>
      </c>
      <c r="D3558" s="2">
        <f t="shared" si="4"/>
        <v>3765.29</v>
      </c>
      <c r="E3558" s="2">
        <f t="shared" si="5"/>
        <v>3765.29</v>
      </c>
      <c r="G3558" s="10">
        <f t="shared" si="9"/>
        <v>41540.64583</v>
      </c>
      <c r="H3558" s="6" t="str">
        <f t="shared" si="6"/>
        <v/>
      </c>
      <c r="I3558" s="2">
        <f t="shared" si="7"/>
        <v>1426.89</v>
      </c>
      <c r="M3558" s="10">
        <f>IFERROR(__xludf.DUMMYFUNCTION("""COMPUTED_VALUE"""),43140.66666666667)</f>
        <v>43140.66667</v>
      </c>
      <c r="N3558" s="2">
        <f>IFERROR(__xludf.DUMMYFUNCTION("""COMPUTED_VALUE"""),6874.49)</f>
        <v>6874.49</v>
      </c>
    </row>
    <row r="3559">
      <c r="A3559" s="10">
        <f t="shared" si="8"/>
        <v>41541.66667</v>
      </c>
      <c r="B3559" s="2" t="str">
        <f t="shared" si="2"/>
        <v/>
      </c>
      <c r="C3559" s="2" t="str">
        <f t="shared" si="3"/>
        <v>SP500</v>
      </c>
      <c r="D3559" s="2">
        <f t="shared" si="4"/>
        <v>3768.25</v>
      </c>
      <c r="E3559" s="2">
        <f t="shared" si="5"/>
        <v>3768.25</v>
      </c>
      <c r="G3559" s="10">
        <f t="shared" si="9"/>
        <v>41541.64583</v>
      </c>
      <c r="H3559" s="6" t="str">
        <f t="shared" si="6"/>
        <v/>
      </c>
      <c r="I3559" s="2">
        <f t="shared" si="7"/>
        <v>1426.89</v>
      </c>
      <c r="M3559" s="10">
        <f>IFERROR(__xludf.DUMMYFUNCTION("""COMPUTED_VALUE"""),43143.66666666667)</f>
        <v>43143.66667</v>
      </c>
      <c r="N3559" s="2">
        <f>IFERROR(__xludf.DUMMYFUNCTION("""COMPUTED_VALUE"""),6981.96)</f>
        <v>6981.96</v>
      </c>
    </row>
    <row r="3560">
      <c r="A3560" s="10">
        <f t="shared" si="8"/>
        <v>41542.66667</v>
      </c>
      <c r="B3560" s="2" t="str">
        <f t="shared" si="2"/>
        <v/>
      </c>
      <c r="C3560" s="2" t="str">
        <f t="shared" si="3"/>
        <v>SP500</v>
      </c>
      <c r="D3560" s="2">
        <f t="shared" si="4"/>
        <v>3761.1</v>
      </c>
      <c r="E3560" s="2">
        <f t="shared" si="5"/>
        <v>3761.1</v>
      </c>
      <c r="G3560" s="10">
        <f t="shared" si="9"/>
        <v>41542.64583</v>
      </c>
      <c r="H3560" s="6" t="str">
        <f t="shared" si="6"/>
        <v/>
      </c>
      <c r="I3560" s="2">
        <f t="shared" si="7"/>
        <v>1426.89</v>
      </c>
      <c r="M3560" s="10">
        <f>IFERROR(__xludf.DUMMYFUNCTION("""COMPUTED_VALUE"""),43144.66666666667)</f>
        <v>43144.66667</v>
      </c>
      <c r="N3560" s="2">
        <f>IFERROR(__xludf.DUMMYFUNCTION("""COMPUTED_VALUE"""),7013.51)</f>
        <v>7013.51</v>
      </c>
    </row>
    <row r="3561">
      <c r="A3561" s="10">
        <f t="shared" si="8"/>
        <v>41543.66667</v>
      </c>
      <c r="B3561" s="2" t="str">
        <f t="shared" si="2"/>
        <v/>
      </c>
      <c r="C3561" s="2" t="str">
        <f t="shared" si="3"/>
        <v>SP500</v>
      </c>
      <c r="D3561" s="2">
        <f t="shared" si="4"/>
        <v>3787.43</v>
      </c>
      <c r="E3561" s="2">
        <f t="shared" si="5"/>
        <v>3787.43</v>
      </c>
      <c r="G3561" s="10">
        <f t="shared" si="9"/>
        <v>41543.64583</v>
      </c>
      <c r="H3561" s="6" t="str">
        <f t="shared" si="6"/>
        <v/>
      </c>
      <c r="I3561" s="2">
        <f t="shared" si="7"/>
        <v>1426.89</v>
      </c>
      <c r="M3561" s="10">
        <f>IFERROR(__xludf.DUMMYFUNCTION("""COMPUTED_VALUE"""),43145.66666666667)</f>
        <v>43145.66667</v>
      </c>
      <c r="N3561" s="2">
        <f>IFERROR(__xludf.DUMMYFUNCTION("""COMPUTED_VALUE"""),7143.62)</f>
        <v>7143.62</v>
      </c>
    </row>
    <row r="3562">
      <c r="A3562" s="10">
        <f t="shared" si="8"/>
        <v>41544.66667</v>
      </c>
      <c r="B3562" s="2" t="str">
        <f t="shared" si="2"/>
        <v/>
      </c>
      <c r="C3562" s="2" t="str">
        <f t="shared" si="3"/>
        <v>SP500</v>
      </c>
      <c r="D3562" s="2">
        <f t="shared" si="4"/>
        <v>3781.59</v>
      </c>
      <c r="E3562" s="2">
        <f t="shared" si="5"/>
        <v>3781.59</v>
      </c>
      <c r="G3562" s="10">
        <f t="shared" si="9"/>
        <v>41544.64583</v>
      </c>
      <c r="H3562" s="6" t="str">
        <f t="shared" si="6"/>
        <v/>
      </c>
      <c r="I3562" s="2">
        <f t="shared" si="7"/>
        <v>1426.89</v>
      </c>
      <c r="M3562" s="10">
        <f>IFERROR(__xludf.DUMMYFUNCTION("""COMPUTED_VALUE"""),43146.66666666667)</f>
        <v>43146.66667</v>
      </c>
      <c r="N3562" s="2">
        <f>IFERROR(__xludf.DUMMYFUNCTION("""COMPUTED_VALUE"""),7256.43)</f>
        <v>7256.43</v>
      </c>
    </row>
    <row r="3563">
      <c r="A3563" s="10">
        <f t="shared" si="8"/>
        <v>41545.66667</v>
      </c>
      <c r="B3563" s="2" t="str">
        <f t="shared" si="2"/>
        <v/>
      </c>
      <c r="C3563" s="2" t="str">
        <f t="shared" si="3"/>
        <v>SP500</v>
      </c>
      <c r="D3563" s="2" t="str">
        <f t="shared" si="4"/>
        <v/>
      </c>
      <c r="E3563" s="2">
        <f t="shared" si="5"/>
        <v>3781.59</v>
      </c>
      <c r="G3563" s="10">
        <f t="shared" si="9"/>
        <v>41545.64583</v>
      </c>
      <c r="H3563" s="6" t="str">
        <f t="shared" si="6"/>
        <v/>
      </c>
      <c r="I3563" s="2">
        <f t="shared" si="7"/>
        <v>1426.89</v>
      </c>
      <c r="M3563" s="10">
        <f>IFERROR(__xludf.DUMMYFUNCTION("""COMPUTED_VALUE"""),43147.66666666667)</f>
        <v>43147.66667</v>
      </c>
      <c r="N3563" s="2">
        <f>IFERROR(__xludf.DUMMYFUNCTION("""COMPUTED_VALUE"""),7239.47)</f>
        <v>7239.47</v>
      </c>
    </row>
    <row r="3564">
      <c r="A3564" s="10">
        <f t="shared" si="8"/>
        <v>41546.66667</v>
      </c>
      <c r="B3564" s="2" t="str">
        <f t="shared" si="2"/>
        <v/>
      </c>
      <c r="C3564" s="2" t="str">
        <f t="shared" si="3"/>
        <v>SP500</v>
      </c>
      <c r="D3564" s="2" t="str">
        <f t="shared" si="4"/>
        <v/>
      </c>
      <c r="E3564" s="2">
        <f t="shared" si="5"/>
        <v>3781.59</v>
      </c>
      <c r="G3564" s="10">
        <f t="shared" si="9"/>
        <v>41546.64583</v>
      </c>
      <c r="H3564" s="6" t="str">
        <f t="shared" si="6"/>
        <v/>
      </c>
      <c r="I3564" s="2">
        <f t="shared" si="7"/>
        <v>1426.89</v>
      </c>
      <c r="M3564" s="10">
        <f>IFERROR(__xludf.DUMMYFUNCTION("""COMPUTED_VALUE"""),43151.66666666667)</f>
        <v>43151.66667</v>
      </c>
      <c r="N3564" s="2">
        <f>IFERROR(__xludf.DUMMYFUNCTION("""COMPUTED_VALUE"""),7234.31)</f>
        <v>7234.31</v>
      </c>
    </row>
    <row r="3565">
      <c r="A3565" s="10">
        <f t="shared" si="8"/>
        <v>41547.66667</v>
      </c>
      <c r="B3565" s="2" t="str">
        <f t="shared" si="2"/>
        <v/>
      </c>
      <c r="C3565" s="2" t="str">
        <f t="shared" si="3"/>
        <v>SP500</v>
      </c>
      <c r="D3565" s="2">
        <f t="shared" si="4"/>
        <v>3771.48</v>
      </c>
      <c r="E3565" s="2">
        <f t="shared" si="5"/>
        <v>3771.48</v>
      </c>
      <c r="G3565" s="10">
        <f t="shared" si="9"/>
        <v>41547.64583</v>
      </c>
      <c r="H3565" s="6" t="str">
        <f t="shared" si="6"/>
        <v/>
      </c>
      <c r="I3565" s="2">
        <f t="shared" si="7"/>
        <v>1426.89</v>
      </c>
      <c r="M3565" s="10">
        <f>IFERROR(__xludf.DUMMYFUNCTION("""COMPUTED_VALUE"""),43152.66666666667)</f>
        <v>43152.66667</v>
      </c>
      <c r="N3565" s="2">
        <f>IFERROR(__xludf.DUMMYFUNCTION("""COMPUTED_VALUE"""),7218.23)</f>
        <v>7218.23</v>
      </c>
    </row>
    <row r="3566">
      <c r="A3566" s="10">
        <f t="shared" si="8"/>
        <v>41548.66667</v>
      </c>
      <c r="B3566" s="2" t="str">
        <f t="shared" si="2"/>
        <v/>
      </c>
      <c r="C3566" s="2" t="str">
        <f t="shared" si="3"/>
        <v>SP500</v>
      </c>
      <c r="D3566" s="2">
        <f t="shared" si="4"/>
        <v>3817.98</v>
      </c>
      <c r="E3566" s="2">
        <f t="shared" si="5"/>
        <v>3817.98</v>
      </c>
      <c r="G3566" s="10">
        <f t="shared" si="9"/>
        <v>41548.64583</v>
      </c>
      <c r="H3566" s="6" t="str">
        <f t="shared" si="6"/>
        <v/>
      </c>
      <c r="I3566" s="2">
        <f t="shared" si="7"/>
        <v>1426.89</v>
      </c>
      <c r="M3566" s="10">
        <f>IFERROR(__xludf.DUMMYFUNCTION("""COMPUTED_VALUE"""),43153.66666666667)</f>
        <v>43153.66667</v>
      </c>
      <c r="N3566" s="2">
        <f>IFERROR(__xludf.DUMMYFUNCTION("""COMPUTED_VALUE"""),7210.09)</f>
        <v>7210.09</v>
      </c>
    </row>
    <row r="3567">
      <c r="A3567" s="10">
        <f t="shared" si="8"/>
        <v>41549.66667</v>
      </c>
      <c r="B3567" s="2" t="str">
        <f t="shared" si="2"/>
        <v/>
      </c>
      <c r="C3567" s="2" t="str">
        <f t="shared" si="3"/>
        <v>SP500</v>
      </c>
      <c r="D3567" s="2">
        <f t="shared" si="4"/>
        <v>3815.02</v>
      </c>
      <c r="E3567" s="2">
        <f t="shared" si="5"/>
        <v>3815.02</v>
      </c>
      <c r="G3567" s="10">
        <f t="shared" si="9"/>
        <v>41549.64583</v>
      </c>
      <c r="H3567" s="6" t="str">
        <f t="shared" si="6"/>
        <v/>
      </c>
      <c r="I3567" s="2">
        <f t="shared" si="7"/>
        <v>1426.89</v>
      </c>
      <c r="M3567" s="10">
        <f>IFERROR(__xludf.DUMMYFUNCTION("""COMPUTED_VALUE"""),43154.66666666667)</f>
        <v>43154.66667</v>
      </c>
      <c r="N3567" s="2">
        <f>IFERROR(__xludf.DUMMYFUNCTION("""COMPUTED_VALUE"""),7337.39)</f>
        <v>7337.39</v>
      </c>
    </row>
    <row r="3568">
      <c r="A3568" s="10">
        <f t="shared" si="8"/>
        <v>41550.66667</v>
      </c>
      <c r="B3568" s="2" t="str">
        <f t="shared" si="2"/>
        <v/>
      </c>
      <c r="C3568" s="2" t="str">
        <f t="shared" si="3"/>
        <v>SP500</v>
      </c>
      <c r="D3568" s="2">
        <f t="shared" si="4"/>
        <v>3774.34</v>
      </c>
      <c r="E3568" s="2">
        <f t="shared" si="5"/>
        <v>3774.34</v>
      </c>
      <c r="G3568" s="10">
        <f t="shared" si="9"/>
        <v>41550.64583</v>
      </c>
      <c r="H3568" s="6" t="str">
        <f t="shared" si="6"/>
        <v/>
      </c>
      <c r="I3568" s="2">
        <f t="shared" si="7"/>
        <v>1426.89</v>
      </c>
      <c r="M3568" s="10">
        <f>IFERROR(__xludf.DUMMYFUNCTION("""COMPUTED_VALUE"""),43157.66666666667)</f>
        <v>43157.66667</v>
      </c>
      <c r="N3568" s="2">
        <f>IFERROR(__xludf.DUMMYFUNCTION("""COMPUTED_VALUE"""),7421.46)</f>
        <v>7421.46</v>
      </c>
    </row>
    <row r="3569">
      <c r="A3569" s="10">
        <f t="shared" si="8"/>
        <v>41551.66667</v>
      </c>
      <c r="B3569" s="2" t="str">
        <f t="shared" si="2"/>
        <v/>
      </c>
      <c r="C3569" s="2" t="str">
        <f t="shared" si="3"/>
        <v>SP500</v>
      </c>
      <c r="D3569" s="2">
        <f t="shared" si="4"/>
        <v>3807.75</v>
      </c>
      <c r="E3569" s="2">
        <f t="shared" si="5"/>
        <v>3807.75</v>
      </c>
      <c r="G3569" s="10">
        <f t="shared" si="9"/>
        <v>41551.64583</v>
      </c>
      <c r="H3569" s="6" t="str">
        <f t="shared" si="6"/>
        <v/>
      </c>
      <c r="I3569" s="2">
        <f t="shared" si="7"/>
        <v>1426.89</v>
      </c>
      <c r="M3569" s="10">
        <f>IFERROR(__xludf.DUMMYFUNCTION("""COMPUTED_VALUE"""),43158.66666666667)</f>
        <v>43158.66667</v>
      </c>
      <c r="N3569" s="2">
        <f>IFERROR(__xludf.DUMMYFUNCTION("""COMPUTED_VALUE"""),7330.35)</f>
        <v>7330.35</v>
      </c>
    </row>
    <row r="3570">
      <c r="A3570" s="10">
        <f t="shared" si="8"/>
        <v>41552.66667</v>
      </c>
      <c r="B3570" s="2" t="str">
        <f t="shared" si="2"/>
        <v/>
      </c>
      <c r="C3570" s="2" t="str">
        <f t="shared" si="3"/>
        <v>SP500</v>
      </c>
      <c r="D3570" s="2" t="str">
        <f t="shared" si="4"/>
        <v/>
      </c>
      <c r="E3570" s="2">
        <f t="shared" si="5"/>
        <v>3807.75</v>
      </c>
      <c r="G3570" s="10">
        <f t="shared" si="9"/>
        <v>41552.64583</v>
      </c>
      <c r="H3570" s="6" t="str">
        <f t="shared" si="6"/>
        <v/>
      </c>
      <c r="I3570" s="2">
        <f t="shared" si="7"/>
        <v>1426.89</v>
      </c>
      <c r="M3570" s="10">
        <f>IFERROR(__xludf.DUMMYFUNCTION("""COMPUTED_VALUE"""),43159.66666666667)</f>
        <v>43159.66667</v>
      </c>
      <c r="N3570" s="2">
        <f>IFERROR(__xludf.DUMMYFUNCTION("""COMPUTED_VALUE"""),7273.01)</f>
        <v>7273.01</v>
      </c>
    </row>
    <row r="3571">
      <c r="A3571" s="10">
        <f t="shared" si="8"/>
        <v>41553.66667</v>
      </c>
      <c r="B3571" s="2" t="str">
        <f t="shared" si="2"/>
        <v/>
      </c>
      <c r="C3571" s="2" t="str">
        <f t="shared" si="3"/>
        <v>SP500</v>
      </c>
      <c r="D3571" s="2" t="str">
        <f t="shared" si="4"/>
        <v/>
      </c>
      <c r="E3571" s="2">
        <f t="shared" si="5"/>
        <v>3807.75</v>
      </c>
      <c r="G3571" s="10">
        <f t="shared" si="9"/>
        <v>41553.64583</v>
      </c>
      <c r="H3571" s="6" t="str">
        <f t="shared" si="6"/>
        <v/>
      </c>
      <c r="I3571" s="2">
        <f t="shared" si="7"/>
        <v>1426.89</v>
      </c>
      <c r="M3571" s="10">
        <f>IFERROR(__xludf.DUMMYFUNCTION("""COMPUTED_VALUE"""),43160.66666666667)</f>
        <v>43160.66667</v>
      </c>
      <c r="N3571" s="2">
        <f>IFERROR(__xludf.DUMMYFUNCTION("""COMPUTED_VALUE"""),7180.56)</f>
        <v>7180.56</v>
      </c>
    </row>
    <row r="3572">
      <c r="A3572" s="10">
        <f t="shared" si="8"/>
        <v>41554.66667</v>
      </c>
      <c r="B3572" s="2" t="str">
        <f t="shared" si="2"/>
        <v/>
      </c>
      <c r="C3572" s="2" t="str">
        <f t="shared" si="3"/>
        <v>SP500</v>
      </c>
      <c r="D3572" s="2">
        <f t="shared" si="4"/>
        <v>3770.38</v>
      </c>
      <c r="E3572" s="2">
        <f t="shared" si="5"/>
        <v>3770.38</v>
      </c>
      <c r="G3572" s="10">
        <f t="shared" si="9"/>
        <v>41554.64583</v>
      </c>
      <c r="H3572" s="6" t="str">
        <f t="shared" si="6"/>
        <v/>
      </c>
      <c r="I3572" s="2">
        <f t="shared" si="7"/>
        <v>1426.89</v>
      </c>
      <c r="M3572" s="10">
        <f>IFERROR(__xludf.DUMMYFUNCTION("""COMPUTED_VALUE"""),43161.66666666667)</f>
        <v>43161.66667</v>
      </c>
      <c r="N3572" s="2">
        <f>IFERROR(__xludf.DUMMYFUNCTION("""COMPUTED_VALUE"""),7257.87)</f>
        <v>7257.87</v>
      </c>
    </row>
    <row r="3573">
      <c r="A3573" s="10">
        <f t="shared" si="8"/>
        <v>41555.66667</v>
      </c>
      <c r="B3573" s="2" t="str">
        <f t="shared" si="2"/>
        <v/>
      </c>
      <c r="C3573" s="2" t="str">
        <f t="shared" si="3"/>
        <v>SP500</v>
      </c>
      <c r="D3573" s="2">
        <f t="shared" si="4"/>
        <v>3694.83</v>
      </c>
      <c r="E3573" s="2">
        <f t="shared" si="5"/>
        <v>3694.83</v>
      </c>
      <c r="G3573" s="10">
        <f t="shared" si="9"/>
        <v>41555.64583</v>
      </c>
      <c r="H3573" s="6" t="str">
        <f t="shared" si="6"/>
        <v/>
      </c>
      <c r="I3573" s="2">
        <f t="shared" si="7"/>
        <v>1426.89</v>
      </c>
      <c r="M3573" s="10">
        <f>IFERROR(__xludf.DUMMYFUNCTION("""COMPUTED_VALUE"""),43164.66666666667)</f>
        <v>43164.66667</v>
      </c>
      <c r="N3573" s="2">
        <f>IFERROR(__xludf.DUMMYFUNCTION("""COMPUTED_VALUE"""),7330.71)</f>
        <v>7330.71</v>
      </c>
    </row>
    <row r="3574">
      <c r="A3574" s="10">
        <f t="shared" si="8"/>
        <v>41556.66667</v>
      </c>
      <c r="B3574" s="2" t="str">
        <f t="shared" si="2"/>
        <v/>
      </c>
      <c r="C3574" s="2" t="str">
        <f t="shared" si="3"/>
        <v>SP500</v>
      </c>
      <c r="D3574" s="2">
        <f t="shared" si="4"/>
        <v>3677.78</v>
      </c>
      <c r="E3574" s="2">
        <f t="shared" si="5"/>
        <v>3677.78</v>
      </c>
      <c r="G3574" s="10">
        <f t="shared" si="9"/>
        <v>41556.64583</v>
      </c>
      <c r="H3574" s="6" t="str">
        <f t="shared" si="6"/>
        <v/>
      </c>
      <c r="I3574" s="2">
        <f t="shared" si="7"/>
        <v>1426.89</v>
      </c>
      <c r="M3574" s="10">
        <f>IFERROR(__xludf.DUMMYFUNCTION("""COMPUTED_VALUE"""),43165.66666666667)</f>
        <v>43165.66667</v>
      </c>
      <c r="N3574" s="2">
        <f>IFERROR(__xludf.DUMMYFUNCTION("""COMPUTED_VALUE"""),7372.01)</f>
        <v>7372.01</v>
      </c>
    </row>
    <row r="3575">
      <c r="A3575" s="10">
        <f t="shared" si="8"/>
        <v>41557.66667</v>
      </c>
      <c r="B3575" s="2" t="str">
        <f t="shared" si="2"/>
        <v/>
      </c>
      <c r="C3575" s="2" t="str">
        <f t="shared" si="3"/>
        <v>SP500</v>
      </c>
      <c r="D3575" s="2">
        <f t="shared" si="4"/>
        <v>3760.75</v>
      </c>
      <c r="E3575" s="2">
        <f t="shared" si="5"/>
        <v>3760.75</v>
      </c>
      <c r="G3575" s="10">
        <f t="shared" si="9"/>
        <v>41557.64583</v>
      </c>
      <c r="H3575" s="6" t="str">
        <f t="shared" si="6"/>
        <v/>
      </c>
      <c r="I3575" s="2">
        <f t="shared" si="7"/>
        <v>1426.89</v>
      </c>
      <c r="M3575" s="10">
        <f>IFERROR(__xludf.DUMMYFUNCTION("""COMPUTED_VALUE"""),43166.66666666667)</f>
        <v>43166.66667</v>
      </c>
      <c r="N3575" s="2">
        <f>IFERROR(__xludf.DUMMYFUNCTION("""COMPUTED_VALUE"""),7396.65)</f>
        <v>7396.65</v>
      </c>
    </row>
    <row r="3576">
      <c r="A3576" s="10">
        <f t="shared" si="8"/>
        <v>41558.66667</v>
      </c>
      <c r="B3576" s="2" t="str">
        <f t="shared" si="2"/>
        <v/>
      </c>
      <c r="C3576" s="2" t="str">
        <f t="shared" si="3"/>
        <v>SP500</v>
      </c>
      <c r="D3576" s="2">
        <f t="shared" si="4"/>
        <v>3791.87</v>
      </c>
      <c r="E3576" s="2">
        <f t="shared" si="5"/>
        <v>3791.87</v>
      </c>
      <c r="G3576" s="10">
        <f t="shared" si="9"/>
        <v>41558.64583</v>
      </c>
      <c r="H3576" s="6" t="str">
        <f t="shared" si="6"/>
        <v/>
      </c>
      <c r="I3576" s="2">
        <f t="shared" si="7"/>
        <v>1426.89</v>
      </c>
      <c r="M3576" s="10">
        <f>IFERROR(__xludf.DUMMYFUNCTION("""COMPUTED_VALUE"""),43167.66666666667)</f>
        <v>43167.66667</v>
      </c>
      <c r="N3576" s="2">
        <f>IFERROR(__xludf.DUMMYFUNCTION("""COMPUTED_VALUE"""),7427.95)</f>
        <v>7427.95</v>
      </c>
    </row>
    <row r="3577">
      <c r="A3577" s="10">
        <f t="shared" si="8"/>
        <v>41559.66667</v>
      </c>
      <c r="B3577" s="2" t="str">
        <f t="shared" si="2"/>
        <v/>
      </c>
      <c r="C3577" s="2" t="str">
        <f t="shared" si="3"/>
        <v>SP500</v>
      </c>
      <c r="D3577" s="2" t="str">
        <f t="shared" si="4"/>
        <v/>
      </c>
      <c r="E3577" s="2">
        <f t="shared" si="5"/>
        <v>3791.87</v>
      </c>
      <c r="G3577" s="10">
        <f t="shared" si="9"/>
        <v>41559.64583</v>
      </c>
      <c r="H3577" s="6" t="str">
        <f t="shared" si="6"/>
        <v/>
      </c>
      <c r="I3577" s="2">
        <f t="shared" si="7"/>
        <v>1426.89</v>
      </c>
      <c r="M3577" s="10">
        <f>IFERROR(__xludf.DUMMYFUNCTION("""COMPUTED_VALUE"""),43168.66666666667)</f>
        <v>43168.66667</v>
      </c>
      <c r="N3577" s="2">
        <f>IFERROR(__xludf.DUMMYFUNCTION("""COMPUTED_VALUE"""),7560.81)</f>
        <v>7560.81</v>
      </c>
    </row>
    <row r="3578">
      <c r="A3578" s="10">
        <f t="shared" si="8"/>
        <v>41560.66667</v>
      </c>
      <c r="B3578" s="2" t="str">
        <f t="shared" si="2"/>
        <v/>
      </c>
      <c r="C3578" s="2" t="str">
        <f t="shared" si="3"/>
        <v>SP500</v>
      </c>
      <c r="D3578" s="2" t="str">
        <f t="shared" si="4"/>
        <v/>
      </c>
      <c r="E3578" s="2">
        <f t="shared" si="5"/>
        <v>3791.87</v>
      </c>
      <c r="G3578" s="10">
        <f t="shared" si="9"/>
        <v>41560.64583</v>
      </c>
      <c r="H3578" s="6" t="str">
        <f t="shared" si="6"/>
        <v/>
      </c>
      <c r="I3578" s="2">
        <f t="shared" si="7"/>
        <v>1426.89</v>
      </c>
      <c r="M3578" s="10">
        <f>IFERROR(__xludf.DUMMYFUNCTION("""COMPUTED_VALUE"""),43171.66666666667)</f>
        <v>43171.66667</v>
      </c>
      <c r="N3578" s="2">
        <f>IFERROR(__xludf.DUMMYFUNCTION("""COMPUTED_VALUE"""),7588.33)</f>
        <v>7588.33</v>
      </c>
    </row>
    <row r="3579">
      <c r="A3579" s="10">
        <f t="shared" si="8"/>
        <v>41561.66667</v>
      </c>
      <c r="B3579" s="2" t="str">
        <f t="shared" si="2"/>
        <v/>
      </c>
      <c r="C3579" s="2" t="str">
        <f t="shared" si="3"/>
        <v>SP500</v>
      </c>
      <c r="D3579" s="2">
        <f t="shared" si="4"/>
        <v>3815.27</v>
      </c>
      <c r="E3579" s="2">
        <f t="shared" si="5"/>
        <v>3815.27</v>
      </c>
      <c r="G3579" s="10">
        <f t="shared" si="9"/>
        <v>41561.64583</v>
      </c>
      <c r="H3579" s="6" t="str">
        <f t="shared" si="6"/>
        <v/>
      </c>
      <c r="I3579" s="2">
        <f t="shared" si="7"/>
        <v>1426.89</v>
      </c>
      <c r="M3579" s="10">
        <f>IFERROR(__xludf.DUMMYFUNCTION("""COMPUTED_VALUE"""),43172.66666666667)</f>
        <v>43172.66667</v>
      </c>
      <c r="N3579" s="2">
        <f>IFERROR(__xludf.DUMMYFUNCTION("""COMPUTED_VALUE"""),7511.01)</f>
        <v>7511.01</v>
      </c>
    </row>
    <row r="3580">
      <c r="A3580" s="10">
        <f t="shared" si="8"/>
        <v>41562.66667</v>
      </c>
      <c r="B3580" s="2" t="str">
        <f t="shared" si="2"/>
        <v/>
      </c>
      <c r="C3580" s="2" t="str">
        <f t="shared" si="3"/>
        <v>SP500</v>
      </c>
      <c r="D3580" s="2">
        <f t="shared" si="4"/>
        <v>3794.01</v>
      </c>
      <c r="E3580" s="2">
        <f t="shared" si="5"/>
        <v>3794.01</v>
      </c>
      <c r="G3580" s="10">
        <f t="shared" si="9"/>
        <v>41562.64583</v>
      </c>
      <c r="H3580" s="6" t="str">
        <f t="shared" si="6"/>
        <v/>
      </c>
      <c r="I3580" s="2">
        <f t="shared" si="7"/>
        <v>1426.89</v>
      </c>
      <c r="M3580" s="10">
        <f>IFERROR(__xludf.DUMMYFUNCTION("""COMPUTED_VALUE"""),43173.66666666667)</f>
        <v>43173.66667</v>
      </c>
      <c r="N3580" s="2">
        <f>IFERROR(__xludf.DUMMYFUNCTION("""COMPUTED_VALUE"""),7496.81)</f>
        <v>7496.81</v>
      </c>
    </row>
    <row r="3581">
      <c r="A3581" s="10">
        <f t="shared" si="8"/>
        <v>41563.66667</v>
      </c>
      <c r="B3581" s="2" t="str">
        <f t="shared" si="2"/>
        <v/>
      </c>
      <c r="C3581" s="2" t="str">
        <f t="shared" si="3"/>
        <v>SP500</v>
      </c>
      <c r="D3581" s="2">
        <f t="shared" si="4"/>
        <v>3839.43</v>
      </c>
      <c r="E3581" s="2">
        <f t="shared" si="5"/>
        <v>3839.43</v>
      </c>
      <c r="G3581" s="10">
        <f t="shared" si="9"/>
        <v>41563.64583</v>
      </c>
      <c r="H3581" s="6" t="str">
        <f t="shared" si="6"/>
        <v/>
      </c>
      <c r="I3581" s="2">
        <f t="shared" si="7"/>
        <v>1426.89</v>
      </c>
      <c r="M3581" s="10">
        <f>IFERROR(__xludf.DUMMYFUNCTION("""COMPUTED_VALUE"""),43174.66666666667)</f>
        <v>43174.66667</v>
      </c>
      <c r="N3581" s="2">
        <f>IFERROR(__xludf.DUMMYFUNCTION("""COMPUTED_VALUE"""),7481.74)</f>
        <v>7481.74</v>
      </c>
    </row>
    <row r="3582">
      <c r="A3582" s="10">
        <f t="shared" si="8"/>
        <v>41564.66667</v>
      </c>
      <c r="B3582" s="2" t="str">
        <f t="shared" si="2"/>
        <v/>
      </c>
      <c r="C3582" s="2" t="str">
        <f t="shared" si="3"/>
        <v>SP500</v>
      </c>
      <c r="D3582" s="2">
        <f t="shared" si="4"/>
        <v>3863.15</v>
      </c>
      <c r="E3582" s="2">
        <f t="shared" si="5"/>
        <v>3863.15</v>
      </c>
      <c r="G3582" s="10">
        <f t="shared" si="9"/>
        <v>41564.64583</v>
      </c>
      <c r="H3582" s="6" t="str">
        <f t="shared" si="6"/>
        <v/>
      </c>
      <c r="I3582" s="2">
        <f t="shared" si="7"/>
        <v>1426.89</v>
      </c>
      <c r="M3582" s="10">
        <f>IFERROR(__xludf.DUMMYFUNCTION("""COMPUTED_VALUE"""),43175.66666666667)</f>
        <v>43175.66667</v>
      </c>
      <c r="N3582" s="2">
        <f>IFERROR(__xludf.DUMMYFUNCTION("""COMPUTED_VALUE"""),7481.99)</f>
        <v>7481.99</v>
      </c>
    </row>
    <row r="3583">
      <c r="A3583" s="10">
        <f t="shared" si="8"/>
        <v>41565.66667</v>
      </c>
      <c r="B3583" s="2" t="str">
        <f t="shared" si="2"/>
        <v/>
      </c>
      <c r="C3583" s="2" t="str">
        <f t="shared" si="3"/>
        <v>SP500</v>
      </c>
      <c r="D3583" s="2">
        <f t="shared" si="4"/>
        <v>3914.28</v>
      </c>
      <c r="E3583" s="2">
        <f t="shared" si="5"/>
        <v>3914.28</v>
      </c>
      <c r="G3583" s="10">
        <f t="shared" si="9"/>
        <v>41565.64583</v>
      </c>
      <c r="H3583" s="6" t="str">
        <f t="shared" si="6"/>
        <v/>
      </c>
      <c r="I3583" s="2">
        <f t="shared" si="7"/>
        <v>1426.89</v>
      </c>
      <c r="M3583" s="10">
        <f>IFERROR(__xludf.DUMMYFUNCTION("""COMPUTED_VALUE"""),43178.66666666667)</f>
        <v>43178.66667</v>
      </c>
      <c r="N3583" s="2">
        <f>IFERROR(__xludf.DUMMYFUNCTION("""COMPUTED_VALUE"""),7344.24)</f>
        <v>7344.24</v>
      </c>
    </row>
    <row r="3584">
      <c r="A3584" s="10">
        <f t="shared" si="8"/>
        <v>41566.66667</v>
      </c>
      <c r="B3584" s="2" t="str">
        <f t="shared" si="2"/>
        <v/>
      </c>
      <c r="C3584" s="2" t="str">
        <f t="shared" si="3"/>
        <v>SP500</v>
      </c>
      <c r="D3584" s="2" t="str">
        <f t="shared" si="4"/>
        <v/>
      </c>
      <c r="E3584" s="2">
        <f t="shared" si="5"/>
        <v>3914.28</v>
      </c>
      <c r="G3584" s="10">
        <f t="shared" si="9"/>
        <v>41566.64583</v>
      </c>
      <c r="H3584" s="6" t="str">
        <f t="shared" si="6"/>
        <v/>
      </c>
      <c r="I3584" s="2">
        <f t="shared" si="7"/>
        <v>1426.89</v>
      </c>
      <c r="M3584" s="10">
        <f>IFERROR(__xludf.DUMMYFUNCTION("""COMPUTED_VALUE"""),43179.66666666667)</f>
        <v>43179.66667</v>
      </c>
      <c r="N3584" s="2">
        <f>IFERROR(__xludf.DUMMYFUNCTION("""COMPUTED_VALUE"""),7364.3)</f>
        <v>7364.3</v>
      </c>
    </row>
    <row r="3585">
      <c r="A3585" s="10">
        <f t="shared" si="8"/>
        <v>41567.66667</v>
      </c>
      <c r="B3585" s="2" t="str">
        <f t="shared" si="2"/>
        <v/>
      </c>
      <c r="C3585" s="2" t="str">
        <f t="shared" si="3"/>
        <v>SP500</v>
      </c>
      <c r="D3585" s="2" t="str">
        <f t="shared" si="4"/>
        <v/>
      </c>
      <c r="E3585" s="2">
        <f t="shared" si="5"/>
        <v>3914.28</v>
      </c>
      <c r="G3585" s="10">
        <f t="shared" si="9"/>
        <v>41567.64583</v>
      </c>
      <c r="H3585" s="6" t="str">
        <f t="shared" si="6"/>
        <v/>
      </c>
      <c r="I3585" s="2">
        <f t="shared" si="7"/>
        <v>1426.89</v>
      </c>
      <c r="M3585" s="10">
        <f>IFERROR(__xludf.DUMMYFUNCTION("""COMPUTED_VALUE"""),43180.66666666667)</f>
        <v>43180.66667</v>
      </c>
      <c r="N3585" s="2">
        <f>IFERROR(__xludf.DUMMYFUNCTION("""COMPUTED_VALUE"""),7345.29)</f>
        <v>7345.29</v>
      </c>
    </row>
    <row r="3586">
      <c r="A3586" s="10">
        <f t="shared" si="8"/>
        <v>41568.66667</v>
      </c>
      <c r="B3586" s="2" t="str">
        <f t="shared" si="2"/>
        <v/>
      </c>
      <c r="C3586" s="2" t="str">
        <f t="shared" si="3"/>
        <v>SP500</v>
      </c>
      <c r="D3586" s="2">
        <f t="shared" si="4"/>
        <v>3920.05</v>
      </c>
      <c r="E3586" s="2">
        <f t="shared" si="5"/>
        <v>3920.05</v>
      </c>
      <c r="G3586" s="10">
        <f t="shared" si="9"/>
        <v>41568.64583</v>
      </c>
      <c r="H3586" s="6" t="str">
        <f t="shared" si="6"/>
        <v/>
      </c>
      <c r="I3586" s="2">
        <f t="shared" si="7"/>
        <v>1426.89</v>
      </c>
      <c r="M3586" s="10">
        <f>IFERROR(__xludf.DUMMYFUNCTION("""COMPUTED_VALUE"""),43181.66666666667)</f>
        <v>43181.66667</v>
      </c>
      <c r="N3586" s="2">
        <f>IFERROR(__xludf.DUMMYFUNCTION("""COMPUTED_VALUE"""),7166.68)</f>
        <v>7166.68</v>
      </c>
    </row>
    <row r="3587">
      <c r="A3587" s="10">
        <f t="shared" si="8"/>
        <v>41569.66667</v>
      </c>
      <c r="B3587" s="2" t="str">
        <f t="shared" si="2"/>
        <v/>
      </c>
      <c r="C3587" s="2" t="str">
        <f t="shared" si="3"/>
        <v>SP500</v>
      </c>
      <c r="D3587" s="2">
        <f t="shared" si="4"/>
        <v>3929.57</v>
      </c>
      <c r="E3587" s="2">
        <f t="shared" si="5"/>
        <v>3929.57</v>
      </c>
      <c r="G3587" s="10">
        <f t="shared" si="9"/>
        <v>41569.64583</v>
      </c>
      <c r="H3587" s="6" t="str">
        <f t="shared" si="6"/>
        <v/>
      </c>
      <c r="I3587" s="2">
        <f t="shared" si="7"/>
        <v>1426.89</v>
      </c>
      <c r="M3587" s="10">
        <f>IFERROR(__xludf.DUMMYFUNCTION("""COMPUTED_VALUE"""),43182.66666666667)</f>
        <v>43182.66667</v>
      </c>
      <c r="N3587" s="2">
        <f>IFERROR(__xludf.DUMMYFUNCTION("""COMPUTED_VALUE"""),6992.67)</f>
        <v>6992.67</v>
      </c>
    </row>
    <row r="3588">
      <c r="A3588" s="10">
        <f t="shared" si="8"/>
        <v>41570.66667</v>
      </c>
      <c r="B3588" s="2" t="str">
        <f t="shared" si="2"/>
        <v/>
      </c>
      <c r="C3588" s="2" t="str">
        <f t="shared" si="3"/>
        <v>SP500</v>
      </c>
      <c r="D3588" s="2">
        <f t="shared" si="4"/>
        <v>3907.07</v>
      </c>
      <c r="E3588" s="2">
        <f t="shared" si="5"/>
        <v>3907.07</v>
      </c>
      <c r="G3588" s="10">
        <f t="shared" si="9"/>
        <v>41570.64583</v>
      </c>
      <c r="H3588" s="6" t="str">
        <f t="shared" si="6"/>
        <v/>
      </c>
      <c r="I3588" s="2">
        <f t="shared" si="7"/>
        <v>1426.89</v>
      </c>
      <c r="M3588" s="10">
        <f>IFERROR(__xludf.DUMMYFUNCTION("""COMPUTED_VALUE"""),43185.66666666667)</f>
        <v>43185.66667</v>
      </c>
      <c r="N3588" s="2">
        <f>IFERROR(__xludf.DUMMYFUNCTION("""COMPUTED_VALUE"""),7220.54)</f>
        <v>7220.54</v>
      </c>
    </row>
    <row r="3589">
      <c r="A3589" s="10">
        <f t="shared" si="8"/>
        <v>41571.66667</v>
      </c>
      <c r="B3589" s="2" t="str">
        <f t="shared" si="2"/>
        <v/>
      </c>
      <c r="C3589" s="2" t="str">
        <f t="shared" si="3"/>
        <v>SP500</v>
      </c>
      <c r="D3589" s="2">
        <f t="shared" si="4"/>
        <v>3928.96</v>
      </c>
      <c r="E3589" s="2">
        <f t="shared" si="5"/>
        <v>3928.96</v>
      </c>
      <c r="G3589" s="10">
        <f t="shared" si="9"/>
        <v>41571.64583</v>
      </c>
      <c r="H3589" s="6" t="str">
        <f t="shared" si="6"/>
        <v/>
      </c>
      <c r="I3589" s="2">
        <f t="shared" si="7"/>
        <v>1426.89</v>
      </c>
      <c r="M3589" s="10">
        <f>IFERROR(__xludf.DUMMYFUNCTION("""COMPUTED_VALUE"""),43186.66666666667)</f>
        <v>43186.66667</v>
      </c>
      <c r="N3589" s="2">
        <f>IFERROR(__xludf.DUMMYFUNCTION("""COMPUTED_VALUE"""),7008.81)</f>
        <v>7008.81</v>
      </c>
    </row>
    <row r="3590">
      <c r="A3590" s="10">
        <f t="shared" si="8"/>
        <v>41572.66667</v>
      </c>
      <c r="B3590" s="2" t="str">
        <f t="shared" si="2"/>
        <v/>
      </c>
      <c r="C3590" s="2" t="str">
        <f t="shared" si="3"/>
        <v>SP500</v>
      </c>
      <c r="D3590" s="2">
        <f t="shared" si="4"/>
        <v>3943.36</v>
      </c>
      <c r="E3590" s="2">
        <f t="shared" si="5"/>
        <v>3943.36</v>
      </c>
      <c r="G3590" s="10">
        <f t="shared" si="9"/>
        <v>41572.64583</v>
      </c>
      <c r="H3590" s="6" t="str">
        <f t="shared" si="6"/>
        <v/>
      </c>
      <c r="I3590" s="2">
        <f t="shared" si="7"/>
        <v>1426.89</v>
      </c>
      <c r="M3590" s="10">
        <f>IFERROR(__xludf.DUMMYFUNCTION("""COMPUTED_VALUE"""),43187.66666666667)</f>
        <v>43187.66667</v>
      </c>
      <c r="N3590" s="2">
        <f>IFERROR(__xludf.DUMMYFUNCTION("""COMPUTED_VALUE"""),6949.23)</f>
        <v>6949.23</v>
      </c>
    </row>
    <row r="3591">
      <c r="A3591" s="10">
        <f t="shared" si="8"/>
        <v>41573.66667</v>
      </c>
      <c r="B3591" s="2" t="str">
        <f t="shared" si="2"/>
        <v/>
      </c>
      <c r="C3591" s="2" t="str">
        <f t="shared" si="3"/>
        <v>SP500</v>
      </c>
      <c r="D3591" s="2" t="str">
        <f t="shared" si="4"/>
        <v/>
      </c>
      <c r="E3591" s="2">
        <f t="shared" si="5"/>
        <v>3943.36</v>
      </c>
      <c r="G3591" s="10">
        <f t="shared" si="9"/>
        <v>41573.64583</v>
      </c>
      <c r="H3591" s="6" t="str">
        <f t="shared" si="6"/>
        <v/>
      </c>
      <c r="I3591" s="2">
        <f t="shared" si="7"/>
        <v>1426.89</v>
      </c>
      <c r="M3591" s="10">
        <f>IFERROR(__xludf.DUMMYFUNCTION("""COMPUTED_VALUE"""),43188.66666666667)</f>
        <v>43188.66667</v>
      </c>
      <c r="N3591" s="2">
        <f>IFERROR(__xludf.DUMMYFUNCTION("""COMPUTED_VALUE"""),7063.45)</f>
        <v>7063.45</v>
      </c>
    </row>
    <row r="3592">
      <c r="A3592" s="10">
        <f t="shared" si="8"/>
        <v>41574.66667</v>
      </c>
      <c r="B3592" s="2" t="str">
        <f t="shared" si="2"/>
        <v/>
      </c>
      <c r="C3592" s="2" t="str">
        <f t="shared" si="3"/>
        <v>SP500</v>
      </c>
      <c r="D3592" s="2" t="str">
        <f t="shared" si="4"/>
        <v/>
      </c>
      <c r="E3592" s="2">
        <f t="shared" si="5"/>
        <v>3943.36</v>
      </c>
      <c r="G3592" s="10">
        <f t="shared" si="9"/>
        <v>41574.64583</v>
      </c>
      <c r="H3592" s="6" t="str">
        <f t="shared" si="6"/>
        <v/>
      </c>
      <c r="I3592" s="2">
        <f t="shared" si="7"/>
        <v>1426.89</v>
      </c>
      <c r="M3592" s="10">
        <f>IFERROR(__xludf.DUMMYFUNCTION("""COMPUTED_VALUE"""),43192.66666666667)</f>
        <v>43192.66667</v>
      </c>
      <c r="N3592" s="2">
        <f>IFERROR(__xludf.DUMMYFUNCTION("""COMPUTED_VALUE"""),6870.12)</f>
        <v>6870.12</v>
      </c>
    </row>
    <row r="3593">
      <c r="A3593" s="10">
        <f t="shared" si="8"/>
        <v>41575.66667</v>
      </c>
      <c r="B3593" s="2" t="str">
        <f t="shared" si="2"/>
        <v/>
      </c>
      <c r="C3593" s="2" t="str">
        <f t="shared" si="3"/>
        <v>SP500</v>
      </c>
      <c r="D3593" s="2">
        <f t="shared" si="4"/>
        <v>3940.13</v>
      </c>
      <c r="E3593" s="2">
        <f t="shared" si="5"/>
        <v>3940.13</v>
      </c>
      <c r="G3593" s="10">
        <f t="shared" si="9"/>
        <v>41575.64583</v>
      </c>
      <c r="H3593" s="6" t="str">
        <f t="shared" si="6"/>
        <v/>
      </c>
      <c r="I3593" s="2">
        <f t="shared" si="7"/>
        <v>1426.89</v>
      </c>
      <c r="M3593" s="10">
        <f>IFERROR(__xludf.DUMMYFUNCTION("""COMPUTED_VALUE"""),43193.66666666667)</f>
        <v>43193.66667</v>
      </c>
      <c r="N3593" s="2">
        <f>IFERROR(__xludf.DUMMYFUNCTION("""COMPUTED_VALUE"""),6941.28)</f>
        <v>6941.28</v>
      </c>
    </row>
    <row r="3594">
      <c r="A3594" s="10">
        <f t="shared" si="8"/>
        <v>41576.66667</v>
      </c>
      <c r="B3594" s="2" t="str">
        <f t="shared" si="2"/>
        <v/>
      </c>
      <c r="C3594" s="2" t="str">
        <f t="shared" si="3"/>
        <v>SP500</v>
      </c>
      <c r="D3594" s="2">
        <f t="shared" si="4"/>
        <v>3952.34</v>
      </c>
      <c r="E3594" s="2">
        <f t="shared" si="5"/>
        <v>3952.34</v>
      </c>
      <c r="G3594" s="10">
        <f t="shared" si="9"/>
        <v>41576.64583</v>
      </c>
      <c r="H3594" s="6" t="str">
        <f t="shared" si="6"/>
        <v/>
      </c>
      <c r="I3594" s="2">
        <f t="shared" si="7"/>
        <v>1426.89</v>
      </c>
      <c r="M3594" s="10">
        <f>IFERROR(__xludf.DUMMYFUNCTION("""COMPUTED_VALUE"""),43194.66666666667)</f>
        <v>43194.66667</v>
      </c>
      <c r="N3594" s="2">
        <f>IFERROR(__xludf.DUMMYFUNCTION("""COMPUTED_VALUE"""),7042.11)</f>
        <v>7042.11</v>
      </c>
    </row>
    <row r="3595">
      <c r="A3595" s="10">
        <f t="shared" si="8"/>
        <v>41577.66667</v>
      </c>
      <c r="B3595" s="2" t="str">
        <f t="shared" si="2"/>
        <v/>
      </c>
      <c r="C3595" s="2" t="str">
        <f t="shared" si="3"/>
        <v>SP500</v>
      </c>
      <c r="D3595" s="2">
        <f t="shared" si="4"/>
        <v>3930.62</v>
      </c>
      <c r="E3595" s="2">
        <f t="shared" si="5"/>
        <v>3930.62</v>
      </c>
      <c r="G3595" s="10">
        <f t="shared" si="9"/>
        <v>41577.64583</v>
      </c>
      <c r="H3595" s="6" t="str">
        <f t="shared" si="6"/>
        <v/>
      </c>
      <c r="I3595" s="2">
        <f t="shared" si="7"/>
        <v>1426.89</v>
      </c>
      <c r="M3595" s="10">
        <f>IFERROR(__xludf.DUMMYFUNCTION("""COMPUTED_VALUE"""),43195.66666666667)</f>
        <v>43195.66667</v>
      </c>
      <c r="N3595" s="2">
        <f>IFERROR(__xludf.DUMMYFUNCTION("""COMPUTED_VALUE"""),7076.55)</f>
        <v>7076.55</v>
      </c>
    </row>
    <row r="3596">
      <c r="A3596" s="10">
        <f t="shared" si="8"/>
        <v>41578.66667</v>
      </c>
      <c r="B3596" s="2" t="str">
        <f t="shared" si="2"/>
        <v/>
      </c>
      <c r="C3596" s="2" t="str">
        <f t="shared" si="3"/>
        <v>SP500</v>
      </c>
      <c r="D3596" s="2">
        <f t="shared" si="4"/>
        <v>3919.71</v>
      </c>
      <c r="E3596" s="2">
        <f t="shared" si="5"/>
        <v>3919.71</v>
      </c>
      <c r="G3596" s="10">
        <f t="shared" si="9"/>
        <v>41578.64583</v>
      </c>
      <c r="H3596" s="6" t="str">
        <f t="shared" si="6"/>
        <v/>
      </c>
      <c r="I3596" s="2">
        <f t="shared" si="7"/>
        <v>1426.89</v>
      </c>
      <c r="M3596" s="10">
        <f>IFERROR(__xludf.DUMMYFUNCTION("""COMPUTED_VALUE"""),43196.66666666667)</f>
        <v>43196.66667</v>
      </c>
      <c r="N3596" s="2">
        <f>IFERROR(__xludf.DUMMYFUNCTION("""COMPUTED_VALUE"""),6915.11)</f>
        <v>6915.11</v>
      </c>
    </row>
    <row r="3597">
      <c r="A3597" s="10">
        <f t="shared" si="8"/>
        <v>41579.66667</v>
      </c>
      <c r="B3597" s="2" t="str">
        <f t="shared" si="2"/>
        <v/>
      </c>
      <c r="C3597" s="2" t="str">
        <f t="shared" si="3"/>
        <v>SP500</v>
      </c>
      <c r="D3597" s="2">
        <f t="shared" si="4"/>
        <v>3922.04</v>
      </c>
      <c r="E3597" s="2">
        <f t="shared" si="5"/>
        <v>3922.04</v>
      </c>
      <c r="G3597" s="10">
        <f t="shared" si="9"/>
        <v>41579.64583</v>
      </c>
      <c r="H3597" s="6" t="str">
        <f t="shared" si="6"/>
        <v/>
      </c>
      <c r="I3597" s="2">
        <f t="shared" si="7"/>
        <v>1426.89</v>
      </c>
      <c r="M3597" s="10">
        <f>IFERROR(__xludf.DUMMYFUNCTION("""COMPUTED_VALUE"""),43199.66666666667)</f>
        <v>43199.66667</v>
      </c>
      <c r="N3597" s="2">
        <f>IFERROR(__xludf.DUMMYFUNCTION("""COMPUTED_VALUE"""),6950.34)</f>
        <v>6950.34</v>
      </c>
    </row>
    <row r="3598">
      <c r="A3598" s="10">
        <f t="shared" si="8"/>
        <v>41580.66667</v>
      </c>
      <c r="B3598" s="2" t="str">
        <f t="shared" si="2"/>
        <v/>
      </c>
      <c r="C3598" s="2" t="str">
        <f t="shared" si="3"/>
        <v>SP500</v>
      </c>
      <c r="D3598" s="2" t="str">
        <f t="shared" si="4"/>
        <v/>
      </c>
      <c r="E3598" s="2">
        <f t="shared" si="5"/>
        <v>3922.04</v>
      </c>
      <c r="G3598" s="10">
        <f t="shared" si="9"/>
        <v>41580.64583</v>
      </c>
      <c r="H3598" s="6" t="str">
        <f t="shared" si="6"/>
        <v/>
      </c>
      <c r="I3598" s="2">
        <f t="shared" si="7"/>
        <v>1426.89</v>
      </c>
      <c r="M3598" s="10">
        <f>IFERROR(__xludf.DUMMYFUNCTION("""COMPUTED_VALUE"""),43200.66666666667)</f>
        <v>43200.66667</v>
      </c>
      <c r="N3598" s="2">
        <f>IFERROR(__xludf.DUMMYFUNCTION("""COMPUTED_VALUE"""),7094.3)</f>
        <v>7094.3</v>
      </c>
    </row>
    <row r="3599">
      <c r="A3599" s="10">
        <f t="shared" si="8"/>
        <v>41581.66667</v>
      </c>
      <c r="B3599" s="2" t="str">
        <f t="shared" si="2"/>
        <v/>
      </c>
      <c r="C3599" s="2" t="str">
        <f t="shared" si="3"/>
        <v>SP500</v>
      </c>
      <c r="D3599" s="2" t="str">
        <f t="shared" si="4"/>
        <v/>
      </c>
      <c r="E3599" s="2">
        <f t="shared" si="5"/>
        <v>3922.04</v>
      </c>
      <c r="G3599" s="10">
        <f t="shared" si="9"/>
        <v>41581.64583</v>
      </c>
      <c r="H3599" s="6" t="str">
        <f t="shared" si="6"/>
        <v/>
      </c>
      <c r="I3599" s="2">
        <f t="shared" si="7"/>
        <v>1426.89</v>
      </c>
      <c r="M3599" s="10">
        <f>IFERROR(__xludf.DUMMYFUNCTION("""COMPUTED_VALUE"""),43201.66666666667)</f>
        <v>43201.66667</v>
      </c>
      <c r="N3599" s="2">
        <f>IFERROR(__xludf.DUMMYFUNCTION("""COMPUTED_VALUE"""),7069.03)</f>
        <v>7069.03</v>
      </c>
    </row>
    <row r="3600">
      <c r="A3600" s="10">
        <f t="shared" si="8"/>
        <v>41582.66667</v>
      </c>
      <c r="B3600" s="2" t="str">
        <f t="shared" si="2"/>
        <v/>
      </c>
      <c r="C3600" s="2" t="str">
        <f t="shared" si="3"/>
        <v>SP500</v>
      </c>
      <c r="D3600" s="2">
        <f t="shared" si="4"/>
        <v>3936.59</v>
      </c>
      <c r="E3600" s="2">
        <f t="shared" si="5"/>
        <v>3936.59</v>
      </c>
      <c r="G3600" s="10">
        <f t="shared" si="9"/>
        <v>41582.64583</v>
      </c>
      <c r="H3600" s="6" t="str">
        <f t="shared" si="6"/>
        <v/>
      </c>
      <c r="I3600" s="2">
        <f t="shared" si="7"/>
        <v>1426.89</v>
      </c>
      <c r="M3600" s="10">
        <f>IFERROR(__xludf.DUMMYFUNCTION("""COMPUTED_VALUE"""),43202.66666666667)</f>
        <v>43202.66667</v>
      </c>
      <c r="N3600" s="2">
        <f>IFERROR(__xludf.DUMMYFUNCTION("""COMPUTED_VALUE"""),7140.25)</f>
        <v>7140.25</v>
      </c>
    </row>
    <row r="3601">
      <c r="A3601" s="10">
        <f t="shared" si="8"/>
        <v>41583.66667</v>
      </c>
      <c r="B3601" s="2" t="str">
        <f t="shared" si="2"/>
        <v/>
      </c>
      <c r="C3601" s="2" t="str">
        <f t="shared" si="3"/>
        <v>SP500</v>
      </c>
      <c r="D3601" s="2">
        <f t="shared" si="4"/>
        <v>3939.86</v>
      </c>
      <c r="E3601" s="2">
        <f t="shared" si="5"/>
        <v>3939.86</v>
      </c>
      <c r="G3601" s="10">
        <f t="shared" si="9"/>
        <v>41583.64583</v>
      </c>
      <c r="H3601" s="6" t="str">
        <f t="shared" si="6"/>
        <v/>
      </c>
      <c r="I3601" s="2">
        <f t="shared" si="7"/>
        <v>1426.89</v>
      </c>
      <c r="M3601" s="10">
        <f>IFERROR(__xludf.DUMMYFUNCTION("""COMPUTED_VALUE"""),43203.66666666667)</f>
        <v>43203.66667</v>
      </c>
      <c r="N3601" s="2">
        <f>IFERROR(__xludf.DUMMYFUNCTION("""COMPUTED_VALUE"""),7106.65)</f>
        <v>7106.65</v>
      </c>
    </row>
    <row r="3602">
      <c r="A3602" s="10">
        <f t="shared" si="8"/>
        <v>41584.66667</v>
      </c>
      <c r="B3602" s="2" t="str">
        <f t="shared" si="2"/>
        <v/>
      </c>
      <c r="C3602" s="2" t="str">
        <f t="shared" si="3"/>
        <v>SP500</v>
      </c>
      <c r="D3602" s="2">
        <f t="shared" si="4"/>
        <v>3931.95</v>
      </c>
      <c r="E3602" s="2">
        <f t="shared" si="5"/>
        <v>3931.95</v>
      </c>
      <c r="G3602" s="10">
        <f t="shared" si="9"/>
        <v>41584.64583</v>
      </c>
      <c r="H3602" s="6" t="str">
        <f t="shared" si="6"/>
        <v/>
      </c>
      <c r="I3602" s="2">
        <f t="shared" si="7"/>
        <v>1426.89</v>
      </c>
      <c r="M3602" s="10">
        <f>IFERROR(__xludf.DUMMYFUNCTION("""COMPUTED_VALUE"""),43206.66666666667)</f>
        <v>43206.66667</v>
      </c>
      <c r="N3602" s="2">
        <f>IFERROR(__xludf.DUMMYFUNCTION("""COMPUTED_VALUE"""),7156.29)</f>
        <v>7156.29</v>
      </c>
    </row>
    <row r="3603">
      <c r="A3603" s="10">
        <f t="shared" si="8"/>
        <v>41585.66667</v>
      </c>
      <c r="B3603" s="2" t="str">
        <f t="shared" si="2"/>
        <v/>
      </c>
      <c r="C3603" s="2" t="str">
        <f t="shared" si="3"/>
        <v>SP500</v>
      </c>
      <c r="D3603" s="2">
        <f t="shared" si="4"/>
        <v>3857.33</v>
      </c>
      <c r="E3603" s="2">
        <f t="shared" si="5"/>
        <v>3857.33</v>
      </c>
      <c r="G3603" s="10">
        <f t="shared" si="9"/>
        <v>41585.64583</v>
      </c>
      <c r="H3603" s="6" t="str">
        <f t="shared" si="6"/>
        <v/>
      </c>
      <c r="I3603" s="2">
        <f t="shared" si="7"/>
        <v>1426.89</v>
      </c>
      <c r="M3603" s="10">
        <f>IFERROR(__xludf.DUMMYFUNCTION("""COMPUTED_VALUE"""),43207.66666666667)</f>
        <v>43207.66667</v>
      </c>
      <c r="N3603" s="2">
        <f>IFERROR(__xludf.DUMMYFUNCTION("""COMPUTED_VALUE"""),7281.1)</f>
        <v>7281.1</v>
      </c>
    </row>
    <row r="3604">
      <c r="A3604" s="10">
        <f t="shared" si="8"/>
        <v>41586.66667</v>
      </c>
      <c r="B3604" s="2" t="str">
        <f t="shared" si="2"/>
        <v/>
      </c>
      <c r="C3604" s="2" t="str">
        <f t="shared" si="3"/>
        <v>SP500</v>
      </c>
      <c r="D3604" s="2">
        <f t="shared" si="4"/>
        <v>3919.23</v>
      </c>
      <c r="E3604" s="2">
        <f t="shared" si="5"/>
        <v>3919.23</v>
      </c>
      <c r="G3604" s="10">
        <f t="shared" si="9"/>
        <v>41586.64583</v>
      </c>
      <c r="H3604" s="6" t="str">
        <f t="shared" si="6"/>
        <v/>
      </c>
      <c r="I3604" s="2">
        <f t="shared" si="7"/>
        <v>1426.89</v>
      </c>
      <c r="M3604" s="10">
        <f>IFERROR(__xludf.DUMMYFUNCTION("""COMPUTED_VALUE"""),43208.66666666667)</f>
        <v>43208.66667</v>
      </c>
      <c r="N3604" s="2">
        <f>IFERROR(__xludf.DUMMYFUNCTION("""COMPUTED_VALUE"""),7295.24)</f>
        <v>7295.24</v>
      </c>
    </row>
    <row r="3605">
      <c r="A3605" s="10">
        <f t="shared" si="8"/>
        <v>41587.66667</v>
      </c>
      <c r="B3605" s="2" t="str">
        <f t="shared" si="2"/>
        <v/>
      </c>
      <c r="C3605" s="2" t="str">
        <f t="shared" si="3"/>
        <v>SP500</v>
      </c>
      <c r="D3605" s="2" t="str">
        <f t="shared" si="4"/>
        <v/>
      </c>
      <c r="E3605" s="2">
        <f t="shared" si="5"/>
        <v>3919.23</v>
      </c>
      <c r="G3605" s="10">
        <f t="shared" si="9"/>
        <v>41587.64583</v>
      </c>
      <c r="H3605" s="6" t="str">
        <f t="shared" si="6"/>
        <v/>
      </c>
      <c r="I3605" s="2">
        <f t="shared" si="7"/>
        <v>1426.89</v>
      </c>
      <c r="M3605" s="10">
        <f>IFERROR(__xludf.DUMMYFUNCTION("""COMPUTED_VALUE"""),43209.66666666667)</f>
        <v>43209.66667</v>
      </c>
      <c r="N3605" s="2">
        <f>IFERROR(__xludf.DUMMYFUNCTION("""COMPUTED_VALUE"""),7238.06)</f>
        <v>7238.06</v>
      </c>
    </row>
    <row r="3606">
      <c r="A3606" s="10">
        <f t="shared" si="8"/>
        <v>41588.66667</v>
      </c>
      <c r="B3606" s="2" t="str">
        <f t="shared" si="2"/>
        <v/>
      </c>
      <c r="C3606" s="2" t="str">
        <f t="shared" si="3"/>
        <v>SP500</v>
      </c>
      <c r="D3606" s="2" t="str">
        <f t="shared" si="4"/>
        <v/>
      </c>
      <c r="E3606" s="2">
        <f t="shared" si="5"/>
        <v>3919.23</v>
      </c>
      <c r="G3606" s="10">
        <f t="shared" si="9"/>
        <v>41588.64583</v>
      </c>
      <c r="H3606" s="6" t="str">
        <f t="shared" si="6"/>
        <v/>
      </c>
      <c r="I3606" s="2">
        <f t="shared" si="7"/>
        <v>1426.89</v>
      </c>
      <c r="M3606" s="10">
        <f>IFERROR(__xludf.DUMMYFUNCTION("""COMPUTED_VALUE"""),43210.66666666667)</f>
        <v>43210.66667</v>
      </c>
      <c r="N3606" s="2">
        <f>IFERROR(__xludf.DUMMYFUNCTION("""COMPUTED_VALUE"""),7146.13)</f>
        <v>7146.13</v>
      </c>
    </row>
    <row r="3607">
      <c r="A3607" s="10">
        <f t="shared" si="8"/>
        <v>41589.66667</v>
      </c>
      <c r="B3607" s="2" t="str">
        <f t="shared" si="2"/>
        <v/>
      </c>
      <c r="C3607" s="2" t="str">
        <f t="shared" si="3"/>
        <v>SP500</v>
      </c>
      <c r="D3607" s="2">
        <f t="shared" si="4"/>
        <v>3919.79</v>
      </c>
      <c r="E3607" s="2">
        <f t="shared" si="5"/>
        <v>3919.79</v>
      </c>
      <c r="G3607" s="10">
        <f t="shared" si="9"/>
        <v>41589.64583</v>
      </c>
      <c r="H3607" s="6" t="str">
        <f t="shared" si="6"/>
        <v/>
      </c>
      <c r="I3607" s="2">
        <f t="shared" si="7"/>
        <v>1426.89</v>
      </c>
      <c r="M3607" s="10">
        <f>IFERROR(__xludf.DUMMYFUNCTION("""COMPUTED_VALUE"""),43213.66666666667)</f>
        <v>43213.66667</v>
      </c>
      <c r="N3607" s="2">
        <f>IFERROR(__xludf.DUMMYFUNCTION("""COMPUTED_VALUE"""),7128.6)</f>
        <v>7128.6</v>
      </c>
    </row>
    <row r="3608">
      <c r="A3608" s="10">
        <f t="shared" si="8"/>
        <v>41590.66667</v>
      </c>
      <c r="B3608" s="2" t="str">
        <f t="shared" si="2"/>
        <v/>
      </c>
      <c r="C3608" s="2" t="str">
        <f t="shared" si="3"/>
        <v>SP500</v>
      </c>
      <c r="D3608" s="2">
        <f t="shared" si="4"/>
        <v>3919.92</v>
      </c>
      <c r="E3608" s="2">
        <f t="shared" si="5"/>
        <v>3919.92</v>
      </c>
      <c r="G3608" s="10">
        <f t="shared" si="9"/>
        <v>41590.64583</v>
      </c>
      <c r="H3608" s="6" t="str">
        <f t="shared" si="6"/>
        <v/>
      </c>
      <c r="I3608" s="2">
        <f t="shared" si="7"/>
        <v>1426.89</v>
      </c>
      <c r="M3608" s="10">
        <f>IFERROR(__xludf.DUMMYFUNCTION("""COMPUTED_VALUE"""),43214.66666666667)</f>
        <v>43214.66667</v>
      </c>
      <c r="N3608" s="2">
        <f>IFERROR(__xludf.DUMMYFUNCTION("""COMPUTED_VALUE"""),7007.35)</f>
        <v>7007.35</v>
      </c>
    </row>
    <row r="3609">
      <c r="A3609" s="10">
        <f t="shared" si="8"/>
        <v>41591.66667</v>
      </c>
      <c r="B3609" s="2" t="str">
        <f t="shared" si="2"/>
        <v/>
      </c>
      <c r="C3609" s="2" t="str">
        <f t="shared" si="3"/>
        <v>SP500</v>
      </c>
      <c r="D3609" s="2">
        <f t="shared" si="4"/>
        <v>3965.58</v>
      </c>
      <c r="E3609" s="2">
        <f t="shared" si="5"/>
        <v>3965.58</v>
      </c>
      <c r="G3609" s="10">
        <f t="shared" si="9"/>
        <v>41591.64583</v>
      </c>
      <c r="H3609" s="6" t="str">
        <f t="shared" si="6"/>
        <v/>
      </c>
      <c r="I3609" s="2">
        <f t="shared" si="7"/>
        <v>1426.89</v>
      </c>
      <c r="M3609" s="10">
        <f>IFERROR(__xludf.DUMMYFUNCTION("""COMPUTED_VALUE"""),43215.66666666667)</f>
        <v>43215.66667</v>
      </c>
      <c r="N3609" s="2">
        <f>IFERROR(__xludf.DUMMYFUNCTION("""COMPUTED_VALUE"""),7003.74)</f>
        <v>7003.74</v>
      </c>
    </row>
    <row r="3610">
      <c r="A3610" s="10">
        <f t="shared" si="8"/>
        <v>41592.66667</v>
      </c>
      <c r="B3610" s="2" t="str">
        <f t="shared" si="2"/>
        <v/>
      </c>
      <c r="C3610" s="2" t="str">
        <f t="shared" si="3"/>
        <v>SP500</v>
      </c>
      <c r="D3610" s="2">
        <f t="shared" si="4"/>
        <v>3972.74</v>
      </c>
      <c r="E3610" s="2">
        <f t="shared" si="5"/>
        <v>3972.74</v>
      </c>
      <c r="G3610" s="10">
        <f t="shared" si="9"/>
        <v>41592.64583</v>
      </c>
      <c r="H3610" s="6" t="str">
        <f t="shared" si="6"/>
        <v/>
      </c>
      <c r="I3610" s="2">
        <f t="shared" si="7"/>
        <v>1426.89</v>
      </c>
      <c r="M3610" s="10">
        <f>IFERROR(__xludf.DUMMYFUNCTION("""COMPUTED_VALUE"""),43216.66666666667)</f>
        <v>43216.66667</v>
      </c>
      <c r="N3610" s="2">
        <f>IFERROR(__xludf.DUMMYFUNCTION("""COMPUTED_VALUE"""),7118.68)</f>
        <v>7118.68</v>
      </c>
    </row>
    <row r="3611">
      <c r="A3611" s="10">
        <f t="shared" si="8"/>
        <v>41593.66667</v>
      </c>
      <c r="B3611" s="2" t="str">
        <f t="shared" si="2"/>
        <v/>
      </c>
      <c r="C3611" s="2" t="str">
        <f t="shared" si="3"/>
        <v>SP500</v>
      </c>
      <c r="D3611" s="2">
        <f t="shared" si="4"/>
        <v>3985.97</v>
      </c>
      <c r="E3611" s="2">
        <f t="shared" si="5"/>
        <v>3985.97</v>
      </c>
      <c r="G3611" s="10">
        <f t="shared" si="9"/>
        <v>41593.64583</v>
      </c>
      <c r="H3611" s="6" t="str">
        <f t="shared" si="6"/>
        <v/>
      </c>
      <c r="I3611" s="2">
        <f t="shared" si="7"/>
        <v>1426.89</v>
      </c>
      <c r="M3611" s="10">
        <f>IFERROR(__xludf.DUMMYFUNCTION("""COMPUTED_VALUE"""),43217.66666666667)</f>
        <v>43217.66667</v>
      </c>
      <c r="N3611" s="2">
        <f>IFERROR(__xludf.DUMMYFUNCTION("""COMPUTED_VALUE"""),7119.8)</f>
        <v>7119.8</v>
      </c>
    </row>
    <row r="3612">
      <c r="A3612" s="10">
        <f t="shared" si="8"/>
        <v>41594.66667</v>
      </c>
      <c r="B3612" s="2" t="str">
        <f t="shared" si="2"/>
        <v/>
      </c>
      <c r="C3612" s="2" t="str">
        <f t="shared" si="3"/>
        <v>SP500</v>
      </c>
      <c r="D3612" s="2" t="str">
        <f t="shared" si="4"/>
        <v/>
      </c>
      <c r="E3612" s="2">
        <f t="shared" si="5"/>
        <v>3985.97</v>
      </c>
      <c r="G3612" s="10">
        <f t="shared" si="9"/>
        <v>41594.64583</v>
      </c>
      <c r="H3612" s="6" t="str">
        <f t="shared" si="6"/>
        <v/>
      </c>
      <c r="I3612" s="2">
        <f t="shared" si="7"/>
        <v>1426.89</v>
      </c>
      <c r="M3612" s="10">
        <f>IFERROR(__xludf.DUMMYFUNCTION("""COMPUTED_VALUE"""),43220.66666666667)</f>
        <v>43220.66667</v>
      </c>
      <c r="N3612" s="2">
        <f>IFERROR(__xludf.DUMMYFUNCTION("""COMPUTED_VALUE"""),7066.27)</f>
        <v>7066.27</v>
      </c>
    </row>
    <row r="3613">
      <c r="A3613" s="10">
        <f t="shared" si="8"/>
        <v>41595.66667</v>
      </c>
      <c r="B3613" s="2" t="str">
        <f t="shared" si="2"/>
        <v/>
      </c>
      <c r="C3613" s="2" t="str">
        <f t="shared" si="3"/>
        <v>SP500</v>
      </c>
      <c r="D3613" s="2" t="str">
        <f t="shared" si="4"/>
        <v/>
      </c>
      <c r="E3613" s="2">
        <f t="shared" si="5"/>
        <v>3985.97</v>
      </c>
      <c r="G3613" s="10">
        <f t="shared" si="9"/>
        <v>41595.64583</v>
      </c>
      <c r="H3613" s="6" t="str">
        <f t="shared" si="6"/>
        <v/>
      </c>
      <c r="I3613" s="2">
        <f t="shared" si="7"/>
        <v>1426.89</v>
      </c>
      <c r="M3613" s="10">
        <f>IFERROR(__xludf.DUMMYFUNCTION("""COMPUTED_VALUE"""),43221.66666666667)</f>
        <v>43221.66667</v>
      </c>
      <c r="N3613" s="2">
        <f>IFERROR(__xludf.DUMMYFUNCTION("""COMPUTED_VALUE"""),7130.7)</f>
        <v>7130.7</v>
      </c>
    </row>
    <row r="3614">
      <c r="A3614" s="10">
        <f t="shared" si="8"/>
        <v>41596.66667</v>
      </c>
      <c r="B3614" s="2" t="str">
        <f t="shared" si="2"/>
        <v/>
      </c>
      <c r="C3614" s="2" t="str">
        <f t="shared" si="3"/>
        <v>SP500</v>
      </c>
      <c r="D3614" s="2">
        <f t="shared" si="4"/>
        <v>3949.07</v>
      </c>
      <c r="E3614" s="2">
        <f t="shared" si="5"/>
        <v>3949.07</v>
      </c>
      <c r="G3614" s="10">
        <f t="shared" si="9"/>
        <v>41596.64583</v>
      </c>
      <c r="H3614" s="6" t="str">
        <f t="shared" si="6"/>
        <v/>
      </c>
      <c r="I3614" s="2">
        <f t="shared" si="7"/>
        <v>1426.89</v>
      </c>
      <c r="M3614" s="10">
        <f>IFERROR(__xludf.DUMMYFUNCTION("""COMPUTED_VALUE"""),43222.66666666667)</f>
        <v>43222.66667</v>
      </c>
      <c r="N3614" s="2">
        <f>IFERROR(__xludf.DUMMYFUNCTION("""COMPUTED_VALUE"""),7100.9)</f>
        <v>7100.9</v>
      </c>
    </row>
    <row r="3615">
      <c r="A3615" s="10">
        <f t="shared" si="8"/>
        <v>41597.66667</v>
      </c>
      <c r="B3615" s="2" t="str">
        <f t="shared" si="2"/>
        <v/>
      </c>
      <c r="C3615" s="2" t="str">
        <f t="shared" si="3"/>
        <v>SP500</v>
      </c>
      <c r="D3615" s="2">
        <f t="shared" si="4"/>
        <v>3931.55</v>
      </c>
      <c r="E3615" s="2">
        <f t="shared" si="5"/>
        <v>3931.55</v>
      </c>
      <c r="G3615" s="10">
        <f t="shared" si="9"/>
        <v>41597.64583</v>
      </c>
      <c r="H3615" s="6" t="str">
        <f t="shared" si="6"/>
        <v/>
      </c>
      <c r="I3615" s="2">
        <f t="shared" si="7"/>
        <v>1426.89</v>
      </c>
      <c r="M3615" s="10">
        <f>IFERROR(__xludf.DUMMYFUNCTION("""COMPUTED_VALUE"""),43223.66666666667)</f>
        <v>43223.66667</v>
      </c>
      <c r="N3615" s="2">
        <f>IFERROR(__xludf.DUMMYFUNCTION("""COMPUTED_VALUE"""),7088.15)</f>
        <v>7088.15</v>
      </c>
    </row>
    <row r="3616">
      <c r="A3616" s="10">
        <f t="shared" si="8"/>
        <v>41598.66667</v>
      </c>
      <c r="B3616" s="2" t="str">
        <f t="shared" si="2"/>
        <v/>
      </c>
      <c r="C3616" s="2" t="str">
        <f t="shared" si="3"/>
        <v>SP500</v>
      </c>
      <c r="D3616" s="2">
        <f t="shared" si="4"/>
        <v>3921.27</v>
      </c>
      <c r="E3616" s="2">
        <f t="shared" si="5"/>
        <v>3921.27</v>
      </c>
      <c r="G3616" s="10">
        <f t="shared" si="9"/>
        <v>41598.64583</v>
      </c>
      <c r="H3616" s="6" t="str">
        <f t="shared" si="6"/>
        <v/>
      </c>
      <c r="I3616" s="2">
        <f t="shared" si="7"/>
        <v>1426.89</v>
      </c>
      <c r="M3616" s="10">
        <f>IFERROR(__xludf.DUMMYFUNCTION("""COMPUTED_VALUE"""),43224.66666666667)</f>
        <v>43224.66667</v>
      </c>
      <c r="N3616" s="2">
        <f>IFERROR(__xludf.DUMMYFUNCTION("""COMPUTED_VALUE"""),7209.62)</f>
        <v>7209.62</v>
      </c>
    </row>
    <row r="3617">
      <c r="A3617" s="10">
        <f t="shared" si="8"/>
        <v>41599.66667</v>
      </c>
      <c r="B3617" s="2" t="str">
        <f t="shared" si="2"/>
        <v/>
      </c>
      <c r="C3617" s="2" t="str">
        <f t="shared" si="3"/>
        <v>SP500</v>
      </c>
      <c r="D3617" s="2">
        <f t="shared" si="4"/>
        <v>3969.15</v>
      </c>
      <c r="E3617" s="2">
        <f t="shared" si="5"/>
        <v>3969.15</v>
      </c>
      <c r="G3617" s="10">
        <f t="shared" si="9"/>
        <v>41599.64583</v>
      </c>
      <c r="H3617" s="6" t="str">
        <f t="shared" si="6"/>
        <v/>
      </c>
      <c r="I3617" s="2">
        <f t="shared" si="7"/>
        <v>1426.89</v>
      </c>
      <c r="M3617" s="10">
        <f>IFERROR(__xludf.DUMMYFUNCTION("""COMPUTED_VALUE"""),43227.66666666667)</f>
        <v>43227.66667</v>
      </c>
      <c r="N3617" s="2">
        <f>IFERROR(__xludf.DUMMYFUNCTION("""COMPUTED_VALUE"""),7265.21)</f>
        <v>7265.21</v>
      </c>
    </row>
    <row r="3618">
      <c r="A3618" s="10">
        <f t="shared" si="8"/>
        <v>41600.66667</v>
      </c>
      <c r="B3618" s="2" t="str">
        <f t="shared" si="2"/>
        <v/>
      </c>
      <c r="C3618" s="2" t="str">
        <f t="shared" si="3"/>
        <v>SP500</v>
      </c>
      <c r="D3618" s="2">
        <f t="shared" si="4"/>
        <v>3991.65</v>
      </c>
      <c r="E3618" s="2">
        <f t="shared" si="5"/>
        <v>3991.65</v>
      </c>
      <c r="G3618" s="10">
        <f t="shared" si="9"/>
        <v>41600.64583</v>
      </c>
      <c r="H3618" s="6" t="str">
        <f t="shared" si="6"/>
        <v/>
      </c>
      <c r="I3618" s="2">
        <f t="shared" si="7"/>
        <v>1426.89</v>
      </c>
      <c r="M3618" s="10">
        <f>IFERROR(__xludf.DUMMYFUNCTION("""COMPUTED_VALUE"""),43228.66666666667)</f>
        <v>43228.66667</v>
      </c>
      <c r="N3618" s="2">
        <f>IFERROR(__xludf.DUMMYFUNCTION("""COMPUTED_VALUE"""),7266.9)</f>
        <v>7266.9</v>
      </c>
    </row>
    <row r="3619">
      <c r="A3619" s="10">
        <f t="shared" si="8"/>
        <v>41601.66667</v>
      </c>
      <c r="B3619" s="2" t="str">
        <f t="shared" si="2"/>
        <v/>
      </c>
      <c r="C3619" s="2" t="str">
        <f t="shared" si="3"/>
        <v>SP500</v>
      </c>
      <c r="D3619" s="2" t="str">
        <f t="shared" si="4"/>
        <v/>
      </c>
      <c r="E3619" s="2">
        <f t="shared" si="5"/>
        <v>3991.65</v>
      </c>
      <c r="G3619" s="10">
        <f t="shared" si="9"/>
        <v>41601.64583</v>
      </c>
      <c r="H3619" s="6" t="str">
        <f t="shared" si="6"/>
        <v/>
      </c>
      <c r="I3619" s="2">
        <f t="shared" si="7"/>
        <v>1426.89</v>
      </c>
      <c r="M3619" s="10">
        <f>IFERROR(__xludf.DUMMYFUNCTION("""COMPUTED_VALUE"""),43229.66666666667)</f>
        <v>43229.66667</v>
      </c>
      <c r="N3619" s="2">
        <f>IFERROR(__xludf.DUMMYFUNCTION("""COMPUTED_VALUE"""),7339.91)</f>
        <v>7339.91</v>
      </c>
    </row>
    <row r="3620">
      <c r="A3620" s="10">
        <f t="shared" si="8"/>
        <v>41602.66667</v>
      </c>
      <c r="B3620" s="2" t="str">
        <f t="shared" si="2"/>
        <v/>
      </c>
      <c r="C3620" s="2" t="str">
        <f t="shared" si="3"/>
        <v>SP500</v>
      </c>
      <c r="D3620" s="2" t="str">
        <f t="shared" si="4"/>
        <v/>
      </c>
      <c r="E3620" s="2">
        <f t="shared" si="5"/>
        <v>3991.65</v>
      </c>
      <c r="G3620" s="10">
        <f t="shared" si="9"/>
        <v>41602.64583</v>
      </c>
      <c r="H3620" s="6" t="str">
        <f t="shared" si="6"/>
        <v/>
      </c>
      <c r="I3620" s="2">
        <f t="shared" si="7"/>
        <v>1426.89</v>
      </c>
      <c r="M3620" s="10">
        <f>IFERROR(__xludf.DUMMYFUNCTION("""COMPUTED_VALUE"""),43230.66666666667)</f>
        <v>43230.66667</v>
      </c>
      <c r="N3620" s="2">
        <f>IFERROR(__xludf.DUMMYFUNCTION("""COMPUTED_VALUE"""),7404.98)</f>
        <v>7404.98</v>
      </c>
    </row>
    <row r="3621">
      <c r="A3621" s="10">
        <f t="shared" si="8"/>
        <v>41603.66667</v>
      </c>
      <c r="B3621" s="2" t="str">
        <f t="shared" si="2"/>
        <v/>
      </c>
      <c r="C3621" s="2" t="str">
        <f t="shared" si="3"/>
        <v>SP500</v>
      </c>
      <c r="D3621" s="2">
        <f t="shared" si="4"/>
        <v>3994.57</v>
      </c>
      <c r="E3621" s="2">
        <f t="shared" si="5"/>
        <v>3994.57</v>
      </c>
      <c r="G3621" s="10">
        <f t="shared" si="9"/>
        <v>41603.64583</v>
      </c>
      <c r="H3621" s="6" t="str">
        <f t="shared" si="6"/>
        <v/>
      </c>
      <c r="I3621" s="2">
        <f t="shared" si="7"/>
        <v>1426.89</v>
      </c>
      <c r="M3621" s="10">
        <f>IFERROR(__xludf.DUMMYFUNCTION("""COMPUTED_VALUE"""),43231.66666666667)</f>
        <v>43231.66667</v>
      </c>
      <c r="N3621" s="2">
        <f>IFERROR(__xludf.DUMMYFUNCTION("""COMPUTED_VALUE"""),7402.88)</f>
        <v>7402.88</v>
      </c>
    </row>
    <row r="3622">
      <c r="A3622" s="10">
        <f t="shared" si="8"/>
        <v>41604.66667</v>
      </c>
      <c r="B3622" s="2" t="str">
        <f t="shared" si="2"/>
        <v/>
      </c>
      <c r="C3622" s="2" t="str">
        <f t="shared" si="3"/>
        <v>SP500</v>
      </c>
      <c r="D3622" s="2">
        <f t="shared" si="4"/>
        <v>4017.75</v>
      </c>
      <c r="E3622" s="2">
        <f t="shared" si="5"/>
        <v>4017.75</v>
      </c>
      <c r="G3622" s="10">
        <f t="shared" si="9"/>
        <v>41604.64583</v>
      </c>
      <c r="H3622" s="6" t="str">
        <f t="shared" si="6"/>
        <v/>
      </c>
      <c r="I3622" s="2">
        <f t="shared" si="7"/>
        <v>1426.89</v>
      </c>
      <c r="M3622" s="10">
        <f>IFERROR(__xludf.DUMMYFUNCTION("""COMPUTED_VALUE"""),43234.66666666667)</f>
        <v>43234.66667</v>
      </c>
      <c r="N3622" s="2">
        <f>IFERROR(__xludf.DUMMYFUNCTION("""COMPUTED_VALUE"""),7411.32)</f>
        <v>7411.32</v>
      </c>
    </row>
    <row r="3623">
      <c r="A3623" s="10">
        <f t="shared" si="8"/>
        <v>41605.66667</v>
      </c>
      <c r="B3623" s="2" t="str">
        <f t="shared" si="2"/>
        <v/>
      </c>
      <c r="C3623" s="2" t="str">
        <f t="shared" si="3"/>
        <v>SP500</v>
      </c>
      <c r="D3623" s="2">
        <f t="shared" si="4"/>
        <v>4044.75</v>
      </c>
      <c r="E3623" s="2">
        <f t="shared" si="5"/>
        <v>4044.75</v>
      </c>
      <c r="G3623" s="10">
        <f t="shared" si="9"/>
        <v>41605.64583</v>
      </c>
      <c r="H3623" s="6" t="str">
        <f t="shared" si="6"/>
        <v/>
      </c>
      <c r="I3623" s="2">
        <f t="shared" si="7"/>
        <v>1426.89</v>
      </c>
      <c r="M3623" s="10">
        <f>IFERROR(__xludf.DUMMYFUNCTION("""COMPUTED_VALUE"""),43235.66666666667)</f>
        <v>43235.66667</v>
      </c>
      <c r="N3623" s="2">
        <f>IFERROR(__xludf.DUMMYFUNCTION("""COMPUTED_VALUE"""),7351.63)</f>
        <v>7351.63</v>
      </c>
    </row>
    <row r="3624">
      <c r="A3624" s="10">
        <f t="shared" si="8"/>
        <v>41606.66667</v>
      </c>
      <c r="B3624" s="2" t="str">
        <f t="shared" si="2"/>
        <v/>
      </c>
      <c r="C3624" s="2" t="str">
        <f t="shared" si="3"/>
        <v>SP500</v>
      </c>
      <c r="D3624" s="2" t="str">
        <f t="shared" si="4"/>
        <v/>
      </c>
      <c r="E3624" s="2">
        <f t="shared" si="5"/>
        <v>4044.75</v>
      </c>
      <c r="G3624" s="10">
        <f t="shared" si="9"/>
        <v>41606.64583</v>
      </c>
      <c r="H3624" s="6" t="str">
        <f t="shared" si="6"/>
        <v/>
      </c>
      <c r="I3624" s="2">
        <f t="shared" si="7"/>
        <v>1426.89</v>
      </c>
      <c r="M3624" s="10">
        <f>IFERROR(__xludf.DUMMYFUNCTION("""COMPUTED_VALUE"""),43236.66666666667)</f>
        <v>43236.66667</v>
      </c>
      <c r="N3624" s="2">
        <f>IFERROR(__xludf.DUMMYFUNCTION("""COMPUTED_VALUE"""),7398.3)</f>
        <v>7398.3</v>
      </c>
    </row>
    <row r="3625">
      <c r="A3625" s="10">
        <f t="shared" si="8"/>
        <v>41607.66667</v>
      </c>
      <c r="B3625" s="2" t="str">
        <f t="shared" si="2"/>
        <v/>
      </c>
      <c r="C3625" s="2" t="str">
        <f t="shared" si="3"/>
        <v>SP500</v>
      </c>
      <c r="D3625" s="2">
        <f t="shared" si="4"/>
        <v>4059.89</v>
      </c>
      <c r="E3625" s="2">
        <f t="shared" si="5"/>
        <v>4059.89</v>
      </c>
      <c r="G3625" s="10">
        <f t="shared" si="9"/>
        <v>41607.64583</v>
      </c>
      <c r="H3625" s="6" t="str">
        <f t="shared" si="6"/>
        <v/>
      </c>
      <c r="I3625" s="2">
        <f t="shared" si="7"/>
        <v>1426.89</v>
      </c>
      <c r="M3625" s="10">
        <f>IFERROR(__xludf.DUMMYFUNCTION("""COMPUTED_VALUE"""),43237.66666666667)</f>
        <v>43237.66667</v>
      </c>
      <c r="N3625" s="2">
        <f>IFERROR(__xludf.DUMMYFUNCTION("""COMPUTED_VALUE"""),7382.47)</f>
        <v>7382.47</v>
      </c>
    </row>
    <row r="3626">
      <c r="A3626" s="10">
        <f t="shared" si="8"/>
        <v>41608.66667</v>
      </c>
      <c r="B3626" s="2" t="str">
        <f t="shared" si="2"/>
        <v/>
      </c>
      <c r="C3626" s="2" t="str">
        <f t="shared" si="3"/>
        <v>SP500</v>
      </c>
      <c r="D3626" s="2" t="str">
        <f t="shared" si="4"/>
        <v/>
      </c>
      <c r="E3626" s="2">
        <f t="shared" si="5"/>
        <v>4059.89</v>
      </c>
      <c r="G3626" s="10">
        <f t="shared" si="9"/>
        <v>41608.64583</v>
      </c>
      <c r="H3626" s="6" t="str">
        <f t="shared" si="6"/>
        <v/>
      </c>
      <c r="I3626" s="2">
        <f t="shared" si="7"/>
        <v>1426.89</v>
      </c>
      <c r="M3626" s="10">
        <f>IFERROR(__xludf.DUMMYFUNCTION("""COMPUTED_VALUE"""),43238.66666666667)</f>
        <v>43238.66667</v>
      </c>
      <c r="N3626" s="2">
        <f>IFERROR(__xludf.DUMMYFUNCTION("""COMPUTED_VALUE"""),7354.34)</f>
        <v>7354.34</v>
      </c>
    </row>
    <row r="3627">
      <c r="A3627" s="10">
        <f t="shared" si="8"/>
        <v>41609.66667</v>
      </c>
      <c r="B3627" s="2" t="str">
        <f t="shared" si="2"/>
        <v/>
      </c>
      <c r="C3627" s="2" t="str">
        <f t="shared" si="3"/>
        <v>SP500</v>
      </c>
      <c r="D3627" s="2" t="str">
        <f t="shared" si="4"/>
        <v/>
      </c>
      <c r="E3627" s="2">
        <f t="shared" si="5"/>
        <v>4059.89</v>
      </c>
      <c r="G3627" s="10">
        <f t="shared" si="9"/>
        <v>41609.64583</v>
      </c>
      <c r="H3627" s="6" t="str">
        <f t="shared" si="6"/>
        <v/>
      </c>
      <c r="I3627" s="2">
        <f t="shared" si="7"/>
        <v>1426.89</v>
      </c>
      <c r="M3627" s="10">
        <f>IFERROR(__xludf.DUMMYFUNCTION("""COMPUTED_VALUE"""),43241.66666666667)</f>
        <v>43241.66667</v>
      </c>
      <c r="N3627" s="2">
        <f>IFERROR(__xludf.DUMMYFUNCTION("""COMPUTED_VALUE"""),7394.04)</f>
        <v>7394.04</v>
      </c>
    </row>
    <row r="3628">
      <c r="A3628" s="10">
        <f t="shared" si="8"/>
        <v>41610.66667</v>
      </c>
      <c r="B3628" s="2" t="str">
        <f t="shared" si="2"/>
        <v/>
      </c>
      <c r="C3628" s="2" t="str">
        <f t="shared" si="3"/>
        <v>SP500</v>
      </c>
      <c r="D3628" s="2">
        <f t="shared" si="4"/>
        <v>4045.26</v>
      </c>
      <c r="E3628" s="2">
        <f t="shared" si="5"/>
        <v>4045.26</v>
      </c>
      <c r="G3628" s="10">
        <f t="shared" si="9"/>
        <v>41610.64583</v>
      </c>
      <c r="H3628" s="6" t="str">
        <f t="shared" si="6"/>
        <v/>
      </c>
      <c r="I3628" s="2">
        <f t="shared" si="7"/>
        <v>1426.89</v>
      </c>
      <c r="M3628" s="10">
        <f>IFERROR(__xludf.DUMMYFUNCTION("""COMPUTED_VALUE"""),43242.66666666667)</f>
        <v>43242.66667</v>
      </c>
      <c r="N3628" s="2">
        <f>IFERROR(__xludf.DUMMYFUNCTION("""COMPUTED_VALUE"""),7378.46)</f>
        <v>7378.46</v>
      </c>
    </row>
    <row r="3629">
      <c r="A3629" s="10">
        <f t="shared" si="8"/>
        <v>41611.66667</v>
      </c>
      <c r="B3629" s="2" t="str">
        <f t="shared" si="2"/>
        <v/>
      </c>
      <c r="C3629" s="2" t="str">
        <f t="shared" si="3"/>
        <v>SP500</v>
      </c>
      <c r="D3629" s="2">
        <f t="shared" si="4"/>
        <v>4037.2</v>
      </c>
      <c r="E3629" s="2">
        <f t="shared" si="5"/>
        <v>4037.2</v>
      </c>
      <c r="G3629" s="10">
        <f t="shared" si="9"/>
        <v>41611.64583</v>
      </c>
      <c r="H3629" s="6" t="str">
        <f t="shared" si="6"/>
        <v/>
      </c>
      <c r="I3629" s="2">
        <f t="shared" si="7"/>
        <v>1426.89</v>
      </c>
      <c r="M3629" s="10">
        <f>IFERROR(__xludf.DUMMYFUNCTION("""COMPUTED_VALUE"""),43243.66666666667)</f>
        <v>43243.66667</v>
      </c>
      <c r="N3629" s="2">
        <f>IFERROR(__xludf.DUMMYFUNCTION("""COMPUTED_VALUE"""),7425.96)</f>
        <v>7425.96</v>
      </c>
    </row>
    <row r="3630">
      <c r="A3630" s="10">
        <f t="shared" si="8"/>
        <v>41612.66667</v>
      </c>
      <c r="B3630" s="2" t="str">
        <f t="shared" si="2"/>
        <v/>
      </c>
      <c r="C3630" s="2" t="str">
        <f t="shared" si="3"/>
        <v>SP500</v>
      </c>
      <c r="D3630" s="2">
        <f t="shared" si="4"/>
        <v>4038</v>
      </c>
      <c r="E3630" s="2">
        <f t="shared" si="5"/>
        <v>4038</v>
      </c>
      <c r="G3630" s="10">
        <f t="shared" si="9"/>
        <v>41612.64583</v>
      </c>
      <c r="H3630" s="6" t="str">
        <f t="shared" si="6"/>
        <v/>
      </c>
      <c r="I3630" s="2">
        <f t="shared" si="7"/>
        <v>1426.89</v>
      </c>
      <c r="M3630" s="10">
        <f>IFERROR(__xludf.DUMMYFUNCTION("""COMPUTED_VALUE"""),43244.66666666667)</f>
        <v>43244.66667</v>
      </c>
      <c r="N3630" s="2">
        <f>IFERROR(__xludf.DUMMYFUNCTION("""COMPUTED_VALUE"""),7424.43)</f>
        <v>7424.43</v>
      </c>
    </row>
    <row r="3631">
      <c r="A3631" s="10">
        <f t="shared" si="8"/>
        <v>41613.66667</v>
      </c>
      <c r="B3631" s="2" t="str">
        <f t="shared" si="2"/>
        <v/>
      </c>
      <c r="C3631" s="2" t="str">
        <f t="shared" si="3"/>
        <v>SP500</v>
      </c>
      <c r="D3631" s="2">
        <f t="shared" si="4"/>
        <v>4033.16</v>
      </c>
      <c r="E3631" s="2">
        <f t="shared" si="5"/>
        <v>4033.16</v>
      </c>
      <c r="G3631" s="10">
        <f t="shared" si="9"/>
        <v>41613.64583</v>
      </c>
      <c r="H3631" s="6" t="str">
        <f t="shared" si="6"/>
        <v/>
      </c>
      <c r="I3631" s="2">
        <f t="shared" si="7"/>
        <v>1426.89</v>
      </c>
      <c r="M3631" s="10">
        <f>IFERROR(__xludf.DUMMYFUNCTION("""COMPUTED_VALUE"""),43245.66666666667)</f>
        <v>43245.66667</v>
      </c>
      <c r="N3631" s="2">
        <f>IFERROR(__xludf.DUMMYFUNCTION("""COMPUTED_VALUE"""),7433.85)</f>
        <v>7433.85</v>
      </c>
    </row>
    <row r="3632">
      <c r="A3632" s="10">
        <f t="shared" si="8"/>
        <v>41614.66667</v>
      </c>
      <c r="B3632" s="2" t="str">
        <f t="shared" si="2"/>
        <v/>
      </c>
      <c r="C3632" s="2" t="str">
        <f t="shared" si="3"/>
        <v>SP500</v>
      </c>
      <c r="D3632" s="2">
        <f t="shared" si="4"/>
        <v>4062.52</v>
      </c>
      <c r="E3632" s="2">
        <f t="shared" si="5"/>
        <v>4062.52</v>
      </c>
      <c r="G3632" s="10">
        <f t="shared" si="9"/>
        <v>41614.64583</v>
      </c>
      <c r="H3632" s="6" t="str">
        <f t="shared" si="6"/>
        <v/>
      </c>
      <c r="I3632" s="2">
        <f t="shared" si="7"/>
        <v>1426.89</v>
      </c>
      <c r="M3632" s="10">
        <f>IFERROR(__xludf.DUMMYFUNCTION("""COMPUTED_VALUE"""),43249.66666666667)</f>
        <v>43249.66667</v>
      </c>
      <c r="N3632" s="2">
        <f>IFERROR(__xludf.DUMMYFUNCTION("""COMPUTED_VALUE"""),7396.59)</f>
        <v>7396.59</v>
      </c>
    </row>
    <row r="3633">
      <c r="A3633" s="10">
        <f t="shared" si="8"/>
        <v>41615.66667</v>
      </c>
      <c r="B3633" s="2" t="str">
        <f t="shared" si="2"/>
        <v/>
      </c>
      <c r="C3633" s="2" t="str">
        <f t="shared" si="3"/>
        <v>SP500</v>
      </c>
      <c r="D3633" s="2" t="str">
        <f t="shared" si="4"/>
        <v/>
      </c>
      <c r="E3633" s="2">
        <f t="shared" si="5"/>
        <v>4062.52</v>
      </c>
      <c r="G3633" s="10">
        <f t="shared" si="9"/>
        <v>41615.64583</v>
      </c>
      <c r="H3633" s="6" t="str">
        <f t="shared" si="6"/>
        <v/>
      </c>
      <c r="I3633" s="2">
        <f t="shared" si="7"/>
        <v>1426.89</v>
      </c>
      <c r="M3633" s="10">
        <f>IFERROR(__xludf.DUMMYFUNCTION("""COMPUTED_VALUE"""),43250.66666666667)</f>
        <v>43250.66667</v>
      </c>
      <c r="N3633" s="2">
        <f>IFERROR(__xludf.DUMMYFUNCTION("""COMPUTED_VALUE"""),7462.45)</f>
        <v>7462.45</v>
      </c>
    </row>
    <row r="3634">
      <c r="A3634" s="10">
        <f t="shared" si="8"/>
        <v>41616.66667</v>
      </c>
      <c r="B3634" s="2" t="str">
        <f t="shared" si="2"/>
        <v/>
      </c>
      <c r="C3634" s="2" t="str">
        <f t="shared" si="3"/>
        <v>SP500</v>
      </c>
      <c r="D3634" s="2" t="str">
        <f t="shared" si="4"/>
        <v/>
      </c>
      <c r="E3634" s="2">
        <f t="shared" si="5"/>
        <v>4062.52</v>
      </c>
      <c r="G3634" s="10">
        <f t="shared" si="9"/>
        <v>41616.64583</v>
      </c>
      <c r="H3634" s="6" t="str">
        <f t="shared" si="6"/>
        <v/>
      </c>
      <c r="I3634" s="2">
        <f t="shared" si="7"/>
        <v>1426.89</v>
      </c>
      <c r="M3634" s="10">
        <f>IFERROR(__xludf.DUMMYFUNCTION("""COMPUTED_VALUE"""),43251.66666666667)</f>
        <v>43251.66667</v>
      </c>
      <c r="N3634" s="2">
        <f>IFERROR(__xludf.DUMMYFUNCTION("""COMPUTED_VALUE"""),7442.12)</f>
        <v>7442.12</v>
      </c>
    </row>
    <row r="3635">
      <c r="A3635" s="10">
        <f t="shared" si="8"/>
        <v>41617.66667</v>
      </c>
      <c r="B3635" s="2" t="str">
        <f t="shared" si="2"/>
        <v/>
      </c>
      <c r="C3635" s="2" t="str">
        <f t="shared" si="3"/>
        <v>SP500</v>
      </c>
      <c r="D3635" s="2">
        <f t="shared" si="4"/>
        <v>4068.75</v>
      </c>
      <c r="E3635" s="2">
        <f t="shared" si="5"/>
        <v>4068.75</v>
      </c>
      <c r="G3635" s="10">
        <f t="shared" si="9"/>
        <v>41617.64583</v>
      </c>
      <c r="H3635" s="6" t="str">
        <f t="shared" si="6"/>
        <v/>
      </c>
      <c r="I3635" s="2">
        <f t="shared" si="7"/>
        <v>1426.89</v>
      </c>
      <c r="M3635" s="10">
        <f>IFERROR(__xludf.DUMMYFUNCTION("""COMPUTED_VALUE"""),43252.66666666667)</f>
        <v>43252.66667</v>
      </c>
      <c r="N3635" s="2">
        <f>IFERROR(__xludf.DUMMYFUNCTION("""COMPUTED_VALUE"""),7554.33)</f>
        <v>7554.33</v>
      </c>
    </row>
    <row r="3636">
      <c r="A3636" s="10">
        <f t="shared" si="8"/>
        <v>41618.66667</v>
      </c>
      <c r="B3636" s="2" t="str">
        <f t="shared" si="2"/>
        <v/>
      </c>
      <c r="C3636" s="2" t="str">
        <f t="shared" si="3"/>
        <v>SP500</v>
      </c>
      <c r="D3636" s="2">
        <f t="shared" si="4"/>
        <v>4060.49</v>
      </c>
      <c r="E3636" s="2">
        <f t="shared" si="5"/>
        <v>4060.49</v>
      </c>
      <c r="G3636" s="10">
        <f t="shared" si="9"/>
        <v>41618.64583</v>
      </c>
      <c r="H3636" s="6" t="str">
        <f t="shared" si="6"/>
        <v/>
      </c>
      <c r="I3636" s="2">
        <f t="shared" si="7"/>
        <v>1426.89</v>
      </c>
      <c r="M3636" s="10">
        <f>IFERROR(__xludf.DUMMYFUNCTION("""COMPUTED_VALUE"""),43255.66666666667)</f>
        <v>43255.66667</v>
      </c>
      <c r="N3636" s="2">
        <f>IFERROR(__xludf.DUMMYFUNCTION("""COMPUTED_VALUE"""),7606.46)</f>
        <v>7606.46</v>
      </c>
    </row>
    <row r="3637">
      <c r="A3637" s="10">
        <f t="shared" si="8"/>
        <v>41619.66667</v>
      </c>
      <c r="B3637" s="2" t="str">
        <f t="shared" si="2"/>
        <v/>
      </c>
      <c r="C3637" s="2" t="str">
        <f t="shared" si="3"/>
        <v>SP500</v>
      </c>
      <c r="D3637" s="2">
        <f t="shared" si="4"/>
        <v>4003.81</v>
      </c>
      <c r="E3637" s="2">
        <f t="shared" si="5"/>
        <v>4003.81</v>
      </c>
      <c r="G3637" s="10">
        <f t="shared" si="9"/>
        <v>41619.64583</v>
      </c>
      <c r="H3637" s="6" t="str">
        <f t="shared" si="6"/>
        <v/>
      </c>
      <c r="I3637" s="2">
        <f t="shared" si="7"/>
        <v>1426.89</v>
      </c>
      <c r="M3637" s="10">
        <f>IFERROR(__xludf.DUMMYFUNCTION("""COMPUTED_VALUE"""),43256.66666666667)</f>
        <v>43256.66667</v>
      </c>
      <c r="N3637" s="2">
        <f>IFERROR(__xludf.DUMMYFUNCTION("""COMPUTED_VALUE"""),7637.86)</f>
        <v>7637.86</v>
      </c>
    </row>
    <row r="3638">
      <c r="A3638" s="10">
        <f t="shared" si="8"/>
        <v>41620.66667</v>
      </c>
      <c r="B3638" s="2" t="str">
        <f t="shared" si="2"/>
        <v/>
      </c>
      <c r="C3638" s="2" t="str">
        <f t="shared" si="3"/>
        <v>SP500</v>
      </c>
      <c r="D3638" s="2">
        <f t="shared" si="4"/>
        <v>3998.4</v>
      </c>
      <c r="E3638" s="2">
        <f t="shared" si="5"/>
        <v>3998.4</v>
      </c>
      <c r="G3638" s="10">
        <f t="shared" si="9"/>
        <v>41620.64583</v>
      </c>
      <c r="H3638" s="6" t="str">
        <f t="shared" si="6"/>
        <v/>
      </c>
      <c r="I3638" s="2">
        <f t="shared" si="7"/>
        <v>1426.89</v>
      </c>
      <c r="M3638" s="10">
        <f>IFERROR(__xludf.DUMMYFUNCTION("""COMPUTED_VALUE"""),43257.66666666667)</f>
        <v>43257.66667</v>
      </c>
      <c r="N3638" s="2">
        <f>IFERROR(__xludf.DUMMYFUNCTION("""COMPUTED_VALUE"""),7689.24)</f>
        <v>7689.24</v>
      </c>
    </row>
    <row r="3639">
      <c r="A3639" s="10">
        <f t="shared" si="8"/>
        <v>41621.66667</v>
      </c>
      <c r="B3639" s="2" t="str">
        <f t="shared" si="2"/>
        <v/>
      </c>
      <c r="C3639" s="2" t="str">
        <f t="shared" si="3"/>
        <v>SP500</v>
      </c>
      <c r="D3639" s="2">
        <f t="shared" si="4"/>
        <v>4000.98</v>
      </c>
      <c r="E3639" s="2">
        <f t="shared" si="5"/>
        <v>4000.98</v>
      </c>
      <c r="G3639" s="10">
        <f t="shared" si="9"/>
        <v>41621.64583</v>
      </c>
      <c r="H3639" s="6" t="str">
        <f t="shared" si="6"/>
        <v/>
      </c>
      <c r="I3639" s="2">
        <f t="shared" si="7"/>
        <v>1426.89</v>
      </c>
      <c r="M3639" s="10">
        <f>IFERROR(__xludf.DUMMYFUNCTION("""COMPUTED_VALUE"""),43258.66666666667)</f>
        <v>43258.66667</v>
      </c>
      <c r="N3639" s="2">
        <f>IFERROR(__xludf.DUMMYFUNCTION("""COMPUTED_VALUE"""),7635.07)</f>
        <v>7635.07</v>
      </c>
    </row>
    <row r="3640">
      <c r="A3640" s="10">
        <f t="shared" si="8"/>
        <v>41622.66667</v>
      </c>
      <c r="B3640" s="2" t="str">
        <f t="shared" si="2"/>
        <v/>
      </c>
      <c r="C3640" s="2" t="str">
        <f t="shared" si="3"/>
        <v>SP500</v>
      </c>
      <c r="D3640" s="2" t="str">
        <f t="shared" si="4"/>
        <v/>
      </c>
      <c r="E3640" s="2">
        <f t="shared" si="5"/>
        <v>4000.98</v>
      </c>
      <c r="G3640" s="10">
        <f t="shared" si="9"/>
        <v>41622.64583</v>
      </c>
      <c r="H3640" s="6" t="str">
        <f t="shared" si="6"/>
        <v/>
      </c>
      <c r="I3640" s="2">
        <f t="shared" si="7"/>
        <v>1426.89</v>
      </c>
      <c r="M3640" s="10">
        <f>IFERROR(__xludf.DUMMYFUNCTION("""COMPUTED_VALUE"""),43259.66666666667)</f>
        <v>43259.66667</v>
      </c>
      <c r="N3640" s="2">
        <f>IFERROR(__xludf.DUMMYFUNCTION("""COMPUTED_VALUE"""),7645.51)</f>
        <v>7645.51</v>
      </c>
    </row>
    <row r="3641">
      <c r="A3641" s="10">
        <f t="shared" si="8"/>
        <v>41623.66667</v>
      </c>
      <c r="B3641" s="2" t="str">
        <f t="shared" si="2"/>
        <v/>
      </c>
      <c r="C3641" s="2" t="str">
        <f t="shared" si="3"/>
        <v>SP500</v>
      </c>
      <c r="D3641" s="2" t="str">
        <f t="shared" si="4"/>
        <v/>
      </c>
      <c r="E3641" s="2">
        <f t="shared" si="5"/>
        <v>4000.98</v>
      </c>
      <c r="G3641" s="10">
        <f t="shared" si="9"/>
        <v>41623.64583</v>
      </c>
      <c r="H3641" s="6" t="str">
        <f t="shared" si="6"/>
        <v/>
      </c>
      <c r="I3641" s="2">
        <f t="shared" si="7"/>
        <v>1426.89</v>
      </c>
      <c r="M3641" s="10">
        <f>IFERROR(__xludf.DUMMYFUNCTION("""COMPUTED_VALUE"""),43262.66666666667)</f>
        <v>43262.66667</v>
      </c>
      <c r="N3641" s="2">
        <f>IFERROR(__xludf.DUMMYFUNCTION("""COMPUTED_VALUE"""),7659.93)</f>
        <v>7659.93</v>
      </c>
    </row>
    <row r="3642">
      <c r="A3642" s="10">
        <f t="shared" si="8"/>
        <v>41624.66667</v>
      </c>
      <c r="B3642" s="2" t="str">
        <f t="shared" si="2"/>
        <v/>
      </c>
      <c r="C3642" s="2" t="str">
        <f t="shared" si="3"/>
        <v>SP500</v>
      </c>
      <c r="D3642" s="2">
        <f t="shared" si="4"/>
        <v>4029.52</v>
      </c>
      <c r="E3642" s="2">
        <f t="shared" si="5"/>
        <v>4029.52</v>
      </c>
      <c r="G3642" s="10">
        <f t="shared" si="9"/>
        <v>41624.64583</v>
      </c>
      <c r="H3642" s="6" t="str">
        <f t="shared" si="6"/>
        <v/>
      </c>
      <c r="I3642" s="2">
        <f t="shared" si="7"/>
        <v>1426.89</v>
      </c>
      <c r="M3642" s="10">
        <f>IFERROR(__xludf.DUMMYFUNCTION("""COMPUTED_VALUE"""),43263.66666666667)</f>
        <v>43263.66667</v>
      </c>
      <c r="N3642" s="2">
        <f>IFERROR(__xludf.DUMMYFUNCTION("""COMPUTED_VALUE"""),7703.79)</f>
        <v>7703.79</v>
      </c>
    </row>
    <row r="3643">
      <c r="A3643" s="10">
        <f t="shared" si="8"/>
        <v>41625.66667</v>
      </c>
      <c r="B3643" s="2" t="str">
        <f t="shared" si="2"/>
        <v/>
      </c>
      <c r="C3643" s="2" t="str">
        <f t="shared" si="3"/>
        <v>SP500</v>
      </c>
      <c r="D3643" s="2">
        <f t="shared" si="4"/>
        <v>4023.68</v>
      </c>
      <c r="E3643" s="2">
        <f t="shared" si="5"/>
        <v>4023.68</v>
      </c>
      <c r="G3643" s="10">
        <f t="shared" si="9"/>
        <v>41625.64583</v>
      </c>
      <c r="H3643" s="6" t="str">
        <f t="shared" si="6"/>
        <v/>
      </c>
      <c r="I3643" s="2">
        <f t="shared" si="7"/>
        <v>1426.89</v>
      </c>
      <c r="M3643" s="10">
        <f>IFERROR(__xludf.DUMMYFUNCTION("""COMPUTED_VALUE"""),43264.66666666667)</f>
        <v>43264.66667</v>
      </c>
      <c r="N3643" s="2">
        <f>IFERROR(__xludf.DUMMYFUNCTION("""COMPUTED_VALUE"""),7695.7)</f>
        <v>7695.7</v>
      </c>
    </row>
    <row r="3644">
      <c r="A3644" s="10">
        <f t="shared" si="8"/>
        <v>41626.66667</v>
      </c>
      <c r="B3644" s="2" t="str">
        <f t="shared" si="2"/>
        <v/>
      </c>
      <c r="C3644" s="2" t="str">
        <f t="shared" si="3"/>
        <v>SP500</v>
      </c>
      <c r="D3644" s="2">
        <f t="shared" si="4"/>
        <v>4070.06</v>
      </c>
      <c r="E3644" s="2">
        <f t="shared" si="5"/>
        <v>4070.06</v>
      </c>
      <c r="G3644" s="10">
        <f t="shared" si="9"/>
        <v>41626.64583</v>
      </c>
      <c r="H3644" s="6" t="str">
        <f t="shared" si="6"/>
        <v/>
      </c>
      <c r="I3644" s="2">
        <f t="shared" si="7"/>
        <v>1426.89</v>
      </c>
      <c r="M3644" s="10">
        <f>IFERROR(__xludf.DUMMYFUNCTION("""COMPUTED_VALUE"""),43265.66666666667)</f>
        <v>43265.66667</v>
      </c>
      <c r="N3644" s="2">
        <f>IFERROR(__xludf.DUMMYFUNCTION("""COMPUTED_VALUE"""),7761.04)</f>
        <v>7761.04</v>
      </c>
    </row>
    <row r="3645">
      <c r="A3645" s="10">
        <f t="shared" si="8"/>
        <v>41627.66667</v>
      </c>
      <c r="B3645" s="2" t="str">
        <f t="shared" si="2"/>
        <v/>
      </c>
      <c r="C3645" s="2" t="str">
        <f t="shared" si="3"/>
        <v>SP500</v>
      </c>
      <c r="D3645" s="2">
        <f t="shared" si="4"/>
        <v>4058.13</v>
      </c>
      <c r="E3645" s="2">
        <f t="shared" si="5"/>
        <v>4058.13</v>
      </c>
      <c r="G3645" s="10">
        <f t="shared" si="9"/>
        <v>41627.64583</v>
      </c>
      <c r="H3645" s="6" t="str">
        <f t="shared" si="6"/>
        <v/>
      </c>
      <c r="I3645" s="2">
        <f t="shared" si="7"/>
        <v>1426.89</v>
      </c>
      <c r="M3645" s="10">
        <f>IFERROR(__xludf.DUMMYFUNCTION("""COMPUTED_VALUE"""),43266.66666666667)</f>
        <v>43266.66667</v>
      </c>
      <c r="N3645" s="2">
        <f>IFERROR(__xludf.DUMMYFUNCTION("""COMPUTED_VALUE"""),7746.38)</f>
        <v>7746.38</v>
      </c>
    </row>
    <row r="3646">
      <c r="A3646" s="10">
        <f t="shared" si="8"/>
        <v>41628.66667</v>
      </c>
      <c r="B3646" s="2" t="str">
        <f t="shared" si="2"/>
        <v/>
      </c>
      <c r="C3646" s="2" t="str">
        <f t="shared" si="3"/>
        <v>SP500</v>
      </c>
      <c r="D3646" s="2">
        <f t="shared" si="4"/>
        <v>4104.74</v>
      </c>
      <c r="E3646" s="2">
        <f t="shared" si="5"/>
        <v>4104.74</v>
      </c>
      <c r="G3646" s="10">
        <f t="shared" si="9"/>
        <v>41628.64583</v>
      </c>
      <c r="H3646" s="6" t="str">
        <f t="shared" si="6"/>
        <v/>
      </c>
      <c r="I3646" s="2">
        <f t="shared" si="7"/>
        <v>1426.89</v>
      </c>
      <c r="M3646" s="10">
        <f>IFERROR(__xludf.DUMMYFUNCTION("""COMPUTED_VALUE"""),43269.66666666667)</f>
        <v>43269.66667</v>
      </c>
      <c r="N3646" s="2">
        <f>IFERROR(__xludf.DUMMYFUNCTION("""COMPUTED_VALUE"""),7747.03)</f>
        <v>7747.03</v>
      </c>
    </row>
    <row r="3647">
      <c r="A3647" s="10">
        <f t="shared" si="8"/>
        <v>41629.66667</v>
      </c>
      <c r="B3647" s="2" t="str">
        <f t="shared" si="2"/>
        <v/>
      </c>
      <c r="C3647" s="2" t="str">
        <f t="shared" si="3"/>
        <v>SP500</v>
      </c>
      <c r="D3647" s="2" t="str">
        <f t="shared" si="4"/>
        <v/>
      </c>
      <c r="E3647" s="2">
        <f t="shared" si="5"/>
        <v>4104.74</v>
      </c>
      <c r="G3647" s="10">
        <f t="shared" si="9"/>
        <v>41629.64583</v>
      </c>
      <c r="H3647" s="6" t="str">
        <f t="shared" si="6"/>
        <v/>
      </c>
      <c r="I3647" s="2">
        <f t="shared" si="7"/>
        <v>1426.89</v>
      </c>
      <c r="M3647" s="10">
        <f>IFERROR(__xludf.DUMMYFUNCTION("""COMPUTED_VALUE"""),43270.66666666667)</f>
        <v>43270.66667</v>
      </c>
      <c r="N3647" s="2">
        <f>IFERROR(__xludf.DUMMYFUNCTION("""COMPUTED_VALUE"""),7725.59)</f>
        <v>7725.59</v>
      </c>
    </row>
    <row r="3648">
      <c r="A3648" s="10">
        <f t="shared" si="8"/>
        <v>41630.66667</v>
      </c>
      <c r="B3648" s="2" t="str">
        <f t="shared" si="2"/>
        <v/>
      </c>
      <c r="C3648" s="2" t="str">
        <f t="shared" si="3"/>
        <v>SP500</v>
      </c>
      <c r="D3648" s="2" t="str">
        <f t="shared" si="4"/>
        <v/>
      </c>
      <c r="E3648" s="2">
        <f t="shared" si="5"/>
        <v>4104.74</v>
      </c>
      <c r="G3648" s="10">
        <f t="shared" si="9"/>
        <v>41630.64583</v>
      </c>
      <c r="H3648" s="6" t="str">
        <f t="shared" si="6"/>
        <v/>
      </c>
      <c r="I3648" s="2">
        <f t="shared" si="7"/>
        <v>1426.89</v>
      </c>
      <c r="M3648" s="10">
        <f>IFERROR(__xludf.DUMMYFUNCTION("""COMPUTED_VALUE"""),43271.66666666667)</f>
        <v>43271.66667</v>
      </c>
      <c r="N3648" s="2">
        <f>IFERROR(__xludf.DUMMYFUNCTION("""COMPUTED_VALUE"""),7781.52)</f>
        <v>7781.52</v>
      </c>
    </row>
    <row r="3649">
      <c r="A3649" s="10">
        <f t="shared" si="8"/>
        <v>41631.66667</v>
      </c>
      <c r="B3649" s="2" t="str">
        <f t="shared" si="2"/>
        <v/>
      </c>
      <c r="C3649" s="2" t="str">
        <f t="shared" si="3"/>
        <v>SP500</v>
      </c>
      <c r="D3649" s="2">
        <f t="shared" si="4"/>
        <v>4148.9</v>
      </c>
      <c r="E3649" s="2">
        <f t="shared" si="5"/>
        <v>4148.9</v>
      </c>
      <c r="G3649" s="10">
        <f t="shared" si="9"/>
        <v>41631.64583</v>
      </c>
      <c r="H3649" s="6" t="str">
        <f t="shared" si="6"/>
        <v/>
      </c>
      <c r="I3649" s="2">
        <f t="shared" si="7"/>
        <v>1426.89</v>
      </c>
      <c r="M3649" s="10">
        <f>IFERROR(__xludf.DUMMYFUNCTION("""COMPUTED_VALUE"""),43272.66666666667)</f>
        <v>43272.66667</v>
      </c>
      <c r="N3649" s="2">
        <f>IFERROR(__xludf.DUMMYFUNCTION("""COMPUTED_VALUE"""),7712.95)</f>
        <v>7712.95</v>
      </c>
    </row>
    <row r="3650">
      <c r="A3650" s="10">
        <f t="shared" si="8"/>
        <v>41632.66667</v>
      </c>
      <c r="B3650" s="2" t="str">
        <f t="shared" si="2"/>
        <v/>
      </c>
      <c r="C3650" s="2" t="str">
        <f t="shared" si="3"/>
        <v>SP500</v>
      </c>
      <c r="D3650" s="2">
        <f t="shared" si="4"/>
        <v>4155.42</v>
      </c>
      <c r="E3650" s="2">
        <f t="shared" si="5"/>
        <v>4155.42</v>
      </c>
      <c r="G3650" s="10">
        <f t="shared" si="9"/>
        <v>41632.64583</v>
      </c>
      <c r="H3650" s="6" t="str">
        <f t="shared" si="6"/>
        <v/>
      </c>
      <c r="I3650" s="2">
        <f t="shared" si="7"/>
        <v>1426.89</v>
      </c>
      <c r="M3650" s="10">
        <f>IFERROR(__xludf.DUMMYFUNCTION("""COMPUTED_VALUE"""),43273.66666666667)</f>
        <v>43273.66667</v>
      </c>
      <c r="N3650" s="2">
        <f>IFERROR(__xludf.DUMMYFUNCTION("""COMPUTED_VALUE"""),7692.82)</f>
        <v>7692.82</v>
      </c>
    </row>
    <row r="3651">
      <c r="A3651" s="10">
        <f t="shared" si="8"/>
        <v>41633.66667</v>
      </c>
      <c r="B3651" s="2" t="str">
        <f t="shared" si="2"/>
        <v/>
      </c>
      <c r="C3651" s="2" t="str">
        <f t="shared" si="3"/>
        <v>SP500</v>
      </c>
      <c r="D3651" s="2" t="str">
        <f t="shared" si="4"/>
        <v/>
      </c>
      <c r="E3651" s="2">
        <f t="shared" si="5"/>
        <v>4155.42</v>
      </c>
      <c r="G3651" s="10">
        <f t="shared" si="9"/>
        <v>41633.64583</v>
      </c>
      <c r="H3651" s="6" t="str">
        <f t="shared" si="6"/>
        <v/>
      </c>
      <c r="I3651" s="2">
        <f t="shared" si="7"/>
        <v>1426.89</v>
      </c>
      <c r="M3651" s="10">
        <f>IFERROR(__xludf.DUMMYFUNCTION("""COMPUTED_VALUE"""),43276.66666666667)</f>
        <v>43276.66667</v>
      </c>
      <c r="N3651" s="2">
        <f>IFERROR(__xludf.DUMMYFUNCTION("""COMPUTED_VALUE"""),7532.01)</f>
        <v>7532.01</v>
      </c>
    </row>
    <row r="3652">
      <c r="A3652" s="10">
        <f t="shared" si="8"/>
        <v>41634.66667</v>
      </c>
      <c r="B3652" s="2" t="str">
        <f t="shared" si="2"/>
        <v/>
      </c>
      <c r="C3652" s="2" t="str">
        <f t="shared" si="3"/>
        <v>SP500</v>
      </c>
      <c r="D3652" s="2">
        <f t="shared" si="4"/>
        <v>4167.18</v>
      </c>
      <c r="E3652" s="2">
        <f t="shared" si="5"/>
        <v>4167.18</v>
      </c>
      <c r="G3652" s="10">
        <f t="shared" si="9"/>
        <v>41634.64583</v>
      </c>
      <c r="H3652" s="6" t="str">
        <f t="shared" si="6"/>
        <v/>
      </c>
      <c r="I3652" s="2">
        <f t="shared" si="7"/>
        <v>1426.89</v>
      </c>
      <c r="M3652" s="10">
        <f>IFERROR(__xludf.DUMMYFUNCTION("""COMPUTED_VALUE"""),43277.66666666667)</f>
        <v>43277.66667</v>
      </c>
      <c r="N3652" s="2">
        <f>IFERROR(__xludf.DUMMYFUNCTION("""COMPUTED_VALUE"""),7561.63)</f>
        <v>7561.63</v>
      </c>
    </row>
    <row r="3653">
      <c r="A3653" s="10">
        <f t="shared" si="8"/>
        <v>41635.66667</v>
      </c>
      <c r="B3653" s="2" t="str">
        <f t="shared" si="2"/>
        <v/>
      </c>
      <c r="C3653" s="2" t="str">
        <f t="shared" si="3"/>
        <v>SP500</v>
      </c>
      <c r="D3653" s="2">
        <f t="shared" si="4"/>
        <v>4156.59</v>
      </c>
      <c r="E3653" s="2">
        <f t="shared" si="5"/>
        <v>4156.59</v>
      </c>
      <c r="G3653" s="10">
        <f t="shared" si="9"/>
        <v>41635.64583</v>
      </c>
      <c r="H3653" s="6" t="str">
        <f t="shared" si="6"/>
        <v/>
      </c>
      <c r="I3653" s="2">
        <f t="shared" si="7"/>
        <v>1426.89</v>
      </c>
      <c r="M3653" s="10">
        <f>IFERROR(__xludf.DUMMYFUNCTION("""COMPUTED_VALUE"""),43278.66666666667)</f>
        <v>43278.66667</v>
      </c>
      <c r="N3653" s="2">
        <f>IFERROR(__xludf.DUMMYFUNCTION("""COMPUTED_VALUE"""),7445.09)</f>
        <v>7445.09</v>
      </c>
    </row>
    <row r="3654">
      <c r="A3654" s="10">
        <f t="shared" si="8"/>
        <v>41636.66667</v>
      </c>
      <c r="B3654" s="2" t="str">
        <f t="shared" si="2"/>
        <v/>
      </c>
      <c r="C3654" s="2" t="str">
        <f t="shared" si="3"/>
        <v>SP500</v>
      </c>
      <c r="D3654" s="2" t="str">
        <f t="shared" si="4"/>
        <v/>
      </c>
      <c r="E3654" s="2">
        <f t="shared" si="5"/>
        <v>4156.59</v>
      </c>
      <c r="G3654" s="10">
        <f t="shared" si="9"/>
        <v>41636.64583</v>
      </c>
      <c r="H3654" s="6" t="str">
        <f t="shared" si="6"/>
        <v/>
      </c>
      <c r="I3654" s="2">
        <f t="shared" si="7"/>
        <v>1426.89</v>
      </c>
      <c r="M3654" s="10">
        <f>IFERROR(__xludf.DUMMYFUNCTION("""COMPUTED_VALUE"""),43279.66666666667)</f>
        <v>43279.66667</v>
      </c>
      <c r="N3654" s="2">
        <f>IFERROR(__xludf.DUMMYFUNCTION("""COMPUTED_VALUE"""),7503.68)</f>
        <v>7503.68</v>
      </c>
    </row>
    <row r="3655">
      <c r="A3655" s="10">
        <f t="shared" si="8"/>
        <v>41637.66667</v>
      </c>
      <c r="B3655" s="2" t="str">
        <f t="shared" si="2"/>
        <v/>
      </c>
      <c r="C3655" s="2" t="str">
        <f t="shared" si="3"/>
        <v>SP500</v>
      </c>
      <c r="D3655" s="2" t="str">
        <f t="shared" si="4"/>
        <v/>
      </c>
      <c r="E3655" s="2">
        <f t="shared" si="5"/>
        <v>4156.59</v>
      </c>
      <c r="G3655" s="10">
        <f t="shared" si="9"/>
        <v>41637.64583</v>
      </c>
      <c r="H3655" s="6" t="str">
        <f t="shared" si="6"/>
        <v/>
      </c>
      <c r="I3655" s="2">
        <f t="shared" si="7"/>
        <v>1426.89</v>
      </c>
      <c r="M3655" s="10">
        <f>IFERROR(__xludf.DUMMYFUNCTION("""COMPUTED_VALUE"""),43280.66666666667)</f>
        <v>43280.66667</v>
      </c>
      <c r="N3655" s="2">
        <f>IFERROR(__xludf.DUMMYFUNCTION("""COMPUTED_VALUE"""),7510.3)</f>
        <v>7510.3</v>
      </c>
    </row>
    <row r="3656">
      <c r="A3656" s="10">
        <f t="shared" si="8"/>
        <v>41638.66667</v>
      </c>
      <c r="B3656" s="2" t="str">
        <f t="shared" si="2"/>
        <v/>
      </c>
      <c r="C3656" s="2" t="str">
        <f t="shared" si="3"/>
        <v>SP500</v>
      </c>
      <c r="D3656" s="2">
        <f t="shared" si="4"/>
        <v>4154.2</v>
      </c>
      <c r="E3656" s="2">
        <f t="shared" si="5"/>
        <v>4154.2</v>
      </c>
      <c r="G3656" s="10">
        <f t="shared" si="9"/>
        <v>41638.64583</v>
      </c>
      <c r="H3656" s="6" t="str">
        <f t="shared" si="6"/>
        <v/>
      </c>
      <c r="I3656" s="2">
        <f t="shared" si="7"/>
        <v>1426.89</v>
      </c>
      <c r="M3656" s="10">
        <f>IFERROR(__xludf.DUMMYFUNCTION("""COMPUTED_VALUE"""),43283.66666666667)</f>
        <v>43283.66667</v>
      </c>
      <c r="N3656" s="2">
        <f>IFERROR(__xludf.DUMMYFUNCTION("""COMPUTED_VALUE"""),7567.69)</f>
        <v>7567.69</v>
      </c>
    </row>
    <row r="3657">
      <c r="A3657" s="10">
        <f t="shared" si="8"/>
        <v>41639.66667</v>
      </c>
      <c r="B3657" s="2" t="str">
        <f t="shared" si="2"/>
        <v/>
      </c>
      <c r="C3657" s="2" t="str">
        <f t="shared" si="3"/>
        <v>SP500</v>
      </c>
      <c r="D3657" s="2">
        <f t="shared" si="4"/>
        <v>4176.59</v>
      </c>
      <c r="E3657" s="2">
        <f t="shared" si="5"/>
        <v>4176.59</v>
      </c>
      <c r="G3657" s="10">
        <f t="shared" si="9"/>
        <v>41639.64583</v>
      </c>
      <c r="H3657" s="6" t="str">
        <f t="shared" si="6"/>
        <v/>
      </c>
      <c r="I3657" s="2">
        <f t="shared" si="7"/>
        <v>1426.89</v>
      </c>
      <c r="M3657" s="10">
        <f>IFERROR(__xludf.DUMMYFUNCTION("""COMPUTED_VALUE"""),43284.54166666667)</f>
        <v>43284.54167</v>
      </c>
      <c r="N3657" s="2">
        <f>IFERROR(__xludf.DUMMYFUNCTION("""COMPUTED_VALUE"""),7502.67)</f>
        <v>7502.67</v>
      </c>
    </row>
    <row r="3658">
      <c r="A3658" s="10">
        <f t="shared" si="8"/>
        <v>41640.66667</v>
      </c>
      <c r="B3658" s="2" t="str">
        <f t="shared" si="2"/>
        <v/>
      </c>
      <c r="C3658" s="2" t="str">
        <f t="shared" si="3"/>
        <v>SP500</v>
      </c>
      <c r="D3658" s="2" t="str">
        <f t="shared" si="4"/>
        <v/>
      </c>
      <c r="E3658" s="2">
        <f t="shared" si="5"/>
        <v>4176.59</v>
      </c>
      <c r="G3658" s="10">
        <f t="shared" si="9"/>
        <v>41640.64583</v>
      </c>
      <c r="H3658" s="6" t="str">
        <f t="shared" si="6"/>
        <v/>
      </c>
      <c r="I3658" s="2">
        <f t="shared" si="7"/>
        <v>1426.89</v>
      </c>
      <c r="M3658" s="10">
        <f>IFERROR(__xludf.DUMMYFUNCTION("""COMPUTED_VALUE"""),43286.66666666667)</f>
        <v>43286.66667</v>
      </c>
      <c r="N3658" s="2">
        <f>IFERROR(__xludf.DUMMYFUNCTION("""COMPUTED_VALUE"""),7586.43)</f>
        <v>7586.43</v>
      </c>
    </row>
    <row r="3659">
      <c r="A3659" s="10">
        <f t="shared" si="8"/>
        <v>41641.66667</v>
      </c>
      <c r="B3659" s="2" t="str">
        <f t="shared" si="2"/>
        <v/>
      </c>
      <c r="C3659" s="2" t="str">
        <f t="shared" si="3"/>
        <v>SP500</v>
      </c>
      <c r="D3659" s="2">
        <f t="shared" si="4"/>
        <v>4143.07</v>
      </c>
      <c r="E3659" s="2">
        <f t="shared" si="5"/>
        <v>4143.07</v>
      </c>
      <c r="G3659" s="10">
        <f t="shared" si="9"/>
        <v>41641.64583</v>
      </c>
      <c r="H3659" s="6" t="str">
        <f t="shared" si="6"/>
        <v/>
      </c>
      <c r="I3659" s="2">
        <f t="shared" si="7"/>
        <v>1426.89</v>
      </c>
      <c r="M3659" s="10">
        <f>IFERROR(__xludf.DUMMYFUNCTION("""COMPUTED_VALUE"""),43287.66666666667)</f>
        <v>43287.66667</v>
      </c>
      <c r="N3659" s="2">
        <f>IFERROR(__xludf.DUMMYFUNCTION("""COMPUTED_VALUE"""),7688.39)</f>
        <v>7688.39</v>
      </c>
    </row>
    <row r="3660">
      <c r="A3660" s="10">
        <f t="shared" si="8"/>
        <v>41642.66667</v>
      </c>
      <c r="B3660" s="2" t="str">
        <f t="shared" si="2"/>
        <v/>
      </c>
      <c r="C3660" s="2" t="str">
        <f t="shared" si="3"/>
        <v>SP500</v>
      </c>
      <c r="D3660" s="2">
        <f t="shared" si="4"/>
        <v>4131.91</v>
      </c>
      <c r="E3660" s="2">
        <f t="shared" si="5"/>
        <v>4131.91</v>
      </c>
      <c r="G3660" s="10">
        <f t="shared" si="9"/>
        <v>41642.64583</v>
      </c>
      <c r="H3660" s="6" t="str">
        <f t="shared" si="6"/>
        <v/>
      </c>
      <c r="I3660" s="2">
        <f t="shared" si="7"/>
        <v>1426.89</v>
      </c>
      <c r="M3660" s="10">
        <f>IFERROR(__xludf.DUMMYFUNCTION("""COMPUTED_VALUE"""),43290.66666666667)</f>
        <v>43290.66667</v>
      </c>
      <c r="N3660" s="2">
        <f>IFERROR(__xludf.DUMMYFUNCTION("""COMPUTED_VALUE"""),7756.2)</f>
        <v>7756.2</v>
      </c>
    </row>
    <row r="3661">
      <c r="A3661" s="10">
        <f t="shared" si="8"/>
        <v>41643.66667</v>
      </c>
      <c r="B3661" s="2" t="str">
        <f t="shared" si="2"/>
        <v/>
      </c>
      <c r="C3661" s="2" t="str">
        <f t="shared" si="3"/>
        <v>SP500</v>
      </c>
      <c r="D3661" s="2" t="str">
        <f t="shared" si="4"/>
        <v/>
      </c>
      <c r="E3661" s="2">
        <f t="shared" si="5"/>
        <v>4131.91</v>
      </c>
      <c r="G3661" s="10">
        <f t="shared" si="9"/>
        <v>41643.64583</v>
      </c>
      <c r="H3661" s="6" t="str">
        <f t="shared" si="6"/>
        <v/>
      </c>
      <c r="I3661" s="2">
        <f t="shared" si="7"/>
        <v>1426.89</v>
      </c>
      <c r="M3661" s="10">
        <f>IFERROR(__xludf.DUMMYFUNCTION("""COMPUTED_VALUE"""),43291.66666666667)</f>
        <v>43291.66667</v>
      </c>
      <c r="N3661" s="2">
        <f>IFERROR(__xludf.DUMMYFUNCTION("""COMPUTED_VALUE"""),7759.2)</f>
        <v>7759.2</v>
      </c>
    </row>
    <row r="3662">
      <c r="A3662" s="10">
        <f t="shared" si="8"/>
        <v>41644.66667</v>
      </c>
      <c r="B3662" s="2" t="str">
        <f t="shared" si="2"/>
        <v/>
      </c>
      <c r="C3662" s="2" t="str">
        <f t="shared" si="3"/>
        <v>SP500</v>
      </c>
      <c r="D3662" s="2" t="str">
        <f t="shared" si="4"/>
        <v/>
      </c>
      <c r="E3662" s="2">
        <f t="shared" si="5"/>
        <v>4131.91</v>
      </c>
      <c r="G3662" s="10">
        <f t="shared" si="9"/>
        <v>41644.64583</v>
      </c>
      <c r="H3662" s="6" t="str">
        <f t="shared" si="6"/>
        <v/>
      </c>
      <c r="I3662" s="2">
        <f t="shared" si="7"/>
        <v>1426.89</v>
      </c>
      <c r="M3662" s="10">
        <f>IFERROR(__xludf.DUMMYFUNCTION("""COMPUTED_VALUE"""),43292.66666666667)</f>
        <v>43292.66667</v>
      </c>
      <c r="N3662" s="2">
        <f>IFERROR(__xludf.DUMMYFUNCTION("""COMPUTED_VALUE"""),7716.61)</f>
        <v>7716.61</v>
      </c>
    </row>
    <row r="3663">
      <c r="A3663" s="10">
        <f t="shared" si="8"/>
        <v>41645.66667</v>
      </c>
      <c r="B3663" s="2" t="str">
        <f t="shared" si="2"/>
        <v/>
      </c>
      <c r="C3663" s="2" t="str">
        <f t="shared" si="3"/>
        <v>SP500</v>
      </c>
      <c r="D3663" s="2">
        <f t="shared" si="4"/>
        <v>4113.68</v>
      </c>
      <c r="E3663" s="2">
        <f t="shared" si="5"/>
        <v>4113.68</v>
      </c>
      <c r="G3663" s="10">
        <f t="shared" si="9"/>
        <v>41645.64583</v>
      </c>
      <c r="H3663" s="6" t="str">
        <f t="shared" si="6"/>
        <v/>
      </c>
      <c r="I3663" s="2">
        <f t="shared" si="7"/>
        <v>1426.89</v>
      </c>
      <c r="M3663" s="10">
        <f>IFERROR(__xludf.DUMMYFUNCTION("""COMPUTED_VALUE"""),43293.66666666667)</f>
        <v>43293.66667</v>
      </c>
      <c r="N3663" s="2">
        <f>IFERROR(__xludf.DUMMYFUNCTION("""COMPUTED_VALUE"""),7823.92)</f>
        <v>7823.92</v>
      </c>
    </row>
    <row r="3664">
      <c r="A3664" s="10">
        <f t="shared" si="8"/>
        <v>41646.66667</v>
      </c>
      <c r="B3664" s="2" t="str">
        <f t="shared" si="2"/>
        <v/>
      </c>
      <c r="C3664" s="2" t="str">
        <f t="shared" si="3"/>
        <v>SP500</v>
      </c>
      <c r="D3664" s="2">
        <f t="shared" si="4"/>
        <v>4153.18</v>
      </c>
      <c r="E3664" s="2">
        <f t="shared" si="5"/>
        <v>4153.18</v>
      </c>
      <c r="G3664" s="10">
        <f t="shared" si="9"/>
        <v>41646.64583</v>
      </c>
      <c r="H3664" s="6" t="str">
        <f t="shared" si="6"/>
        <v/>
      </c>
      <c r="I3664" s="2">
        <f t="shared" si="7"/>
        <v>1426.89</v>
      </c>
      <c r="M3664" s="10">
        <f>IFERROR(__xludf.DUMMYFUNCTION("""COMPUTED_VALUE"""),43294.66666666667)</f>
        <v>43294.66667</v>
      </c>
      <c r="N3664" s="2">
        <f>IFERROR(__xludf.DUMMYFUNCTION("""COMPUTED_VALUE"""),7825.98)</f>
        <v>7825.98</v>
      </c>
    </row>
    <row r="3665">
      <c r="A3665" s="10">
        <f t="shared" si="8"/>
        <v>41647.66667</v>
      </c>
      <c r="B3665" s="2" t="str">
        <f t="shared" si="2"/>
        <v/>
      </c>
      <c r="C3665" s="2" t="str">
        <f t="shared" si="3"/>
        <v>SP500</v>
      </c>
      <c r="D3665" s="2">
        <f t="shared" si="4"/>
        <v>4165.61</v>
      </c>
      <c r="E3665" s="2">
        <f t="shared" si="5"/>
        <v>4165.61</v>
      </c>
      <c r="G3665" s="10">
        <f t="shared" si="9"/>
        <v>41647.64583</v>
      </c>
      <c r="H3665" s="6" t="str">
        <f t="shared" si="6"/>
        <v/>
      </c>
      <c r="I3665" s="2">
        <f t="shared" si="7"/>
        <v>1426.89</v>
      </c>
      <c r="M3665" s="10">
        <f>IFERROR(__xludf.DUMMYFUNCTION("""COMPUTED_VALUE"""),43297.66666666667)</f>
        <v>43297.66667</v>
      </c>
      <c r="N3665" s="2">
        <f>IFERROR(__xludf.DUMMYFUNCTION("""COMPUTED_VALUE"""),7805.72)</f>
        <v>7805.72</v>
      </c>
    </row>
    <row r="3666">
      <c r="A3666" s="10">
        <f t="shared" si="8"/>
        <v>41648.66667</v>
      </c>
      <c r="B3666" s="2" t="str">
        <f t="shared" si="2"/>
        <v/>
      </c>
      <c r="C3666" s="2" t="str">
        <f t="shared" si="3"/>
        <v>SP500</v>
      </c>
      <c r="D3666" s="2">
        <f t="shared" si="4"/>
        <v>4156.19</v>
      </c>
      <c r="E3666" s="2">
        <f t="shared" si="5"/>
        <v>4156.19</v>
      </c>
      <c r="G3666" s="10">
        <f t="shared" si="9"/>
        <v>41648.64583</v>
      </c>
      <c r="H3666" s="6" t="str">
        <f t="shared" si="6"/>
        <v/>
      </c>
      <c r="I3666" s="2">
        <f t="shared" si="7"/>
        <v>1426.89</v>
      </c>
      <c r="M3666" s="10">
        <f>IFERROR(__xludf.DUMMYFUNCTION("""COMPUTED_VALUE"""),43298.66666666667)</f>
        <v>43298.66667</v>
      </c>
      <c r="N3666" s="2">
        <f>IFERROR(__xludf.DUMMYFUNCTION("""COMPUTED_VALUE"""),7855.12)</f>
        <v>7855.12</v>
      </c>
    </row>
    <row r="3667">
      <c r="A3667" s="10">
        <f t="shared" si="8"/>
        <v>41649.66667</v>
      </c>
      <c r="B3667" s="2" t="str">
        <f t="shared" si="2"/>
        <v/>
      </c>
      <c r="C3667" s="2" t="str">
        <f t="shared" si="3"/>
        <v>SP500</v>
      </c>
      <c r="D3667" s="2">
        <f t="shared" si="4"/>
        <v>4174.66</v>
      </c>
      <c r="E3667" s="2">
        <f t="shared" si="5"/>
        <v>4174.66</v>
      </c>
      <c r="G3667" s="10">
        <f t="shared" si="9"/>
        <v>41649.64583</v>
      </c>
      <c r="H3667" s="6" t="str">
        <f t="shared" si="6"/>
        <v/>
      </c>
      <c r="I3667" s="2">
        <f t="shared" si="7"/>
        <v>1426.89</v>
      </c>
      <c r="M3667" s="10">
        <f>IFERROR(__xludf.DUMMYFUNCTION("""COMPUTED_VALUE"""),43299.66666666667)</f>
        <v>43299.66667</v>
      </c>
      <c r="N3667" s="2">
        <f>IFERROR(__xludf.DUMMYFUNCTION("""COMPUTED_VALUE"""),7854.44)</f>
        <v>7854.44</v>
      </c>
    </row>
    <row r="3668">
      <c r="A3668" s="10">
        <f t="shared" si="8"/>
        <v>41650.66667</v>
      </c>
      <c r="B3668" s="2" t="str">
        <f t="shared" si="2"/>
        <v/>
      </c>
      <c r="C3668" s="2" t="str">
        <f t="shared" si="3"/>
        <v>SP500</v>
      </c>
      <c r="D3668" s="2" t="str">
        <f t="shared" si="4"/>
        <v/>
      </c>
      <c r="E3668" s="2">
        <f t="shared" si="5"/>
        <v>4174.66</v>
      </c>
      <c r="G3668" s="10">
        <f t="shared" si="9"/>
        <v>41650.64583</v>
      </c>
      <c r="H3668" s="6" t="str">
        <f t="shared" si="6"/>
        <v/>
      </c>
      <c r="I3668" s="2">
        <f t="shared" si="7"/>
        <v>1426.89</v>
      </c>
      <c r="M3668" s="10">
        <f>IFERROR(__xludf.DUMMYFUNCTION("""COMPUTED_VALUE"""),43300.66666666667)</f>
        <v>43300.66667</v>
      </c>
      <c r="N3668" s="2">
        <f>IFERROR(__xludf.DUMMYFUNCTION("""COMPUTED_VALUE"""),7825.3)</f>
        <v>7825.3</v>
      </c>
    </row>
    <row r="3669">
      <c r="A3669" s="10">
        <f t="shared" si="8"/>
        <v>41651.66667</v>
      </c>
      <c r="B3669" s="2" t="str">
        <f t="shared" si="2"/>
        <v/>
      </c>
      <c r="C3669" s="2" t="str">
        <f t="shared" si="3"/>
        <v>SP500</v>
      </c>
      <c r="D3669" s="2" t="str">
        <f t="shared" si="4"/>
        <v/>
      </c>
      <c r="E3669" s="2">
        <f t="shared" si="5"/>
        <v>4174.66</v>
      </c>
      <c r="G3669" s="10">
        <f t="shared" si="9"/>
        <v>41651.64583</v>
      </c>
      <c r="H3669" s="6" t="str">
        <f t="shared" si="6"/>
        <v/>
      </c>
      <c r="I3669" s="2">
        <f t="shared" si="7"/>
        <v>1426.89</v>
      </c>
      <c r="M3669" s="10">
        <f>IFERROR(__xludf.DUMMYFUNCTION("""COMPUTED_VALUE"""),43301.66666666667)</f>
        <v>43301.66667</v>
      </c>
      <c r="N3669" s="2">
        <f>IFERROR(__xludf.DUMMYFUNCTION("""COMPUTED_VALUE"""),7820.2)</f>
        <v>7820.2</v>
      </c>
    </row>
    <row r="3670">
      <c r="A3670" s="10">
        <f t="shared" si="8"/>
        <v>41652.66667</v>
      </c>
      <c r="B3670" s="2" t="str">
        <f t="shared" si="2"/>
        <v/>
      </c>
      <c r="C3670" s="2" t="str">
        <f t="shared" si="3"/>
        <v>SP500</v>
      </c>
      <c r="D3670" s="2">
        <f t="shared" si="4"/>
        <v>4113.3</v>
      </c>
      <c r="E3670" s="2">
        <f t="shared" si="5"/>
        <v>4113.3</v>
      </c>
      <c r="G3670" s="10">
        <f t="shared" si="9"/>
        <v>41652.64583</v>
      </c>
      <c r="H3670" s="6" t="str">
        <f t="shared" si="6"/>
        <v/>
      </c>
      <c r="I3670" s="2">
        <f t="shared" si="7"/>
        <v>1426.89</v>
      </c>
      <c r="M3670" s="10">
        <f>IFERROR(__xludf.DUMMYFUNCTION("""COMPUTED_VALUE"""),43304.66666666667)</f>
        <v>43304.66667</v>
      </c>
      <c r="N3670" s="2">
        <f>IFERROR(__xludf.DUMMYFUNCTION("""COMPUTED_VALUE"""),7841.87)</f>
        <v>7841.87</v>
      </c>
    </row>
    <row r="3671">
      <c r="A3671" s="10">
        <f t="shared" si="8"/>
        <v>41653.66667</v>
      </c>
      <c r="B3671" s="2" t="str">
        <f t="shared" si="2"/>
        <v/>
      </c>
      <c r="C3671" s="2" t="str">
        <f t="shared" si="3"/>
        <v>SP500</v>
      </c>
      <c r="D3671" s="2">
        <f t="shared" si="4"/>
        <v>4183.02</v>
      </c>
      <c r="E3671" s="2">
        <f t="shared" si="5"/>
        <v>4183.02</v>
      </c>
      <c r="G3671" s="10">
        <f t="shared" si="9"/>
        <v>41653.64583</v>
      </c>
      <c r="H3671" s="6" t="str">
        <f t="shared" si="6"/>
        <v/>
      </c>
      <c r="I3671" s="2">
        <f t="shared" si="7"/>
        <v>1426.89</v>
      </c>
      <c r="M3671" s="10">
        <f>IFERROR(__xludf.DUMMYFUNCTION("""COMPUTED_VALUE"""),43305.66666666667)</f>
        <v>43305.66667</v>
      </c>
      <c r="N3671" s="2">
        <f>IFERROR(__xludf.DUMMYFUNCTION("""COMPUTED_VALUE"""),7840.77)</f>
        <v>7840.77</v>
      </c>
    </row>
    <row r="3672">
      <c r="A3672" s="10">
        <f t="shared" si="8"/>
        <v>41654.66667</v>
      </c>
      <c r="B3672" s="2" t="str">
        <f t="shared" si="2"/>
        <v/>
      </c>
      <c r="C3672" s="2" t="str">
        <f t="shared" si="3"/>
        <v>SP500</v>
      </c>
      <c r="D3672" s="2">
        <f t="shared" si="4"/>
        <v>4214.88</v>
      </c>
      <c r="E3672" s="2">
        <f t="shared" si="5"/>
        <v>4214.88</v>
      </c>
      <c r="G3672" s="10">
        <f t="shared" si="9"/>
        <v>41654.64583</v>
      </c>
      <c r="H3672" s="6" t="str">
        <f t="shared" si="6"/>
        <v/>
      </c>
      <c r="I3672" s="2">
        <f t="shared" si="7"/>
        <v>1426.89</v>
      </c>
      <c r="M3672" s="10">
        <f>IFERROR(__xludf.DUMMYFUNCTION("""COMPUTED_VALUE"""),43306.66666666667)</f>
        <v>43306.66667</v>
      </c>
      <c r="N3672" s="2">
        <f>IFERROR(__xludf.DUMMYFUNCTION("""COMPUTED_VALUE"""),7932.24)</f>
        <v>7932.24</v>
      </c>
    </row>
    <row r="3673">
      <c r="A3673" s="10">
        <f t="shared" si="8"/>
        <v>41655.66667</v>
      </c>
      <c r="B3673" s="2" t="str">
        <f t="shared" si="2"/>
        <v/>
      </c>
      <c r="C3673" s="2" t="str">
        <f t="shared" si="3"/>
        <v>SP500</v>
      </c>
      <c r="D3673" s="2">
        <f t="shared" si="4"/>
        <v>4218.69</v>
      </c>
      <c r="E3673" s="2">
        <f t="shared" si="5"/>
        <v>4218.69</v>
      </c>
      <c r="G3673" s="10">
        <f t="shared" si="9"/>
        <v>41655.64583</v>
      </c>
      <c r="H3673" s="6" t="str">
        <f t="shared" si="6"/>
        <v/>
      </c>
      <c r="I3673" s="2">
        <f t="shared" si="7"/>
        <v>1426.89</v>
      </c>
      <c r="M3673" s="10">
        <f>IFERROR(__xludf.DUMMYFUNCTION("""COMPUTED_VALUE"""),43307.66666666667)</f>
        <v>43307.66667</v>
      </c>
      <c r="N3673" s="2">
        <f>IFERROR(__xludf.DUMMYFUNCTION("""COMPUTED_VALUE"""),7852.19)</f>
        <v>7852.19</v>
      </c>
    </row>
    <row r="3674">
      <c r="A3674" s="10">
        <f t="shared" si="8"/>
        <v>41656.66667</v>
      </c>
      <c r="B3674" s="2" t="str">
        <f t="shared" si="2"/>
        <v/>
      </c>
      <c r="C3674" s="2" t="str">
        <f t="shared" si="3"/>
        <v>SP500</v>
      </c>
      <c r="D3674" s="2">
        <f t="shared" si="4"/>
        <v>4197.58</v>
      </c>
      <c r="E3674" s="2">
        <f t="shared" si="5"/>
        <v>4197.58</v>
      </c>
      <c r="G3674" s="10">
        <f t="shared" si="9"/>
        <v>41656.64583</v>
      </c>
      <c r="H3674" s="6" t="str">
        <f t="shared" si="6"/>
        <v/>
      </c>
      <c r="I3674" s="2">
        <f t="shared" si="7"/>
        <v>1426.89</v>
      </c>
      <c r="M3674" s="10">
        <f>IFERROR(__xludf.DUMMYFUNCTION("""COMPUTED_VALUE"""),43308.66666666667)</f>
        <v>43308.66667</v>
      </c>
      <c r="N3674" s="2">
        <f>IFERROR(__xludf.DUMMYFUNCTION("""COMPUTED_VALUE"""),7737.42)</f>
        <v>7737.42</v>
      </c>
    </row>
    <row r="3675">
      <c r="A3675" s="10">
        <f t="shared" si="8"/>
        <v>41657.66667</v>
      </c>
      <c r="B3675" s="2" t="str">
        <f t="shared" si="2"/>
        <v/>
      </c>
      <c r="C3675" s="2" t="str">
        <f t="shared" si="3"/>
        <v>SP500</v>
      </c>
      <c r="D3675" s="2" t="str">
        <f t="shared" si="4"/>
        <v/>
      </c>
      <c r="E3675" s="2">
        <f t="shared" si="5"/>
        <v>4197.58</v>
      </c>
      <c r="G3675" s="10">
        <f t="shared" si="9"/>
        <v>41657.64583</v>
      </c>
      <c r="H3675" s="6" t="str">
        <f t="shared" si="6"/>
        <v/>
      </c>
      <c r="I3675" s="2">
        <f t="shared" si="7"/>
        <v>1426.89</v>
      </c>
      <c r="M3675" s="10">
        <f>IFERROR(__xludf.DUMMYFUNCTION("""COMPUTED_VALUE"""),43311.66666666667)</f>
        <v>43311.66667</v>
      </c>
      <c r="N3675" s="2">
        <f>IFERROR(__xludf.DUMMYFUNCTION("""COMPUTED_VALUE"""),7630.0)</f>
        <v>7630</v>
      </c>
    </row>
    <row r="3676">
      <c r="A3676" s="10">
        <f t="shared" si="8"/>
        <v>41658.66667</v>
      </c>
      <c r="B3676" s="2" t="str">
        <f t="shared" si="2"/>
        <v/>
      </c>
      <c r="C3676" s="2" t="str">
        <f t="shared" si="3"/>
        <v>SP500</v>
      </c>
      <c r="D3676" s="2" t="str">
        <f t="shared" si="4"/>
        <v/>
      </c>
      <c r="E3676" s="2">
        <f t="shared" si="5"/>
        <v>4197.58</v>
      </c>
      <c r="G3676" s="10">
        <f t="shared" si="9"/>
        <v>41658.64583</v>
      </c>
      <c r="H3676" s="6" t="str">
        <f t="shared" si="6"/>
        <v/>
      </c>
      <c r="I3676" s="2">
        <f t="shared" si="7"/>
        <v>1426.89</v>
      </c>
      <c r="M3676" s="10">
        <f>IFERROR(__xludf.DUMMYFUNCTION("""COMPUTED_VALUE"""),43312.66666666667)</f>
        <v>43312.66667</v>
      </c>
      <c r="N3676" s="2">
        <f>IFERROR(__xludf.DUMMYFUNCTION("""COMPUTED_VALUE"""),7671.79)</f>
        <v>7671.79</v>
      </c>
    </row>
    <row r="3677">
      <c r="A3677" s="10">
        <f t="shared" si="8"/>
        <v>41659.66667</v>
      </c>
      <c r="B3677" s="2" t="str">
        <f t="shared" si="2"/>
        <v/>
      </c>
      <c r="C3677" s="2" t="str">
        <f t="shared" si="3"/>
        <v>SP500</v>
      </c>
      <c r="D3677" s="2" t="str">
        <f t="shared" si="4"/>
        <v/>
      </c>
      <c r="E3677" s="2">
        <f t="shared" si="5"/>
        <v>4197.58</v>
      </c>
      <c r="G3677" s="10">
        <f t="shared" si="9"/>
        <v>41659.64583</v>
      </c>
      <c r="H3677" s="6" t="str">
        <f t="shared" si="6"/>
        <v/>
      </c>
      <c r="I3677" s="2">
        <f t="shared" si="7"/>
        <v>1426.89</v>
      </c>
      <c r="M3677" s="10">
        <f>IFERROR(__xludf.DUMMYFUNCTION("""COMPUTED_VALUE"""),43313.66666666667)</f>
        <v>43313.66667</v>
      </c>
      <c r="N3677" s="2">
        <f>IFERROR(__xludf.DUMMYFUNCTION("""COMPUTED_VALUE"""),7707.29)</f>
        <v>7707.29</v>
      </c>
    </row>
    <row r="3678">
      <c r="A3678" s="10">
        <f t="shared" si="8"/>
        <v>41660.66667</v>
      </c>
      <c r="B3678" s="2" t="str">
        <f t="shared" si="2"/>
        <v/>
      </c>
      <c r="C3678" s="2" t="str">
        <f t="shared" si="3"/>
        <v>SP500</v>
      </c>
      <c r="D3678" s="2">
        <f t="shared" si="4"/>
        <v>4225.76</v>
      </c>
      <c r="E3678" s="2">
        <f t="shared" si="5"/>
        <v>4225.76</v>
      </c>
      <c r="G3678" s="10">
        <f t="shared" si="9"/>
        <v>41660.64583</v>
      </c>
      <c r="H3678" s="6" t="str">
        <f t="shared" si="6"/>
        <v/>
      </c>
      <c r="I3678" s="2">
        <f t="shared" si="7"/>
        <v>1426.89</v>
      </c>
      <c r="M3678" s="10">
        <f>IFERROR(__xludf.DUMMYFUNCTION("""COMPUTED_VALUE"""),43314.66666666667)</f>
        <v>43314.66667</v>
      </c>
      <c r="N3678" s="2">
        <f>IFERROR(__xludf.DUMMYFUNCTION("""COMPUTED_VALUE"""),7802.69)</f>
        <v>7802.69</v>
      </c>
    </row>
    <row r="3679">
      <c r="A3679" s="10">
        <f t="shared" si="8"/>
        <v>41661.66667</v>
      </c>
      <c r="B3679" s="2" t="str">
        <f t="shared" si="2"/>
        <v/>
      </c>
      <c r="C3679" s="2" t="str">
        <f t="shared" si="3"/>
        <v>SP500</v>
      </c>
      <c r="D3679" s="2">
        <f t="shared" si="4"/>
        <v>4243</v>
      </c>
      <c r="E3679" s="2">
        <f t="shared" si="5"/>
        <v>4243</v>
      </c>
      <c r="G3679" s="10">
        <f t="shared" si="9"/>
        <v>41661.64583</v>
      </c>
      <c r="H3679" s="6" t="str">
        <f t="shared" si="6"/>
        <v/>
      </c>
      <c r="I3679" s="2">
        <f t="shared" si="7"/>
        <v>1426.89</v>
      </c>
      <c r="M3679" s="10">
        <f>IFERROR(__xludf.DUMMYFUNCTION("""COMPUTED_VALUE"""),43315.66666666667)</f>
        <v>43315.66667</v>
      </c>
      <c r="N3679" s="2">
        <f>IFERROR(__xludf.DUMMYFUNCTION("""COMPUTED_VALUE"""),7812.02)</f>
        <v>7812.02</v>
      </c>
    </row>
    <row r="3680">
      <c r="A3680" s="10">
        <f t="shared" si="8"/>
        <v>41662.66667</v>
      </c>
      <c r="B3680" s="2" t="str">
        <f t="shared" si="2"/>
        <v/>
      </c>
      <c r="C3680" s="2" t="str">
        <f t="shared" si="3"/>
        <v>SP500</v>
      </c>
      <c r="D3680" s="2">
        <f t="shared" si="4"/>
        <v>4218.87</v>
      </c>
      <c r="E3680" s="2">
        <f t="shared" si="5"/>
        <v>4218.87</v>
      </c>
      <c r="G3680" s="10">
        <f t="shared" si="9"/>
        <v>41662.64583</v>
      </c>
      <c r="H3680" s="6" t="str">
        <f t="shared" si="6"/>
        <v/>
      </c>
      <c r="I3680" s="2">
        <f t="shared" si="7"/>
        <v>1426.89</v>
      </c>
      <c r="M3680" s="10">
        <f>IFERROR(__xludf.DUMMYFUNCTION("""COMPUTED_VALUE"""),43318.66666666667)</f>
        <v>43318.66667</v>
      </c>
      <c r="N3680" s="2">
        <f>IFERROR(__xludf.DUMMYFUNCTION("""COMPUTED_VALUE"""),7859.68)</f>
        <v>7859.68</v>
      </c>
    </row>
    <row r="3681">
      <c r="A3681" s="10">
        <f t="shared" si="8"/>
        <v>41663.66667</v>
      </c>
      <c r="B3681" s="2" t="str">
        <f t="shared" si="2"/>
        <v/>
      </c>
      <c r="C3681" s="2" t="str">
        <f t="shared" si="3"/>
        <v>SP500</v>
      </c>
      <c r="D3681" s="2">
        <f t="shared" si="4"/>
        <v>4128.17</v>
      </c>
      <c r="E3681" s="2">
        <f t="shared" si="5"/>
        <v>4128.17</v>
      </c>
      <c r="G3681" s="10">
        <f t="shared" si="9"/>
        <v>41663.64583</v>
      </c>
      <c r="H3681" s="6" t="str">
        <f t="shared" si="6"/>
        <v/>
      </c>
      <c r="I3681" s="2">
        <f t="shared" si="7"/>
        <v>1426.89</v>
      </c>
      <c r="M3681" s="10">
        <f>IFERROR(__xludf.DUMMYFUNCTION("""COMPUTED_VALUE"""),43319.66666666667)</f>
        <v>43319.66667</v>
      </c>
      <c r="N3681" s="2">
        <f>IFERROR(__xludf.DUMMYFUNCTION("""COMPUTED_VALUE"""),7883.66)</f>
        <v>7883.66</v>
      </c>
    </row>
    <row r="3682">
      <c r="A3682" s="10">
        <f t="shared" si="8"/>
        <v>41664.66667</v>
      </c>
      <c r="B3682" s="2" t="str">
        <f t="shared" si="2"/>
        <v/>
      </c>
      <c r="C3682" s="2" t="str">
        <f t="shared" si="3"/>
        <v>SP500</v>
      </c>
      <c r="D3682" s="2" t="str">
        <f t="shared" si="4"/>
        <v/>
      </c>
      <c r="E3682" s="2">
        <f t="shared" si="5"/>
        <v>4128.17</v>
      </c>
      <c r="G3682" s="10">
        <f t="shared" si="9"/>
        <v>41664.64583</v>
      </c>
      <c r="H3682" s="6" t="str">
        <f t="shared" si="6"/>
        <v/>
      </c>
      <c r="I3682" s="2">
        <f t="shared" si="7"/>
        <v>1426.89</v>
      </c>
      <c r="M3682" s="10">
        <f>IFERROR(__xludf.DUMMYFUNCTION("""COMPUTED_VALUE"""),43320.66666666667)</f>
        <v>43320.66667</v>
      </c>
      <c r="N3682" s="2">
        <f>IFERROR(__xludf.DUMMYFUNCTION("""COMPUTED_VALUE"""),7888.33)</f>
        <v>7888.33</v>
      </c>
    </row>
    <row r="3683">
      <c r="A3683" s="10">
        <f t="shared" si="8"/>
        <v>41665.66667</v>
      </c>
      <c r="B3683" s="2" t="str">
        <f t="shared" si="2"/>
        <v/>
      </c>
      <c r="C3683" s="2" t="str">
        <f t="shared" si="3"/>
        <v>SP500</v>
      </c>
      <c r="D3683" s="2" t="str">
        <f t="shared" si="4"/>
        <v/>
      </c>
      <c r="E3683" s="2">
        <f t="shared" si="5"/>
        <v>4128.17</v>
      </c>
      <c r="G3683" s="10">
        <f t="shared" si="9"/>
        <v>41665.64583</v>
      </c>
      <c r="H3683" s="6" t="str">
        <f t="shared" si="6"/>
        <v/>
      </c>
      <c r="I3683" s="2">
        <f t="shared" si="7"/>
        <v>1426.89</v>
      </c>
      <c r="M3683" s="10">
        <f>IFERROR(__xludf.DUMMYFUNCTION("""COMPUTED_VALUE"""),43321.66666666667)</f>
        <v>43321.66667</v>
      </c>
      <c r="N3683" s="2">
        <f>IFERROR(__xludf.DUMMYFUNCTION("""COMPUTED_VALUE"""),7891.78)</f>
        <v>7891.78</v>
      </c>
    </row>
    <row r="3684">
      <c r="A3684" s="10">
        <f t="shared" si="8"/>
        <v>41666.66667</v>
      </c>
      <c r="B3684" s="2" t="str">
        <f t="shared" si="2"/>
        <v/>
      </c>
      <c r="C3684" s="2" t="str">
        <f t="shared" si="3"/>
        <v>SP500</v>
      </c>
      <c r="D3684" s="2">
        <f t="shared" si="4"/>
        <v>4083.61</v>
      </c>
      <c r="E3684" s="2">
        <f t="shared" si="5"/>
        <v>4083.61</v>
      </c>
      <c r="G3684" s="10">
        <f t="shared" si="9"/>
        <v>41666.64583</v>
      </c>
      <c r="H3684" s="6" t="str">
        <f t="shared" si="6"/>
        <v/>
      </c>
      <c r="I3684" s="2">
        <f t="shared" si="7"/>
        <v>1426.89</v>
      </c>
      <c r="M3684" s="10">
        <f>IFERROR(__xludf.DUMMYFUNCTION("""COMPUTED_VALUE"""),43322.66666666667)</f>
        <v>43322.66667</v>
      </c>
      <c r="N3684" s="2">
        <f>IFERROR(__xludf.DUMMYFUNCTION("""COMPUTED_VALUE"""),7839.11)</f>
        <v>7839.11</v>
      </c>
    </row>
    <row r="3685">
      <c r="A3685" s="10">
        <f t="shared" si="8"/>
        <v>41667.66667</v>
      </c>
      <c r="B3685" s="2" t="str">
        <f t="shared" si="2"/>
        <v/>
      </c>
      <c r="C3685" s="2" t="str">
        <f t="shared" si="3"/>
        <v>SP500</v>
      </c>
      <c r="D3685" s="2">
        <f t="shared" si="4"/>
        <v>4097.96</v>
      </c>
      <c r="E3685" s="2">
        <f t="shared" si="5"/>
        <v>4097.96</v>
      </c>
      <c r="G3685" s="10">
        <f t="shared" si="9"/>
        <v>41667.64583</v>
      </c>
      <c r="H3685" s="6" t="str">
        <f t="shared" si="6"/>
        <v/>
      </c>
      <c r="I3685" s="2">
        <f t="shared" si="7"/>
        <v>1426.89</v>
      </c>
      <c r="M3685" s="10">
        <f>IFERROR(__xludf.DUMMYFUNCTION("""COMPUTED_VALUE"""),43325.66666666667)</f>
        <v>43325.66667</v>
      </c>
      <c r="N3685" s="2">
        <f>IFERROR(__xludf.DUMMYFUNCTION("""COMPUTED_VALUE"""),7819.71)</f>
        <v>7819.71</v>
      </c>
    </row>
    <row r="3686">
      <c r="A3686" s="10">
        <f t="shared" si="8"/>
        <v>41668.66667</v>
      </c>
      <c r="B3686" s="2" t="str">
        <f t="shared" si="2"/>
        <v/>
      </c>
      <c r="C3686" s="2" t="str">
        <f t="shared" si="3"/>
        <v>SP500</v>
      </c>
      <c r="D3686" s="2">
        <f t="shared" si="4"/>
        <v>4051.43</v>
      </c>
      <c r="E3686" s="2">
        <f t="shared" si="5"/>
        <v>4051.43</v>
      </c>
      <c r="G3686" s="10">
        <f t="shared" si="9"/>
        <v>41668.64583</v>
      </c>
      <c r="H3686" s="6" t="str">
        <f t="shared" si="6"/>
        <v/>
      </c>
      <c r="I3686" s="2">
        <f t="shared" si="7"/>
        <v>1426.89</v>
      </c>
      <c r="M3686" s="10">
        <f>IFERROR(__xludf.DUMMYFUNCTION("""COMPUTED_VALUE"""),43326.66666666667)</f>
        <v>43326.66667</v>
      </c>
      <c r="N3686" s="2">
        <f>IFERROR(__xludf.DUMMYFUNCTION("""COMPUTED_VALUE"""),7870.89)</f>
        <v>7870.89</v>
      </c>
    </row>
    <row r="3687">
      <c r="A3687" s="10">
        <f t="shared" si="8"/>
        <v>41669.66667</v>
      </c>
      <c r="B3687" s="2" t="str">
        <f t="shared" si="2"/>
        <v/>
      </c>
      <c r="C3687" s="2" t="str">
        <f t="shared" si="3"/>
        <v>SP500</v>
      </c>
      <c r="D3687" s="2">
        <f t="shared" si="4"/>
        <v>4123.13</v>
      </c>
      <c r="E3687" s="2">
        <f t="shared" si="5"/>
        <v>4123.13</v>
      </c>
      <c r="G3687" s="10">
        <f t="shared" si="9"/>
        <v>41669.64583</v>
      </c>
      <c r="H3687" s="6" t="str">
        <f t="shared" si="6"/>
        <v/>
      </c>
      <c r="I3687" s="2">
        <f t="shared" si="7"/>
        <v>1426.89</v>
      </c>
      <c r="M3687" s="10">
        <f>IFERROR(__xludf.DUMMYFUNCTION("""COMPUTED_VALUE"""),43327.66666666667)</f>
        <v>43327.66667</v>
      </c>
      <c r="N3687" s="2">
        <f>IFERROR(__xludf.DUMMYFUNCTION("""COMPUTED_VALUE"""),7774.12)</f>
        <v>7774.12</v>
      </c>
    </row>
    <row r="3688">
      <c r="A3688" s="10">
        <f t="shared" si="8"/>
        <v>41670.66667</v>
      </c>
      <c r="B3688" s="2" t="str">
        <f t="shared" si="2"/>
        <v/>
      </c>
      <c r="C3688" s="2" t="str">
        <f t="shared" si="3"/>
        <v>SP500</v>
      </c>
      <c r="D3688" s="2">
        <f t="shared" si="4"/>
        <v>4103.88</v>
      </c>
      <c r="E3688" s="2">
        <f t="shared" si="5"/>
        <v>4103.88</v>
      </c>
      <c r="G3688" s="10">
        <f t="shared" si="9"/>
        <v>41670.64583</v>
      </c>
      <c r="H3688" s="6" t="str">
        <f t="shared" si="6"/>
        <v/>
      </c>
      <c r="I3688" s="2">
        <f t="shared" si="7"/>
        <v>1426.89</v>
      </c>
      <c r="M3688" s="10">
        <f>IFERROR(__xludf.DUMMYFUNCTION("""COMPUTED_VALUE"""),43328.66666666667)</f>
        <v>43328.66667</v>
      </c>
      <c r="N3688" s="2">
        <f>IFERROR(__xludf.DUMMYFUNCTION("""COMPUTED_VALUE"""),7806.52)</f>
        <v>7806.52</v>
      </c>
    </row>
    <row r="3689">
      <c r="A3689" s="10">
        <f t="shared" si="8"/>
        <v>41671.66667</v>
      </c>
      <c r="B3689" s="2" t="str">
        <f t="shared" si="2"/>
        <v/>
      </c>
      <c r="C3689" s="2" t="str">
        <f t="shared" si="3"/>
        <v>SP500</v>
      </c>
      <c r="D3689" s="2" t="str">
        <f t="shared" si="4"/>
        <v/>
      </c>
      <c r="E3689" s="2">
        <f t="shared" si="5"/>
        <v>4103.88</v>
      </c>
      <c r="G3689" s="10">
        <f t="shared" si="9"/>
        <v>41671.64583</v>
      </c>
      <c r="H3689" s="6" t="str">
        <f t="shared" si="6"/>
        <v/>
      </c>
      <c r="I3689" s="2">
        <f t="shared" si="7"/>
        <v>1426.89</v>
      </c>
      <c r="M3689" s="10">
        <f>IFERROR(__xludf.DUMMYFUNCTION("""COMPUTED_VALUE"""),43329.66666666667)</f>
        <v>43329.66667</v>
      </c>
      <c r="N3689" s="2">
        <f>IFERROR(__xludf.DUMMYFUNCTION("""COMPUTED_VALUE"""),7816.33)</f>
        <v>7816.33</v>
      </c>
    </row>
    <row r="3690">
      <c r="A3690" s="10">
        <f t="shared" si="8"/>
        <v>41672.66667</v>
      </c>
      <c r="B3690" s="2" t="str">
        <f t="shared" si="2"/>
        <v/>
      </c>
      <c r="C3690" s="2" t="str">
        <f t="shared" si="3"/>
        <v>SP500</v>
      </c>
      <c r="D3690" s="2" t="str">
        <f t="shared" si="4"/>
        <v/>
      </c>
      <c r="E3690" s="2">
        <f t="shared" si="5"/>
        <v>4103.88</v>
      </c>
      <c r="G3690" s="10">
        <f t="shared" si="9"/>
        <v>41672.64583</v>
      </c>
      <c r="H3690" s="6" t="str">
        <f t="shared" si="6"/>
        <v/>
      </c>
      <c r="I3690" s="2">
        <f t="shared" si="7"/>
        <v>1426.89</v>
      </c>
      <c r="M3690" s="10">
        <f>IFERROR(__xludf.DUMMYFUNCTION("""COMPUTED_VALUE"""),43332.66666666667)</f>
        <v>43332.66667</v>
      </c>
      <c r="N3690" s="2">
        <f>IFERROR(__xludf.DUMMYFUNCTION("""COMPUTED_VALUE"""),7821.01)</f>
        <v>7821.01</v>
      </c>
    </row>
    <row r="3691">
      <c r="A3691" s="10">
        <f t="shared" si="8"/>
        <v>41673.66667</v>
      </c>
      <c r="B3691" s="2" t="str">
        <f t="shared" si="2"/>
        <v/>
      </c>
      <c r="C3691" s="2" t="str">
        <f t="shared" si="3"/>
        <v>SP500</v>
      </c>
      <c r="D3691" s="2">
        <f t="shared" si="4"/>
        <v>3996.96</v>
      </c>
      <c r="E3691" s="2">
        <f t="shared" si="5"/>
        <v>3996.96</v>
      </c>
      <c r="G3691" s="10">
        <f t="shared" si="9"/>
        <v>41673.64583</v>
      </c>
      <c r="H3691" s="6" t="str">
        <f t="shared" si="6"/>
        <v/>
      </c>
      <c r="I3691" s="2">
        <f t="shared" si="7"/>
        <v>1426.89</v>
      </c>
      <c r="M3691" s="10">
        <f>IFERROR(__xludf.DUMMYFUNCTION("""COMPUTED_VALUE"""),43333.66666666667)</f>
        <v>43333.66667</v>
      </c>
      <c r="N3691" s="2">
        <f>IFERROR(__xludf.DUMMYFUNCTION("""COMPUTED_VALUE"""),7859.17)</f>
        <v>7859.17</v>
      </c>
    </row>
    <row r="3692">
      <c r="A3692" s="10">
        <f t="shared" si="8"/>
        <v>41674.66667</v>
      </c>
      <c r="B3692" s="2" t="str">
        <f t="shared" si="2"/>
        <v/>
      </c>
      <c r="C3692" s="2" t="str">
        <f t="shared" si="3"/>
        <v>SP500</v>
      </c>
      <c r="D3692" s="2">
        <f t="shared" si="4"/>
        <v>4031.52</v>
      </c>
      <c r="E3692" s="2">
        <f t="shared" si="5"/>
        <v>4031.52</v>
      </c>
      <c r="G3692" s="10">
        <f t="shared" si="9"/>
        <v>41674.64583</v>
      </c>
      <c r="H3692" s="6" t="str">
        <f t="shared" si="6"/>
        <v/>
      </c>
      <c r="I3692" s="2">
        <f t="shared" si="7"/>
        <v>1426.89</v>
      </c>
      <c r="M3692" s="10">
        <f>IFERROR(__xludf.DUMMYFUNCTION("""COMPUTED_VALUE"""),43334.66666666667)</f>
        <v>43334.66667</v>
      </c>
      <c r="N3692" s="2">
        <f>IFERROR(__xludf.DUMMYFUNCTION("""COMPUTED_VALUE"""),7889.1)</f>
        <v>7889.1</v>
      </c>
    </row>
    <row r="3693">
      <c r="A3693" s="10">
        <f t="shared" si="8"/>
        <v>41675.66667</v>
      </c>
      <c r="B3693" s="2" t="str">
        <f t="shared" si="2"/>
        <v/>
      </c>
      <c r="C3693" s="2" t="str">
        <f t="shared" si="3"/>
        <v>SP500</v>
      </c>
      <c r="D3693" s="2">
        <f t="shared" si="4"/>
        <v>4011.55</v>
      </c>
      <c r="E3693" s="2">
        <f t="shared" si="5"/>
        <v>4011.55</v>
      </c>
      <c r="G3693" s="10">
        <f t="shared" si="9"/>
        <v>41675.64583</v>
      </c>
      <c r="H3693" s="6" t="str">
        <f t="shared" si="6"/>
        <v/>
      </c>
      <c r="I3693" s="2">
        <f t="shared" si="7"/>
        <v>1426.89</v>
      </c>
      <c r="M3693" s="10">
        <f>IFERROR(__xludf.DUMMYFUNCTION("""COMPUTED_VALUE"""),43335.66666666667)</f>
        <v>43335.66667</v>
      </c>
      <c r="N3693" s="2">
        <f>IFERROR(__xludf.DUMMYFUNCTION("""COMPUTED_VALUE"""),7878.46)</f>
        <v>7878.46</v>
      </c>
    </row>
    <row r="3694">
      <c r="A3694" s="10">
        <f t="shared" si="8"/>
        <v>41676.66667</v>
      </c>
      <c r="B3694" s="2" t="str">
        <f t="shared" si="2"/>
        <v/>
      </c>
      <c r="C3694" s="2" t="str">
        <f t="shared" si="3"/>
        <v>SP500</v>
      </c>
      <c r="D3694" s="2">
        <f t="shared" si="4"/>
        <v>4057.12</v>
      </c>
      <c r="E3694" s="2">
        <f t="shared" si="5"/>
        <v>4057.12</v>
      </c>
      <c r="G3694" s="10">
        <f t="shared" si="9"/>
        <v>41676.64583</v>
      </c>
      <c r="H3694" s="6" t="str">
        <f t="shared" si="6"/>
        <v/>
      </c>
      <c r="I3694" s="2">
        <f t="shared" si="7"/>
        <v>1426.89</v>
      </c>
      <c r="M3694" s="10">
        <f>IFERROR(__xludf.DUMMYFUNCTION("""COMPUTED_VALUE"""),43336.66666666667)</f>
        <v>43336.66667</v>
      </c>
      <c r="N3694" s="2">
        <f>IFERROR(__xludf.DUMMYFUNCTION("""COMPUTED_VALUE"""),7945.98)</f>
        <v>7945.98</v>
      </c>
    </row>
    <row r="3695">
      <c r="A3695" s="10">
        <f t="shared" si="8"/>
        <v>41677.66667</v>
      </c>
      <c r="B3695" s="2" t="str">
        <f t="shared" si="2"/>
        <v/>
      </c>
      <c r="C3695" s="2" t="str">
        <f t="shared" si="3"/>
        <v>SP500</v>
      </c>
      <c r="D3695" s="2">
        <f t="shared" si="4"/>
        <v>4125.86</v>
      </c>
      <c r="E3695" s="2">
        <f t="shared" si="5"/>
        <v>4125.86</v>
      </c>
      <c r="G3695" s="10">
        <f t="shared" si="9"/>
        <v>41677.64583</v>
      </c>
      <c r="H3695" s="6" t="str">
        <f t="shared" si="6"/>
        <v/>
      </c>
      <c r="I3695" s="2">
        <f t="shared" si="7"/>
        <v>1426.89</v>
      </c>
      <c r="M3695" s="10">
        <f>IFERROR(__xludf.DUMMYFUNCTION("""COMPUTED_VALUE"""),43339.66666666667)</f>
        <v>43339.66667</v>
      </c>
      <c r="N3695" s="2">
        <f>IFERROR(__xludf.DUMMYFUNCTION("""COMPUTED_VALUE"""),8017.9)</f>
        <v>8017.9</v>
      </c>
    </row>
    <row r="3696">
      <c r="A3696" s="10">
        <f t="shared" si="8"/>
        <v>41678.66667</v>
      </c>
      <c r="B3696" s="2" t="str">
        <f t="shared" si="2"/>
        <v/>
      </c>
      <c r="C3696" s="2" t="str">
        <f t="shared" si="3"/>
        <v>SP500</v>
      </c>
      <c r="D3696" s="2" t="str">
        <f t="shared" si="4"/>
        <v/>
      </c>
      <c r="E3696" s="2">
        <f t="shared" si="5"/>
        <v>4125.86</v>
      </c>
      <c r="G3696" s="10">
        <f t="shared" si="9"/>
        <v>41678.64583</v>
      </c>
      <c r="H3696" s="6" t="str">
        <f t="shared" si="6"/>
        <v/>
      </c>
      <c r="I3696" s="2">
        <f t="shared" si="7"/>
        <v>1426.89</v>
      </c>
      <c r="M3696" s="10">
        <f>IFERROR(__xludf.DUMMYFUNCTION("""COMPUTED_VALUE"""),43340.66666666667)</f>
        <v>43340.66667</v>
      </c>
      <c r="N3696" s="2">
        <f>IFERROR(__xludf.DUMMYFUNCTION("""COMPUTED_VALUE"""),8030.04)</f>
        <v>8030.04</v>
      </c>
    </row>
    <row r="3697">
      <c r="A3697" s="10">
        <f t="shared" si="8"/>
        <v>41679.66667</v>
      </c>
      <c r="B3697" s="2" t="str">
        <f t="shared" si="2"/>
        <v/>
      </c>
      <c r="C3697" s="2" t="str">
        <f t="shared" si="3"/>
        <v>SP500</v>
      </c>
      <c r="D3697" s="2" t="str">
        <f t="shared" si="4"/>
        <v/>
      </c>
      <c r="E3697" s="2">
        <f t="shared" si="5"/>
        <v>4125.86</v>
      </c>
      <c r="G3697" s="10">
        <f t="shared" si="9"/>
        <v>41679.64583</v>
      </c>
      <c r="H3697" s="6" t="str">
        <f t="shared" si="6"/>
        <v/>
      </c>
      <c r="I3697" s="2">
        <f t="shared" si="7"/>
        <v>1426.89</v>
      </c>
      <c r="M3697" s="10">
        <f>IFERROR(__xludf.DUMMYFUNCTION("""COMPUTED_VALUE"""),43341.66666666667)</f>
        <v>43341.66667</v>
      </c>
      <c r="N3697" s="2">
        <f>IFERROR(__xludf.DUMMYFUNCTION("""COMPUTED_VALUE"""),8109.69)</f>
        <v>8109.69</v>
      </c>
    </row>
    <row r="3698">
      <c r="A3698" s="10">
        <f t="shared" si="8"/>
        <v>41680.66667</v>
      </c>
      <c r="B3698" s="2" t="str">
        <f t="shared" si="2"/>
        <v/>
      </c>
      <c r="C3698" s="2" t="str">
        <f t="shared" si="3"/>
        <v>SP500</v>
      </c>
      <c r="D3698" s="2">
        <f t="shared" si="4"/>
        <v>4148.17</v>
      </c>
      <c r="E3698" s="2">
        <f t="shared" si="5"/>
        <v>4148.17</v>
      </c>
      <c r="G3698" s="10">
        <f t="shared" si="9"/>
        <v>41680.64583</v>
      </c>
      <c r="H3698" s="6" t="str">
        <f t="shared" si="6"/>
        <v/>
      </c>
      <c r="I3698" s="2">
        <f t="shared" si="7"/>
        <v>1426.89</v>
      </c>
      <c r="M3698" s="10">
        <f>IFERROR(__xludf.DUMMYFUNCTION("""COMPUTED_VALUE"""),43342.66666666667)</f>
        <v>43342.66667</v>
      </c>
      <c r="N3698" s="2">
        <f>IFERROR(__xludf.DUMMYFUNCTION("""COMPUTED_VALUE"""),8088.36)</f>
        <v>8088.36</v>
      </c>
    </row>
    <row r="3699">
      <c r="A3699" s="10">
        <f t="shared" si="8"/>
        <v>41681.66667</v>
      </c>
      <c r="B3699" s="2" t="str">
        <f t="shared" si="2"/>
        <v/>
      </c>
      <c r="C3699" s="2" t="str">
        <f t="shared" si="3"/>
        <v>SP500</v>
      </c>
      <c r="D3699" s="2">
        <f t="shared" si="4"/>
        <v>4191.04</v>
      </c>
      <c r="E3699" s="2">
        <f t="shared" si="5"/>
        <v>4191.04</v>
      </c>
      <c r="G3699" s="10">
        <f t="shared" si="9"/>
        <v>41681.64583</v>
      </c>
      <c r="H3699" s="6" t="str">
        <f t="shared" si="6"/>
        <v/>
      </c>
      <c r="I3699" s="2">
        <f t="shared" si="7"/>
        <v>1426.89</v>
      </c>
      <c r="M3699" s="10">
        <f>IFERROR(__xludf.DUMMYFUNCTION("""COMPUTED_VALUE"""),43343.66666666667)</f>
        <v>43343.66667</v>
      </c>
      <c r="N3699" s="2">
        <f>IFERROR(__xludf.DUMMYFUNCTION("""COMPUTED_VALUE"""),8109.54)</f>
        <v>8109.54</v>
      </c>
    </row>
    <row r="3700">
      <c r="A3700" s="10">
        <f t="shared" si="8"/>
        <v>41682.66667</v>
      </c>
      <c r="B3700" s="2" t="str">
        <f t="shared" si="2"/>
        <v/>
      </c>
      <c r="C3700" s="2" t="str">
        <f t="shared" si="3"/>
        <v>SP500</v>
      </c>
      <c r="D3700" s="2">
        <f t="shared" si="4"/>
        <v>4201.29</v>
      </c>
      <c r="E3700" s="2">
        <f t="shared" si="5"/>
        <v>4201.29</v>
      </c>
      <c r="G3700" s="10">
        <f t="shared" si="9"/>
        <v>41682.64583</v>
      </c>
      <c r="H3700" s="6" t="str">
        <f t="shared" si="6"/>
        <v/>
      </c>
      <c r="I3700" s="2">
        <f t="shared" si="7"/>
        <v>1426.89</v>
      </c>
      <c r="M3700" s="10">
        <f>IFERROR(__xludf.DUMMYFUNCTION("""COMPUTED_VALUE"""),43347.66666666667)</f>
        <v>43347.66667</v>
      </c>
      <c r="N3700" s="2">
        <f>IFERROR(__xludf.DUMMYFUNCTION("""COMPUTED_VALUE"""),8091.25)</f>
        <v>8091.25</v>
      </c>
    </row>
    <row r="3701">
      <c r="A3701" s="10">
        <f t="shared" si="8"/>
        <v>41683.66667</v>
      </c>
      <c r="B3701" s="2" t="str">
        <f t="shared" si="2"/>
        <v/>
      </c>
      <c r="C3701" s="2" t="str">
        <f t="shared" si="3"/>
        <v>SP500</v>
      </c>
      <c r="D3701" s="2">
        <f t="shared" si="4"/>
        <v>4240.67</v>
      </c>
      <c r="E3701" s="2">
        <f t="shared" si="5"/>
        <v>4240.67</v>
      </c>
      <c r="G3701" s="10">
        <f t="shared" si="9"/>
        <v>41683.64583</v>
      </c>
      <c r="H3701" s="6" t="str">
        <f t="shared" si="6"/>
        <v/>
      </c>
      <c r="I3701" s="2">
        <f t="shared" si="7"/>
        <v>1426.89</v>
      </c>
      <c r="M3701" s="10">
        <f>IFERROR(__xludf.DUMMYFUNCTION("""COMPUTED_VALUE"""),43348.66666666667)</f>
        <v>43348.66667</v>
      </c>
      <c r="N3701" s="2">
        <f>IFERROR(__xludf.DUMMYFUNCTION("""COMPUTED_VALUE"""),7995.17)</f>
        <v>7995.17</v>
      </c>
    </row>
    <row r="3702">
      <c r="A3702" s="10">
        <f t="shared" si="8"/>
        <v>41684.66667</v>
      </c>
      <c r="B3702" s="2" t="str">
        <f t="shared" si="2"/>
        <v/>
      </c>
      <c r="C3702" s="2" t="str">
        <f t="shared" si="3"/>
        <v>SP500</v>
      </c>
      <c r="D3702" s="2">
        <f t="shared" si="4"/>
        <v>4244.03</v>
      </c>
      <c r="E3702" s="2">
        <f t="shared" si="5"/>
        <v>4244.03</v>
      </c>
      <c r="G3702" s="10">
        <f t="shared" si="9"/>
        <v>41684.64583</v>
      </c>
      <c r="H3702" s="6" t="str">
        <f t="shared" si="6"/>
        <v/>
      </c>
      <c r="I3702" s="2">
        <f t="shared" si="7"/>
        <v>1426.89</v>
      </c>
      <c r="M3702" s="10">
        <f>IFERROR(__xludf.DUMMYFUNCTION("""COMPUTED_VALUE"""),43349.66666666667)</f>
        <v>43349.66667</v>
      </c>
      <c r="N3702" s="2">
        <f>IFERROR(__xludf.DUMMYFUNCTION("""COMPUTED_VALUE"""),7922.73)</f>
        <v>7922.73</v>
      </c>
    </row>
    <row r="3703">
      <c r="A3703" s="10">
        <f t="shared" si="8"/>
        <v>41685.66667</v>
      </c>
      <c r="B3703" s="2" t="str">
        <f t="shared" si="2"/>
        <v/>
      </c>
      <c r="C3703" s="2" t="str">
        <f t="shared" si="3"/>
        <v>SP500</v>
      </c>
      <c r="D3703" s="2" t="str">
        <f t="shared" si="4"/>
        <v/>
      </c>
      <c r="E3703" s="2">
        <f t="shared" si="5"/>
        <v>4244.03</v>
      </c>
      <c r="G3703" s="10">
        <f t="shared" si="9"/>
        <v>41685.64583</v>
      </c>
      <c r="H3703" s="6" t="str">
        <f t="shared" si="6"/>
        <v/>
      </c>
      <c r="I3703" s="2">
        <f t="shared" si="7"/>
        <v>1426.89</v>
      </c>
      <c r="M3703" s="10">
        <f>IFERROR(__xludf.DUMMYFUNCTION("""COMPUTED_VALUE"""),43350.66666666667)</f>
        <v>43350.66667</v>
      </c>
      <c r="N3703" s="2">
        <f>IFERROR(__xludf.DUMMYFUNCTION("""COMPUTED_VALUE"""),7902.54)</f>
        <v>7902.54</v>
      </c>
    </row>
    <row r="3704">
      <c r="A3704" s="10">
        <f t="shared" si="8"/>
        <v>41686.66667</v>
      </c>
      <c r="B3704" s="2" t="str">
        <f t="shared" si="2"/>
        <v/>
      </c>
      <c r="C3704" s="2" t="str">
        <f t="shared" si="3"/>
        <v>SP500</v>
      </c>
      <c r="D3704" s="2" t="str">
        <f t="shared" si="4"/>
        <v/>
      </c>
      <c r="E3704" s="2">
        <f t="shared" si="5"/>
        <v>4244.03</v>
      </c>
      <c r="G3704" s="10">
        <f t="shared" si="9"/>
        <v>41686.64583</v>
      </c>
      <c r="H3704" s="6" t="str">
        <f t="shared" si="6"/>
        <v/>
      </c>
      <c r="I3704" s="2">
        <f t="shared" si="7"/>
        <v>1426.89</v>
      </c>
      <c r="M3704" s="10">
        <f>IFERROR(__xludf.DUMMYFUNCTION("""COMPUTED_VALUE"""),43353.66666666667)</f>
        <v>43353.66667</v>
      </c>
      <c r="N3704" s="2">
        <f>IFERROR(__xludf.DUMMYFUNCTION("""COMPUTED_VALUE"""),7924.16)</f>
        <v>7924.16</v>
      </c>
    </row>
    <row r="3705">
      <c r="A3705" s="10">
        <f t="shared" si="8"/>
        <v>41687.66667</v>
      </c>
      <c r="B3705" s="2" t="str">
        <f t="shared" si="2"/>
        <v/>
      </c>
      <c r="C3705" s="2" t="str">
        <f t="shared" si="3"/>
        <v>SP500</v>
      </c>
      <c r="D3705" s="2" t="str">
        <f t="shared" si="4"/>
        <v/>
      </c>
      <c r="E3705" s="2">
        <f t="shared" si="5"/>
        <v>4244.03</v>
      </c>
      <c r="G3705" s="10">
        <f t="shared" si="9"/>
        <v>41687.64583</v>
      </c>
      <c r="H3705" s="6" t="str">
        <f t="shared" si="6"/>
        <v/>
      </c>
      <c r="I3705" s="2">
        <f t="shared" si="7"/>
        <v>1426.89</v>
      </c>
      <c r="M3705" s="10">
        <f>IFERROR(__xludf.DUMMYFUNCTION("""COMPUTED_VALUE"""),43354.66666666667)</f>
        <v>43354.66667</v>
      </c>
      <c r="N3705" s="2">
        <f>IFERROR(__xludf.DUMMYFUNCTION("""COMPUTED_VALUE"""),7972.47)</f>
        <v>7972.47</v>
      </c>
    </row>
    <row r="3706">
      <c r="A3706" s="10">
        <f t="shared" si="8"/>
        <v>41688.66667</v>
      </c>
      <c r="B3706" s="2" t="str">
        <f t="shared" si="2"/>
        <v/>
      </c>
      <c r="C3706" s="2" t="str">
        <f t="shared" si="3"/>
        <v>SP500</v>
      </c>
      <c r="D3706" s="2">
        <f t="shared" si="4"/>
        <v>4272.78</v>
      </c>
      <c r="E3706" s="2">
        <f t="shared" si="5"/>
        <v>4272.78</v>
      </c>
      <c r="G3706" s="10">
        <f t="shared" si="9"/>
        <v>41688.64583</v>
      </c>
      <c r="H3706" s="6" t="str">
        <f t="shared" si="6"/>
        <v/>
      </c>
      <c r="I3706" s="2">
        <f t="shared" si="7"/>
        <v>1426.89</v>
      </c>
      <c r="M3706" s="10">
        <f>IFERROR(__xludf.DUMMYFUNCTION("""COMPUTED_VALUE"""),43355.66666666667)</f>
        <v>43355.66667</v>
      </c>
      <c r="N3706" s="2">
        <f>IFERROR(__xludf.DUMMYFUNCTION("""COMPUTED_VALUE"""),7954.23)</f>
        <v>7954.23</v>
      </c>
    </row>
    <row r="3707">
      <c r="A3707" s="10">
        <f t="shared" si="8"/>
        <v>41689.66667</v>
      </c>
      <c r="B3707" s="2" t="str">
        <f t="shared" si="2"/>
        <v/>
      </c>
      <c r="C3707" s="2" t="str">
        <f t="shared" si="3"/>
        <v>SP500</v>
      </c>
      <c r="D3707" s="2">
        <f t="shared" si="4"/>
        <v>4237.95</v>
      </c>
      <c r="E3707" s="2">
        <f t="shared" si="5"/>
        <v>4237.95</v>
      </c>
      <c r="G3707" s="10">
        <f t="shared" si="9"/>
        <v>41689.64583</v>
      </c>
      <c r="H3707" s="6" t="str">
        <f t="shared" si="6"/>
        <v/>
      </c>
      <c r="I3707" s="2">
        <f t="shared" si="7"/>
        <v>1426.89</v>
      </c>
      <c r="M3707" s="10">
        <f>IFERROR(__xludf.DUMMYFUNCTION("""COMPUTED_VALUE"""),43356.66666666667)</f>
        <v>43356.66667</v>
      </c>
      <c r="N3707" s="2">
        <f>IFERROR(__xludf.DUMMYFUNCTION("""COMPUTED_VALUE"""),8013.71)</f>
        <v>8013.71</v>
      </c>
    </row>
    <row r="3708">
      <c r="A3708" s="10">
        <f t="shared" si="8"/>
        <v>41690.66667</v>
      </c>
      <c r="B3708" s="2" t="str">
        <f t="shared" si="2"/>
        <v/>
      </c>
      <c r="C3708" s="2" t="str">
        <f t="shared" si="3"/>
        <v>SP500</v>
      </c>
      <c r="D3708" s="2">
        <f t="shared" si="4"/>
        <v>4267.55</v>
      </c>
      <c r="E3708" s="2">
        <f t="shared" si="5"/>
        <v>4267.55</v>
      </c>
      <c r="G3708" s="10">
        <f t="shared" si="9"/>
        <v>41690.64583</v>
      </c>
      <c r="H3708" s="6" t="str">
        <f t="shared" si="6"/>
        <v/>
      </c>
      <c r="I3708" s="2">
        <f t="shared" si="7"/>
        <v>1426.89</v>
      </c>
      <c r="M3708" s="10">
        <f>IFERROR(__xludf.DUMMYFUNCTION("""COMPUTED_VALUE"""),43357.66666666667)</f>
        <v>43357.66667</v>
      </c>
      <c r="N3708" s="2">
        <f>IFERROR(__xludf.DUMMYFUNCTION("""COMPUTED_VALUE"""),8010.04)</f>
        <v>8010.04</v>
      </c>
    </row>
    <row r="3709">
      <c r="A3709" s="10">
        <f t="shared" si="8"/>
        <v>41691.66667</v>
      </c>
      <c r="B3709" s="2" t="str">
        <f t="shared" si="2"/>
        <v/>
      </c>
      <c r="C3709" s="2" t="str">
        <f t="shared" si="3"/>
        <v>SP500</v>
      </c>
      <c r="D3709" s="2">
        <f t="shared" si="4"/>
        <v>4263.41</v>
      </c>
      <c r="E3709" s="2">
        <f t="shared" si="5"/>
        <v>4263.41</v>
      </c>
      <c r="G3709" s="10">
        <f t="shared" si="9"/>
        <v>41691.64583</v>
      </c>
      <c r="H3709" s="6" t="str">
        <f t="shared" si="6"/>
        <v/>
      </c>
      <c r="I3709" s="2">
        <f t="shared" si="7"/>
        <v>1426.89</v>
      </c>
      <c r="M3709" s="10">
        <f>IFERROR(__xludf.DUMMYFUNCTION("""COMPUTED_VALUE"""),43360.66666666667)</f>
        <v>43360.66667</v>
      </c>
      <c r="N3709" s="2">
        <f>IFERROR(__xludf.DUMMYFUNCTION("""COMPUTED_VALUE"""),7895.79)</f>
        <v>7895.79</v>
      </c>
    </row>
    <row r="3710">
      <c r="A3710" s="10">
        <f t="shared" si="8"/>
        <v>41692.66667</v>
      </c>
      <c r="B3710" s="2" t="str">
        <f t="shared" si="2"/>
        <v/>
      </c>
      <c r="C3710" s="2" t="str">
        <f t="shared" si="3"/>
        <v>SP500</v>
      </c>
      <c r="D3710" s="2" t="str">
        <f t="shared" si="4"/>
        <v/>
      </c>
      <c r="E3710" s="2">
        <f t="shared" si="5"/>
        <v>4263.41</v>
      </c>
      <c r="G3710" s="10">
        <f t="shared" si="9"/>
        <v>41692.64583</v>
      </c>
      <c r="H3710" s="6" t="str">
        <f t="shared" si="6"/>
        <v/>
      </c>
      <c r="I3710" s="2">
        <f t="shared" si="7"/>
        <v>1426.89</v>
      </c>
      <c r="M3710" s="10">
        <f>IFERROR(__xludf.DUMMYFUNCTION("""COMPUTED_VALUE"""),43361.66666666667)</f>
        <v>43361.66667</v>
      </c>
      <c r="N3710" s="2">
        <f>IFERROR(__xludf.DUMMYFUNCTION("""COMPUTED_VALUE"""),7956.11)</f>
        <v>7956.11</v>
      </c>
    </row>
    <row r="3711">
      <c r="A3711" s="10">
        <f t="shared" si="8"/>
        <v>41693.66667</v>
      </c>
      <c r="B3711" s="2" t="str">
        <f t="shared" si="2"/>
        <v/>
      </c>
      <c r="C3711" s="2" t="str">
        <f t="shared" si="3"/>
        <v>SP500</v>
      </c>
      <c r="D3711" s="2" t="str">
        <f t="shared" si="4"/>
        <v/>
      </c>
      <c r="E3711" s="2">
        <f t="shared" si="5"/>
        <v>4263.41</v>
      </c>
      <c r="G3711" s="10">
        <f t="shared" si="9"/>
        <v>41693.64583</v>
      </c>
      <c r="H3711" s="6" t="str">
        <f t="shared" si="6"/>
        <v/>
      </c>
      <c r="I3711" s="2">
        <f t="shared" si="7"/>
        <v>1426.89</v>
      </c>
      <c r="M3711" s="10">
        <f>IFERROR(__xludf.DUMMYFUNCTION("""COMPUTED_VALUE"""),43362.66666666667)</f>
        <v>43362.66667</v>
      </c>
      <c r="N3711" s="2">
        <f>IFERROR(__xludf.DUMMYFUNCTION("""COMPUTED_VALUE"""),7950.04)</f>
        <v>7950.04</v>
      </c>
    </row>
    <row r="3712">
      <c r="A3712" s="10">
        <f t="shared" si="8"/>
        <v>41694.66667</v>
      </c>
      <c r="B3712" s="2" t="str">
        <f t="shared" si="2"/>
        <v/>
      </c>
      <c r="C3712" s="2" t="str">
        <f t="shared" si="3"/>
        <v>SP500</v>
      </c>
      <c r="D3712" s="2">
        <f t="shared" si="4"/>
        <v>4292.97</v>
      </c>
      <c r="E3712" s="2">
        <f t="shared" si="5"/>
        <v>4292.97</v>
      </c>
      <c r="G3712" s="10">
        <f t="shared" si="9"/>
        <v>41694.64583</v>
      </c>
      <c r="H3712" s="6" t="str">
        <f t="shared" si="6"/>
        <v/>
      </c>
      <c r="I3712" s="2">
        <f t="shared" si="7"/>
        <v>1426.89</v>
      </c>
      <c r="M3712" s="10">
        <f>IFERROR(__xludf.DUMMYFUNCTION("""COMPUTED_VALUE"""),43363.66666666667)</f>
        <v>43363.66667</v>
      </c>
      <c r="N3712" s="2">
        <f>IFERROR(__xludf.DUMMYFUNCTION("""COMPUTED_VALUE"""),8028.23)</f>
        <v>8028.23</v>
      </c>
    </row>
    <row r="3713">
      <c r="A3713" s="10">
        <f t="shared" si="8"/>
        <v>41695.66667</v>
      </c>
      <c r="B3713" s="2" t="str">
        <f t="shared" si="2"/>
        <v/>
      </c>
      <c r="C3713" s="2" t="str">
        <f t="shared" si="3"/>
        <v>SP500</v>
      </c>
      <c r="D3713" s="2">
        <f t="shared" si="4"/>
        <v>4287.59</v>
      </c>
      <c r="E3713" s="2">
        <f t="shared" si="5"/>
        <v>4287.59</v>
      </c>
      <c r="G3713" s="10">
        <f t="shared" si="9"/>
        <v>41695.64583</v>
      </c>
      <c r="H3713" s="6" t="str">
        <f t="shared" si="6"/>
        <v/>
      </c>
      <c r="I3713" s="2">
        <f t="shared" si="7"/>
        <v>1426.89</v>
      </c>
      <c r="M3713" s="10">
        <f>IFERROR(__xludf.DUMMYFUNCTION("""COMPUTED_VALUE"""),43364.66666666667)</f>
        <v>43364.66667</v>
      </c>
      <c r="N3713" s="2">
        <f>IFERROR(__xludf.DUMMYFUNCTION("""COMPUTED_VALUE"""),7986.96)</f>
        <v>7986.96</v>
      </c>
    </row>
    <row r="3714">
      <c r="A3714" s="10">
        <f t="shared" si="8"/>
        <v>41696.66667</v>
      </c>
      <c r="B3714" s="2" t="str">
        <f t="shared" si="2"/>
        <v/>
      </c>
      <c r="C3714" s="2" t="str">
        <f t="shared" si="3"/>
        <v>SP500</v>
      </c>
      <c r="D3714" s="2">
        <f t="shared" si="4"/>
        <v>4292.06</v>
      </c>
      <c r="E3714" s="2">
        <f t="shared" si="5"/>
        <v>4292.06</v>
      </c>
      <c r="G3714" s="10">
        <f t="shared" si="9"/>
        <v>41696.64583</v>
      </c>
      <c r="H3714" s="6" t="str">
        <f t="shared" si="6"/>
        <v/>
      </c>
      <c r="I3714" s="2">
        <f t="shared" si="7"/>
        <v>1426.89</v>
      </c>
      <c r="M3714" s="10">
        <f>IFERROR(__xludf.DUMMYFUNCTION("""COMPUTED_VALUE"""),43367.66666666667)</f>
        <v>43367.66667</v>
      </c>
      <c r="N3714" s="2">
        <f>IFERROR(__xludf.DUMMYFUNCTION("""COMPUTED_VALUE"""),7993.25)</f>
        <v>7993.25</v>
      </c>
    </row>
    <row r="3715">
      <c r="A3715" s="10">
        <f t="shared" si="8"/>
        <v>41697.66667</v>
      </c>
      <c r="B3715" s="2" t="str">
        <f t="shared" si="2"/>
        <v/>
      </c>
      <c r="C3715" s="2" t="str">
        <f t="shared" si="3"/>
        <v>SP500</v>
      </c>
      <c r="D3715" s="2">
        <f t="shared" si="4"/>
        <v>4318.93</v>
      </c>
      <c r="E3715" s="2">
        <f t="shared" si="5"/>
        <v>4318.93</v>
      </c>
      <c r="G3715" s="10">
        <f t="shared" si="9"/>
        <v>41697.64583</v>
      </c>
      <c r="H3715" s="6" t="str">
        <f t="shared" si="6"/>
        <v/>
      </c>
      <c r="I3715" s="2">
        <f t="shared" si="7"/>
        <v>1426.89</v>
      </c>
      <c r="M3715" s="10">
        <f>IFERROR(__xludf.DUMMYFUNCTION("""COMPUTED_VALUE"""),43368.66666666667)</f>
        <v>43368.66667</v>
      </c>
      <c r="N3715" s="2">
        <f>IFERROR(__xludf.DUMMYFUNCTION("""COMPUTED_VALUE"""),8007.47)</f>
        <v>8007.47</v>
      </c>
    </row>
    <row r="3716">
      <c r="A3716" s="10">
        <f t="shared" si="8"/>
        <v>41698.66667</v>
      </c>
      <c r="B3716" s="2" t="str">
        <f t="shared" si="2"/>
        <v/>
      </c>
      <c r="C3716" s="2" t="str">
        <f t="shared" si="3"/>
        <v>SP500</v>
      </c>
      <c r="D3716" s="2">
        <f t="shared" si="4"/>
        <v>4308.12</v>
      </c>
      <c r="E3716" s="2">
        <f t="shared" si="5"/>
        <v>4308.12</v>
      </c>
      <c r="G3716" s="10">
        <f t="shared" si="9"/>
        <v>41698.64583</v>
      </c>
      <c r="H3716" s="6" t="str">
        <f t="shared" si="6"/>
        <v/>
      </c>
      <c r="I3716" s="2">
        <f t="shared" si="7"/>
        <v>1426.89</v>
      </c>
      <c r="M3716" s="10">
        <f>IFERROR(__xludf.DUMMYFUNCTION("""COMPUTED_VALUE"""),43369.66666666667)</f>
        <v>43369.66667</v>
      </c>
      <c r="N3716" s="2">
        <f>IFERROR(__xludf.DUMMYFUNCTION("""COMPUTED_VALUE"""),7990.37)</f>
        <v>7990.37</v>
      </c>
    </row>
    <row r="3717">
      <c r="A3717" s="10">
        <f t="shared" si="8"/>
        <v>41699.66667</v>
      </c>
      <c r="B3717" s="2" t="str">
        <f t="shared" si="2"/>
        <v/>
      </c>
      <c r="C3717" s="2" t="str">
        <f t="shared" si="3"/>
        <v>SP500</v>
      </c>
      <c r="D3717" s="2" t="str">
        <f t="shared" si="4"/>
        <v/>
      </c>
      <c r="E3717" s="2">
        <f t="shared" si="5"/>
        <v>4308.12</v>
      </c>
      <c r="G3717" s="10">
        <f t="shared" si="9"/>
        <v>41699.64583</v>
      </c>
      <c r="H3717" s="6" t="str">
        <f t="shared" si="6"/>
        <v/>
      </c>
      <c r="I3717" s="2">
        <f t="shared" si="7"/>
        <v>1426.89</v>
      </c>
      <c r="M3717" s="10">
        <f>IFERROR(__xludf.DUMMYFUNCTION("""COMPUTED_VALUE"""),43370.66666666667)</f>
        <v>43370.66667</v>
      </c>
      <c r="N3717" s="2">
        <f>IFERROR(__xludf.DUMMYFUNCTION("""COMPUTED_VALUE"""),8041.97)</f>
        <v>8041.97</v>
      </c>
    </row>
    <row r="3718">
      <c r="A3718" s="10">
        <f t="shared" si="8"/>
        <v>41700.66667</v>
      </c>
      <c r="B3718" s="2" t="str">
        <f t="shared" si="2"/>
        <v/>
      </c>
      <c r="C3718" s="2" t="str">
        <f t="shared" si="3"/>
        <v>SP500</v>
      </c>
      <c r="D3718" s="2" t="str">
        <f t="shared" si="4"/>
        <v/>
      </c>
      <c r="E3718" s="2">
        <f t="shared" si="5"/>
        <v>4308.12</v>
      </c>
      <c r="G3718" s="10">
        <f t="shared" si="9"/>
        <v>41700.64583</v>
      </c>
      <c r="H3718" s="6" t="str">
        <f t="shared" si="6"/>
        <v/>
      </c>
      <c r="I3718" s="2">
        <f t="shared" si="7"/>
        <v>1426.89</v>
      </c>
      <c r="M3718" s="10">
        <f>IFERROR(__xludf.DUMMYFUNCTION("""COMPUTED_VALUE"""),43371.66666666667)</f>
        <v>43371.66667</v>
      </c>
      <c r="N3718" s="2">
        <f>IFERROR(__xludf.DUMMYFUNCTION("""COMPUTED_VALUE"""),8046.35)</f>
        <v>8046.35</v>
      </c>
    </row>
    <row r="3719">
      <c r="A3719" s="10">
        <f t="shared" si="8"/>
        <v>41701.66667</v>
      </c>
      <c r="B3719" s="2" t="str">
        <f t="shared" si="2"/>
        <v/>
      </c>
      <c r="C3719" s="2" t="str">
        <f t="shared" si="3"/>
        <v>SP500</v>
      </c>
      <c r="D3719" s="2">
        <f t="shared" si="4"/>
        <v>4277.3</v>
      </c>
      <c r="E3719" s="2">
        <f t="shared" si="5"/>
        <v>4277.3</v>
      </c>
      <c r="G3719" s="10">
        <f t="shared" si="9"/>
        <v>41701.64583</v>
      </c>
      <c r="H3719" s="6" t="str">
        <f t="shared" si="6"/>
        <v/>
      </c>
      <c r="I3719" s="2">
        <f t="shared" si="7"/>
        <v>1426.89</v>
      </c>
      <c r="M3719" s="10">
        <f>IFERROR(__xludf.DUMMYFUNCTION("""COMPUTED_VALUE"""),43374.66666666667)</f>
        <v>43374.66667</v>
      </c>
      <c r="N3719" s="2">
        <f>IFERROR(__xludf.DUMMYFUNCTION("""COMPUTED_VALUE"""),8037.3)</f>
        <v>8037.3</v>
      </c>
    </row>
    <row r="3720">
      <c r="A3720" s="10">
        <f t="shared" si="8"/>
        <v>41702.66667</v>
      </c>
      <c r="B3720" s="2" t="str">
        <f t="shared" si="2"/>
        <v/>
      </c>
      <c r="C3720" s="2" t="str">
        <f t="shared" si="3"/>
        <v>SP500</v>
      </c>
      <c r="D3720" s="2">
        <f t="shared" si="4"/>
        <v>4351.97</v>
      </c>
      <c r="E3720" s="2">
        <f t="shared" si="5"/>
        <v>4351.97</v>
      </c>
      <c r="G3720" s="10">
        <f t="shared" si="9"/>
        <v>41702.64583</v>
      </c>
      <c r="H3720" s="6" t="str">
        <f t="shared" si="6"/>
        <v/>
      </c>
      <c r="I3720" s="2">
        <f t="shared" si="7"/>
        <v>1426.89</v>
      </c>
      <c r="M3720" s="10">
        <f>IFERROR(__xludf.DUMMYFUNCTION("""COMPUTED_VALUE"""),43375.66666666667)</f>
        <v>43375.66667</v>
      </c>
      <c r="N3720" s="2">
        <f>IFERROR(__xludf.DUMMYFUNCTION("""COMPUTED_VALUE"""),7999.55)</f>
        <v>7999.55</v>
      </c>
    </row>
    <row r="3721">
      <c r="A3721" s="10">
        <f t="shared" si="8"/>
        <v>41703.66667</v>
      </c>
      <c r="B3721" s="2" t="str">
        <f t="shared" si="2"/>
        <v/>
      </c>
      <c r="C3721" s="2" t="str">
        <f t="shared" si="3"/>
        <v>SP500</v>
      </c>
      <c r="D3721" s="2">
        <f t="shared" si="4"/>
        <v>4357.97</v>
      </c>
      <c r="E3721" s="2">
        <f t="shared" si="5"/>
        <v>4357.97</v>
      </c>
      <c r="G3721" s="10">
        <f t="shared" si="9"/>
        <v>41703.64583</v>
      </c>
      <c r="H3721" s="6" t="str">
        <f t="shared" si="6"/>
        <v/>
      </c>
      <c r="I3721" s="2">
        <f t="shared" si="7"/>
        <v>1426.89</v>
      </c>
      <c r="M3721" s="10">
        <f>IFERROR(__xludf.DUMMYFUNCTION("""COMPUTED_VALUE"""),43376.66666666667)</f>
        <v>43376.66667</v>
      </c>
      <c r="N3721" s="2">
        <f>IFERROR(__xludf.DUMMYFUNCTION("""COMPUTED_VALUE"""),8025.09)</f>
        <v>8025.09</v>
      </c>
    </row>
    <row r="3722">
      <c r="A3722" s="10">
        <f t="shared" si="8"/>
        <v>41704.66667</v>
      </c>
      <c r="B3722" s="2" t="str">
        <f t="shared" si="2"/>
        <v/>
      </c>
      <c r="C3722" s="2" t="str">
        <f t="shared" si="3"/>
        <v>SP500</v>
      </c>
      <c r="D3722" s="2">
        <f t="shared" si="4"/>
        <v>4352.13</v>
      </c>
      <c r="E3722" s="2">
        <f t="shared" si="5"/>
        <v>4352.13</v>
      </c>
      <c r="G3722" s="10">
        <f t="shared" si="9"/>
        <v>41704.64583</v>
      </c>
      <c r="H3722" s="6" t="str">
        <f t="shared" si="6"/>
        <v/>
      </c>
      <c r="I3722" s="2">
        <f t="shared" si="7"/>
        <v>1426.89</v>
      </c>
      <c r="M3722" s="10">
        <f>IFERROR(__xludf.DUMMYFUNCTION("""COMPUTED_VALUE"""),43377.66666666667)</f>
        <v>43377.66667</v>
      </c>
      <c r="N3722" s="2">
        <f>IFERROR(__xludf.DUMMYFUNCTION("""COMPUTED_VALUE"""),7879.51)</f>
        <v>7879.51</v>
      </c>
    </row>
    <row r="3723">
      <c r="A3723" s="10">
        <f t="shared" si="8"/>
        <v>41705.66667</v>
      </c>
      <c r="B3723" s="2" t="str">
        <f t="shared" si="2"/>
        <v/>
      </c>
      <c r="C3723" s="2" t="str">
        <f t="shared" si="3"/>
        <v>SP500</v>
      </c>
      <c r="D3723" s="2">
        <f t="shared" si="4"/>
        <v>4336.22</v>
      </c>
      <c r="E3723" s="2">
        <f t="shared" si="5"/>
        <v>4336.22</v>
      </c>
      <c r="G3723" s="10">
        <f t="shared" si="9"/>
        <v>41705.64583</v>
      </c>
      <c r="H3723" s="6" t="str">
        <f t="shared" si="6"/>
        <v/>
      </c>
      <c r="I3723" s="2">
        <f t="shared" si="7"/>
        <v>1426.89</v>
      </c>
      <c r="M3723" s="10">
        <f>IFERROR(__xludf.DUMMYFUNCTION("""COMPUTED_VALUE"""),43378.66666666667)</f>
        <v>43378.66667</v>
      </c>
      <c r="N3723" s="2">
        <f>IFERROR(__xludf.DUMMYFUNCTION("""COMPUTED_VALUE"""),7788.45)</f>
        <v>7788.45</v>
      </c>
    </row>
    <row r="3724">
      <c r="A3724" s="10">
        <f t="shared" si="8"/>
        <v>41706.66667</v>
      </c>
      <c r="B3724" s="2" t="str">
        <f t="shared" si="2"/>
        <v/>
      </c>
      <c r="C3724" s="2" t="str">
        <f t="shared" si="3"/>
        <v>SP500</v>
      </c>
      <c r="D3724" s="2" t="str">
        <f t="shared" si="4"/>
        <v/>
      </c>
      <c r="E3724" s="2">
        <f t="shared" si="5"/>
        <v>4336.22</v>
      </c>
      <c r="G3724" s="10">
        <f t="shared" si="9"/>
        <v>41706.64583</v>
      </c>
      <c r="H3724" s="6" t="str">
        <f t="shared" si="6"/>
        <v/>
      </c>
      <c r="I3724" s="2">
        <f t="shared" si="7"/>
        <v>1426.89</v>
      </c>
      <c r="M3724" s="10">
        <f>IFERROR(__xludf.DUMMYFUNCTION("""COMPUTED_VALUE"""),43381.66666666667)</f>
        <v>43381.66667</v>
      </c>
      <c r="N3724" s="2">
        <f>IFERROR(__xludf.DUMMYFUNCTION("""COMPUTED_VALUE"""),7735.95)</f>
        <v>7735.95</v>
      </c>
    </row>
    <row r="3725">
      <c r="A3725" s="10">
        <f t="shared" si="8"/>
        <v>41707.66667</v>
      </c>
      <c r="B3725" s="2" t="str">
        <f t="shared" si="2"/>
        <v/>
      </c>
      <c r="C3725" s="2" t="str">
        <f t="shared" si="3"/>
        <v>SP500</v>
      </c>
      <c r="D3725" s="2" t="str">
        <f t="shared" si="4"/>
        <v/>
      </c>
      <c r="E3725" s="2">
        <f t="shared" si="5"/>
        <v>4336.22</v>
      </c>
      <c r="G3725" s="10">
        <f t="shared" si="9"/>
        <v>41707.64583</v>
      </c>
      <c r="H3725" s="6" t="str">
        <f t="shared" si="6"/>
        <v/>
      </c>
      <c r="I3725" s="2">
        <f t="shared" si="7"/>
        <v>1426.89</v>
      </c>
      <c r="M3725" s="10">
        <f>IFERROR(__xludf.DUMMYFUNCTION("""COMPUTED_VALUE"""),43382.66666666667)</f>
        <v>43382.66667</v>
      </c>
      <c r="N3725" s="2">
        <f>IFERROR(__xludf.DUMMYFUNCTION("""COMPUTED_VALUE"""),7738.02)</f>
        <v>7738.02</v>
      </c>
    </row>
    <row r="3726">
      <c r="A3726" s="10">
        <f t="shared" si="8"/>
        <v>41708.66667</v>
      </c>
      <c r="B3726" s="2" t="str">
        <f t="shared" si="2"/>
        <v/>
      </c>
      <c r="C3726" s="2" t="str">
        <f t="shared" si="3"/>
        <v>SP500</v>
      </c>
      <c r="D3726" s="2">
        <f t="shared" si="4"/>
        <v>4334.45</v>
      </c>
      <c r="E3726" s="2">
        <f t="shared" si="5"/>
        <v>4334.45</v>
      </c>
      <c r="G3726" s="10">
        <f t="shared" si="9"/>
        <v>41708.64583</v>
      </c>
      <c r="H3726" s="6" t="str">
        <f t="shared" si="6"/>
        <v/>
      </c>
      <c r="I3726" s="2">
        <f t="shared" si="7"/>
        <v>1426.89</v>
      </c>
      <c r="M3726" s="10">
        <f>IFERROR(__xludf.DUMMYFUNCTION("""COMPUTED_VALUE"""),43383.66666666667)</f>
        <v>43383.66667</v>
      </c>
      <c r="N3726" s="2">
        <f>IFERROR(__xludf.DUMMYFUNCTION("""COMPUTED_VALUE"""),7422.05)</f>
        <v>7422.05</v>
      </c>
    </row>
    <row r="3727">
      <c r="A3727" s="10">
        <f t="shared" si="8"/>
        <v>41709.66667</v>
      </c>
      <c r="B3727" s="2" t="str">
        <f t="shared" si="2"/>
        <v/>
      </c>
      <c r="C3727" s="2" t="str">
        <f t="shared" si="3"/>
        <v>SP500</v>
      </c>
      <c r="D3727" s="2">
        <f t="shared" si="4"/>
        <v>4307.19</v>
      </c>
      <c r="E3727" s="2">
        <f t="shared" si="5"/>
        <v>4307.19</v>
      </c>
      <c r="G3727" s="10">
        <f t="shared" si="9"/>
        <v>41709.64583</v>
      </c>
      <c r="H3727" s="6" t="str">
        <f t="shared" si="6"/>
        <v/>
      </c>
      <c r="I3727" s="2">
        <f t="shared" si="7"/>
        <v>1426.89</v>
      </c>
      <c r="M3727" s="10">
        <f>IFERROR(__xludf.DUMMYFUNCTION("""COMPUTED_VALUE"""),43384.66666666667)</f>
        <v>43384.66667</v>
      </c>
      <c r="N3727" s="2">
        <f>IFERROR(__xludf.DUMMYFUNCTION("""COMPUTED_VALUE"""),7329.06)</f>
        <v>7329.06</v>
      </c>
    </row>
    <row r="3728">
      <c r="A3728" s="10">
        <f t="shared" si="8"/>
        <v>41710.66667</v>
      </c>
      <c r="B3728" s="2" t="str">
        <f t="shared" si="2"/>
        <v/>
      </c>
      <c r="C3728" s="2" t="str">
        <f t="shared" si="3"/>
        <v>SP500</v>
      </c>
      <c r="D3728" s="2">
        <f t="shared" si="4"/>
        <v>4323.33</v>
      </c>
      <c r="E3728" s="2">
        <f t="shared" si="5"/>
        <v>4323.33</v>
      </c>
      <c r="G3728" s="10">
        <f t="shared" si="9"/>
        <v>41710.64583</v>
      </c>
      <c r="H3728" s="6" t="str">
        <f t="shared" si="6"/>
        <v/>
      </c>
      <c r="I3728" s="2">
        <f t="shared" si="7"/>
        <v>1426.89</v>
      </c>
      <c r="M3728" s="10">
        <f>IFERROR(__xludf.DUMMYFUNCTION("""COMPUTED_VALUE"""),43385.66666666667)</f>
        <v>43385.66667</v>
      </c>
      <c r="N3728" s="2">
        <f>IFERROR(__xludf.DUMMYFUNCTION("""COMPUTED_VALUE"""),7496.89)</f>
        <v>7496.89</v>
      </c>
    </row>
    <row r="3729">
      <c r="A3729" s="10">
        <f t="shared" si="8"/>
        <v>41711.66667</v>
      </c>
      <c r="B3729" s="2" t="str">
        <f t="shared" si="2"/>
        <v/>
      </c>
      <c r="C3729" s="2" t="str">
        <f t="shared" si="3"/>
        <v>SP500</v>
      </c>
      <c r="D3729" s="2">
        <f t="shared" si="4"/>
        <v>4260.42</v>
      </c>
      <c r="E3729" s="2">
        <f t="shared" si="5"/>
        <v>4260.42</v>
      </c>
      <c r="G3729" s="10">
        <f t="shared" si="9"/>
        <v>41711.64583</v>
      </c>
      <c r="H3729" s="6" t="str">
        <f t="shared" si="6"/>
        <v/>
      </c>
      <c r="I3729" s="2">
        <f t="shared" si="7"/>
        <v>1426.89</v>
      </c>
      <c r="M3729" s="10">
        <f>IFERROR(__xludf.DUMMYFUNCTION("""COMPUTED_VALUE"""),43388.66666666667)</f>
        <v>43388.66667</v>
      </c>
      <c r="N3729" s="2">
        <f>IFERROR(__xludf.DUMMYFUNCTION("""COMPUTED_VALUE"""),7430.74)</f>
        <v>7430.74</v>
      </c>
    </row>
    <row r="3730">
      <c r="A3730" s="10">
        <f t="shared" si="8"/>
        <v>41712.66667</v>
      </c>
      <c r="B3730" s="2" t="str">
        <f t="shared" si="2"/>
        <v/>
      </c>
      <c r="C3730" s="2" t="str">
        <f t="shared" si="3"/>
        <v>SP500</v>
      </c>
      <c r="D3730" s="2">
        <f t="shared" si="4"/>
        <v>4245.4</v>
      </c>
      <c r="E3730" s="2">
        <f t="shared" si="5"/>
        <v>4245.4</v>
      </c>
      <c r="G3730" s="10">
        <f t="shared" si="9"/>
        <v>41712.64583</v>
      </c>
      <c r="H3730" s="6" t="str">
        <f t="shared" si="6"/>
        <v/>
      </c>
      <c r="I3730" s="2">
        <f t="shared" si="7"/>
        <v>1426.89</v>
      </c>
      <c r="M3730" s="10">
        <f>IFERROR(__xludf.DUMMYFUNCTION("""COMPUTED_VALUE"""),43389.66666666667)</f>
        <v>43389.66667</v>
      </c>
      <c r="N3730" s="2">
        <f>IFERROR(__xludf.DUMMYFUNCTION("""COMPUTED_VALUE"""),7645.49)</f>
        <v>7645.49</v>
      </c>
    </row>
    <row r="3731">
      <c r="A3731" s="10">
        <f t="shared" si="8"/>
        <v>41713.66667</v>
      </c>
      <c r="B3731" s="2" t="str">
        <f t="shared" si="2"/>
        <v/>
      </c>
      <c r="C3731" s="2" t="str">
        <f t="shared" si="3"/>
        <v>SP500</v>
      </c>
      <c r="D3731" s="2" t="str">
        <f t="shared" si="4"/>
        <v/>
      </c>
      <c r="E3731" s="2">
        <f t="shared" si="5"/>
        <v>4245.4</v>
      </c>
      <c r="G3731" s="10">
        <f t="shared" si="9"/>
        <v>41713.64583</v>
      </c>
      <c r="H3731" s="6" t="str">
        <f t="shared" si="6"/>
        <v/>
      </c>
      <c r="I3731" s="2">
        <f t="shared" si="7"/>
        <v>1426.89</v>
      </c>
      <c r="M3731" s="10">
        <f>IFERROR(__xludf.DUMMYFUNCTION("""COMPUTED_VALUE"""),43390.66666666667)</f>
        <v>43390.66667</v>
      </c>
      <c r="N3731" s="2">
        <f>IFERROR(__xludf.DUMMYFUNCTION("""COMPUTED_VALUE"""),7642.7)</f>
        <v>7642.7</v>
      </c>
    </row>
    <row r="3732">
      <c r="A3732" s="10">
        <f t="shared" si="8"/>
        <v>41714.66667</v>
      </c>
      <c r="B3732" s="2" t="str">
        <f t="shared" si="2"/>
        <v/>
      </c>
      <c r="C3732" s="2" t="str">
        <f t="shared" si="3"/>
        <v>SP500</v>
      </c>
      <c r="D3732" s="2" t="str">
        <f t="shared" si="4"/>
        <v/>
      </c>
      <c r="E3732" s="2">
        <f t="shared" si="5"/>
        <v>4245.4</v>
      </c>
      <c r="G3732" s="10">
        <f t="shared" si="9"/>
        <v>41714.64583</v>
      </c>
      <c r="H3732" s="6" t="str">
        <f t="shared" si="6"/>
        <v/>
      </c>
      <c r="I3732" s="2">
        <f t="shared" si="7"/>
        <v>1426.89</v>
      </c>
      <c r="M3732" s="10">
        <f>IFERROR(__xludf.DUMMYFUNCTION("""COMPUTED_VALUE"""),43391.66666666667)</f>
        <v>43391.66667</v>
      </c>
      <c r="N3732" s="2">
        <f>IFERROR(__xludf.DUMMYFUNCTION("""COMPUTED_VALUE"""),7485.14)</f>
        <v>7485.14</v>
      </c>
    </row>
    <row r="3733">
      <c r="A3733" s="10">
        <f t="shared" si="8"/>
        <v>41715.66667</v>
      </c>
      <c r="B3733" s="2" t="str">
        <f t="shared" si="2"/>
        <v/>
      </c>
      <c r="C3733" s="2" t="str">
        <f t="shared" si="3"/>
        <v>SP500</v>
      </c>
      <c r="D3733" s="2">
        <f t="shared" si="4"/>
        <v>4279.95</v>
      </c>
      <c r="E3733" s="2">
        <f t="shared" si="5"/>
        <v>4279.95</v>
      </c>
      <c r="G3733" s="10">
        <f t="shared" si="9"/>
        <v>41715.64583</v>
      </c>
      <c r="H3733" s="6" t="str">
        <f t="shared" si="6"/>
        <v/>
      </c>
      <c r="I3733" s="2">
        <f t="shared" si="7"/>
        <v>1426.89</v>
      </c>
      <c r="M3733" s="10">
        <f>IFERROR(__xludf.DUMMYFUNCTION("""COMPUTED_VALUE"""),43392.66666666667)</f>
        <v>43392.66667</v>
      </c>
      <c r="N3733" s="2">
        <f>IFERROR(__xludf.DUMMYFUNCTION("""COMPUTED_VALUE"""),7449.03)</f>
        <v>7449.03</v>
      </c>
    </row>
    <row r="3734">
      <c r="A3734" s="10">
        <f t="shared" si="8"/>
        <v>41716.66667</v>
      </c>
      <c r="B3734" s="2" t="str">
        <f t="shared" si="2"/>
        <v/>
      </c>
      <c r="C3734" s="2" t="str">
        <f t="shared" si="3"/>
        <v>SP500</v>
      </c>
      <c r="D3734" s="2">
        <f t="shared" si="4"/>
        <v>4333.31</v>
      </c>
      <c r="E3734" s="2">
        <f t="shared" si="5"/>
        <v>4333.31</v>
      </c>
      <c r="G3734" s="10">
        <f t="shared" si="9"/>
        <v>41716.64583</v>
      </c>
      <c r="H3734" s="6" t="str">
        <f t="shared" si="6"/>
        <v/>
      </c>
      <c r="I3734" s="2">
        <f t="shared" si="7"/>
        <v>1426.89</v>
      </c>
      <c r="M3734" s="10">
        <f>IFERROR(__xludf.DUMMYFUNCTION("""COMPUTED_VALUE"""),43395.66666666667)</f>
        <v>43395.66667</v>
      </c>
      <c r="N3734" s="2">
        <f>IFERROR(__xludf.DUMMYFUNCTION("""COMPUTED_VALUE"""),7468.63)</f>
        <v>7468.63</v>
      </c>
    </row>
    <row r="3735">
      <c r="A3735" s="10">
        <f t="shared" si="8"/>
        <v>41717.66667</v>
      </c>
      <c r="B3735" s="2" t="str">
        <f t="shared" si="2"/>
        <v/>
      </c>
      <c r="C3735" s="2" t="str">
        <f t="shared" si="3"/>
        <v>SP500</v>
      </c>
      <c r="D3735" s="2">
        <f t="shared" si="4"/>
        <v>4307.6</v>
      </c>
      <c r="E3735" s="2">
        <f t="shared" si="5"/>
        <v>4307.6</v>
      </c>
      <c r="G3735" s="10">
        <f t="shared" si="9"/>
        <v>41717.64583</v>
      </c>
      <c r="H3735" s="6" t="str">
        <f t="shared" si="6"/>
        <v/>
      </c>
      <c r="I3735" s="2">
        <f t="shared" si="7"/>
        <v>1426.89</v>
      </c>
      <c r="M3735" s="10">
        <f>IFERROR(__xludf.DUMMYFUNCTION("""COMPUTED_VALUE"""),43396.66666666667)</f>
        <v>43396.66667</v>
      </c>
      <c r="N3735" s="2">
        <f>IFERROR(__xludf.DUMMYFUNCTION("""COMPUTED_VALUE"""),7437.54)</f>
        <v>7437.54</v>
      </c>
    </row>
    <row r="3736">
      <c r="A3736" s="10">
        <f t="shared" si="8"/>
        <v>41718.66667</v>
      </c>
      <c r="B3736" s="2" t="str">
        <f t="shared" si="2"/>
        <v/>
      </c>
      <c r="C3736" s="2" t="str">
        <f t="shared" si="3"/>
        <v>SP500</v>
      </c>
      <c r="D3736" s="2">
        <f t="shared" si="4"/>
        <v>4319.29</v>
      </c>
      <c r="E3736" s="2">
        <f t="shared" si="5"/>
        <v>4319.29</v>
      </c>
      <c r="G3736" s="10">
        <f t="shared" si="9"/>
        <v>41718.64583</v>
      </c>
      <c r="H3736" s="6" t="str">
        <f t="shared" si="6"/>
        <v/>
      </c>
      <c r="I3736" s="2">
        <f t="shared" si="7"/>
        <v>1426.89</v>
      </c>
      <c r="M3736" s="10">
        <f>IFERROR(__xludf.DUMMYFUNCTION("""COMPUTED_VALUE"""),43397.66666666667)</f>
        <v>43397.66667</v>
      </c>
      <c r="N3736" s="2">
        <f>IFERROR(__xludf.DUMMYFUNCTION("""COMPUTED_VALUE"""),7108.4)</f>
        <v>7108.4</v>
      </c>
    </row>
    <row r="3737">
      <c r="A3737" s="10">
        <f t="shared" si="8"/>
        <v>41719.66667</v>
      </c>
      <c r="B3737" s="2" t="str">
        <f t="shared" si="2"/>
        <v/>
      </c>
      <c r="C3737" s="2" t="str">
        <f t="shared" si="3"/>
        <v>SP500</v>
      </c>
      <c r="D3737" s="2">
        <f t="shared" si="4"/>
        <v>4276.79</v>
      </c>
      <c r="E3737" s="2">
        <f t="shared" si="5"/>
        <v>4276.79</v>
      </c>
      <c r="G3737" s="10">
        <f t="shared" si="9"/>
        <v>41719.64583</v>
      </c>
      <c r="H3737" s="6" t="str">
        <f t="shared" si="6"/>
        <v/>
      </c>
      <c r="I3737" s="2">
        <f t="shared" si="7"/>
        <v>1426.89</v>
      </c>
      <c r="M3737" s="10">
        <f>IFERROR(__xludf.DUMMYFUNCTION("""COMPUTED_VALUE"""),43398.66666666667)</f>
        <v>43398.66667</v>
      </c>
      <c r="N3737" s="2">
        <f>IFERROR(__xludf.DUMMYFUNCTION("""COMPUTED_VALUE"""),7318.34)</f>
        <v>7318.34</v>
      </c>
    </row>
    <row r="3738">
      <c r="A3738" s="10">
        <f t="shared" si="8"/>
        <v>41720.66667</v>
      </c>
      <c r="B3738" s="2" t="str">
        <f t="shared" si="2"/>
        <v/>
      </c>
      <c r="C3738" s="2" t="str">
        <f t="shared" si="3"/>
        <v>SP500</v>
      </c>
      <c r="D3738" s="2" t="str">
        <f t="shared" si="4"/>
        <v/>
      </c>
      <c r="E3738" s="2">
        <f t="shared" si="5"/>
        <v>4276.79</v>
      </c>
      <c r="G3738" s="10">
        <f t="shared" si="9"/>
        <v>41720.64583</v>
      </c>
      <c r="H3738" s="6" t="str">
        <f t="shared" si="6"/>
        <v/>
      </c>
      <c r="I3738" s="2">
        <f t="shared" si="7"/>
        <v>1426.89</v>
      </c>
      <c r="M3738" s="10">
        <f>IFERROR(__xludf.DUMMYFUNCTION("""COMPUTED_VALUE"""),43399.66666666667)</f>
        <v>43399.66667</v>
      </c>
      <c r="N3738" s="2">
        <f>IFERROR(__xludf.DUMMYFUNCTION("""COMPUTED_VALUE"""),7167.21)</f>
        <v>7167.21</v>
      </c>
    </row>
    <row r="3739">
      <c r="A3739" s="10">
        <f t="shared" si="8"/>
        <v>41721.66667</v>
      </c>
      <c r="B3739" s="2" t="str">
        <f t="shared" si="2"/>
        <v/>
      </c>
      <c r="C3739" s="2" t="str">
        <f t="shared" si="3"/>
        <v>SP500</v>
      </c>
      <c r="D3739" s="2" t="str">
        <f t="shared" si="4"/>
        <v/>
      </c>
      <c r="E3739" s="2">
        <f t="shared" si="5"/>
        <v>4276.79</v>
      </c>
      <c r="G3739" s="10">
        <f t="shared" si="9"/>
        <v>41721.64583</v>
      </c>
      <c r="H3739" s="6" t="str">
        <f t="shared" si="6"/>
        <v/>
      </c>
      <c r="I3739" s="2">
        <f t="shared" si="7"/>
        <v>1426.89</v>
      </c>
      <c r="M3739" s="10">
        <f>IFERROR(__xludf.DUMMYFUNCTION("""COMPUTED_VALUE"""),43402.66666666667)</f>
        <v>43402.66667</v>
      </c>
      <c r="N3739" s="2">
        <f>IFERROR(__xludf.DUMMYFUNCTION("""COMPUTED_VALUE"""),7050.29)</f>
        <v>7050.29</v>
      </c>
    </row>
    <row r="3740">
      <c r="A3740" s="10">
        <f t="shared" si="8"/>
        <v>41722.66667</v>
      </c>
      <c r="B3740" s="2" t="str">
        <f t="shared" si="2"/>
        <v/>
      </c>
      <c r="C3740" s="2" t="str">
        <f t="shared" si="3"/>
        <v>SP500</v>
      </c>
      <c r="D3740" s="2">
        <f t="shared" si="4"/>
        <v>4226.38</v>
      </c>
      <c r="E3740" s="2">
        <f t="shared" si="5"/>
        <v>4226.38</v>
      </c>
      <c r="G3740" s="10">
        <f t="shared" si="9"/>
        <v>41722.64583</v>
      </c>
      <c r="H3740" s="6" t="str">
        <f t="shared" si="6"/>
        <v/>
      </c>
      <c r="I3740" s="2">
        <f t="shared" si="7"/>
        <v>1426.89</v>
      </c>
      <c r="M3740" s="10">
        <f>IFERROR(__xludf.DUMMYFUNCTION("""COMPUTED_VALUE"""),43403.66666666667)</f>
        <v>43403.66667</v>
      </c>
      <c r="N3740" s="2">
        <f>IFERROR(__xludf.DUMMYFUNCTION("""COMPUTED_VALUE"""),7161.65)</f>
        <v>7161.65</v>
      </c>
    </row>
    <row r="3741">
      <c r="A3741" s="10">
        <f t="shared" si="8"/>
        <v>41723.66667</v>
      </c>
      <c r="B3741" s="2" t="str">
        <f t="shared" si="2"/>
        <v/>
      </c>
      <c r="C3741" s="2" t="str">
        <f t="shared" si="3"/>
        <v>SP500</v>
      </c>
      <c r="D3741" s="2">
        <f t="shared" si="4"/>
        <v>4234.27</v>
      </c>
      <c r="E3741" s="2">
        <f t="shared" si="5"/>
        <v>4234.27</v>
      </c>
      <c r="G3741" s="10">
        <f t="shared" si="9"/>
        <v>41723.64583</v>
      </c>
      <c r="H3741" s="6" t="str">
        <f t="shared" si="6"/>
        <v/>
      </c>
      <c r="I3741" s="2">
        <f t="shared" si="7"/>
        <v>1426.89</v>
      </c>
      <c r="M3741" s="10">
        <f>IFERROR(__xludf.DUMMYFUNCTION("""COMPUTED_VALUE"""),43404.66666666667)</f>
        <v>43404.66667</v>
      </c>
      <c r="N3741" s="2">
        <f>IFERROR(__xludf.DUMMYFUNCTION("""COMPUTED_VALUE"""),7305.9)</f>
        <v>7305.9</v>
      </c>
    </row>
    <row r="3742">
      <c r="A3742" s="10">
        <f t="shared" si="8"/>
        <v>41724.66667</v>
      </c>
      <c r="B3742" s="2" t="str">
        <f t="shared" si="2"/>
        <v/>
      </c>
      <c r="C3742" s="2" t="str">
        <f t="shared" si="3"/>
        <v>SP500</v>
      </c>
      <c r="D3742" s="2">
        <f t="shared" si="4"/>
        <v>4173.58</v>
      </c>
      <c r="E3742" s="2">
        <f t="shared" si="5"/>
        <v>4173.58</v>
      </c>
      <c r="G3742" s="10">
        <f t="shared" si="9"/>
        <v>41724.64583</v>
      </c>
      <c r="H3742" s="6" t="str">
        <f t="shared" si="6"/>
        <v/>
      </c>
      <c r="I3742" s="2">
        <f t="shared" si="7"/>
        <v>1426.89</v>
      </c>
      <c r="M3742" s="10">
        <f>IFERROR(__xludf.DUMMYFUNCTION("""COMPUTED_VALUE"""),43405.66666666667)</f>
        <v>43405.66667</v>
      </c>
      <c r="N3742" s="2">
        <f>IFERROR(__xludf.DUMMYFUNCTION("""COMPUTED_VALUE"""),7434.06)</f>
        <v>7434.06</v>
      </c>
    </row>
    <row r="3743">
      <c r="A3743" s="10">
        <f t="shared" si="8"/>
        <v>41725.66667</v>
      </c>
      <c r="B3743" s="2" t="str">
        <f t="shared" si="2"/>
        <v/>
      </c>
      <c r="C3743" s="2" t="str">
        <f t="shared" si="3"/>
        <v>SP500</v>
      </c>
      <c r="D3743" s="2">
        <f t="shared" si="4"/>
        <v>4151.23</v>
      </c>
      <c r="E3743" s="2">
        <f t="shared" si="5"/>
        <v>4151.23</v>
      </c>
      <c r="G3743" s="10">
        <f t="shared" si="9"/>
        <v>41725.64583</v>
      </c>
      <c r="H3743" s="6" t="str">
        <f t="shared" si="6"/>
        <v/>
      </c>
      <c r="I3743" s="2">
        <f t="shared" si="7"/>
        <v>1426.89</v>
      </c>
      <c r="M3743" s="10">
        <f>IFERROR(__xludf.DUMMYFUNCTION("""COMPUTED_VALUE"""),43406.66666666667)</f>
        <v>43406.66667</v>
      </c>
      <c r="N3743" s="2">
        <f>IFERROR(__xludf.DUMMYFUNCTION("""COMPUTED_VALUE"""),7356.99)</f>
        <v>7356.99</v>
      </c>
    </row>
    <row r="3744">
      <c r="A3744" s="10">
        <f t="shared" si="8"/>
        <v>41726.66667</v>
      </c>
      <c r="B3744" s="2" t="str">
        <f t="shared" si="2"/>
        <v/>
      </c>
      <c r="C3744" s="2" t="str">
        <f t="shared" si="3"/>
        <v>SP500</v>
      </c>
      <c r="D3744" s="2">
        <f t="shared" si="4"/>
        <v>4155.76</v>
      </c>
      <c r="E3744" s="2">
        <f t="shared" si="5"/>
        <v>4155.76</v>
      </c>
      <c r="G3744" s="10">
        <f t="shared" si="9"/>
        <v>41726.64583</v>
      </c>
      <c r="H3744" s="6" t="str">
        <f t="shared" si="6"/>
        <v/>
      </c>
      <c r="I3744" s="2">
        <f t="shared" si="7"/>
        <v>1426.89</v>
      </c>
      <c r="M3744" s="10">
        <f>IFERROR(__xludf.DUMMYFUNCTION("""COMPUTED_VALUE"""),43409.66666666667)</f>
        <v>43409.66667</v>
      </c>
      <c r="N3744" s="2">
        <f>IFERROR(__xludf.DUMMYFUNCTION("""COMPUTED_VALUE"""),7328.85)</f>
        <v>7328.85</v>
      </c>
    </row>
    <row r="3745">
      <c r="A3745" s="10">
        <f t="shared" si="8"/>
        <v>41727.66667</v>
      </c>
      <c r="B3745" s="2" t="str">
        <f t="shared" si="2"/>
        <v/>
      </c>
      <c r="C3745" s="2" t="str">
        <f t="shared" si="3"/>
        <v>SP500</v>
      </c>
      <c r="D3745" s="2" t="str">
        <f t="shared" si="4"/>
        <v/>
      </c>
      <c r="E3745" s="2">
        <f t="shared" si="5"/>
        <v>4155.76</v>
      </c>
      <c r="G3745" s="10">
        <f t="shared" si="9"/>
        <v>41727.64583</v>
      </c>
      <c r="H3745" s="6" t="str">
        <f t="shared" si="6"/>
        <v/>
      </c>
      <c r="I3745" s="2">
        <f t="shared" si="7"/>
        <v>1426.89</v>
      </c>
      <c r="M3745" s="10">
        <f>IFERROR(__xludf.DUMMYFUNCTION("""COMPUTED_VALUE"""),43410.66666666667)</f>
        <v>43410.66667</v>
      </c>
      <c r="N3745" s="2">
        <f>IFERROR(__xludf.DUMMYFUNCTION("""COMPUTED_VALUE"""),7375.96)</f>
        <v>7375.96</v>
      </c>
    </row>
    <row r="3746">
      <c r="A3746" s="10">
        <f t="shared" si="8"/>
        <v>41728.66667</v>
      </c>
      <c r="B3746" s="2" t="str">
        <f t="shared" si="2"/>
        <v/>
      </c>
      <c r="C3746" s="2" t="str">
        <f t="shared" si="3"/>
        <v>SP500</v>
      </c>
      <c r="D3746" s="2" t="str">
        <f t="shared" si="4"/>
        <v/>
      </c>
      <c r="E3746" s="2">
        <f t="shared" si="5"/>
        <v>4155.76</v>
      </c>
      <c r="G3746" s="10">
        <f t="shared" si="9"/>
        <v>41728.64583</v>
      </c>
      <c r="H3746" s="6" t="str">
        <f t="shared" si="6"/>
        <v/>
      </c>
      <c r="I3746" s="2">
        <f t="shared" si="7"/>
        <v>1426.89</v>
      </c>
      <c r="M3746" s="10">
        <f>IFERROR(__xludf.DUMMYFUNCTION("""COMPUTED_VALUE"""),43411.66666666667)</f>
        <v>43411.66667</v>
      </c>
      <c r="N3746" s="2">
        <f>IFERROR(__xludf.DUMMYFUNCTION("""COMPUTED_VALUE"""),7570.75)</f>
        <v>7570.75</v>
      </c>
    </row>
    <row r="3747">
      <c r="A3747" s="10">
        <f t="shared" si="8"/>
        <v>41729.66667</v>
      </c>
      <c r="B3747" s="2" t="str">
        <f t="shared" si="2"/>
        <v/>
      </c>
      <c r="C3747" s="2" t="str">
        <f t="shared" si="3"/>
        <v>SP500</v>
      </c>
      <c r="D3747" s="2">
        <f t="shared" si="4"/>
        <v>4198.99</v>
      </c>
      <c r="E3747" s="2">
        <f t="shared" si="5"/>
        <v>4198.99</v>
      </c>
      <c r="G3747" s="10">
        <f t="shared" si="9"/>
        <v>41729.64583</v>
      </c>
      <c r="H3747" s="6" t="str">
        <f t="shared" si="6"/>
        <v/>
      </c>
      <c r="I3747" s="2">
        <f t="shared" si="7"/>
        <v>1426.89</v>
      </c>
      <c r="M3747" s="10">
        <f>IFERROR(__xludf.DUMMYFUNCTION("""COMPUTED_VALUE"""),43412.66666666667)</f>
        <v>43412.66667</v>
      </c>
      <c r="N3747" s="2">
        <f>IFERROR(__xludf.DUMMYFUNCTION("""COMPUTED_VALUE"""),7530.89)</f>
        <v>7530.89</v>
      </c>
    </row>
    <row r="3748">
      <c r="A3748" s="10">
        <f t="shared" si="8"/>
        <v>41730.66667</v>
      </c>
      <c r="B3748" s="2" t="str">
        <f t="shared" si="2"/>
        <v/>
      </c>
      <c r="C3748" s="2" t="str">
        <f t="shared" si="3"/>
        <v>SP500</v>
      </c>
      <c r="D3748" s="2">
        <f t="shared" si="4"/>
        <v>4268.04</v>
      </c>
      <c r="E3748" s="2">
        <f t="shared" si="5"/>
        <v>4268.04</v>
      </c>
      <c r="G3748" s="10">
        <f t="shared" si="9"/>
        <v>41730.64583</v>
      </c>
      <c r="H3748" s="6" t="str">
        <f t="shared" si="6"/>
        <v/>
      </c>
      <c r="I3748" s="2">
        <f t="shared" si="7"/>
        <v>1426.89</v>
      </c>
      <c r="M3748" s="10">
        <f>IFERROR(__xludf.DUMMYFUNCTION("""COMPUTED_VALUE"""),43413.66666666667)</f>
        <v>43413.66667</v>
      </c>
      <c r="N3748" s="2">
        <f>IFERROR(__xludf.DUMMYFUNCTION("""COMPUTED_VALUE"""),7406.9)</f>
        <v>7406.9</v>
      </c>
    </row>
    <row r="3749">
      <c r="A3749" s="10">
        <f t="shared" si="8"/>
        <v>41731.66667</v>
      </c>
      <c r="B3749" s="2" t="str">
        <f t="shared" si="2"/>
        <v/>
      </c>
      <c r="C3749" s="2" t="str">
        <f t="shared" si="3"/>
        <v>SP500</v>
      </c>
      <c r="D3749" s="2">
        <f t="shared" si="4"/>
        <v>4276.46</v>
      </c>
      <c r="E3749" s="2">
        <f t="shared" si="5"/>
        <v>4276.46</v>
      </c>
      <c r="G3749" s="10">
        <f t="shared" si="9"/>
        <v>41731.64583</v>
      </c>
      <c r="H3749" s="6" t="str">
        <f t="shared" si="6"/>
        <v/>
      </c>
      <c r="I3749" s="2">
        <f t="shared" si="7"/>
        <v>1426.89</v>
      </c>
      <c r="M3749" s="10">
        <f>IFERROR(__xludf.DUMMYFUNCTION("""COMPUTED_VALUE"""),43416.66666666667)</f>
        <v>43416.66667</v>
      </c>
      <c r="N3749" s="2">
        <f>IFERROR(__xludf.DUMMYFUNCTION("""COMPUTED_VALUE"""),7200.87)</f>
        <v>7200.87</v>
      </c>
    </row>
    <row r="3750">
      <c r="A3750" s="10">
        <f t="shared" si="8"/>
        <v>41732.66667</v>
      </c>
      <c r="B3750" s="2" t="str">
        <f t="shared" si="2"/>
        <v/>
      </c>
      <c r="C3750" s="2" t="str">
        <f t="shared" si="3"/>
        <v>SP500</v>
      </c>
      <c r="D3750" s="2">
        <f t="shared" si="4"/>
        <v>4237.74</v>
      </c>
      <c r="E3750" s="2">
        <f t="shared" si="5"/>
        <v>4237.74</v>
      </c>
      <c r="G3750" s="10">
        <f t="shared" si="9"/>
        <v>41732.64583</v>
      </c>
      <c r="H3750" s="6" t="str">
        <f t="shared" si="6"/>
        <v/>
      </c>
      <c r="I3750" s="2">
        <f t="shared" si="7"/>
        <v>1426.89</v>
      </c>
      <c r="M3750" s="10">
        <f>IFERROR(__xludf.DUMMYFUNCTION("""COMPUTED_VALUE"""),43417.66666666667)</f>
        <v>43417.66667</v>
      </c>
      <c r="N3750" s="2">
        <f>IFERROR(__xludf.DUMMYFUNCTION("""COMPUTED_VALUE"""),7200.88)</f>
        <v>7200.88</v>
      </c>
    </row>
    <row r="3751">
      <c r="A3751" s="10">
        <f t="shared" si="8"/>
        <v>41733.66667</v>
      </c>
      <c r="B3751" s="2" t="str">
        <f t="shared" si="2"/>
        <v/>
      </c>
      <c r="C3751" s="2" t="str">
        <f t="shared" si="3"/>
        <v>SP500</v>
      </c>
      <c r="D3751" s="2">
        <f t="shared" si="4"/>
        <v>4127.73</v>
      </c>
      <c r="E3751" s="2">
        <f t="shared" si="5"/>
        <v>4127.73</v>
      </c>
      <c r="G3751" s="10">
        <f t="shared" si="9"/>
        <v>41733.64583</v>
      </c>
      <c r="H3751" s="6" t="str">
        <f t="shared" si="6"/>
        <v/>
      </c>
      <c r="I3751" s="2">
        <f t="shared" si="7"/>
        <v>1426.89</v>
      </c>
      <c r="M3751" s="10">
        <f>IFERROR(__xludf.DUMMYFUNCTION("""COMPUTED_VALUE"""),43418.66666666667)</f>
        <v>43418.66667</v>
      </c>
      <c r="N3751" s="2">
        <f>IFERROR(__xludf.DUMMYFUNCTION("""COMPUTED_VALUE"""),7136.39)</f>
        <v>7136.39</v>
      </c>
    </row>
    <row r="3752">
      <c r="A3752" s="10">
        <f t="shared" si="8"/>
        <v>41734.66667</v>
      </c>
      <c r="B3752" s="2" t="str">
        <f t="shared" si="2"/>
        <v/>
      </c>
      <c r="C3752" s="2" t="str">
        <f t="shared" si="3"/>
        <v>SP500</v>
      </c>
      <c r="D3752" s="2" t="str">
        <f t="shared" si="4"/>
        <v/>
      </c>
      <c r="E3752" s="2">
        <f t="shared" si="5"/>
        <v>4127.73</v>
      </c>
      <c r="G3752" s="10">
        <f t="shared" si="9"/>
        <v>41734.64583</v>
      </c>
      <c r="H3752" s="6" t="str">
        <f t="shared" si="6"/>
        <v/>
      </c>
      <c r="I3752" s="2">
        <f t="shared" si="7"/>
        <v>1426.89</v>
      </c>
      <c r="M3752" s="10">
        <f>IFERROR(__xludf.DUMMYFUNCTION("""COMPUTED_VALUE"""),43419.66666666667)</f>
        <v>43419.66667</v>
      </c>
      <c r="N3752" s="2">
        <f>IFERROR(__xludf.DUMMYFUNCTION("""COMPUTED_VALUE"""),7259.03)</f>
        <v>7259.03</v>
      </c>
    </row>
    <row r="3753">
      <c r="A3753" s="10">
        <f t="shared" si="8"/>
        <v>41735.66667</v>
      </c>
      <c r="B3753" s="2" t="str">
        <f t="shared" si="2"/>
        <v/>
      </c>
      <c r="C3753" s="2" t="str">
        <f t="shared" si="3"/>
        <v>SP500</v>
      </c>
      <c r="D3753" s="2" t="str">
        <f t="shared" si="4"/>
        <v/>
      </c>
      <c r="E3753" s="2">
        <f t="shared" si="5"/>
        <v>4127.73</v>
      </c>
      <c r="G3753" s="10">
        <f t="shared" si="9"/>
        <v>41735.64583</v>
      </c>
      <c r="H3753" s="6" t="str">
        <f t="shared" si="6"/>
        <v/>
      </c>
      <c r="I3753" s="2">
        <f t="shared" si="7"/>
        <v>1426.89</v>
      </c>
      <c r="M3753" s="10">
        <f>IFERROR(__xludf.DUMMYFUNCTION("""COMPUTED_VALUE"""),43420.66666666667)</f>
        <v>43420.66667</v>
      </c>
      <c r="N3753" s="2">
        <f>IFERROR(__xludf.DUMMYFUNCTION("""COMPUTED_VALUE"""),7247.87)</f>
        <v>7247.87</v>
      </c>
    </row>
    <row r="3754">
      <c r="A3754" s="10">
        <f t="shared" si="8"/>
        <v>41736.66667</v>
      </c>
      <c r="B3754" s="2" t="str">
        <f t="shared" si="2"/>
        <v/>
      </c>
      <c r="C3754" s="2" t="str">
        <f t="shared" si="3"/>
        <v>SP500</v>
      </c>
      <c r="D3754" s="2">
        <f t="shared" si="4"/>
        <v>4079.75</v>
      </c>
      <c r="E3754" s="2">
        <f t="shared" si="5"/>
        <v>4079.75</v>
      </c>
      <c r="G3754" s="10">
        <f t="shared" si="9"/>
        <v>41736.64583</v>
      </c>
      <c r="H3754" s="6" t="str">
        <f t="shared" si="6"/>
        <v/>
      </c>
      <c r="I3754" s="2">
        <f t="shared" si="7"/>
        <v>1426.89</v>
      </c>
      <c r="M3754" s="10">
        <f>IFERROR(__xludf.DUMMYFUNCTION("""COMPUTED_VALUE"""),43423.66666666667)</f>
        <v>43423.66667</v>
      </c>
      <c r="N3754" s="2">
        <f>IFERROR(__xludf.DUMMYFUNCTION("""COMPUTED_VALUE"""),7028.48)</f>
        <v>7028.48</v>
      </c>
    </row>
    <row r="3755">
      <c r="A3755" s="10">
        <f t="shared" si="8"/>
        <v>41737.66667</v>
      </c>
      <c r="B3755" s="2" t="str">
        <f t="shared" si="2"/>
        <v/>
      </c>
      <c r="C3755" s="2" t="str">
        <f t="shared" si="3"/>
        <v>SP500</v>
      </c>
      <c r="D3755" s="2">
        <f t="shared" si="4"/>
        <v>4112.99</v>
      </c>
      <c r="E3755" s="2">
        <f t="shared" si="5"/>
        <v>4112.99</v>
      </c>
      <c r="G3755" s="10">
        <f t="shared" si="9"/>
        <v>41737.64583</v>
      </c>
      <c r="H3755" s="6" t="str">
        <f t="shared" si="6"/>
        <v/>
      </c>
      <c r="I3755" s="2">
        <f t="shared" si="7"/>
        <v>1426.89</v>
      </c>
      <c r="M3755" s="10">
        <f>IFERROR(__xludf.DUMMYFUNCTION("""COMPUTED_VALUE"""),43424.66666666667)</f>
        <v>43424.66667</v>
      </c>
      <c r="N3755" s="2">
        <f>IFERROR(__xludf.DUMMYFUNCTION("""COMPUTED_VALUE"""),6908.82)</f>
        <v>6908.82</v>
      </c>
    </row>
    <row r="3756">
      <c r="A3756" s="10">
        <f t="shared" si="8"/>
        <v>41738.66667</v>
      </c>
      <c r="B3756" s="2" t="str">
        <f t="shared" si="2"/>
        <v/>
      </c>
      <c r="C3756" s="2" t="str">
        <f t="shared" si="3"/>
        <v>SP500</v>
      </c>
      <c r="D3756" s="2">
        <f t="shared" si="4"/>
        <v>4183.9</v>
      </c>
      <c r="E3756" s="2">
        <f t="shared" si="5"/>
        <v>4183.9</v>
      </c>
      <c r="G3756" s="10">
        <f t="shared" si="9"/>
        <v>41738.64583</v>
      </c>
      <c r="H3756" s="6" t="str">
        <f t="shared" si="6"/>
        <v/>
      </c>
      <c r="I3756" s="2">
        <f t="shared" si="7"/>
        <v>1426.89</v>
      </c>
      <c r="M3756" s="10">
        <f>IFERROR(__xludf.DUMMYFUNCTION("""COMPUTED_VALUE"""),43425.66666666667)</f>
        <v>43425.66667</v>
      </c>
      <c r="N3756" s="2">
        <f>IFERROR(__xludf.DUMMYFUNCTION("""COMPUTED_VALUE"""),6972.25)</f>
        <v>6972.25</v>
      </c>
    </row>
    <row r="3757">
      <c r="A3757" s="10">
        <f t="shared" si="8"/>
        <v>41739.66667</v>
      </c>
      <c r="B3757" s="2" t="str">
        <f t="shared" si="2"/>
        <v/>
      </c>
      <c r="C3757" s="2" t="str">
        <f t="shared" si="3"/>
        <v>SP500</v>
      </c>
      <c r="D3757" s="2">
        <f t="shared" si="4"/>
        <v>4054.11</v>
      </c>
      <c r="E3757" s="2">
        <f t="shared" si="5"/>
        <v>4054.11</v>
      </c>
      <c r="G3757" s="10">
        <f t="shared" si="9"/>
        <v>41739.64583</v>
      </c>
      <c r="H3757" s="6" t="str">
        <f t="shared" si="6"/>
        <v/>
      </c>
      <c r="I3757" s="2">
        <f t="shared" si="7"/>
        <v>1426.89</v>
      </c>
      <c r="M3757" s="10">
        <f>IFERROR(__xludf.DUMMYFUNCTION("""COMPUTED_VALUE"""),43427.54166666667)</f>
        <v>43427.54167</v>
      </c>
      <c r="N3757" s="2">
        <f>IFERROR(__xludf.DUMMYFUNCTION("""COMPUTED_VALUE"""),6938.98)</f>
        <v>6938.98</v>
      </c>
    </row>
    <row r="3758">
      <c r="A3758" s="10">
        <f t="shared" si="8"/>
        <v>41740.66667</v>
      </c>
      <c r="B3758" s="2" t="str">
        <f t="shared" si="2"/>
        <v/>
      </c>
      <c r="C3758" s="2" t="str">
        <f t="shared" si="3"/>
        <v>SP500</v>
      </c>
      <c r="D3758" s="2">
        <f t="shared" si="4"/>
        <v>3999.73</v>
      </c>
      <c r="E3758" s="2">
        <f t="shared" si="5"/>
        <v>3999.73</v>
      </c>
      <c r="G3758" s="10">
        <f t="shared" si="9"/>
        <v>41740.64583</v>
      </c>
      <c r="H3758" s="6" t="str">
        <f t="shared" si="6"/>
        <v/>
      </c>
      <c r="I3758" s="2">
        <f t="shared" si="7"/>
        <v>1426.89</v>
      </c>
      <c r="M3758" s="10">
        <f>IFERROR(__xludf.DUMMYFUNCTION("""COMPUTED_VALUE"""),43430.66666666667)</f>
        <v>43430.66667</v>
      </c>
      <c r="N3758" s="2">
        <f>IFERROR(__xludf.DUMMYFUNCTION("""COMPUTED_VALUE"""),7081.85)</f>
        <v>7081.85</v>
      </c>
    </row>
    <row r="3759">
      <c r="A3759" s="10">
        <f t="shared" si="8"/>
        <v>41741.66667</v>
      </c>
      <c r="B3759" s="2" t="str">
        <f t="shared" si="2"/>
        <v/>
      </c>
      <c r="C3759" s="2" t="str">
        <f t="shared" si="3"/>
        <v>SP500</v>
      </c>
      <c r="D3759" s="2" t="str">
        <f t="shared" si="4"/>
        <v/>
      </c>
      <c r="E3759" s="2">
        <f t="shared" si="5"/>
        <v>3999.73</v>
      </c>
      <c r="G3759" s="10">
        <f t="shared" si="9"/>
        <v>41741.64583</v>
      </c>
      <c r="H3759" s="6" t="str">
        <f t="shared" si="6"/>
        <v/>
      </c>
      <c r="I3759" s="2">
        <f t="shared" si="7"/>
        <v>1426.89</v>
      </c>
      <c r="M3759" s="10">
        <f>IFERROR(__xludf.DUMMYFUNCTION("""COMPUTED_VALUE"""),43431.66666666667)</f>
        <v>43431.66667</v>
      </c>
      <c r="N3759" s="2">
        <f>IFERROR(__xludf.DUMMYFUNCTION("""COMPUTED_VALUE"""),7082.7)</f>
        <v>7082.7</v>
      </c>
    </row>
    <row r="3760">
      <c r="A3760" s="10">
        <f t="shared" si="8"/>
        <v>41742.66667</v>
      </c>
      <c r="B3760" s="2" t="str">
        <f t="shared" si="2"/>
        <v/>
      </c>
      <c r="C3760" s="2" t="str">
        <f t="shared" si="3"/>
        <v>SP500</v>
      </c>
      <c r="D3760" s="2" t="str">
        <f t="shared" si="4"/>
        <v/>
      </c>
      <c r="E3760" s="2">
        <f t="shared" si="5"/>
        <v>3999.73</v>
      </c>
      <c r="G3760" s="10">
        <f t="shared" si="9"/>
        <v>41742.64583</v>
      </c>
      <c r="H3760" s="6" t="str">
        <f t="shared" si="6"/>
        <v/>
      </c>
      <c r="I3760" s="2">
        <f t="shared" si="7"/>
        <v>1426.89</v>
      </c>
      <c r="M3760" s="10">
        <f>IFERROR(__xludf.DUMMYFUNCTION("""COMPUTED_VALUE"""),43432.66666666667)</f>
        <v>43432.66667</v>
      </c>
      <c r="N3760" s="2">
        <f>IFERROR(__xludf.DUMMYFUNCTION("""COMPUTED_VALUE"""),7291.59)</f>
        <v>7291.59</v>
      </c>
    </row>
    <row r="3761">
      <c r="A3761" s="10">
        <f t="shared" si="8"/>
        <v>41743.66667</v>
      </c>
      <c r="B3761" s="2" t="str">
        <f t="shared" si="2"/>
        <v/>
      </c>
      <c r="C3761" s="2" t="str">
        <f t="shared" si="3"/>
        <v>SP500</v>
      </c>
      <c r="D3761" s="2">
        <f t="shared" si="4"/>
        <v>4022.69</v>
      </c>
      <c r="E3761" s="2">
        <f t="shared" si="5"/>
        <v>4022.69</v>
      </c>
      <c r="G3761" s="10">
        <f t="shared" si="9"/>
        <v>41743.64583</v>
      </c>
      <c r="H3761" s="6" t="str">
        <f t="shared" si="6"/>
        <v/>
      </c>
      <c r="I3761" s="2">
        <f t="shared" si="7"/>
        <v>1426.89</v>
      </c>
      <c r="M3761" s="10">
        <f>IFERROR(__xludf.DUMMYFUNCTION("""COMPUTED_VALUE"""),43433.66666666667)</f>
        <v>43433.66667</v>
      </c>
      <c r="N3761" s="2">
        <f>IFERROR(__xludf.DUMMYFUNCTION("""COMPUTED_VALUE"""),7273.08)</f>
        <v>7273.08</v>
      </c>
    </row>
    <row r="3762">
      <c r="A3762" s="10">
        <f t="shared" si="8"/>
        <v>41744.66667</v>
      </c>
      <c r="B3762" s="2" t="str">
        <f t="shared" si="2"/>
        <v/>
      </c>
      <c r="C3762" s="2" t="str">
        <f t="shared" si="3"/>
        <v>SP500</v>
      </c>
      <c r="D3762" s="2">
        <f t="shared" si="4"/>
        <v>4034.16</v>
      </c>
      <c r="E3762" s="2">
        <f t="shared" si="5"/>
        <v>4034.16</v>
      </c>
      <c r="G3762" s="10">
        <f t="shared" si="9"/>
        <v>41744.64583</v>
      </c>
      <c r="H3762" s="6" t="str">
        <f t="shared" si="6"/>
        <v/>
      </c>
      <c r="I3762" s="2">
        <f t="shared" si="7"/>
        <v>1426.89</v>
      </c>
      <c r="M3762" s="10">
        <f>IFERROR(__xludf.DUMMYFUNCTION("""COMPUTED_VALUE"""),43434.66666666667)</f>
        <v>43434.66667</v>
      </c>
      <c r="N3762" s="2">
        <f>IFERROR(__xludf.DUMMYFUNCTION("""COMPUTED_VALUE"""),7330.54)</f>
        <v>7330.54</v>
      </c>
    </row>
    <row r="3763">
      <c r="A3763" s="10">
        <f t="shared" si="8"/>
        <v>41745.66667</v>
      </c>
      <c r="B3763" s="2" t="str">
        <f t="shared" si="2"/>
        <v/>
      </c>
      <c r="C3763" s="2" t="str">
        <f t="shared" si="3"/>
        <v>SP500</v>
      </c>
      <c r="D3763" s="2">
        <f t="shared" si="4"/>
        <v>4086.23</v>
      </c>
      <c r="E3763" s="2">
        <f t="shared" si="5"/>
        <v>4086.23</v>
      </c>
      <c r="G3763" s="10">
        <f t="shared" si="9"/>
        <v>41745.64583</v>
      </c>
      <c r="H3763" s="6" t="str">
        <f t="shared" si="6"/>
        <v/>
      </c>
      <c r="I3763" s="2">
        <f t="shared" si="7"/>
        <v>1426.89</v>
      </c>
      <c r="M3763" s="10">
        <f>IFERROR(__xludf.DUMMYFUNCTION("""COMPUTED_VALUE"""),43437.66666666667)</f>
        <v>43437.66667</v>
      </c>
      <c r="N3763" s="2">
        <f>IFERROR(__xludf.DUMMYFUNCTION("""COMPUTED_VALUE"""),7441.51)</f>
        <v>7441.51</v>
      </c>
    </row>
    <row r="3764">
      <c r="A3764" s="10">
        <f t="shared" si="8"/>
        <v>41746.66667</v>
      </c>
      <c r="B3764" s="2" t="str">
        <f t="shared" si="2"/>
        <v/>
      </c>
      <c r="C3764" s="2" t="str">
        <f t="shared" si="3"/>
        <v>SP500</v>
      </c>
      <c r="D3764" s="2">
        <f t="shared" si="4"/>
        <v>4095.52</v>
      </c>
      <c r="E3764" s="2">
        <f t="shared" si="5"/>
        <v>4095.52</v>
      </c>
      <c r="G3764" s="10">
        <f t="shared" si="9"/>
        <v>41746.64583</v>
      </c>
      <c r="H3764" s="6" t="str">
        <f t="shared" si="6"/>
        <v/>
      </c>
      <c r="I3764" s="2">
        <f t="shared" si="7"/>
        <v>1426.89</v>
      </c>
      <c r="M3764" s="10">
        <f>IFERROR(__xludf.DUMMYFUNCTION("""COMPUTED_VALUE"""),43438.66666666667)</f>
        <v>43438.66667</v>
      </c>
      <c r="N3764" s="2">
        <f>IFERROR(__xludf.DUMMYFUNCTION("""COMPUTED_VALUE"""),7158.43)</f>
        <v>7158.43</v>
      </c>
    </row>
    <row r="3765">
      <c r="A3765" s="10">
        <f t="shared" si="8"/>
        <v>41747.66667</v>
      </c>
      <c r="B3765" s="2" t="str">
        <f t="shared" si="2"/>
        <v/>
      </c>
      <c r="C3765" s="2" t="str">
        <f t="shared" si="3"/>
        <v>SP500</v>
      </c>
      <c r="D3765" s="2" t="str">
        <f t="shared" si="4"/>
        <v/>
      </c>
      <c r="E3765" s="2">
        <f t="shared" si="5"/>
        <v>4095.52</v>
      </c>
      <c r="G3765" s="10">
        <f t="shared" si="9"/>
        <v>41747.64583</v>
      </c>
      <c r="H3765" s="6" t="str">
        <f t="shared" si="6"/>
        <v/>
      </c>
      <c r="I3765" s="2">
        <f t="shared" si="7"/>
        <v>1426.89</v>
      </c>
      <c r="M3765" s="10">
        <f>IFERROR(__xludf.DUMMYFUNCTION("""COMPUTED_VALUE"""),43440.66666666667)</f>
        <v>43440.66667</v>
      </c>
      <c r="N3765" s="2">
        <f>IFERROR(__xludf.DUMMYFUNCTION("""COMPUTED_VALUE"""),7188.26)</f>
        <v>7188.26</v>
      </c>
    </row>
    <row r="3766">
      <c r="A3766" s="10">
        <f t="shared" si="8"/>
        <v>41748.66667</v>
      </c>
      <c r="B3766" s="2" t="str">
        <f t="shared" si="2"/>
        <v/>
      </c>
      <c r="C3766" s="2" t="str">
        <f t="shared" si="3"/>
        <v>SP500</v>
      </c>
      <c r="D3766" s="2" t="str">
        <f t="shared" si="4"/>
        <v/>
      </c>
      <c r="E3766" s="2">
        <f t="shared" si="5"/>
        <v>4095.52</v>
      </c>
      <c r="G3766" s="10">
        <f t="shared" si="9"/>
        <v>41748.64583</v>
      </c>
      <c r="H3766" s="6" t="str">
        <f t="shared" si="6"/>
        <v/>
      </c>
      <c r="I3766" s="2">
        <f t="shared" si="7"/>
        <v>1426.89</v>
      </c>
      <c r="M3766" s="10">
        <f>IFERROR(__xludf.DUMMYFUNCTION("""COMPUTED_VALUE"""),43441.66666666667)</f>
        <v>43441.66667</v>
      </c>
      <c r="N3766" s="2">
        <f>IFERROR(__xludf.DUMMYFUNCTION("""COMPUTED_VALUE"""),6969.25)</f>
        <v>6969.25</v>
      </c>
    </row>
    <row r="3767">
      <c r="A3767" s="10">
        <f t="shared" si="8"/>
        <v>41749.66667</v>
      </c>
      <c r="B3767" s="2" t="str">
        <f t="shared" si="2"/>
        <v/>
      </c>
      <c r="C3767" s="2" t="str">
        <f t="shared" si="3"/>
        <v>SP500</v>
      </c>
      <c r="D3767" s="2" t="str">
        <f t="shared" si="4"/>
        <v/>
      </c>
      <c r="E3767" s="2">
        <f t="shared" si="5"/>
        <v>4095.52</v>
      </c>
      <c r="G3767" s="10">
        <f t="shared" si="9"/>
        <v>41749.64583</v>
      </c>
      <c r="H3767" s="6" t="str">
        <f t="shared" si="6"/>
        <v/>
      </c>
      <c r="I3767" s="2">
        <f t="shared" si="7"/>
        <v>1426.89</v>
      </c>
      <c r="M3767" s="10">
        <f>IFERROR(__xludf.DUMMYFUNCTION("""COMPUTED_VALUE"""),43444.66666666667)</f>
        <v>43444.66667</v>
      </c>
      <c r="N3767" s="2">
        <f>IFERROR(__xludf.DUMMYFUNCTION("""COMPUTED_VALUE"""),7020.52)</f>
        <v>7020.52</v>
      </c>
    </row>
    <row r="3768">
      <c r="A3768" s="10">
        <f t="shared" si="8"/>
        <v>41750.66667</v>
      </c>
      <c r="B3768" s="2" t="str">
        <f t="shared" si="2"/>
        <v/>
      </c>
      <c r="C3768" s="2" t="str">
        <f t="shared" si="3"/>
        <v>SP500</v>
      </c>
      <c r="D3768" s="2">
        <f t="shared" si="4"/>
        <v>4121.55</v>
      </c>
      <c r="E3768" s="2">
        <f t="shared" si="5"/>
        <v>4121.55</v>
      </c>
      <c r="G3768" s="10">
        <f t="shared" si="9"/>
        <v>41750.64583</v>
      </c>
      <c r="H3768" s="6" t="str">
        <f t="shared" si="6"/>
        <v/>
      </c>
      <c r="I3768" s="2">
        <f t="shared" si="7"/>
        <v>1426.89</v>
      </c>
      <c r="M3768" s="10">
        <f>IFERROR(__xludf.DUMMYFUNCTION("""COMPUTED_VALUE"""),43445.66666666667)</f>
        <v>43445.66667</v>
      </c>
      <c r="N3768" s="2">
        <f>IFERROR(__xludf.DUMMYFUNCTION("""COMPUTED_VALUE"""),7031.83)</f>
        <v>7031.83</v>
      </c>
    </row>
    <row r="3769">
      <c r="A3769" s="10">
        <f t="shared" si="8"/>
        <v>41751.66667</v>
      </c>
      <c r="B3769" s="2" t="str">
        <f t="shared" si="2"/>
        <v/>
      </c>
      <c r="C3769" s="2" t="str">
        <f t="shared" si="3"/>
        <v>SP500</v>
      </c>
      <c r="D3769" s="2">
        <f t="shared" si="4"/>
        <v>4161.46</v>
      </c>
      <c r="E3769" s="2">
        <f t="shared" si="5"/>
        <v>4161.46</v>
      </c>
      <c r="G3769" s="10">
        <f t="shared" si="9"/>
        <v>41751.64583</v>
      </c>
      <c r="H3769" s="6" t="str">
        <f t="shared" si="6"/>
        <v/>
      </c>
      <c r="I3769" s="2">
        <f t="shared" si="7"/>
        <v>1426.89</v>
      </c>
      <c r="M3769" s="10">
        <f>IFERROR(__xludf.DUMMYFUNCTION("""COMPUTED_VALUE"""),43446.66666666667)</f>
        <v>43446.66667</v>
      </c>
      <c r="N3769" s="2">
        <f>IFERROR(__xludf.DUMMYFUNCTION("""COMPUTED_VALUE"""),7098.31)</f>
        <v>7098.31</v>
      </c>
    </row>
    <row r="3770">
      <c r="A3770" s="10">
        <f t="shared" si="8"/>
        <v>41752.66667</v>
      </c>
      <c r="B3770" s="2" t="str">
        <f t="shared" si="2"/>
        <v/>
      </c>
      <c r="C3770" s="2" t="str">
        <f t="shared" si="3"/>
        <v>SP500</v>
      </c>
      <c r="D3770" s="2">
        <f t="shared" si="4"/>
        <v>4126.97</v>
      </c>
      <c r="E3770" s="2">
        <f t="shared" si="5"/>
        <v>4126.97</v>
      </c>
      <c r="G3770" s="10">
        <f t="shared" si="9"/>
        <v>41752.64583</v>
      </c>
      <c r="H3770" s="6" t="str">
        <f t="shared" si="6"/>
        <v/>
      </c>
      <c r="I3770" s="2">
        <f t="shared" si="7"/>
        <v>1426.89</v>
      </c>
      <c r="M3770" s="10">
        <f>IFERROR(__xludf.DUMMYFUNCTION("""COMPUTED_VALUE"""),43447.66666666667)</f>
        <v>43447.66667</v>
      </c>
      <c r="N3770" s="2">
        <f>IFERROR(__xludf.DUMMYFUNCTION("""COMPUTED_VALUE"""),7070.33)</f>
        <v>7070.33</v>
      </c>
    </row>
    <row r="3771">
      <c r="A3771" s="10">
        <f t="shared" si="8"/>
        <v>41753.66667</v>
      </c>
      <c r="B3771" s="2" t="str">
        <f t="shared" si="2"/>
        <v/>
      </c>
      <c r="C3771" s="2" t="str">
        <f t="shared" si="3"/>
        <v>SP500</v>
      </c>
      <c r="D3771" s="2">
        <f t="shared" si="4"/>
        <v>4148.34</v>
      </c>
      <c r="E3771" s="2">
        <f t="shared" si="5"/>
        <v>4148.34</v>
      </c>
      <c r="G3771" s="10">
        <f t="shared" si="9"/>
        <v>41753.64583</v>
      </c>
      <c r="H3771" s="6" t="str">
        <f t="shared" si="6"/>
        <v/>
      </c>
      <c r="I3771" s="2">
        <f t="shared" si="7"/>
        <v>1426.89</v>
      </c>
      <c r="M3771" s="10">
        <f>IFERROR(__xludf.DUMMYFUNCTION("""COMPUTED_VALUE"""),43448.66666666667)</f>
        <v>43448.66667</v>
      </c>
      <c r="N3771" s="2">
        <f>IFERROR(__xludf.DUMMYFUNCTION("""COMPUTED_VALUE"""),6910.67)</f>
        <v>6910.67</v>
      </c>
    </row>
    <row r="3772">
      <c r="A3772" s="10">
        <f t="shared" si="8"/>
        <v>41754.66667</v>
      </c>
      <c r="B3772" s="2" t="str">
        <f t="shared" si="2"/>
        <v/>
      </c>
      <c r="C3772" s="2" t="str">
        <f t="shared" si="3"/>
        <v>SP500</v>
      </c>
      <c r="D3772" s="2">
        <f t="shared" si="4"/>
        <v>4075.56</v>
      </c>
      <c r="E3772" s="2">
        <f t="shared" si="5"/>
        <v>4075.56</v>
      </c>
      <c r="G3772" s="10">
        <f t="shared" si="9"/>
        <v>41754.64583</v>
      </c>
      <c r="H3772" s="6" t="str">
        <f t="shared" si="6"/>
        <v/>
      </c>
      <c r="I3772" s="2">
        <f t="shared" si="7"/>
        <v>1426.89</v>
      </c>
      <c r="M3772" s="10">
        <f>IFERROR(__xludf.DUMMYFUNCTION("""COMPUTED_VALUE"""),43451.66666666667)</f>
        <v>43451.66667</v>
      </c>
      <c r="N3772" s="2">
        <f>IFERROR(__xludf.DUMMYFUNCTION("""COMPUTED_VALUE"""),6753.73)</f>
        <v>6753.73</v>
      </c>
    </row>
    <row r="3773">
      <c r="A3773" s="10">
        <f t="shared" si="8"/>
        <v>41755.66667</v>
      </c>
      <c r="B3773" s="2" t="str">
        <f t="shared" si="2"/>
        <v/>
      </c>
      <c r="C3773" s="2" t="str">
        <f t="shared" si="3"/>
        <v>SP500</v>
      </c>
      <c r="D3773" s="2" t="str">
        <f t="shared" si="4"/>
        <v/>
      </c>
      <c r="E3773" s="2">
        <f t="shared" si="5"/>
        <v>4075.56</v>
      </c>
      <c r="G3773" s="10">
        <f t="shared" si="9"/>
        <v>41755.64583</v>
      </c>
      <c r="H3773" s="6" t="str">
        <f t="shared" si="6"/>
        <v/>
      </c>
      <c r="I3773" s="2">
        <f t="shared" si="7"/>
        <v>1426.89</v>
      </c>
      <c r="M3773" s="10">
        <f>IFERROR(__xludf.DUMMYFUNCTION("""COMPUTED_VALUE"""),43452.66666666667)</f>
        <v>43452.66667</v>
      </c>
      <c r="N3773" s="2">
        <f>IFERROR(__xludf.DUMMYFUNCTION("""COMPUTED_VALUE"""),6783.91)</f>
        <v>6783.91</v>
      </c>
    </row>
    <row r="3774">
      <c r="A3774" s="10">
        <f t="shared" si="8"/>
        <v>41756.66667</v>
      </c>
      <c r="B3774" s="2" t="str">
        <f t="shared" si="2"/>
        <v/>
      </c>
      <c r="C3774" s="2" t="str">
        <f t="shared" si="3"/>
        <v>SP500</v>
      </c>
      <c r="D3774" s="2" t="str">
        <f t="shared" si="4"/>
        <v/>
      </c>
      <c r="E3774" s="2">
        <f t="shared" si="5"/>
        <v>4075.56</v>
      </c>
      <c r="G3774" s="10">
        <f t="shared" si="9"/>
        <v>41756.64583</v>
      </c>
      <c r="H3774" s="6" t="str">
        <f t="shared" si="6"/>
        <v/>
      </c>
      <c r="I3774" s="2">
        <f t="shared" si="7"/>
        <v>1426.89</v>
      </c>
      <c r="M3774" s="10">
        <f>IFERROR(__xludf.DUMMYFUNCTION("""COMPUTED_VALUE"""),43453.66666666667)</f>
        <v>43453.66667</v>
      </c>
      <c r="N3774" s="2">
        <f>IFERROR(__xludf.DUMMYFUNCTION("""COMPUTED_VALUE"""),6636.83)</f>
        <v>6636.83</v>
      </c>
    </row>
    <row r="3775">
      <c r="A3775" s="10">
        <f t="shared" si="8"/>
        <v>41757.66667</v>
      </c>
      <c r="B3775" s="2" t="str">
        <f t="shared" si="2"/>
        <v/>
      </c>
      <c r="C3775" s="2" t="str">
        <f t="shared" si="3"/>
        <v>SP500</v>
      </c>
      <c r="D3775" s="2">
        <f t="shared" si="4"/>
        <v>4074.4</v>
      </c>
      <c r="E3775" s="2">
        <f t="shared" si="5"/>
        <v>4074.4</v>
      </c>
      <c r="G3775" s="10">
        <f t="shared" si="9"/>
        <v>41757.64583</v>
      </c>
      <c r="H3775" s="6" t="str">
        <f t="shared" si="6"/>
        <v/>
      </c>
      <c r="I3775" s="2">
        <f t="shared" si="7"/>
        <v>1426.89</v>
      </c>
      <c r="M3775" s="10">
        <f>IFERROR(__xludf.DUMMYFUNCTION("""COMPUTED_VALUE"""),43454.66666666667)</f>
        <v>43454.66667</v>
      </c>
      <c r="N3775" s="2">
        <f>IFERROR(__xludf.DUMMYFUNCTION("""COMPUTED_VALUE"""),6528.41)</f>
        <v>6528.41</v>
      </c>
    </row>
    <row r="3776">
      <c r="A3776" s="10">
        <f t="shared" si="8"/>
        <v>41758.66667</v>
      </c>
      <c r="B3776" s="2" t="str">
        <f t="shared" si="2"/>
        <v/>
      </c>
      <c r="C3776" s="2" t="str">
        <f t="shared" si="3"/>
        <v>SP500</v>
      </c>
      <c r="D3776" s="2">
        <f t="shared" si="4"/>
        <v>4103.54</v>
      </c>
      <c r="E3776" s="2">
        <f t="shared" si="5"/>
        <v>4103.54</v>
      </c>
      <c r="G3776" s="10">
        <f t="shared" si="9"/>
        <v>41758.64583</v>
      </c>
      <c r="H3776" s="6" t="str">
        <f t="shared" si="6"/>
        <v/>
      </c>
      <c r="I3776" s="2">
        <f t="shared" si="7"/>
        <v>1426.89</v>
      </c>
      <c r="M3776" s="10">
        <f>IFERROR(__xludf.DUMMYFUNCTION("""COMPUTED_VALUE"""),43455.66666666667)</f>
        <v>43455.66667</v>
      </c>
      <c r="N3776" s="2">
        <f>IFERROR(__xludf.DUMMYFUNCTION("""COMPUTED_VALUE"""),6332.99)</f>
        <v>6332.99</v>
      </c>
    </row>
    <row r="3777">
      <c r="A3777" s="10">
        <f t="shared" si="8"/>
        <v>41759.66667</v>
      </c>
      <c r="B3777" s="2" t="str">
        <f t="shared" si="2"/>
        <v/>
      </c>
      <c r="C3777" s="2" t="str">
        <f t="shared" si="3"/>
        <v>SP500</v>
      </c>
      <c r="D3777" s="2">
        <f t="shared" si="4"/>
        <v>4114.56</v>
      </c>
      <c r="E3777" s="2">
        <f t="shared" si="5"/>
        <v>4114.56</v>
      </c>
      <c r="G3777" s="10">
        <f t="shared" si="9"/>
        <v>41759.64583</v>
      </c>
      <c r="H3777" s="6" t="str">
        <f t="shared" si="6"/>
        <v/>
      </c>
      <c r="I3777" s="2">
        <f t="shared" si="7"/>
        <v>1426.89</v>
      </c>
      <c r="M3777" s="10">
        <f>IFERROR(__xludf.DUMMYFUNCTION("""COMPUTED_VALUE"""),43458.54166666667)</f>
        <v>43458.54167</v>
      </c>
      <c r="N3777" s="2">
        <f>IFERROR(__xludf.DUMMYFUNCTION("""COMPUTED_VALUE"""),6192.92)</f>
        <v>6192.92</v>
      </c>
    </row>
    <row r="3778">
      <c r="A3778" s="10">
        <f t="shared" si="8"/>
        <v>41760.66667</v>
      </c>
      <c r="B3778" s="2" t="str">
        <f t="shared" si="2"/>
        <v/>
      </c>
      <c r="C3778" s="2" t="str">
        <f t="shared" si="3"/>
        <v>SP500</v>
      </c>
      <c r="D3778" s="2">
        <f t="shared" si="4"/>
        <v>4127.45</v>
      </c>
      <c r="E3778" s="2">
        <f t="shared" si="5"/>
        <v>4127.45</v>
      </c>
      <c r="G3778" s="10">
        <f t="shared" si="9"/>
        <v>41760.64583</v>
      </c>
      <c r="H3778" s="6" t="str">
        <f t="shared" si="6"/>
        <v/>
      </c>
      <c r="I3778" s="2">
        <f t="shared" si="7"/>
        <v>1426.89</v>
      </c>
      <c r="M3778" s="10">
        <f>IFERROR(__xludf.DUMMYFUNCTION("""COMPUTED_VALUE"""),43460.66666666667)</f>
        <v>43460.66667</v>
      </c>
      <c r="N3778" s="2">
        <f>IFERROR(__xludf.DUMMYFUNCTION("""COMPUTED_VALUE"""),6554.36)</f>
        <v>6554.36</v>
      </c>
    </row>
    <row r="3779">
      <c r="A3779" s="10">
        <f t="shared" si="8"/>
        <v>41761.66667</v>
      </c>
      <c r="B3779" s="2" t="str">
        <f t="shared" si="2"/>
        <v/>
      </c>
      <c r="C3779" s="2" t="str">
        <f t="shared" si="3"/>
        <v>SP500</v>
      </c>
      <c r="D3779" s="2">
        <f t="shared" si="4"/>
        <v>4123.9</v>
      </c>
      <c r="E3779" s="2">
        <f t="shared" si="5"/>
        <v>4123.9</v>
      </c>
      <c r="G3779" s="10">
        <f t="shared" si="9"/>
        <v>41761.64583</v>
      </c>
      <c r="H3779" s="6" t="str">
        <f t="shared" si="6"/>
        <v/>
      </c>
      <c r="I3779" s="2">
        <f t="shared" si="7"/>
        <v>1426.89</v>
      </c>
      <c r="M3779" s="10">
        <f>IFERROR(__xludf.DUMMYFUNCTION("""COMPUTED_VALUE"""),43461.66666666667)</f>
        <v>43461.66667</v>
      </c>
      <c r="N3779" s="2">
        <f>IFERROR(__xludf.DUMMYFUNCTION("""COMPUTED_VALUE"""),6579.49)</f>
        <v>6579.49</v>
      </c>
    </row>
    <row r="3780">
      <c r="A3780" s="10">
        <f t="shared" si="8"/>
        <v>41762.66667</v>
      </c>
      <c r="B3780" s="2" t="str">
        <f t="shared" si="2"/>
        <v/>
      </c>
      <c r="C3780" s="2" t="str">
        <f t="shared" si="3"/>
        <v>SP500</v>
      </c>
      <c r="D3780" s="2" t="str">
        <f t="shared" si="4"/>
        <v/>
      </c>
      <c r="E3780" s="2">
        <f t="shared" si="5"/>
        <v>4123.9</v>
      </c>
      <c r="G3780" s="10">
        <f t="shared" si="9"/>
        <v>41762.64583</v>
      </c>
      <c r="H3780" s="6" t="str">
        <f t="shared" si="6"/>
        <v/>
      </c>
      <c r="I3780" s="2">
        <f t="shared" si="7"/>
        <v>1426.89</v>
      </c>
      <c r="M3780" s="10">
        <f>IFERROR(__xludf.DUMMYFUNCTION("""COMPUTED_VALUE"""),43462.66666666667)</f>
        <v>43462.66667</v>
      </c>
      <c r="N3780" s="2">
        <f>IFERROR(__xludf.DUMMYFUNCTION("""COMPUTED_VALUE"""),6584.52)</f>
        <v>6584.52</v>
      </c>
    </row>
    <row r="3781">
      <c r="A3781" s="10">
        <f t="shared" si="8"/>
        <v>41763.66667</v>
      </c>
      <c r="B3781" s="2" t="str">
        <f t="shared" si="2"/>
        <v/>
      </c>
      <c r="C3781" s="2" t="str">
        <f t="shared" si="3"/>
        <v>SP500</v>
      </c>
      <c r="D3781" s="2" t="str">
        <f t="shared" si="4"/>
        <v/>
      </c>
      <c r="E3781" s="2">
        <f t="shared" si="5"/>
        <v>4123.9</v>
      </c>
      <c r="G3781" s="10">
        <f t="shared" si="9"/>
        <v>41763.64583</v>
      </c>
      <c r="H3781" s="6" t="str">
        <f t="shared" si="6"/>
        <v/>
      </c>
      <c r="I3781" s="2">
        <f t="shared" si="7"/>
        <v>1426.89</v>
      </c>
      <c r="M3781" s="10">
        <f>IFERROR(__xludf.DUMMYFUNCTION("""COMPUTED_VALUE"""),43465.66666666667)</f>
        <v>43465.66667</v>
      </c>
      <c r="N3781" s="2">
        <f>IFERROR(__xludf.DUMMYFUNCTION("""COMPUTED_VALUE"""),6635.28)</f>
        <v>6635.28</v>
      </c>
    </row>
    <row r="3782">
      <c r="A3782" s="10">
        <f t="shared" si="8"/>
        <v>41764.66667</v>
      </c>
      <c r="B3782" s="2" t="str">
        <f t="shared" si="2"/>
        <v/>
      </c>
      <c r="C3782" s="2" t="str">
        <f t="shared" si="3"/>
        <v>SP500</v>
      </c>
      <c r="D3782" s="2">
        <f t="shared" si="4"/>
        <v>4138.06</v>
      </c>
      <c r="E3782" s="2">
        <f t="shared" si="5"/>
        <v>4138.06</v>
      </c>
      <c r="G3782" s="10">
        <f t="shared" si="9"/>
        <v>41764.64583</v>
      </c>
      <c r="H3782" s="6" t="str">
        <f t="shared" si="6"/>
        <v/>
      </c>
      <c r="I3782" s="2">
        <f t="shared" si="7"/>
        <v>1426.89</v>
      </c>
      <c r="M3782" s="10">
        <f>IFERROR(__xludf.DUMMYFUNCTION("""COMPUTED_VALUE"""),43467.66666666667)</f>
        <v>43467.66667</v>
      </c>
      <c r="N3782" s="2">
        <f>IFERROR(__xludf.DUMMYFUNCTION("""COMPUTED_VALUE"""),6665.94)</f>
        <v>6665.94</v>
      </c>
    </row>
    <row r="3783">
      <c r="A3783" s="10">
        <f t="shared" si="8"/>
        <v>41765.66667</v>
      </c>
      <c r="B3783" s="2" t="str">
        <f t="shared" si="2"/>
        <v/>
      </c>
      <c r="C3783" s="2" t="str">
        <f t="shared" si="3"/>
        <v>SP500</v>
      </c>
      <c r="D3783" s="2">
        <f t="shared" si="4"/>
        <v>4080.76</v>
      </c>
      <c r="E3783" s="2">
        <f t="shared" si="5"/>
        <v>4080.76</v>
      </c>
      <c r="G3783" s="10">
        <f t="shared" si="9"/>
        <v>41765.64583</v>
      </c>
      <c r="H3783" s="6" t="str">
        <f t="shared" si="6"/>
        <v/>
      </c>
      <c r="I3783" s="2">
        <f t="shared" si="7"/>
        <v>1426.89</v>
      </c>
      <c r="M3783" s="10">
        <f>IFERROR(__xludf.DUMMYFUNCTION("""COMPUTED_VALUE"""),43468.66666666667)</f>
        <v>43468.66667</v>
      </c>
      <c r="N3783" s="2">
        <f>IFERROR(__xludf.DUMMYFUNCTION("""COMPUTED_VALUE"""),6463.5)</f>
        <v>6463.5</v>
      </c>
    </row>
    <row r="3784">
      <c r="A3784" s="10">
        <f t="shared" si="8"/>
        <v>41766.66667</v>
      </c>
      <c r="B3784" s="2" t="str">
        <f t="shared" si="2"/>
        <v/>
      </c>
      <c r="C3784" s="2" t="str">
        <f t="shared" si="3"/>
        <v>SP500</v>
      </c>
      <c r="D3784" s="2">
        <f t="shared" si="4"/>
        <v>4067.67</v>
      </c>
      <c r="E3784" s="2">
        <f t="shared" si="5"/>
        <v>4067.67</v>
      </c>
      <c r="G3784" s="10">
        <f t="shared" si="9"/>
        <v>41766.64583</v>
      </c>
      <c r="H3784" s="6" t="str">
        <f t="shared" si="6"/>
        <v/>
      </c>
      <c r="I3784" s="2">
        <f t="shared" si="7"/>
        <v>1426.89</v>
      </c>
      <c r="M3784" s="10">
        <f>IFERROR(__xludf.DUMMYFUNCTION("""COMPUTED_VALUE"""),43469.66666666667)</f>
        <v>43469.66667</v>
      </c>
      <c r="N3784" s="2">
        <f>IFERROR(__xludf.DUMMYFUNCTION("""COMPUTED_VALUE"""),6738.86)</f>
        <v>6738.86</v>
      </c>
    </row>
    <row r="3785">
      <c r="A3785" s="10">
        <f t="shared" si="8"/>
        <v>41767.66667</v>
      </c>
      <c r="B3785" s="2" t="str">
        <f t="shared" si="2"/>
        <v/>
      </c>
      <c r="C3785" s="2" t="str">
        <f t="shared" si="3"/>
        <v>SP500</v>
      </c>
      <c r="D3785" s="2">
        <f t="shared" si="4"/>
        <v>4051.5</v>
      </c>
      <c r="E3785" s="2">
        <f t="shared" si="5"/>
        <v>4051.5</v>
      </c>
      <c r="G3785" s="10">
        <f t="shared" si="9"/>
        <v>41767.64583</v>
      </c>
      <c r="H3785" s="6" t="str">
        <f t="shared" si="6"/>
        <v/>
      </c>
      <c r="I3785" s="2">
        <f t="shared" si="7"/>
        <v>1426.89</v>
      </c>
      <c r="M3785" s="10">
        <f>IFERROR(__xludf.DUMMYFUNCTION("""COMPUTED_VALUE"""),43472.66666666667)</f>
        <v>43472.66667</v>
      </c>
      <c r="N3785" s="2">
        <f>IFERROR(__xludf.DUMMYFUNCTION("""COMPUTED_VALUE"""),6823.47)</f>
        <v>6823.47</v>
      </c>
    </row>
    <row r="3786">
      <c r="A3786" s="10">
        <f t="shared" si="8"/>
        <v>41768.66667</v>
      </c>
      <c r="B3786" s="2" t="str">
        <f t="shared" si="2"/>
        <v/>
      </c>
      <c r="C3786" s="2" t="str">
        <f t="shared" si="3"/>
        <v>SP500</v>
      </c>
      <c r="D3786" s="2">
        <f t="shared" si="4"/>
        <v>4071.87</v>
      </c>
      <c r="E3786" s="2">
        <f t="shared" si="5"/>
        <v>4071.87</v>
      </c>
      <c r="G3786" s="10">
        <f t="shared" si="9"/>
        <v>41768.64583</v>
      </c>
      <c r="H3786" s="6" t="str">
        <f t="shared" si="6"/>
        <v/>
      </c>
      <c r="I3786" s="2">
        <f t="shared" si="7"/>
        <v>1426.89</v>
      </c>
      <c r="M3786" s="10">
        <f>IFERROR(__xludf.DUMMYFUNCTION("""COMPUTED_VALUE"""),43473.66666666667)</f>
        <v>43473.66667</v>
      </c>
      <c r="N3786" s="2">
        <f>IFERROR(__xludf.DUMMYFUNCTION("""COMPUTED_VALUE"""),6897.0)</f>
        <v>6897</v>
      </c>
    </row>
    <row r="3787">
      <c r="A3787" s="10">
        <f t="shared" si="8"/>
        <v>41769.66667</v>
      </c>
      <c r="B3787" s="2" t="str">
        <f t="shared" si="2"/>
        <v/>
      </c>
      <c r="C3787" s="2" t="str">
        <f t="shared" si="3"/>
        <v>SP500</v>
      </c>
      <c r="D3787" s="2" t="str">
        <f t="shared" si="4"/>
        <v/>
      </c>
      <c r="E3787" s="2">
        <f t="shared" si="5"/>
        <v>4071.87</v>
      </c>
      <c r="G3787" s="10">
        <f t="shared" si="9"/>
        <v>41769.64583</v>
      </c>
      <c r="H3787" s="6" t="str">
        <f t="shared" si="6"/>
        <v/>
      </c>
      <c r="I3787" s="2">
        <f t="shared" si="7"/>
        <v>1426.89</v>
      </c>
      <c r="M3787" s="10">
        <f>IFERROR(__xludf.DUMMYFUNCTION("""COMPUTED_VALUE"""),43474.66666666667)</f>
        <v>43474.66667</v>
      </c>
      <c r="N3787" s="2">
        <f>IFERROR(__xludf.DUMMYFUNCTION("""COMPUTED_VALUE"""),6957.08)</f>
        <v>6957.08</v>
      </c>
    </row>
    <row r="3788">
      <c r="A3788" s="10">
        <f t="shared" si="8"/>
        <v>41770.66667</v>
      </c>
      <c r="B3788" s="2" t="str">
        <f t="shared" si="2"/>
        <v/>
      </c>
      <c r="C3788" s="2" t="str">
        <f t="shared" si="3"/>
        <v>SP500</v>
      </c>
      <c r="D3788" s="2" t="str">
        <f t="shared" si="4"/>
        <v/>
      </c>
      <c r="E3788" s="2">
        <f t="shared" si="5"/>
        <v>4071.87</v>
      </c>
      <c r="G3788" s="10">
        <f t="shared" si="9"/>
        <v>41770.64583</v>
      </c>
      <c r="H3788" s="6" t="str">
        <f t="shared" si="6"/>
        <v/>
      </c>
      <c r="I3788" s="2">
        <f t="shared" si="7"/>
        <v>1426.89</v>
      </c>
      <c r="M3788" s="10">
        <f>IFERROR(__xludf.DUMMYFUNCTION("""COMPUTED_VALUE"""),43475.66666666667)</f>
        <v>43475.66667</v>
      </c>
      <c r="N3788" s="2">
        <f>IFERROR(__xludf.DUMMYFUNCTION("""COMPUTED_VALUE"""),6986.07)</f>
        <v>6986.07</v>
      </c>
    </row>
    <row r="3789">
      <c r="A3789" s="10">
        <f t="shared" si="8"/>
        <v>41771.66667</v>
      </c>
      <c r="B3789" s="2" t="str">
        <f t="shared" si="2"/>
        <v/>
      </c>
      <c r="C3789" s="2" t="str">
        <f t="shared" si="3"/>
        <v>SP500</v>
      </c>
      <c r="D3789" s="2">
        <f t="shared" si="4"/>
        <v>4143.86</v>
      </c>
      <c r="E3789" s="2">
        <f t="shared" si="5"/>
        <v>4143.86</v>
      </c>
      <c r="G3789" s="10">
        <f t="shared" si="9"/>
        <v>41771.64583</v>
      </c>
      <c r="H3789" s="6" t="str">
        <f t="shared" si="6"/>
        <v/>
      </c>
      <c r="I3789" s="2">
        <f t="shared" si="7"/>
        <v>1426.89</v>
      </c>
      <c r="M3789" s="10">
        <f>IFERROR(__xludf.DUMMYFUNCTION("""COMPUTED_VALUE"""),43476.66666666667)</f>
        <v>43476.66667</v>
      </c>
      <c r="N3789" s="2">
        <f>IFERROR(__xludf.DUMMYFUNCTION("""COMPUTED_VALUE"""),6971.48)</f>
        <v>6971.48</v>
      </c>
    </row>
    <row r="3790">
      <c r="A3790" s="10">
        <f t="shared" si="8"/>
        <v>41772.66667</v>
      </c>
      <c r="B3790" s="2" t="str">
        <f t="shared" si="2"/>
        <v/>
      </c>
      <c r="C3790" s="2" t="str">
        <f t="shared" si="3"/>
        <v>SP500</v>
      </c>
      <c r="D3790" s="2">
        <f t="shared" si="4"/>
        <v>4130.17</v>
      </c>
      <c r="E3790" s="2">
        <f t="shared" si="5"/>
        <v>4130.17</v>
      </c>
      <c r="G3790" s="10">
        <f t="shared" si="9"/>
        <v>41772.64583</v>
      </c>
      <c r="H3790" s="6" t="str">
        <f t="shared" si="6"/>
        <v/>
      </c>
      <c r="I3790" s="2">
        <f t="shared" si="7"/>
        <v>1426.89</v>
      </c>
      <c r="M3790" s="10">
        <f>IFERROR(__xludf.DUMMYFUNCTION("""COMPUTED_VALUE"""),43479.66666666667)</f>
        <v>43479.66667</v>
      </c>
      <c r="N3790" s="2">
        <f>IFERROR(__xludf.DUMMYFUNCTION("""COMPUTED_VALUE"""),6905.92)</f>
        <v>6905.92</v>
      </c>
    </row>
    <row r="3791">
      <c r="A3791" s="10">
        <f t="shared" si="8"/>
        <v>41773.66667</v>
      </c>
      <c r="B3791" s="2" t="str">
        <f t="shared" si="2"/>
        <v/>
      </c>
      <c r="C3791" s="2" t="str">
        <f t="shared" si="3"/>
        <v>SP500</v>
      </c>
      <c r="D3791" s="2">
        <f t="shared" si="4"/>
        <v>4100.63</v>
      </c>
      <c r="E3791" s="2">
        <f t="shared" si="5"/>
        <v>4100.63</v>
      </c>
      <c r="G3791" s="10">
        <f t="shared" si="9"/>
        <v>41773.64583</v>
      </c>
      <c r="H3791" s="6" t="str">
        <f t="shared" si="6"/>
        <v/>
      </c>
      <c r="I3791" s="2">
        <f t="shared" si="7"/>
        <v>1426.89</v>
      </c>
      <c r="M3791" s="10">
        <f>IFERROR(__xludf.DUMMYFUNCTION("""COMPUTED_VALUE"""),43480.66666666667)</f>
        <v>43480.66667</v>
      </c>
      <c r="N3791" s="2">
        <f>IFERROR(__xludf.DUMMYFUNCTION("""COMPUTED_VALUE"""),7023.83)</f>
        <v>7023.83</v>
      </c>
    </row>
    <row r="3792">
      <c r="A3792" s="10">
        <f t="shared" si="8"/>
        <v>41774.66667</v>
      </c>
      <c r="B3792" s="2" t="str">
        <f t="shared" si="2"/>
        <v/>
      </c>
      <c r="C3792" s="2" t="str">
        <f t="shared" si="3"/>
        <v>SP500</v>
      </c>
      <c r="D3792" s="2">
        <f t="shared" si="4"/>
        <v>4069.29</v>
      </c>
      <c r="E3792" s="2">
        <f t="shared" si="5"/>
        <v>4069.29</v>
      </c>
      <c r="G3792" s="10">
        <f t="shared" si="9"/>
        <v>41774.64583</v>
      </c>
      <c r="H3792" s="6" t="str">
        <f t="shared" si="6"/>
        <v/>
      </c>
      <c r="I3792" s="2">
        <f t="shared" si="7"/>
        <v>1426.89</v>
      </c>
      <c r="M3792" s="10">
        <f>IFERROR(__xludf.DUMMYFUNCTION("""COMPUTED_VALUE"""),43481.66666666667)</f>
        <v>43481.66667</v>
      </c>
      <c r="N3792" s="2">
        <f>IFERROR(__xludf.DUMMYFUNCTION("""COMPUTED_VALUE"""),7034.69)</f>
        <v>7034.69</v>
      </c>
    </row>
    <row r="3793">
      <c r="A3793" s="10">
        <f t="shared" si="8"/>
        <v>41775.66667</v>
      </c>
      <c r="B3793" s="2" t="str">
        <f t="shared" si="2"/>
        <v/>
      </c>
      <c r="C3793" s="2" t="str">
        <f t="shared" si="3"/>
        <v>SP500</v>
      </c>
      <c r="D3793" s="2">
        <f t="shared" si="4"/>
        <v>4090.59</v>
      </c>
      <c r="E3793" s="2">
        <f t="shared" si="5"/>
        <v>4090.59</v>
      </c>
      <c r="G3793" s="10">
        <f t="shared" si="9"/>
        <v>41775.64583</v>
      </c>
      <c r="H3793" s="6" t="str">
        <f t="shared" si="6"/>
        <v/>
      </c>
      <c r="I3793" s="2">
        <f t="shared" si="7"/>
        <v>1426.89</v>
      </c>
      <c r="M3793" s="10">
        <f>IFERROR(__xludf.DUMMYFUNCTION("""COMPUTED_VALUE"""),43482.66666666667)</f>
        <v>43482.66667</v>
      </c>
      <c r="N3793" s="2">
        <f>IFERROR(__xludf.DUMMYFUNCTION("""COMPUTED_VALUE"""),7084.46)</f>
        <v>7084.46</v>
      </c>
    </row>
    <row r="3794">
      <c r="A3794" s="10">
        <f t="shared" si="8"/>
        <v>41776.66667</v>
      </c>
      <c r="B3794" s="2" t="str">
        <f t="shared" si="2"/>
        <v/>
      </c>
      <c r="C3794" s="2" t="str">
        <f t="shared" si="3"/>
        <v>SP500</v>
      </c>
      <c r="D3794" s="2" t="str">
        <f t="shared" si="4"/>
        <v/>
      </c>
      <c r="E3794" s="2">
        <f t="shared" si="5"/>
        <v>4090.59</v>
      </c>
      <c r="G3794" s="10">
        <f t="shared" si="9"/>
        <v>41776.64583</v>
      </c>
      <c r="H3794" s="6" t="str">
        <f t="shared" si="6"/>
        <v/>
      </c>
      <c r="I3794" s="2">
        <f t="shared" si="7"/>
        <v>1426.89</v>
      </c>
      <c r="M3794" s="10">
        <f>IFERROR(__xludf.DUMMYFUNCTION("""COMPUTED_VALUE"""),43483.66666666667)</f>
        <v>43483.66667</v>
      </c>
      <c r="N3794" s="2">
        <f>IFERROR(__xludf.DUMMYFUNCTION("""COMPUTED_VALUE"""),7157.23)</f>
        <v>7157.23</v>
      </c>
    </row>
    <row r="3795">
      <c r="A3795" s="10">
        <f t="shared" si="8"/>
        <v>41777.66667</v>
      </c>
      <c r="B3795" s="2" t="str">
        <f t="shared" si="2"/>
        <v/>
      </c>
      <c r="C3795" s="2" t="str">
        <f t="shared" si="3"/>
        <v>SP500</v>
      </c>
      <c r="D3795" s="2" t="str">
        <f t="shared" si="4"/>
        <v/>
      </c>
      <c r="E3795" s="2">
        <f t="shared" si="5"/>
        <v>4090.59</v>
      </c>
      <c r="G3795" s="10">
        <f t="shared" si="9"/>
        <v>41777.64583</v>
      </c>
      <c r="H3795" s="6" t="str">
        <f t="shared" si="6"/>
        <v/>
      </c>
      <c r="I3795" s="2">
        <f t="shared" si="7"/>
        <v>1426.89</v>
      </c>
      <c r="M3795" s="10">
        <f>IFERROR(__xludf.DUMMYFUNCTION("""COMPUTED_VALUE"""),43487.66666666667)</f>
        <v>43487.66667</v>
      </c>
      <c r="N3795" s="2">
        <f>IFERROR(__xludf.DUMMYFUNCTION("""COMPUTED_VALUE"""),7020.36)</f>
        <v>7020.36</v>
      </c>
    </row>
    <row r="3796">
      <c r="A3796" s="10">
        <f t="shared" si="8"/>
        <v>41778.66667</v>
      </c>
      <c r="B3796" s="2" t="str">
        <f t="shared" si="2"/>
        <v/>
      </c>
      <c r="C3796" s="2" t="str">
        <f t="shared" si="3"/>
        <v>SP500</v>
      </c>
      <c r="D3796" s="2">
        <f t="shared" si="4"/>
        <v>4125.81</v>
      </c>
      <c r="E3796" s="2">
        <f t="shared" si="5"/>
        <v>4125.81</v>
      </c>
      <c r="G3796" s="10">
        <f t="shared" si="9"/>
        <v>41778.64583</v>
      </c>
      <c r="H3796" s="6" t="str">
        <f t="shared" si="6"/>
        <v/>
      </c>
      <c r="I3796" s="2">
        <f t="shared" si="7"/>
        <v>1426.89</v>
      </c>
      <c r="M3796" s="10">
        <f>IFERROR(__xludf.DUMMYFUNCTION("""COMPUTED_VALUE"""),43488.66666666667)</f>
        <v>43488.66667</v>
      </c>
      <c r="N3796" s="2">
        <f>IFERROR(__xludf.DUMMYFUNCTION("""COMPUTED_VALUE"""),7025.77)</f>
        <v>7025.77</v>
      </c>
    </row>
    <row r="3797">
      <c r="A3797" s="10">
        <f t="shared" si="8"/>
        <v>41779.66667</v>
      </c>
      <c r="B3797" s="2" t="str">
        <f t="shared" si="2"/>
        <v/>
      </c>
      <c r="C3797" s="2" t="str">
        <f t="shared" si="3"/>
        <v>SP500</v>
      </c>
      <c r="D3797" s="2">
        <f t="shared" si="4"/>
        <v>4096.89</v>
      </c>
      <c r="E3797" s="2">
        <f t="shared" si="5"/>
        <v>4096.89</v>
      </c>
      <c r="G3797" s="10">
        <f t="shared" si="9"/>
        <v>41779.64583</v>
      </c>
      <c r="H3797" s="6" t="str">
        <f t="shared" si="6"/>
        <v/>
      </c>
      <c r="I3797" s="2">
        <f t="shared" si="7"/>
        <v>1426.89</v>
      </c>
      <c r="M3797" s="10">
        <f>IFERROR(__xludf.DUMMYFUNCTION("""COMPUTED_VALUE"""),43489.66666666667)</f>
        <v>43489.66667</v>
      </c>
      <c r="N3797" s="2">
        <f>IFERROR(__xludf.DUMMYFUNCTION("""COMPUTED_VALUE"""),7073.46)</f>
        <v>7073.46</v>
      </c>
    </row>
    <row r="3798">
      <c r="A3798" s="10">
        <f t="shared" si="8"/>
        <v>41780.66667</v>
      </c>
      <c r="B3798" s="2" t="str">
        <f t="shared" si="2"/>
        <v/>
      </c>
      <c r="C3798" s="2" t="str">
        <f t="shared" si="3"/>
        <v>SP500</v>
      </c>
      <c r="D3798" s="2">
        <f t="shared" si="4"/>
        <v>4131.54</v>
      </c>
      <c r="E3798" s="2">
        <f t="shared" si="5"/>
        <v>4131.54</v>
      </c>
      <c r="G3798" s="10">
        <f t="shared" si="9"/>
        <v>41780.64583</v>
      </c>
      <c r="H3798" s="6" t="str">
        <f t="shared" si="6"/>
        <v/>
      </c>
      <c r="I3798" s="2">
        <f t="shared" si="7"/>
        <v>1426.89</v>
      </c>
      <c r="M3798" s="10">
        <f>IFERROR(__xludf.DUMMYFUNCTION("""COMPUTED_VALUE"""),43490.66666666667)</f>
        <v>43490.66667</v>
      </c>
      <c r="N3798" s="2">
        <f>IFERROR(__xludf.DUMMYFUNCTION("""COMPUTED_VALUE"""),7164.86)</f>
        <v>7164.86</v>
      </c>
    </row>
    <row r="3799">
      <c r="A3799" s="10">
        <f t="shared" si="8"/>
        <v>41781.66667</v>
      </c>
      <c r="B3799" s="2" t="str">
        <f t="shared" si="2"/>
        <v/>
      </c>
      <c r="C3799" s="2" t="str">
        <f t="shared" si="3"/>
        <v>SP500</v>
      </c>
      <c r="D3799" s="2">
        <f t="shared" si="4"/>
        <v>4154.34</v>
      </c>
      <c r="E3799" s="2">
        <f t="shared" si="5"/>
        <v>4154.34</v>
      </c>
      <c r="G3799" s="10">
        <f t="shared" si="9"/>
        <v>41781.64583</v>
      </c>
      <c r="H3799" s="6" t="str">
        <f t="shared" si="6"/>
        <v/>
      </c>
      <c r="I3799" s="2">
        <f t="shared" si="7"/>
        <v>1426.89</v>
      </c>
      <c r="M3799" s="10">
        <f>IFERROR(__xludf.DUMMYFUNCTION("""COMPUTED_VALUE"""),43493.66666666667)</f>
        <v>43493.66667</v>
      </c>
      <c r="N3799" s="2">
        <f>IFERROR(__xludf.DUMMYFUNCTION("""COMPUTED_VALUE"""),7085.69)</f>
        <v>7085.69</v>
      </c>
    </row>
    <row r="3800">
      <c r="A3800" s="10">
        <f t="shared" si="8"/>
        <v>41782.66667</v>
      </c>
      <c r="B3800" s="2" t="str">
        <f t="shared" si="2"/>
        <v/>
      </c>
      <c r="C3800" s="2" t="str">
        <f t="shared" si="3"/>
        <v>SP500</v>
      </c>
      <c r="D3800" s="2">
        <f t="shared" si="4"/>
        <v>4185.81</v>
      </c>
      <c r="E3800" s="2">
        <f t="shared" si="5"/>
        <v>4185.81</v>
      </c>
      <c r="G3800" s="10">
        <f t="shared" si="9"/>
        <v>41782.64583</v>
      </c>
      <c r="H3800" s="6" t="str">
        <f t="shared" si="6"/>
        <v/>
      </c>
      <c r="I3800" s="2">
        <f t="shared" si="7"/>
        <v>1426.89</v>
      </c>
      <c r="M3800" s="10">
        <f>IFERROR(__xludf.DUMMYFUNCTION("""COMPUTED_VALUE"""),43494.66666666667)</f>
        <v>43494.66667</v>
      </c>
      <c r="N3800" s="2">
        <f>IFERROR(__xludf.DUMMYFUNCTION("""COMPUTED_VALUE"""),7028.29)</f>
        <v>7028.29</v>
      </c>
    </row>
    <row r="3801">
      <c r="A3801" s="10">
        <f t="shared" si="8"/>
        <v>41783.66667</v>
      </c>
      <c r="B3801" s="2" t="str">
        <f t="shared" si="2"/>
        <v/>
      </c>
      <c r="C3801" s="2" t="str">
        <f t="shared" si="3"/>
        <v>SP500</v>
      </c>
      <c r="D3801" s="2" t="str">
        <f t="shared" si="4"/>
        <v/>
      </c>
      <c r="E3801" s="2">
        <f t="shared" si="5"/>
        <v>4185.81</v>
      </c>
      <c r="G3801" s="10">
        <f t="shared" si="9"/>
        <v>41783.64583</v>
      </c>
      <c r="H3801" s="6" t="str">
        <f t="shared" si="6"/>
        <v/>
      </c>
      <c r="I3801" s="2">
        <f t="shared" si="7"/>
        <v>1426.89</v>
      </c>
      <c r="M3801" s="10">
        <f>IFERROR(__xludf.DUMMYFUNCTION("""COMPUTED_VALUE"""),43495.66666666667)</f>
        <v>43495.66667</v>
      </c>
      <c r="N3801" s="2">
        <f>IFERROR(__xludf.DUMMYFUNCTION("""COMPUTED_VALUE"""),7183.08)</f>
        <v>7183.08</v>
      </c>
    </row>
    <row r="3802">
      <c r="A3802" s="10">
        <f t="shared" si="8"/>
        <v>41784.66667</v>
      </c>
      <c r="B3802" s="2" t="str">
        <f t="shared" si="2"/>
        <v/>
      </c>
      <c r="C3802" s="2" t="str">
        <f t="shared" si="3"/>
        <v>SP500</v>
      </c>
      <c r="D3802" s="2" t="str">
        <f t="shared" si="4"/>
        <v/>
      </c>
      <c r="E3802" s="2">
        <f t="shared" si="5"/>
        <v>4185.81</v>
      </c>
      <c r="G3802" s="10">
        <f t="shared" si="9"/>
        <v>41784.64583</v>
      </c>
      <c r="H3802" s="6" t="str">
        <f t="shared" si="6"/>
        <v/>
      </c>
      <c r="I3802" s="2">
        <f t="shared" si="7"/>
        <v>1426.89</v>
      </c>
      <c r="M3802" s="10">
        <f>IFERROR(__xludf.DUMMYFUNCTION("""COMPUTED_VALUE"""),43496.66666666667)</f>
        <v>43496.66667</v>
      </c>
      <c r="N3802" s="2">
        <f>IFERROR(__xludf.DUMMYFUNCTION("""COMPUTED_VALUE"""),7281.74)</f>
        <v>7281.74</v>
      </c>
    </row>
    <row r="3803">
      <c r="A3803" s="10">
        <f t="shared" si="8"/>
        <v>41785.66667</v>
      </c>
      <c r="B3803" s="2" t="str">
        <f t="shared" si="2"/>
        <v/>
      </c>
      <c r="C3803" s="2" t="str">
        <f t="shared" si="3"/>
        <v>SP500</v>
      </c>
      <c r="D3803" s="2" t="str">
        <f t="shared" si="4"/>
        <v/>
      </c>
      <c r="E3803" s="2">
        <f t="shared" si="5"/>
        <v>4185.81</v>
      </c>
      <c r="G3803" s="10">
        <f t="shared" si="9"/>
        <v>41785.64583</v>
      </c>
      <c r="H3803" s="6" t="str">
        <f t="shared" si="6"/>
        <v/>
      </c>
      <c r="I3803" s="2">
        <f t="shared" si="7"/>
        <v>1426.89</v>
      </c>
      <c r="M3803" s="10">
        <f>IFERROR(__xludf.DUMMYFUNCTION("""COMPUTED_VALUE"""),43497.66666666667)</f>
        <v>43497.66667</v>
      </c>
      <c r="N3803" s="2">
        <f>IFERROR(__xludf.DUMMYFUNCTION("""COMPUTED_VALUE"""),7263.87)</f>
        <v>7263.87</v>
      </c>
    </row>
    <row r="3804">
      <c r="A3804" s="10">
        <f t="shared" si="8"/>
        <v>41786.66667</v>
      </c>
      <c r="B3804" s="2" t="str">
        <f t="shared" si="2"/>
        <v/>
      </c>
      <c r="C3804" s="2" t="str">
        <f t="shared" si="3"/>
        <v>SP500</v>
      </c>
      <c r="D3804" s="2">
        <f t="shared" si="4"/>
        <v>4237.07</v>
      </c>
      <c r="E3804" s="2">
        <f t="shared" si="5"/>
        <v>4237.07</v>
      </c>
      <c r="G3804" s="10">
        <f t="shared" si="9"/>
        <v>41786.64583</v>
      </c>
      <c r="H3804" s="6" t="str">
        <f t="shared" si="6"/>
        <v/>
      </c>
      <c r="I3804" s="2">
        <f t="shared" si="7"/>
        <v>1426.89</v>
      </c>
      <c r="M3804" s="10">
        <f>IFERROR(__xludf.DUMMYFUNCTION("""COMPUTED_VALUE"""),43500.66666666667)</f>
        <v>43500.66667</v>
      </c>
      <c r="N3804" s="2">
        <f>IFERROR(__xludf.DUMMYFUNCTION("""COMPUTED_VALUE"""),7347.54)</f>
        <v>7347.54</v>
      </c>
    </row>
    <row r="3805">
      <c r="A3805" s="10">
        <f t="shared" si="8"/>
        <v>41787.66667</v>
      </c>
      <c r="B3805" s="2" t="str">
        <f t="shared" si="2"/>
        <v/>
      </c>
      <c r="C3805" s="2" t="str">
        <f t="shared" si="3"/>
        <v>SP500</v>
      </c>
      <c r="D3805" s="2">
        <f t="shared" si="4"/>
        <v>4225.07</v>
      </c>
      <c r="E3805" s="2">
        <f t="shared" si="5"/>
        <v>4225.07</v>
      </c>
      <c r="G3805" s="10">
        <f t="shared" si="9"/>
        <v>41787.64583</v>
      </c>
      <c r="H3805" s="6" t="str">
        <f t="shared" si="6"/>
        <v/>
      </c>
      <c r="I3805" s="2">
        <f t="shared" si="7"/>
        <v>1426.89</v>
      </c>
      <c r="M3805" s="10">
        <f>IFERROR(__xludf.DUMMYFUNCTION("""COMPUTED_VALUE"""),43501.66666666667)</f>
        <v>43501.66667</v>
      </c>
      <c r="N3805" s="2">
        <f>IFERROR(__xludf.DUMMYFUNCTION("""COMPUTED_VALUE"""),7402.08)</f>
        <v>7402.08</v>
      </c>
    </row>
    <row r="3806">
      <c r="A3806" s="10">
        <f t="shared" si="8"/>
        <v>41788.66667</v>
      </c>
      <c r="B3806" s="2" t="str">
        <f t="shared" si="2"/>
        <v/>
      </c>
      <c r="C3806" s="2" t="str">
        <f t="shared" si="3"/>
        <v>SP500</v>
      </c>
      <c r="D3806" s="2">
        <f t="shared" si="4"/>
        <v>4247.95</v>
      </c>
      <c r="E3806" s="2">
        <f t="shared" si="5"/>
        <v>4247.95</v>
      </c>
      <c r="G3806" s="10">
        <f t="shared" si="9"/>
        <v>41788.64583</v>
      </c>
      <c r="H3806" s="6" t="str">
        <f t="shared" si="6"/>
        <v/>
      </c>
      <c r="I3806" s="2">
        <f t="shared" si="7"/>
        <v>1426.89</v>
      </c>
      <c r="M3806" s="10">
        <f>IFERROR(__xludf.DUMMYFUNCTION("""COMPUTED_VALUE"""),43502.66666666667)</f>
        <v>43502.66667</v>
      </c>
      <c r="N3806" s="2">
        <f>IFERROR(__xludf.DUMMYFUNCTION("""COMPUTED_VALUE"""),7375.28)</f>
        <v>7375.28</v>
      </c>
    </row>
    <row r="3807">
      <c r="A3807" s="10">
        <f t="shared" si="8"/>
        <v>41789.66667</v>
      </c>
      <c r="B3807" s="2" t="str">
        <f t="shared" si="2"/>
        <v/>
      </c>
      <c r="C3807" s="2" t="str">
        <f t="shared" si="3"/>
        <v>SP500</v>
      </c>
      <c r="D3807" s="2">
        <f t="shared" si="4"/>
        <v>4242.62</v>
      </c>
      <c r="E3807" s="2">
        <f t="shared" si="5"/>
        <v>4242.62</v>
      </c>
      <c r="G3807" s="10">
        <f t="shared" si="9"/>
        <v>41789.64583</v>
      </c>
      <c r="H3807" s="6" t="str">
        <f t="shared" si="6"/>
        <v/>
      </c>
      <c r="I3807" s="2">
        <f t="shared" si="7"/>
        <v>1426.89</v>
      </c>
      <c r="M3807" s="10">
        <f>IFERROR(__xludf.DUMMYFUNCTION("""COMPUTED_VALUE"""),43503.66666666667)</f>
        <v>43503.66667</v>
      </c>
      <c r="N3807" s="2">
        <f>IFERROR(__xludf.DUMMYFUNCTION("""COMPUTED_VALUE"""),7288.35)</f>
        <v>7288.35</v>
      </c>
    </row>
    <row r="3808">
      <c r="A3808" s="10">
        <f t="shared" si="8"/>
        <v>41790.66667</v>
      </c>
      <c r="B3808" s="2" t="str">
        <f t="shared" si="2"/>
        <v/>
      </c>
      <c r="C3808" s="2" t="str">
        <f t="shared" si="3"/>
        <v>SP500</v>
      </c>
      <c r="D3808" s="2" t="str">
        <f t="shared" si="4"/>
        <v/>
      </c>
      <c r="E3808" s="2">
        <f t="shared" si="5"/>
        <v>4242.62</v>
      </c>
      <c r="G3808" s="10">
        <f t="shared" si="9"/>
        <v>41790.64583</v>
      </c>
      <c r="H3808" s="6" t="str">
        <f t="shared" si="6"/>
        <v/>
      </c>
      <c r="I3808" s="2">
        <f t="shared" si="7"/>
        <v>1426.89</v>
      </c>
      <c r="M3808" s="10">
        <f>IFERROR(__xludf.DUMMYFUNCTION("""COMPUTED_VALUE"""),43504.66666666667)</f>
        <v>43504.66667</v>
      </c>
      <c r="N3808" s="2">
        <f>IFERROR(__xludf.DUMMYFUNCTION("""COMPUTED_VALUE"""),7298.2)</f>
        <v>7298.2</v>
      </c>
    </row>
    <row r="3809">
      <c r="A3809" s="10">
        <f t="shared" si="8"/>
        <v>41791.66667</v>
      </c>
      <c r="B3809" s="2" t="str">
        <f t="shared" si="2"/>
        <v/>
      </c>
      <c r="C3809" s="2" t="str">
        <f t="shared" si="3"/>
        <v>SP500</v>
      </c>
      <c r="D3809" s="2" t="str">
        <f t="shared" si="4"/>
        <v/>
      </c>
      <c r="E3809" s="2">
        <f t="shared" si="5"/>
        <v>4242.62</v>
      </c>
      <c r="G3809" s="10">
        <f t="shared" si="9"/>
        <v>41791.64583</v>
      </c>
      <c r="H3809" s="6" t="str">
        <f t="shared" si="6"/>
        <v/>
      </c>
      <c r="I3809" s="2">
        <f t="shared" si="7"/>
        <v>1426.89</v>
      </c>
      <c r="M3809" s="10">
        <f>IFERROR(__xludf.DUMMYFUNCTION("""COMPUTED_VALUE"""),43507.66666666667)</f>
        <v>43507.66667</v>
      </c>
      <c r="N3809" s="2">
        <f>IFERROR(__xludf.DUMMYFUNCTION("""COMPUTED_VALUE"""),7307.91)</f>
        <v>7307.91</v>
      </c>
    </row>
    <row r="3810">
      <c r="A3810" s="10">
        <f t="shared" si="8"/>
        <v>41792.66667</v>
      </c>
      <c r="B3810" s="2" t="str">
        <f t="shared" si="2"/>
        <v/>
      </c>
      <c r="C3810" s="2" t="str">
        <f t="shared" si="3"/>
        <v>SP500</v>
      </c>
      <c r="D3810" s="2">
        <f t="shared" si="4"/>
        <v>4237.2</v>
      </c>
      <c r="E3810" s="2">
        <f t="shared" si="5"/>
        <v>4237.2</v>
      </c>
      <c r="G3810" s="10">
        <f t="shared" si="9"/>
        <v>41792.64583</v>
      </c>
      <c r="H3810" s="6" t="str">
        <f t="shared" si="6"/>
        <v/>
      </c>
      <c r="I3810" s="2">
        <f t="shared" si="7"/>
        <v>1426.89</v>
      </c>
      <c r="M3810" s="10">
        <f>IFERROR(__xludf.DUMMYFUNCTION("""COMPUTED_VALUE"""),43508.66666666667)</f>
        <v>43508.66667</v>
      </c>
      <c r="N3810" s="2">
        <f>IFERROR(__xludf.DUMMYFUNCTION("""COMPUTED_VALUE"""),7414.62)</f>
        <v>7414.62</v>
      </c>
    </row>
    <row r="3811">
      <c r="A3811" s="10">
        <f t="shared" si="8"/>
        <v>41793.66667</v>
      </c>
      <c r="B3811" s="2" t="str">
        <f t="shared" si="2"/>
        <v/>
      </c>
      <c r="C3811" s="2" t="str">
        <f t="shared" si="3"/>
        <v>SP500</v>
      </c>
      <c r="D3811" s="2">
        <f t="shared" si="4"/>
        <v>4234.08</v>
      </c>
      <c r="E3811" s="2">
        <f t="shared" si="5"/>
        <v>4234.08</v>
      </c>
      <c r="G3811" s="10">
        <f t="shared" si="9"/>
        <v>41793.64583</v>
      </c>
      <c r="H3811" s="6" t="str">
        <f t="shared" si="6"/>
        <v/>
      </c>
      <c r="I3811" s="2">
        <f t="shared" si="7"/>
        <v>1426.89</v>
      </c>
      <c r="M3811" s="10">
        <f>IFERROR(__xludf.DUMMYFUNCTION("""COMPUTED_VALUE"""),43509.66666666667)</f>
        <v>43509.66667</v>
      </c>
      <c r="N3811" s="2">
        <f>IFERROR(__xludf.DUMMYFUNCTION("""COMPUTED_VALUE"""),7420.38)</f>
        <v>7420.38</v>
      </c>
    </row>
    <row r="3812">
      <c r="A3812" s="10">
        <f t="shared" si="8"/>
        <v>41794.66667</v>
      </c>
      <c r="B3812" s="2" t="str">
        <f t="shared" si="2"/>
        <v/>
      </c>
      <c r="C3812" s="2" t="str">
        <f t="shared" si="3"/>
        <v>SP500</v>
      </c>
      <c r="D3812" s="2">
        <f t="shared" si="4"/>
        <v>4251.64</v>
      </c>
      <c r="E3812" s="2">
        <f t="shared" si="5"/>
        <v>4251.64</v>
      </c>
      <c r="G3812" s="10">
        <f t="shared" si="9"/>
        <v>41794.64583</v>
      </c>
      <c r="H3812" s="6" t="str">
        <f t="shared" si="6"/>
        <v/>
      </c>
      <c r="I3812" s="2">
        <f t="shared" si="7"/>
        <v>1426.89</v>
      </c>
      <c r="M3812" s="10">
        <f>IFERROR(__xludf.DUMMYFUNCTION("""COMPUTED_VALUE"""),43510.66666666667)</f>
        <v>43510.66667</v>
      </c>
      <c r="N3812" s="2">
        <f>IFERROR(__xludf.DUMMYFUNCTION("""COMPUTED_VALUE"""),7426.96)</f>
        <v>7426.96</v>
      </c>
    </row>
    <row r="3813">
      <c r="A3813" s="10">
        <f t="shared" si="8"/>
        <v>41795.66667</v>
      </c>
      <c r="B3813" s="2" t="str">
        <f t="shared" si="2"/>
        <v/>
      </c>
      <c r="C3813" s="2" t="str">
        <f t="shared" si="3"/>
        <v>SP500</v>
      </c>
      <c r="D3813" s="2">
        <f t="shared" si="4"/>
        <v>4296.23</v>
      </c>
      <c r="E3813" s="2">
        <f t="shared" si="5"/>
        <v>4296.23</v>
      </c>
      <c r="G3813" s="10">
        <f t="shared" si="9"/>
        <v>41795.64583</v>
      </c>
      <c r="H3813" s="6" t="str">
        <f t="shared" si="6"/>
        <v/>
      </c>
      <c r="I3813" s="2">
        <f t="shared" si="7"/>
        <v>1426.89</v>
      </c>
      <c r="M3813" s="10">
        <f>IFERROR(__xludf.DUMMYFUNCTION("""COMPUTED_VALUE"""),43511.66666666667)</f>
        <v>43511.66667</v>
      </c>
      <c r="N3813" s="2">
        <f>IFERROR(__xludf.DUMMYFUNCTION("""COMPUTED_VALUE"""),7472.41)</f>
        <v>7472.41</v>
      </c>
    </row>
    <row r="3814">
      <c r="A3814" s="10">
        <f t="shared" si="8"/>
        <v>41796.66667</v>
      </c>
      <c r="B3814" s="2" t="str">
        <f t="shared" si="2"/>
        <v/>
      </c>
      <c r="C3814" s="2" t="str">
        <f t="shared" si="3"/>
        <v>SP500</v>
      </c>
      <c r="D3814" s="2">
        <f t="shared" si="4"/>
        <v>4321.4</v>
      </c>
      <c r="E3814" s="2">
        <f t="shared" si="5"/>
        <v>4321.4</v>
      </c>
      <c r="G3814" s="10">
        <f t="shared" si="9"/>
        <v>41796.64583</v>
      </c>
      <c r="H3814" s="6" t="str">
        <f t="shared" si="6"/>
        <v/>
      </c>
      <c r="I3814" s="2">
        <f t="shared" si="7"/>
        <v>1426.89</v>
      </c>
      <c r="M3814" s="10">
        <f>IFERROR(__xludf.DUMMYFUNCTION("""COMPUTED_VALUE"""),43515.66666666667)</f>
        <v>43515.66667</v>
      </c>
      <c r="N3814" s="2">
        <f>IFERROR(__xludf.DUMMYFUNCTION("""COMPUTED_VALUE"""),7486.77)</f>
        <v>7486.77</v>
      </c>
    </row>
    <row r="3815">
      <c r="A3815" s="10">
        <f t="shared" si="8"/>
        <v>41797.66667</v>
      </c>
      <c r="B3815" s="2" t="str">
        <f t="shared" si="2"/>
        <v/>
      </c>
      <c r="C3815" s="2" t="str">
        <f t="shared" si="3"/>
        <v>SP500</v>
      </c>
      <c r="D3815" s="2" t="str">
        <f t="shared" si="4"/>
        <v/>
      </c>
      <c r="E3815" s="2">
        <f t="shared" si="5"/>
        <v>4321.4</v>
      </c>
      <c r="G3815" s="10">
        <f t="shared" si="9"/>
        <v>41797.64583</v>
      </c>
      <c r="H3815" s="6" t="str">
        <f t="shared" si="6"/>
        <v/>
      </c>
      <c r="I3815" s="2">
        <f t="shared" si="7"/>
        <v>1426.89</v>
      </c>
      <c r="M3815" s="10">
        <f>IFERROR(__xludf.DUMMYFUNCTION("""COMPUTED_VALUE"""),43516.66666666667)</f>
        <v>43516.66667</v>
      </c>
      <c r="N3815" s="2">
        <f>IFERROR(__xludf.DUMMYFUNCTION("""COMPUTED_VALUE"""),7489.07)</f>
        <v>7489.07</v>
      </c>
    </row>
    <row r="3816">
      <c r="A3816" s="10">
        <f t="shared" si="8"/>
        <v>41798.66667</v>
      </c>
      <c r="B3816" s="2" t="str">
        <f t="shared" si="2"/>
        <v/>
      </c>
      <c r="C3816" s="2" t="str">
        <f t="shared" si="3"/>
        <v>SP500</v>
      </c>
      <c r="D3816" s="2" t="str">
        <f t="shared" si="4"/>
        <v/>
      </c>
      <c r="E3816" s="2">
        <f t="shared" si="5"/>
        <v>4321.4</v>
      </c>
      <c r="G3816" s="10">
        <f t="shared" si="9"/>
        <v>41798.64583</v>
      </c>
      <c r="H3816" s="6" t="str">
        <f t="shared" si="6"/>
        <v/>
      </c>
      <c r="I3816" s="2">
        <f t="shared" si="7"/>
        <v>1426.89</v>
      </c>
      <c r="M3816" s="10">
        <f>IFERROR(__xludf.DUMMYFUNCTION("""COMPUTED_VALUE"""),43517.66666666667)</f>
        <v>43517.66667</v>
      </c>
      <c r="N3816" s="2">
        <f>IFERROR(__xludf.DUMMYFUNCTION("""COMPUTED_VALUE"""),7459.71)</f>
        <v>7459.71</v>
      </c>
    </row>
    <row r="3817">
      <c r="A3817" s="10">
        <f t="shared" si="8"/>
        <v>41799.66667</v>
      </c>
      <c r="B3817" s="2" t="str">
        <f t="shared" si="2"/>
        <v/>
      </c>
      <c r="C3817" s="2" t="str">
        <f t="shared" si="3"/>
        <v>SP500</v>
      </c>
      <c r="D3817" s="2">
        <f t="shared" si="4"/>
        <v>4336.24</v>
      </c>
      <c r="E3817" s="2">
        <f t="shared" si="5"/>
        <v>4336.24</v>
      </c>
      <c r="G3817" s="10">
        <f t="shared" si="9"/>
        <v>41799.64583</v>
      </c>
      <c r="H3817" s="6" t="str">
        <f t="shared" si="6"/>
        <v/>
      </c>
      <c r="I3817" s="2">
        <f t="shared" si="7"/>
        <v>1426.89</v>
      </c>
      <c r="M3817" s="10">
        <f>IFERROR(__xludf.DUMMYFUNCTION("""COMPUTED_VALUE"""),43518.66666666667)</f>
        <v>43518.66667</v>
      </c>
      <c r="N3817" s="2">
        <f>IFERROR(__xludf.DUMMYFUNCTION("""COMPUTED_VALUE"""),7527.55)</f>
        <v>7527.55</v>
      </c>
    </row>
    <row r="3818">
      <c r="A3818" s="10">
        <f t="shared" si="8"/>
        <v>41800.66667</v>
      </c>
      <c r="B3818" s="2" t="str">
        <f t="shared" si="2"/>
        <v/>
      </c>
      <c r="C3818" s="2" t="str">
        <f t="shared" si="3"/>
        <v>SP500</v>
      </c>
      <c r="D3818" s="2">
        <f t="shared" si="4"/>
        <v>4338</v>
      </c>
      <c r="E3818" s="2">
        <f t="shared" si="5"/>
        <v>4338</v>
      </c>
      <c r="G3818" s="10">
        <f t="shared" si="9"/>
        <v>41800.64583</v>
      </c>
      <c r="H3818" s="6" t="str">
        <f t="shared" si="6"/>
        <v/>
      </c>
      <c r="I3818" s="2">
        <f t="shared" si="7"/>
        <v>1426.89</v>
      </c>
      <c r="M3818" s="10">
        <f>IFERROR(__xludf.DUMMYFUNCTION("""COMPUTED_VALUE"""),43521.66666666667)</f>
        <v>43521.66667</v>
      </c>
      <c r="N3818" s="2">
        <f>IFERROR(__xludf.DUMMYFUNCTION("""COMPUTED_VALUE"""),7554.46)</f>
        <v>7554.46</v>
      </c>
    </row>
    <row r="3819">
      <c r="A3819" s="10">
        <f t="shared" si="8"/>
        <v>41801.66667</v>
      </c>
      <c r="B3819" s="2" t="str">
        <f t="shared" si="2"/>
        <v/>
      </c>
      <c r="C3819" s="2" t="str">
        <f t="shared" si="3"/>
        <v>SP500</v>
      </c>
      <c r="D3819" s="2">
        <f t="shared" si="4"/>
        <v>4331.93</v>
      </c>
      <c r="E3819" s="2">
        <f t="shared" si="5"/>
        <v>4331.93</v>
      </c>
      <c r="G3819" s="10">
        <f t="shared" si="9"/>
        <v>41801.64583</v>
      </c>
      <c r="H3819" s="6" t="str">
        <f t="shared" si="6"/>
        <v/>
      </c>
      <c r="I3819" s="2">
        <f t="shared" si="7"/>
        <v>1426.89</v>
      </c>
      <c r="M3819" s="10">
        <f>IFERROR(__xludf.DUMMYFUNCTION("""COMPUTED_VALUE"""),43522.66666666667)</f>
        <v>43522.66667</v>
      </c>
      <c r="N3819" s="2">
        <f>IFERROR(__xludf.DUMMYFUNCTION("""COMPUTED_VALUE"""),7549.3)</f>
        <v>7549.3</v>
      </c>
    </row>
    <row r="3820">
      <c r="A3820" s="10">
        <f t="shared" si="8"/>
        <v>41802.66667</v>
      </c>
      <c r="B3820" s="2" t="str">
        <f t="shared" si="2"/>
        <v/>
      </c>
      <c r="C3820" s="2" t="str">
        <f t="shared" si="3"/>
        <v>SP500</v>
      </c>
      <c r="D3820" s="2">
        <f t="shared" si="4"/>
        <v>4297.63</v>
      </c>
      <c r="E3820" s="2">
        <f t="shared" si="5"/>
        <v>4297.63</v>
      </c>
      <c r="G3820" s="10">
        <f t="shared" si="9"/>
        <v>41802.64583</v>
      </c>
      <c r="H3820" s="6" t="str">
        <f t="shared" si="6"/>
        <v/>
      </c>
      <c r="I3820" s="2">
        <f t="shared" si="7"/>
        <v>1426.89</v>
      </c>
      <c r="M3820" s="10">
        <f>IFERROR(__xludf.DUMMYFUNCTION("""COMPUTED_VALUE"""),43523.66666666667)</f>
        <v>43523.66667</v>
      </c>
      <c r="N3820" s="2">
        <f>IFERROR(__xludf.DUMMYFUNCTION("""COMPUTED_VALUE"""),7554.51)</f>
        <v>7554.51</v>
      </c>
    </row>
    <row r="3821">
      <c r="A3821" s="10">
        <f t="shared" si="8"/>
        <v>41803.66667</v>
      </c>
      <c r="B3821" s="2" t="str">
        <f t="shared" si="2"/>
        <v/>
      </c>
      <c r="C3821" s="2" t="str">
        <f t="shared" si="3"/>
        <v>SP500</v>
      </c>
      <c r="D3821" s="2">
        <f t="shared" si="4"/>
        <v>4310.65</v>
      </c>
      <c r="E3821" s="2">
        <f t="shared" si="5"/>
        <v>4310.65</v>
      </c>
      <c r="G3821" s="10">
        <f t="shared" si="9"/>
        <v>41803.64583</v>
      </c>
      <c r="H3821" s="6" t="str">
        <f t="shared" si="6"/>
        <v/>
      </c>
      <c r="I3821" s="2">
        <f t="shared" si="7"/>
        <v>1426.89</v>
      </c>
      <c r="M3821" s="10">
        <f>IFERROR(__xludf.DUMMYFUNCTION("""COMPUTED_VALUE"""),43524.66666666667)</f>
        <v>43524.66667</v>
      </c>
      <c r="N3821" s="2">
        <f>IFERROR(__xludf.DUMMYFUNCTION("""COMPUTED_VALUE"""),7532.53)</f>
        <v>7532.53</v>
      </c>
    </row>
    <row r="3822">
      <c r="A3822" s="10">
        <f t="shared" si="8"/>
        <v>41804.66667</v>
      </c>
      <c r="B3822" s="2" t="str">
        <f t="shared" si="2"/>
        <v/>
      </c>
      <c r="C3822" s="2" t="str">
        <f t="shared" si="3"/>
        <v>SP500</v>
      </c>
      <c r="D3822" s="2" t="str">
        <f t="shared" si="4"/>
        <v/>
      </c>
      <c r="E3822" s="2">
        <f t="shared" si="5"/>
        <v>4310.65</v>
      </c>
      <c r="G3822" s="10">
        <f t="shared" si="9"/>
        <v>41804.64583</v>
      </c>
      <c r="H3822" s="6" t="str">
        <f t="shared" si="6"/>
        <v/>
      </c>
      <c r="I3822" s="2">
        <f t="shared" si="7"/>
        <v>1426.89</v>
      </c>
      <c r="M3822" s="10">
        <f>IFERROR(__xludf.DUMMYFUNCTION("""COMPUTED_VALUE"""),43525.66666666667)</f>
        <v>43525.66667</v>
      </c>
      <c r="N3822" s="2">
        <f>IFERROR(__xludf.DUMMYFUNCTION("""COMPUTED_VALUE"""),7595.35)</f>
        <v>7595.35</v>
      </c>
    </row>
    <row r="3823">
      <c r="A3823" s="10">
        <f t="shared" si="8"/>
        <v>41805.66667</v>
      </c>
      <c r="B3823" s="2" t="str">
        <f t="shared" si="2"/>
        <v/>
      </c>
      <c r="C3823" s="2" t="str">
        <f t="shared" si="3"/>
        <v>SP500</v>
      </c>
      <c r="D3823" s="2" t="str">
        <f t="shared" si="4"/>
        <v/>
      </c>
      <c r="E3823" s="2">
        <f t="shared" si="5"/>
        <v>4310.65</v>
      </c>
      <c r="G3823" s="10">
        <f t="shared" si="9"/>
        <v>41805.64583</v>
      </c>
      <c r="H3823" s="6" t="str">
        <f t="shared" si="6"/>
        <v/>
      </c>
      <c r="I3823" s="2">
        <f t="shared" si="7"/>
        <v>1426.89</v>
      </c>
      <c r="M3823" s="10">
        <f>IFERROR(__xludf.DUMMYFUNCTION("""COMPUTED_VALUE"""),43528.66666666667)</f>
        <v>43528.66667</v>
      </c>
      <c r="N3823" s="2">
        <f>IFERROR(__xludf.DUMMYFUNCTION("""COMPUTED_VALUE"""),7577.57)</f>
        <v>7577.57</v>
      </c>
    </row>
    <row r="3824">
      <c r="A3824" s="10">
        <f t="shared" si="8"/>
        <v>41806.66667</v>
      </c>
      <c r="B3824" s="2" t="str">
        <f t="shared" si="2"/>
        <v/>
      </c>
      <c r="C3824" s="2" t="str">
        <f t="shared" si="3"/>
        <v>SP500</v>
      </c>
      <c r="D3824" s="2">
        <f t="shared" si="4"/>
        <v>4321.11</v>
      </c>
      <c r="E3824" s="2">
        <f t="shared" si="5"/>
        <v>4321.11</v>
      </c>
      <c r="G3824" s="10">
        <f t="shared" si="9"/>
        <v>41806.64583</v>
      </c>
      <c r="H3824" s="6" t="str">
        <f t="shared" si="6"/>
        <v/>
      </c>
      <c r="I3824" s="2">
        <f t="shared" si="7"/>
        <v>1426.89</v>
      </c>
      <c r="M3824" s="10">
        <f>IFERROR(__xludf.DUMMYFUNCTION("""COMPUTED_VALUE"""),43529.66666666667)</f>
        <v>43529.66667</v>
      </c>
      <c r="N3824" s="2">
        <f>IFERROR(__xludf.DUMMYFUNCTION("""COMPUTED_VALUE"""),7576.36)</f>
        <v>7576.36</v>
      </c>
    </row>
    <row r="3825">
      <c r="A3825" s="10">
        <f t="shared" si="8"/>
        <v>41807.66667</v>
      </c>
      <c r="B3825" s="2" t="str">
        <f t="shared" si="2"/>
        <v/>
      </c>
      <c r="C3825" s="2" t="str">
        <f t="shared" si="3"/>
        <v>SP500</v>
      </c>
      <c r="D3825" s="2">
        <f t="shared" si="4"/>
        <v>4337.23</v>
      </c>
      <c r="E3825" s="2">
        <f t="shared" si="5"/>
        <v>4337.23</v>
      </c>
      <c r="G3825" s="10">
        <f t="shared" si="9"/>
        <v>41807.64583</v>
      </c>
      <c r="H3825" s="6" t="str">
        <f t="shared" si="6"/>
        <v/>
      </c>
      <c r="I3825" s="2">
        <f t="shared" si="7"/>
        <v>1426.89</v>
      </c>
      <c r="M3825" s="10">
        <f>IFERROR(__xludf.DUMMYFUNCTION("""COMPUTED_VALUE"""),43530.66666666667)</f>
        <v>43530.66667</v>
      </c>
      <c r="N3825" s="2">
        <f>IFERROR(__xludf.DUMMYFUNCTION("""COMPUTED_VALUE"""),7505.92)</f>
        <v>7505.92</v>
      </c>
    </row>
    <row r="3826">
      <c r="A3826" s="10">
        <f t="shared" si="8"/>
        <v>41808.66667</v>
      </c>
      <c r="B3826" s="2" t="str">
        <f t="shared" si="2"/>
        <v/>
      </c>
      <c r="C3826" s="2" t="str">
        <f t="shared" si="3"/>
        <v>SP500</v>
      </c>
      <c r="D3826" s="2">
        <f t="shared" si="4"/>
        <v>4362.84</v>
      </c>
      <c r="E3826" s="2">
        <f t="shared" si="5"/>
        <v>4362.84</v>
      </c>
      <c r="G3826" s="10">
        <f t="shared" si="9"/>
        <v>41808.64583</v>
      </c>
      <c r="H3826" s="6" t="str">
        <f t="shared" si="6"/>
        <v/>
      </c>
      <c r="I3826" s="2">
        <f t="shared" si="7"/>
        <v>1426.89</v>
      </c>
      <c r="M3826" s="10">
        <f>IFERROR(__xludf.DUMMYFUNCTION("""COMPUTED_VALUE"""),43531.66666666667)</f>
        <v>43531.66667</v>
      </c>
      <c r="N3826" s="2">
        <f>IFERROR(__xludf.DUMMYFUNCTION("""COMPUTED_VALUE"""),7421.46)</f>
        <v>7421.46</v>
      </c>
    </row>
    <row r="3827">
      <c r="A3827" s="10">
        <f t="shared" si="8"/>
        <v>41809.66667</v>
      </c>
      <c r="B3827" s="2" t="str">
        <f t="shared" si="2"/>
        <v/>
      </c>
      <c r="C3827" s="2" t="str">
        <f t="shared" si="3"/>
        <v>SP500</v>
      </c>
      <c r="D3827" s="2">
        <f t="shared" si="4"/>
        <v>4359.33</v>
      </c>
      <c r="E3827" s="2">
        <f t="shared" si="5"/>
        <v>4359.33</v>
      </c>
      <c r="G3827" s="10">
        <f t="shared" si="9"/>
        <v>41809.64583</v>
      </c>
      <c r="H3827" s="6" t="str">
        <f t="shared" si="6"/>
        <v/>
      </c>
      <c r="I3827" s="2">
        <f t="shared" si="7"/>
        <v>1426.89</v>
      </c>
      <c r="M3827" s="10">
        <f>IFERROR(__xludf.DUMMYFUNCTION("""COMPUTED_VALUE"""),43532.66666666667)</f>
        <v>43532.66667</v>
      </c>
      <c r="N3827" s="2">
        <f>IFERROR(__xludf.DUMMYFUNCTION("""COMPUTED_VALUE"""),7408.14)</f>
        <v>7408.14</v>
      </c>
    </row>
    <row r="3828">
      <c r="A3828" s="10">
        <f t="shared" si="8"/>
        <v>41810.66667</v>
      </c>
      <c r="B3828" s="2" t="str">
        <f t="shared" si="2"/>
        <v/>
      </c>
      <c r="C3828" s="2" t="str">
        <f t="shared" si="3"/>
        <v>SP500</v>
      </c>
      <c r="D3828" s="2">
        <f t="shared" si="4"/>
        <v>4368.04</v>
      </c>
      <c r="E3828" s="2">
        <f t="shared" si="5"/>
        <v>4368.04</v>
      </c>
      <c r="G3828" s="10">
        <f t="shared" si="9"/>
        <v>41810.64583</v>
      </c>
      <c r="H3828" s="6" t="str">
        <f t="shared" si="6"/>
        <v/>
      </c>
      <c r="I3828" s="2">
        <f t="shared" si="7"/>
        <v>1426.89</v>
      </c>
      <c r="M3828" s="10">
        <f>IFERROR(__xludf.DUMMYFUNCTION("""COMPUTED_VALUE"""),43535.66666666667)</f>
        <v>43535.66667</v>
      </c>
      <c r="N3828" s="2">
        <f>IFERROR(__xludf.DUMMYFUNCTION("""COMPUTED_VALUE"""),7558.06)</f>
        <v>7558.06</v>
      </c>
    </row>
    <row r="3829">
      <c r="A3829" s="10">
        <f t="shared" si="8"/>
        <v>41811.66667</v>
      </c>
      <c r="B3829" s="2" t="str">
        <f t="shared" si="2"/>
        <v/>
      </c>
      <c r="C3829" s="2" t="str">
        <f t="shared" si="3"/>
        <v>SP500</v>
      </c>
      <c r="D3829" s="2" t="str">
        <f t="shared" si="4"/>
        <v/>
      </c>
      <c r="E3829" s="2">
        <f t="shared" si="5"/>
        <v>4368.04</v>
      </c>
      <c r="G3829" s="10">
        <f t="shared" si="9"/>
        <v>41811.64583</v>
      </c>
      <c r="H3829" s="6" t="str">
        <f t="shared" si="6"/>
        <v/>
      </c>
      <c r="I3829" s="2">
        <f t="shared" si="7"/>
        <v>1426.89</v>
      </c>
      <c r="M3829" s="10">
        <f>IFERROR(__xludf.DUMMYFUNCTION("""COMPUTED_VALUE"""),43536.66666666667)</f>
        <v>43536.66667</v>
      </c>
      <c r="N3829" s="2">
        <f>IFERROR(__xludf.DUMMYFUNCTION("""COMPUTED_VALUE"""),7591.03)</f>
        <v>7591.03</v>
      </c>
    </row>
    <row r="3830">
      <c r="A3830" s="10">
        <f t="shared" si="8"/>
        <v>41812.66667</v>
      </c>
      <c r="B3830" s="2" t="str">
        <f t="shared" si="2"/>
        <v/>
      </c>
      <c r="C3830" s="2" t="str">
        <f t="shared" si="3"/>
        <v>SP500</v>
      </c>
      <c r="D3830" s="2" t="str">
        <f t="shared" si="4"/>
        <v/>
      </c>
      <c r="E3830" s="2">
        <f t="shared" si="5"/>
        <v>4368.04</v>
      </c>
      <c r="G3830" s="10">
        <f t="shared" si="9"/>
        <v>41812.64583</v>
      </c>
      <c r="H3830" s="6" t="str">
        <f t="shared" si="6"/>
        <v/>
      </c>
      <c r="I3830" s="2">
        <f t="shared" si="7"/>
        <v>1426.89</v>
      </c>
      <c r="M3830" s="10">
        <f>IFERROR(__xludf.DUMMYFUNCTION("""COMPUTED_VALUE"""),43537.66666666667)</f>
        <v>43537.66667</v>
      </c>
      <c r="N3830" s="2">
        <f>IFERROR(__xludf.DUMMYFUNCTION("""COMPUTED_VALUE"""),7643.41)</f>
        <v>7643.41</v>
      </c>
    </row>
    <row r="3831">
      <c r="A3831" s="10">
        <f t="shared" si="8"/>
        <v>41813.66667</v>
      </c>
      <c r="B3831" s="2" t="str">
        <f t="shared" si="2"/>
        <v/>
      </c>
      <c r="C3831" s="2" t="str">
        <f t="shared" si="3"/>
        <v>SP500</v>
      </c>
      <c r="D3831" s="2">
        <f t="shared" si="4"/>
        <v>4368.68</v>
      </c>
      <c r="E3831" s="2">
        <f t="shared" si="5"/>
        <v>4368.68</v>
      </c>
      <c r="G3831" s="10">
        <f t="shared" si="9"/>
        <v>41813.64583</v>
      </c>
      <c r="H3831" s="6" t="str">
        <f t="shared" si="6"/>
        <v/>
      </c>
      <c r="I3831" s="2">
        <f t="shared" si="7"/>
        <v>1426.89</v>
      </c>
      <c r="M3831" s="10">
        <f>IFERROR(__xludf.DUMMYFUNCTION("""COMPUTED_VALUE"""),43538.66666666667)</f>
        <v>43538.66667</v>
      </c>
      <c r="N3831" s="2">
        <f>IFERROR(__xludf.DUMMYFUNCTION("""COMPUTED_VALUE"""),7630.91)</f>
        <v>7630.91</v>
      </c>
    </row>
    <row r="3832">
      <c r="A3832" s="10">
        <f t="shared" si="8"/>
        <v>41814.66667</v>
      </c>
      <c r="B3832" s="2" t="str">
        <f t="shared" si="2"/>
        <v/>
      </c>
      <c r="C3832" s="2" t="str">
        <f t="shared" si="3"/>
        <v>SP500</v>
      </c>
      <c r="D3832" s="2">
        <f t="shared" si="4"/>
        <v>4350.36</v>
      </c>
      <c r="E3832" s="2">
        <f t="shared" si="5"/>
        <v>4350.36</v>
      </c>
      <c r="G3832" s="10">
        <f t="shared" si="9"/>
        <v>41814.64583</v>
      </c>
      <c r="H3832" s="6" t="str">
        <f t="shared" si="6"/>
        <v/>
      </c>
      <c r="I3832" s="2">
        <f t="shared" si="7"/>
        <v>1426.89</v>
      </c>
      <c r="M3832" s="10">
        <f>IFERROR(__xludf.DUMMYFUNCTION("""COMPUTED_VALUE"""),43539.66666666667)</f>
        <v>43539.66667</v>
      </c>
      <c r="N3832" s="2">
        <f>IFERROR(__xludf.DUMMYFUNCTION("""COMPUTED_VALUE"""),7688.53)</f>
        <v>7688.53</v>
      </c>
    </row>
    <row r="3833">
      <c r="A3833" s="10">
        <f t="shared" si="8"/>
        <v>41815.66667</v>
      </c>
      <c r="B3833" s="2" t="str">
        <f t="shared" si="2"/>
        <v/>
      </c>
      <c r="C3833" s="2" t="str">
        <f t="shared" si="3"/>
        <v>SP500</v>
      </c>
      <c r="D3833" s="2">
        <f t="shared" si="4"/>
        <v>4379.76</v>
      </c>
      <c r="E3833" s="2">
        <f t="shared" si="5"/>
        <v>4379.76</v>
      </c>
      <c r="G3833" s="10">
        <f t="shared" si="9"/>
        <v>41815.64583</v>
      </c>
      <c r="H3833" s="6" t="str">
        <f t="shared" si="6"/>
        <v/>
      </c>
      <c r="I3833" s="2">
        <f t="shared" si="7"/>
        <v>1426.89</v>
      </c>
      <c r="M3833" s="10">
        <f>IFERROR(__xludf.DUMMYFUNCTION("""COMPUTED_VALUE"""),43542.66666666667)</f>
        <v>43542.66667</v>
      </c>
      <c r="N3833" s="2">
        <f>IFERROR(__xludf.DUMMYFUNCTION("""COMPUTED_VALUE"""),7714.48)</f>
        <v>7714.48</v>
      </c>
    </row>
    <row r="3834">
      <c r="A3834" s="10">
        <f t="shared" si="8"/>
        <v>41816.66667</v>
      </c>
      <c r="B3834" s="2" t="str">
        <f t="shared" si="2"/>
        <v/>
      </c>
      <c r="C3834" s="2" t="str">
        <f t="shared" si="3"/>
        <v>SP500</v>
      </c>
      <c r="D3834" s="2">
        <f t="shared" si="4"/>
        <v>4379.05</v>
      </c>
      <c r="E3834" s="2">
        <f t="shared" si="5"/>
        <v>4379.05</v>
      </c>
      <c r="G3834" s="10">
        <f t="shared" si="9"/>
        <v>41816.64583</v>
      </c>
      <c r="H3834" s="6" t="str">
        <f t="shared" si="6"/>
        <v/>
      </c>
      <c r="I3834" s="2">
        <f t="shared" si="7"/>
        <v>1426.89</v>
      </c>
      <c r="M3834" s="10">
        <f>IFERROR(__xludf.DUMMYFUNCTION("""COMPUTED_VALUE"""),43543.66666666667)</f>
        <v>43543.66667</v>
      </c>
      <c r="N3834" s="2">
        <f>IFERROR(__xludf.DUMMYFUNCTION("""COMPUTED_VALUE"""),7723.95)</f>
        <v>7723.95</v>
      </c>
    </row>
    <row r="3835">
      <c r="A3835" s="10">
        <f t="shared" si="8"/>
        <v>41817.66667</v>
      </c>
      <c r="B3835" s="2" t="str">
        <f t="shared" si="2"/>
        <v/>
      </c>
      <c r="C3835" s="2" t="str">
        <f t="shared" si="3"/>
        <v>SP500</v>
      </c>
      <c r="D3835" s="2">
        <f t="shared" si="4"/>
        <v>4397.93</v>
      </c>
      <c r="E3835" s="2">
        <f t="shared" si="5"/>
        <v>4397.93</v>
      </c>
      <c r="G3835" s="10">
        <f t="shared" si="9"/>
        <v>41817.64583</v>
      </c>
      <c r="H3835" s="6" t="str">
        <f t="shared" si="6"/>
        <v/>
      </c>
      <c r="I3835" s="2">
        <f t="shared" si="7"/>
        <v>1426.89</v>
      </c>
      <c r="M3835" s="10">
        <f>IFERROR(__xludf.DUMMYFUNCTION("""COMPUTED_VALUE"""),43544.66666666667)</f>
        <v>43544.66667</v>
      </c>
      <c r="N3835" s="2">
        <f>IFERROR(__xludf.DUMMYFUNCTION("""COMPUTED_VALUE"""),7728.97)</f>
        <v>7728.97</v>
      </c>
    </row>
    <row r="3836">
      <c r="A3836" s="10">
        <f t="shared" si="8"/>
        <v>41818.66667</v>
      </c>
      <c r="B3836" s="2" t="str">
        <f t="shared" si="2"/>
        <v/>
      </c>
      <c r="C3836" s="2" t="str">
        <f t="shared" si="3"/>
        <v>SP500</v>
      </c>
      <c r="D3836" s="2" t="str">
        <f t="shared" si="4"/>
        <v/>
      </c>
      <c r="E3836" s="2">
        <f t="shared" si="5"/>
        <v>4397.93</v>
      </c>
      <c r="G3836" s="10">
        <f t="shared" si="9"/>
        <v>41818.64583</v>
      </c>
      <c r="H3836" s="6" t="str">
        <f t="shared" si="6"/>
        <v/>
      </c>
      <c r="I3836" s="2">
        <f t="shared" si="7"/>
        <v>1426.89</v>
      </c>
      <c r="M3836" s="10">
        <f>IFERROR(__xludf.DUMMYFUNCTION("""COMPUTED_VALUE"""),43545.66666666667)</f>
        <v>43545.66667</v>
      </c>
      <c r="N3836" s="2">
        <f>IFERROR(__xludf.DUMMYFUNCTION("""COMPUTED_VALUE"""),7838.96)</f>
        <v>7838.96</v>
      </c>
    </row>
    <row r="3837">
      <c r="A3837" s="10">
        <f t="shared" si="8"/>
        <v>41819.66667</v>
      </c>
      <c r="B3837" s="2" t="str">
        <f t="shared" si="2"/>
        <v/>
      </c>
      <c r="C3837" s="2" t="str">
        <f t="shared" si="3"/>
        <v>SP500</v>
      </c>
      <c r="D3837" s="2" t="str">
        <f t="shared" si="4"/>
        <v/>
      </c>
      <c r="E3837" s="2">
        <f t="shared" si="5"/>
        <v>4397.93</v>
      </c>
      <c r="G3837" s="10">
        <f t="shared" si="9"/>
        <v>41819.64583</v>
      </c>
      <c r="H3837" s="6" t="str">
        <f t="shared" si="6"/>
        <v/>
      </c>
      <c r="I3837" s="2">
        <f t="shared" si="7"/>
        <v>1426.89</v>
      </c>
      <c r="M3837" s="10">
        <f>IFERROR(__xludf.DUMMYFUNCTION("""COMPUTED_VALUE"""),43546.66666666667)</f>
        <v>43546.66667</v>
      </c>
      <c r="N3837" s="2">
        <f>IFERROR(__xludf.DUMMYFUNCTION("""COMPUTED_VALUE"""),7642.67)</f>
        <v>7642.67</v>
      </c>
    </row>
    <row r="3838">
      <c r="A3838" s="10">
        <f t="shared" si="8"/>
        <v>41820.66667</v>
      </c>
      <c r="B3838" s="2" t="str">
        <f t="shared" si="2"/>
        <v/>
      </c>
      <c r="C3838" s="2" t="str">
        <f t="shared" si="3"/>
        <v>SP500</v>
      </c>
      <c r="D3838" s="2">
        <f t="shared" si="4"/>
        <v>4408.18</v>
      </c>
      <c r="E3838" s="2">
        <f t="shared" si="5"/>
        <v>4408.18</v>
      </c>
      <c r="G3838" s="10">
        <f t="shared" si="9"/>
        <v>41820.64583</v>
      </c>
      <c r="H3838" s="6" t="str">
        <f t="shared" si="6"/>
        <v/>
      </c>
      <c r="I3838" s="2">
        <f t="shared" si="7"/>
        <v>1426.89</v>
      </c>
      <c r="M3838" s="10">
        <f>IFERROR(__xludf.DUMMYFUNCTION("""COMPUTED_VALUE"""),43549.66666666667)</f>
        <v>43549.66667</v>
      </c>
      <c r="N3838" s="2">
        <f>IFERROR(__xludf.DUMMYFUNCTION("""COMPUTED_VALUE"""),7637.54)</f>
        <v>7637.54</v>
      </c>
    </row>
    <row r="3839">
      <c r="A3839" s="10">
        <f t="shared" si="8"/>
        <v>41821.66667</v>
      </c>
      <c r="B3839" s="2" t="str">
        <f t="shared" si="2"/>
        <v/>
      </c>
      <c r="C3839" s="2" t="str">
        <f t="shared" si="3"/>
        <v>SP500</v>
      </c>
      <c r="D3839" s="2">
        <f t="shared" si="4"/>
        <v>4458.65</v>
      </c>
      <c r="E3839" s="2">
        <f t="shared" si="5"/>
        <v>4458.65</v>
      </c>
      <c r="G3839" s="10">
        <f t="shared" si="9"/>
        <v>41821.64583</v>
      </c>
      <c r="H3839" s="6" t="str">
        <f t="shared" si="6"/>
        <v/>
      </c>
      <c r="I3839" s="2">
        <f t="shared" si="7"/>
        <v>1426.89</v>
      </c>
      <c r="M3839" s="10">
        <f>IFERROR(__xludf.DUMMYFUNCTION("""COMPUTED_VALUE"""),43550.66666666667)</f>
        <v>43550.66667</v>
      </c>
      <c r="N3839" s="2">
        <f>IFERROR(__xludf.DUMMYFUNCTION("""COMPUTED_VALUE"""),7691.52)</f>
        <v>7691.52</v>
      </c>
    </row>
    <row r="3840">
      <c r="A3840" s="10">
        <f t="shared" si="8"/>
        <v>41822.66667</v>
      </c>
      <c r="B3840" s="2" t="str">
        <f t="shared" si="2"/>
        <v/>
      </c>
      <c r="C3840" s="2" t="str">
        <f t="shared" si="3"/>
        <v>SP500</v>
      </c>
      <c r="D3840" s="2">
        <f t="shared" si="4"/>
        <v>4457.73</v>
      </c>
      <c r="E3840" s="2">
        <f t="shared" si="5"/>
        <v>4457.73</v>
      </c>
      <c r="G3840" s="10">
        <f t="shared" si="9"/>
        <v>41822.64583</v>
      </c>
      <c r="H3840" s="6" t="str">
        <f t="shared" si="6"/>
        <v/>
      </c>
      <c r="I3840" s="2">
        <f t="shared" si="7"/>
        <v>1426.89</v>
      </c>
      <c r="M3840" s="10">
        <f>IFERROR(__xludf.DUMMYFUNCTION("""COMPUTED_VALUE"""),43551.66666666667)</f>
        <v>43551.66667</v>
      </c>
      <c r="N3840" s="2">
        <f>IFERROR(__xludf.DUMMYFUNCTION("""COMPUTED_VALUE"""),7643.38)</f>
        <v>7643.38</v>
      </c>
    </row>
    <row r="3841">
      <c r="A3841" s="10">
        <f t="shared" si="8"/>
        <v>41823.66667</v>
      </c>
      <c r="B3841" s="2" t="str">
        <f t="shared" si="2"/>
        <v/>
      </c>
      <c r="C3841" s="2" t="str">
        <f t="shared" si="3"/>
        <v>SP500</v>
      </c>
      <c r="D3841" s="2">
        <f t="shared" si="4"/>
        <v>4485.93</v>
      </c>
      <c r="E3841" s="2">
        <f t="shared" si="5"/>
        <v>4485.93</v>
      </c>
      <c r="G3841" s="10">
        <f t="shared" si="9"/>
        <v>41823.64583</v>
      </c>
      <c r="H3841" s="6" t="str">
        <f t="shared" si="6"/>
        <v/>
      </c>
      <c r="I3841" s="2">
        <f t="shared" si="7"/>
        <v>1426.89</v>
      </c>
      <c r="M3841" s="10">
        <f>IFERROR(__xludf.DUMMYFUNCTION("""COMPUTED_VALUE"""),43552.66666666667)</f>
        <v>43552.66667</v>
      </c>
      <c r="N3841" s="2">
        <f>IFERROR(__xludf.DUMMYFUNCTION("""COMPUTED_VALUE"""),7669.17)</f>
        <v>7669.17</v>
      </c>
    </row>
    <row r="3842">
      <c r="A3842" s="10">
        <f t="shared" si="8"/>
        <v>41824.66667</v>
      </c>
      <c r="B3842" s="2" t="str">
        <f t="shared" si="2"/>
        <v/>
      </c>
      <c r="C3842" s="2" t="str">
        <f t="shared" si="3"/>
        <v>SP500</v>
      </c>
      <c r="D3842" s="2" t="str">
        <f t="shared" si="4"/>
        <v/>
      </c>
      <c r="E3842" s="2">
        <f t="shared" si="5"/>
        <v>4485.93</v>
      </c>
      <c r="G3842" s="10">
        <f t="shared" si="9"/>
        <v>41824.64583</v>
      </c>
      <c r="H3842" s="6" t="str">
        <f t="shared" si="6"/>
        <v/>
      </c>
      <c r="I3842" s="2">
        <f t="shared" si="7"/>
        <v>1426.89</v>
      </c>
      <c r="M3842" s="10">
        <f>IFERROR(__xludf.DUMMYFUNCTION("""COMPUTED_VALUE"""),43553.66666666667)</f>
        <v>43553.66667</v>
      </c>
      <c r="N3842" s="2">
        <f>IFERROR(__xludf.DUMMYFUNCTION("""COMPUTED_VALUE"""),7729.32)</f>
        <v>7729.32</v>
      </c>
    </row>
    <row r="3843">
      <c r="A3843" s="10">
        <f t="shared" si="8"/>
        <v>41825.66667</v>
      </c>
      <c r="B3843" s="2" t="str">
        <f t="shared" si="2"/>
        <v/>
      </c>
      <c r="C3843" s="2" t="str">
        <f t="shared" si="3"/>
        <v>SP500</v>
      </c>
      <c r="D3843" s="2" t="str">
        <f t="shared" si="4"/>
        <v/>
      </c>
      <c r="E3843" s="2">
        <f t="shared" si="5"/>
        <v>4485.93</v>
      </c>
      <c r="G3843" s="10">
        <f t="shared" si="9"/>
        <v>41825.64583</v>
      </c>
      <c r="H3843" s="6" t="str">
        <f t="shared" si="6"/>
        <v/>
      </c>
      <c r="I3843" s="2">
        <f t="shared" si="7"/>
        <v>1426.89</v>
      </c>
      <c r="M3843" s="10">
        <f>IFERROR(__xludf.DUMMYFUNCTION("""COMPUTED_VALUE"""),43556.66666666667)</f>
        <v>43556.66667</v>
      </c>
      <c r="N3843" s="2">
        <f>IFERROR(__xludf.DUMMYFUNCTION("""COMPUTED_VALUE"""),7828.91)</f>
        <v>7828.91</v>
      </c>
    </row>
    <row r="3844">
      <c r="A3844" s="10">
        <f t="shared" si="8"/>
        <v>41826.66667</v>
      </c>
      <c r="B3844" s="2" t="str">
        <f t="shared" si="2"/>
        <v/>
      </c>
      <c r="C3844" s="2" t="str">
        <f t="shared" si="3"/>
        <v>SP500</v>
      </c>
      <c r="D3844" s="2" t="str">
        <f t="shared" si="4"/>
        <v/>
      </c>
      <c r="E3844" s="2">
        <f t="shared" si="5"/>
        <v>4485.93</v>
      </c>
      <c r="G3844" s="10">
        <f t="shared" si="9"/>
        <v>41826.64583</v>
      </c>
      <c r="H3844" s="6" t="str">
        <f t="shared" si="6"/>
        <v/>
      </c>
      <c r="I3844" s="2">
        <f t="shared" si="7"/>
        <v>1426.89</v>
      </c>
      <c r="M3844" s="10">
        <f>IFERROR(__xludf.DUMMYFUNCTION("""COMPUTED_VALUE"""),43557.66666666667)</f>
        <v>43557.66667</v>
      </c>
      <c r="N3844" s="2">
        <f>IFERROR(__xludf.DUMMYFUNCTION("""COMPUTED_VALUE"""),7848.69)</f>
        <v>7848.69</v>
      </c>
    </row>
    <row r="3845">
      <c r="A3845" s="10">
        <f t="shared" si="8"/>
        <v>41827.66667</v>
      </c>
      <c r="B3845" s="2" t="str">
        <f t="shared" si="2"/>
        <v/>
      </c>
      <c r="C3845" s="2" t="str">
        <f t="shared" si="3"/>
        <v>SP500</v>
      </c>
      <c r="D3845" s="2">
        <f t="shared" si="4"/>
        <v>4451.53</v>
      </c>
      <c r="E3845" s="2">
        <f t="shared" si="5"/>
        <v>4451.53</v>
      </c>
      <c r="G3845" s="10">
        <f t="shared" si="9"/>
        <v>41827.64583</v>
      </c>
      <c r="H3845" s="6" t="str">
        <f t="shared" si="6"/>
        <v/>
      </c>
      <c r="I3845" s="2">
        <f t="shared" si="7"/>
        <v>1426.89</v>
      </c>
      <c r="M3845" s="10">
        <f>IFERROR(__xludf.DUMMYFUNCTION("""COMPUTED_VALUE"""),43558.66666666667)</f>
        <v>43558.66667</v>
      </c>
      <c r="N3845" s="2">
        <f>IFERROR(__xludf.DUMMYFUNCTION("""COMPUTED_VALUE"""),7895.55)</f>
        <v>7895.55</v>
      </c>
    </row>
    <row r="3846">
      <c r="A3846" s="10">
        <f t="shared" si="8"/>
        <v>41828.66667</v>
      </c>
      <c r="B3846" s="2" t="str">
        <f t="shared" si="2"/>
        <v/>
      </c>
      <c r="C3846" s="2" t="str">
        <f t="shared" si="3"/>
        <v>SP500</v>
      </c>
      <c r="D3846" s="2">
        <f t="shared" si="4"/>
        <v>4391.46</v>
      </c>
      <c r="E3846" s="2">
        <f t="shared" si="5"/>
        <v>4391.46</v>
      </c>
      <c r="G3846" s="10">
        <f t="shared" si="9"/>
        <v>41828.64583</v>
      </c>
      <c r="H3846" s="6" t="str">
        <f t="shared" si="6"/>
        <v/>
      </c>
      <c r="I3846" s="2">
        <f t="shared" si="7"/>
        <v>1426.89</v>
      </c>
      <c r="M3846" s="10">
        <f>IFERROR(__xludf.DUMMYFUNCTION("""COMPUTED_VALUE"""),43559.66666666667)</f>
        <v>43559.66667</v>
      </c>
      <c r="N3846" s="2">
        <f>IFERROR(__xludf.DUMMYFUNCTION("""COMPUTED_VALUE"""),7891.78)</f>
        <v>7891.78</v>
      </c>
    </row>
    <row r="3847">
      <c r="A3847" s="10">
        <f t="shared" si="8"/>
        <v>41829.66667</v>
      </c>
      <c r="B3847" s="2" t="str">
        <f t="shared" si="2"/>
        <v/>
      </c>
      <c r="C3847" s="2" t="str">
        <f t="shared" si="3"/>
        <v>SP500</v>
      </c>
      <c r="D3847" s="2">
        <f t="shared" si="4"/>
        <v>4419.03</v>
      </c>
      <c r="E3847" s="2">
        <f t="shared" si="5"/>
        <v>4419.03</v>
      </c>
      <c r="G3847" s="10">
        <f t="shared" si="9"/>
        <v>41829.64583</v>
      </c>
      <c r="H3847" s="6" t="str">
        <f t="shared" si="6"/>
        <v/>
      </c>
      <c r="I3847" s="2">
        <f t="shared" si="7"/>
        <v>1426.89</v>
      </c>
      <c r="M3847" s="10">
        <f>IFERROR(__xludf.DUMMYFUNCTION("""COMPUTED_VALUE"""),43560.66666666667)</f>
        <v>43560.66667</v>
      </c>
      <c r="N3847" s="2">
        <f>IFERROR(__xludf.DUMMYFUNCTION("""COMPUTED_VALUE"""),7938.69)</f>
        <v>7938.69</v>
      </c>
    </row>
    <row r="3848">
      <c r="A3848" s="10">
        <f t="shared" si="8"/>
        <v>41830.66667</v>
      </c>
      <c r="B3848" s="2" t="str">
        <f t="shared" si="2"/>
        <v/>
      </c>
      <c r="C3848" s="2" t="str">
        <f t="shared" si="3"/>
        <v>SP500</v>
      </c>
      <c r="D3848" s="2">
        <f t="shared" si="4"/>
        <v>4396.2</v>
      </c>
      <c r="E3848" s="2">
        <f t="shared" si="5"/>
        <v>4396.2</v>
      </c>
      <c r="G3848" s="10">
        <f t="shared" si="9"/>
        <v>41830.64583</v>
      </c>
      <c r="H3848" s="6" t="str">
        <f t="shared" si="6"/>
        <v/>
      </c>
      <c r="I3848" s="2">
        <f t="shared" si="7"/>
        <v>1426.89</v>
      </c>
      <c r="M3848" s="10">
        <f>IFERROR(__xludf.DUMMYFUNCTION("""COMPUTED_VALUE"""),43563.66666666667)</f>
        <v>43563.66667</v>
      </c>
      <c r="N3848" s="2">
        <f>IFERROR(__xludf.DUMMYFUNCTION("""COMPUTED_VALUE"""),7953.88)</f>
        <v>7953.88</v>
      </c>
    </row>
    <row r="3849">
      <c r="A3849" s="10">
        <f t="shared" si="8"/>
        <v>41831.66667</v>
      </c>
      <c r="B3849" s="2" t="str">
        <f t="shared" si="2"/>
        <v/>
      </c>
      <c r="C3849" s="2" t="str">
        <f t="shared" si="3"/>
        <v>SP500</v>
      </c>
      <c r="D3849" s="2">
        <f t="shared" si="4"/>
        <v>4415.49</v>
      </c>
      <c r="E3849" s="2">
        <f t="shared" si="5"/>
        <v>4415.49</v>
      </c>
      <c r="G3849" s="10">
        <f t="shared" si="9"/>
        <v>41831.64583</v>
      </c>
      <c r="H3849" s="6" t="str">
        <f t="shared" si="6"/>
        <v/>
      </c>
      <c r="I3849" s="2">
        <f t="shared" si="7"/>
        <v>1426.89</v>
      </c>
      <c r="M3849" s="10">
        <f>IFERROR(__xludf.DUMMYFUNCTION("""COMPUTED_VALUE"""),43564.66666666667)</f>
        <v>43564.66667</v>
      </c>
      <c r="N3849" s="2">
        <f>IFERROR(__xludf.DUMMYFUNCTION("""COMPUTED_VALUE"""),7909.28)</f>
        <v>7909.28</v>
      </c>
    </row>
    <row r="3850">
      <c r="A3850" s="10">
        <f t="shared" si="8"/>
        <v>41832.66667</v>
      </c>
      <c r="B3850" s="2" t="str">
        <f t="shared" si="2"/>
        <v/>
      </c>
      <c r="C3850" s="2" t="str">
        <f t="shared" si="3"/>
        <v>SP500</v>
      </c>
      <c r="D3850" s="2" t="str">
        <f t="shared" si="4"/>
        <v/>
      </c>
      <c r="E3850" s="2">
        <f t="shared" si="5"/>
        <v>4415.49</v>
      </c>
      <c r="G3850" s="10">
        <f t="shared" si="9"/>
        <v>41832.64583</v>
      </c>
      <c r="H3850" s="6" t="str">
        <f t="shared" si="6"/>
        <v/>
      </c>
      <c r="I3850" s="2">
        <f t="shared" si="7"/>
        <v>1426.89</v>
      </c>
      <c r="M3850" s="10">
        <f>IFERROR(__xludf.DUMMYFUNCTION("""COMPUTED_VALUE"""),43565.66666666667)</f>
        <v>43565.66667</v>
      </c>
      <c r="N3850" s="2">
        <f>IFERROR(__xludf.DUMMYFUNCTION("""COMPUTED_VALUE"""),7964.24)</f>
        <v>7964.24</v>
      </c>
    </row>
    <row r="3851">
      <c r="A3851" s="10">
        <f t="shared" si="8"/>
        <v>41833.66667</v>
      </c>
      <c r="B3851" s="2" t="str">
        <f t="shared" si="2"/>
        <v/>
      </c>
      <c r="C3851" s="2" t="str">
        <f t="shared" si="3"/>
        <v>SP500</v>
      </c>
      <c r="D3851" s="2" t="str">
        <f t="shared" si="4"/>
        <v/>
      </c>
      <c r="E3851" s="2">
        <f t="shared" si="5"/>
        <v>4415.49</v>
      </c>
      <c r="G3851" s="10">
        <f t="shared" si="9"/>
        <v>41833.64583</v>
      </c>
      <c r="H3851" s="6" t="str">
        <f t="shared" si="6"/>
        <v/>
      </c>
      <c r="I3851" s="2">
        <f t="shared" si="7"/>
        <v>1426.89</v>
      </c>
      <c r="M3851" s="10">
        <f>IFERROR(__xludf.DUMMYFUNCTION("""COMPUTED_VALUE"""),43566.66666666667)</f>
        <v>43566.66667</v>
      </c>
      <c r="N3851" s="2">
        <f>IFERROR(__xludf.DUMMYFUNCTION("""COMPUTED_VALUE"""),7947.36)</f>
        <v>7947.36</v>
      </c>
    </row>
    <row r="3852">
      <c r="A3852" s="10">
        <f t="shared" si="8"/>
        <v>41834.66667</v>
      </c>
      <c r="B3852" s="2" t="str">
        <f t="shared" si="2"/>
        <v/>
      </c>
      <c r="C3852" s="2" t="str">
        <f t="shared" si="3"/>
        <v>SP500</v>
      </c>
      <c r="D3852" s="2">
        <f t="shared" si="4"/>
        <v>4440.42</v>
      </c>
      <c r="E3852" s="2">
        <f t="shared" si="5"/>
        <v>4440.42</v>
      </c>
      <c r="G3852" s="10">
        <f t="shared" si="9"/>
        <v>41834.64583</v>
      </c>
      <c r="H3852" s="6" t="str">
        <f t="shared" si="6"/>
        <v/>
      </c>
      <c r="I3852" s="2">
        <f t="shared" si="7"/>
        <v>1426.89</v>
      </c>
      <c r="M3852" s="10">
        <f>IFERROR(__xludf.DUMMYFUNCTION("""COMPUTED_VALUE"""),43567.66666666667)</f>
        <v>43567.66667</v>
      </c>
      <c r="N3852" s="2">
        <f>IFERROR(__xludf.DUMMYFUNCTION("""COMPUTED_VALUE"""),7984.16)</f>
        <v>7984.16</v>
      </c>
    </row>
    <row r="3853">
      <c r="A3853" s="10">
        <f t="shared" si="8"/>
        <v>41835.66667</v>
      </c>
      <c r="B3853" s="2" t="str">
        <f t="shared" si="2"/>
        <v/>
      </c>
      <c r="C3853" s="2" t="str">
        <f t="shared" si="3"/>
        <v>SP500</v>
      </c>
      <c r="D3853" s="2">
        <f t="shared" si="4"/>
        <v>4416.39</v>
      </c>
      <c r="E3853" s="2">
        <f t="shared" si="5"/>
        <v>4416.39</v>
      </c>
      <c r="G3853" s="10">
        <f t="shared" si="9"/>
        <v>41835.64583</v>
      </c>
      <c r="H3853" s="6" t="str">
        <f t="shared" si="6"/>
        <v/>
      </c>
      <c r="I3853" s="2">
        <f t="shared" si="7"/>
        <v>1426.89</v>
      </c>
      <c r="M3853" s="10">
        <f>IFERROR(__xludf.DUMMYFUNCTION("""COMPUTED_VALUE"""),43570.66666666667)</f>
        <v>43570.66667</v>
      </c>
      <c r="N3853" s="2">
        <f>IFERROR(__xludf.DUMMYFUNCTION("""COMPUTED_VALUE"""),7976.01)</f>
        <v>7976.01</v>
      </c>
    </row>
    <row r="3854">
      <c r="A3854" s="10">
        <f t="shared" si="8"/>
        <v>41836.66667</v>
      </c>
      <c r="B3854" s="2" t="str">
        <f t="shared" si="2"/>
        <v/>
      </c>
      <c r="C3854" s="2" t="str">
        <f t="shared" si="3"/>
        <v>SP500</v>
      </c>
      <c r="D3854" s="2">
        <f t="shared" si="4"/>
        <v>4425.97</v>
      </c>
      <c r="E3854" s="2">
        <f t="shared" si="5"/>
        <v>4425.97</v>
      </c>
      <c r="G3854" s="10">
        <f t="shared" si="9"/>
        <v>41836.64583</v>
      </c>
      <c r="H3854" s="6" t="str">
        <f t="shared" si="6"/>
        <v/>
      </c>
      <c r="I3854" s="2">
        <f t="shared" si="7"/>
        <v>1426.89</v>
      </c>
      <c r="M3854" s="10">
        <f>IFERROR(__xludf.DUMMYFUNCTION("""COMPUTED_VALUE"""),43571.66666666667)</f>
        <v>43571.66667</v>
      </c>
      <c r="N3854" s="2">
        <f>IFERROR(__xludf.DUMMYFUNCTION("""COMPUTED_VALUE"""),8000.23)</f>
        <v>8000.23</v>
      </c>
    </row>
    <row r="3855">
      <c r="A3855" s="10">
        <f t="shared" si="8"/>
        <v>41837.66667</v>
      </c>
      <c r="B3855" s="2" t="str">
        <f t="shared" si="2"/>
        <v/>
      </c>
      <c r="C3855" s="2" t="str">
        <f t="shared" si="3"/>
        <v>SP500</v>
      </c>
      <c r="D3855" s="2">
        <f t="shared" si="4"/>
        <v>4363.45</v>
      </c>
      <c r="E3855" s="2">
        <f t="shared" si="5"/>
        <v>4363.45</v>
      </c>
      <c r="G3855" s="10">
        <f t="shared" si="9"/>
        <v>41837.64583</v>
      </c>
      <c r="H3855" s="6" t="str">
        <f t="shared" si="6"/>
        <v/>
      </c>
      <c r="I3855" s="2">
        <f t="shared" si="7"/>
        <v>1426.89</v>
      </c>
      <c r="M3855" s="10">
        <f>IFERROR(__xludf.DUMMYFUNCTION("""COMPUTED_VALUE"""),43572.66666666667)</f>
        <v>43572.66667</v>
      </c>
      <c r="N3855" s="2">
        <f>IFERROR(__xludf.DUMMYFUNCTION("""COMPUTED_VALUE"""),7996.08)</f>
        <v>7996.08</v>
      </c>
    </row>
    <row r="3856">
      <c r="A3856" s="10">
        <f t="shared" si="8"/>
        <v>41838.66667</v>
      </c>
      <c r="B3856" s="2" t="str">
        <f t="shared" si="2"/>
        <v/>
      </c>
      <c r="C3856" s="2" t="str">
        <f t="shared" si="3"/>
        <v>SP500</v>
      </c>
      <c r="D3856" s="2">
        <f t="shared" si="4"/>
        <v>4432.15</v>
      </c>
      <c r="E3856" s="2">
        <f t="shared" si="5"/>
        <v>4432.15</v>
      </c>
      <c r="G3856" s="10">
        <f t="shared" si="9"/>
        <v>41838.64583</v>
      </c>
      <c r="H3856" s="6" t="str">
        <f t="shared" si="6"/>
        <v/>
      </c>
      <c r="I3856" s="2">
        <f t="shared" si="7"/>
        <v>1426.89</v>
      </c>
      <c r="M3856" s="10">
        <f>IFERROR(__xludf.DUMMYFUNCTION("""COMPUTED_VALUE"""),43573.66666666667)</f>
        <v>43573.66667</v>
      </c>
      <c r="N3856" s="2">
        <f>IFERROR(__xludf.DUMMYFUNCTION("""COMPUTED_VALUE"""),7998.06)</f>
        <v>7998.06</v>
      </c>
    </row>
    <row r="3857">
      <c r="A3857" s="10">
        <f t="shared" si="8"/>
        <v>41839.66667</v>
      </c>
      <c r="B3857" s="2" t="str">
        <f t="shared" si="2"/>
        <v/>
      </c>
      <c r="C3857" s="2" t="str">
        <f t="shared" si="3"/>
        <v>SP500</v>
      </c>
      <c r="D3857" s="2" t="str">
        <f t="shared" si="4"/>
        <v/>
      </c>
      <c r="E3857" s="2">
        <f t="shared" si="5"/>
        <v>4432.15</v>
      </c>
      <c r="G3857" s="10">
        <f t="shared" si="9"/>
        <v>41839.64583</v>
      </c>
      <c r="H3857" s="6" t="str">
        <f t="shared" si="6"/>
        <v/>
      </c>
      <c r="I3857" s="2">
        <f t="shared" si="7"/>
        <v>1426.89</v>
      </c>
      <c r="M3857" s="10">
        <f>IFERROR(__xludf.DUMMYFUNCTION("""COMPUTED_VALUE"""),43577.66666666667)</f>
        <v>43577.66667</v>
      </c>
      <c r="N3857" s="2">
        <f>IFERROR(__xludf.DUMMYFUNCTION("""COMPUTED_VALUE"""),8015.27)</f>
        <v>8015.27</v>
      </c>
    </row>
    <row r="3858">
      <c r="A3858" s="10">
        <f t="shared" si="8"/>
        <v>41840.66667</v>
      </c>
      <c r="B3858" s="2" t="str">
        <f t="shared" si="2"/>
        <v/>
      </c>
      <c r="C3858" s="2" t="str">
        <f t="shared" si="3"/>
        <v>SP500</v>
      </c>
      <c r="D3858" s="2" t="str">
        <f t="shared" si="4"/>
        <v/>
      </c>
      <c r="E3858" s="2">
        <f t="shared" si="5"/>
        <v>4432.15</v>
      </c>
      <c r="G3858" s="10">
        <f t="shared" si="9"/>
        <v>41840.64583</v>
      </c>
      <c r="H3858" s="6" t="str">
        <f t="shared" si="6"/>
        <v/>
      </c>
      <c r="I3858" s="2">
        <f t="shared" si="7"/>
        <v>1426.89</v>
      </c>
      <c r="M3858" s="10">
        <f>IFERROR(__xludf.DUMMYFUNCTION("""COMPUTED_VALUE"""),43578.66666666667)</f>
        <v>43578.66667</v>
      </c>
      <c r="N3858" s="2">
        <f>IFERROR(__xludf.DUMMYFUNCTION("""COMPUTED_VALUE"""),8120.82)</f>
        <v>8120.82</v>
      </c>
    </row>
    <row r="3859">
      <c r="A3859" s="10">
        <f t="shared" si="8"/>
        <v>41841.66667</v>
      </c>
      <c r="B3859" s="2" t="str">
        <f t="shared" si="2"/>
        <v/>
      </c>
      <c r="C3859" s="2" t="str">
        <f t="shared" si="3"/>
        <v>SP500</v>
      </c>
      <c r="D3859" s="2">
        <f t="shared" si="4"/>
        <v>4424.7</v>
      </c>
      <c r="E3859" s="2">
        <f t="shared" si="5"/>
        <v>4424.7</v>
      </c>
      <c r="G3859" s="10">
        <f t="shared" si="9"/>
        <v>41841.64583</v>
      </c>
      <c r="H3859" s="6" t="str">
        <f t="shared" si="6"/>
        <v/>
      </c>
      <c r="I3859" s="2">
        <f t="shared" si="7"/>
        <v>1426.89</v>
      </c>
      <c r="M3859" s="10">
        <f>IFERROR(__xludf.DUMMYFUNCTION("""COMPUTED_VALUE"""),43579.66666666667)</f>
        <v>43579.66667</v>
      </c>
      <c r="N3859" s="2">
        <f>IFERROR(__xludf.DUMMYFUNCTION("""COMPUTED_VALUE"""),8102.02)</f>
        <v>8102.02</v>
      </c>
    </row>
    <row r="3860">
      <c r="A3860" s="10">
        <f t="shared" si="8"/>
        <v>41842.66667</v>
      </c>
      <c r="B3860" s="2" t="str">
        <f t="shared" si="2"/>
        <v/>
      </c>
      <c r="C3860" s="2" t="str">
        <f t="shared" si="3"/>
        <v>SP500</v>
      </c>
      <c r="D3860" s="2">
        <f t="shared" si="4"/>
        <v>4456.02</v>
      </c>
      <c r="E3860" s="2">
        <f t="shared" si="5"/>
        <v>4456.02</v>
      </c>
      <c r="G3860" s="10">
        <f t="shared" si="9"/>
        <v>41842.64583</v>
      </c>
      <c r="H3860" s="6" t="str">
        <f t="shared" si="6"/>
        <v/>
      </c>
      <c r="I3860" s="2">
        <f t="shared" si="7"/>
        <v>1426.89</v>
      </c>
      <c r="M3860" s="10">
        <f>IFERROR(__xludf.DUMMYFUNCTION("""COMPUTED_VALUE"""),43580.66666666667)</f>
        <v>43580.66667</v>
      </c>
      <c r="N3860" s="2">
        <f>IFERROR(__xludf.DUMMYFUNCTION("""COMPUTED_VALUE"""),8118.68)</f>
        <v>8118.68</v>
      </c>
    </row>
    <row r="3861">
      <c r="A3861" s="10">
        <f t="shared" si="8"/>
        <v>41843.66667</v>
      </c>
      <c r="B3861" s="2" t="str">
        <f t="shared" si="2"/>
        <v/>
      </c>
      <c r="C3861" s="2" t="str">
        <f t="shared" si="3"/>
        <v>SP500</v>
      </c>
      <c r="D3861" s="2">
        <f t="shared" si="4"/>
        <v>4473.7</v>
      </c>
      <c r="E3861" s="2">
        <f t="shared" si="5"/>
        <v>4473.7</v>
      </c>
      <c r="G3861" s="10">
        <f t="shared" si="9"/>
        <v>41843.64583</v>
      </c>
      <c r="H3861" s="6" t="str">
        <f t="shared" si="6"/>
        <v/>
      </c>
      <c r="I3861" s="2">
        <f t="shared" si="7"/>
        <v>1426.89</v>
      </c>
      <c r="M3861" s="10">
        <f>IFERROR(__xludf.DUMMYFUNCTION("""COMPUTED_VALUE"""),43581.66666666667)</f>
        <v>43581.66667</v>
      </c>
      <c r="N3861" s="2">
        <f>IFERROR(__xludf.DUMMYFUNCTION("""COMPUTED_VALUE"""),8146.4)</f>
        <v>8146.4</v>
      </c>
    </row>
    <row r="3862">
      <c r="A3862" s="10">
        <f t="shared" si="8"/>
        <v>41844.66667</v>
      </c>
      <c r="B3862" s="2" t="str">
        <f t="shared" si="2"/>
        <v/>
      </c>
      <c r="C3862" s="2" t="str">
        <f t="shared" si="3"/>
        <v>SP500</v>
      </c>
      <c r="D3862" s="2">
        <f t="shared" si="4"/>
        <v>4472.11</v>
      </c>
      <c r="E3862" s="2">
        <f t="shared" si="5"/>
        <v>4472.11</v>
      </c>
      <c r="G3862" s="10">
        <f t="shared" si="9"/>
        <v>41844.64583</v>
      </c>
      <c r="H3862" s="6" t="str">
        <f t="shared" si="6"/>
        <v/>
      </c>
      <c r="I3862" s="2">
        <f t="shared" si="7"/>
        <v>1426.89</v>
      </c>
      <c r="M3862" s="10">
        <f>IFERROR(__xludf.DUMMYFUNCTION("""COMPUTED_VALUE"""),43584.66666666667)</f>
        <v>43584.66667</v>
      </c>
      <c r="N3862" s="2">
        <f>IFERROR(__xludf.DUMMYFUNCTION("""COMPUTED_VALUE"""),8161.85)</f>
        <v>8161.85</v>
      </c>
    </row>
    <row r="3863">
      <c r="A3863" s="10">
        <f t="shared" si="8"/>
        <v>41845.66667</v>
      </c>
      <c r="B3863" s="2" t="str">
        <f t="shared" si="2"/>
        <v/>
      </c>
      <c r="C3863" s="2" t="str">
        <f t="shared" si="3"/>
        <v>SP500</v>
      </c>
      <c r="D3863" s="2">
        <f t="shared" si="4"/>
        <v>4449.56</v>
      </c>
      <c r="E3863" s="2">
        <f t="shared" si="5"/>
        <v>4449.56</v>
      </c>
      <c r="G3863" s="10">
        <f t="shared" si="9"/>
        <v>41845.64583</v>
      </c>
      <c r="H3863" s="6" t="str">
        <f t="shared" si="6"/>
        <v/>
      </c>
      <c r="I3863" s="2">
        <f t="shared" si="7"/>
        <v>1426.89</v>
      </c>
      <c r="M3863" s="10">
        <f>IFERROR(__xludf.DUMMYFUNCTION("""COMPUTED_VALUE"""),43585.66666666667)</f>
        <v>43585.66667</v>
      </c>
      <c r="N3863" s="2">
        <f>IFERROR(__xludf.DUMMYFUNCTION("""COMPUTED_VALUE"""),8095.39)</f>
        <v>8095.39</v>
      </c>
    </row>
    <row r="3864">
      <c r="A3864" s="10">
        <f t="shared" si="8"/>
        <v>41846.66667</v>
      </c>
      <c r="B3864" s="2" t="str">
        <f t="shared" si="2"/>
        <v/>
      </c>
      <c r="C3864" s="2" t="str">
        <f t="shared" si="3"/>
        <v>SP500</v>
      </c>
      <c r="D3864" s="2" t="str">
        <f t="shared" si="4"/>
        <v/>
      </c>
      <c r="E3864" s="2">
        <f t="shared" si="5"/>
        <v>4449.56</v>
      </c>
      <c r="G3864" s="10">
        <f t="shared" si="9"/>
        <v>41846.64583</v>
      </c>
      <c r="H3864" s="6" t="str">
        <f t="shared" si="6"/>
        <v/>
      </c>
      <c r="I3864" s="2">
        <f t="shared" si="7"/>
        <v>1426.89</v>
      </c>
      <c r="M3864" s="10">
        <f>IFERROR(__xludf.DUMMYFUNCTION("""COMPUTED_VALUE"""),43586.66666666667)</f>
        <v>43586.66667</v>
      </c>
      <c r="N3864" s="2">
        <f>IFERROR(__xludf.DUMMYFUNCTION("""COMPUTED_VALUE"""),8049.64)</f>
        <v>8049.64</v>
      </c>
    </row>
    <row r="3865">
      <c r="A3865" s="10">
        <f t="shared" si="8"/>
        <v>41847.66667</v>
      </c>
      <c r="B3865" s="2" t="str">
        <f t="shared" si="2"/>
        <v/>
      </c>
      <c r="C3865" s="2" t="str">
        <f t="shared" si="3"/>
        <v>SP500</v>
      </c>
      <c r="D3865" s="2" t="str">
        <f t="shared" si="4"/>
        <v/>
      </c>
      <c r="E3865" s="2">
        <f t="shared" si="5"/>
        <v>4449.56</v>
      </c>
      <c r="G3865" s="10">
        <f t="shared" si="9"/>
        <v>41847.64583</v>
      </c>
      <c r="H3865" s="6" t="str">
        <f t="shared" si="6"/>
        <v/>
      </c>
      <c r="I3865" s="2">
        <f t="shared" si="7"/>
        <v>1426.89</v>
      </c>
      <c r="M3865" s="10">
        <f>IFERROR(__xludf.DUMMYFUNCTION("""COMPUTED_VALUE"""),43587.66666666667)</f>
        <v>43587.66667</v>
      </c>
      <c r="N3865" s="2">
        <f>IFERROR(__xludf.DUMMYFUNCTION("""COMPUTED_VALUE"""),8036.77)</f>
        <v>8036.77</v>
      </c>
    </row>
    <row r="3866">
      <c r="A3866" s="10">
        <f t="shared" si="8"/>
        <v>41848.66667</v>
      </c>
      <c r="B3866" s="2" t="str">
        <f t="shared" si="2"/>
        <v/>
      </c>
      <c r="C3866" s="2" t="str">
        <f t="shared" si="3"/>
        <v>SP500</v>
      </c>
      <c r="D3866" s="2">
        <f t="shared" si="4"/>
        <v>4444.91</v>
      </c>
      <c r="E3866" s="2">
        <f t="shared" si="5"/>
        <v>4444.91</v>
      </c>
      <c r="G3866" s="10">
        <f t="shared" si="9"/>
        <v>41848.64583</v>
      </c>
      <c r="H3866" s="6" t="str">
        <f t="shared" si="6"/>
        <v/>
      </c>
      <c r="I3866" s="2">
        <f t="shared" si="7"/>
        <v>1426.89</v>
      </c>
      <c r="M3866" s="10">
        <f>IFERROR(__xludf.DUMMYFUNCTION("""COMPUTED_VALUE"""),43588.66666666667)</f>
        <v>43588.66667</v>
      </c>
      <c r="N3866" s="2">
        <f>IFERROR(__xludf.DUMMYFUNCTION("""COMPUTED_VALUE"""),8164.0)</f>
        <v>8164</v>
      </c>
    </row>
    <row r="3867">
      <c r="A3867" s="10">
        <f t="shared" si="8"/>
        <v>41849.66667</v>
      </c>
      <c r="B3867" s="2" t="str">
        <f t="shared" si="2"/>
        <v/>
      </c>
      <c r="C3867" s="2" t="str">
        <f t="shared" si="3"/>
        <v>SP500</v>
      </c>
      <c r="D3867" s="2">
        <f t="shared" si="4"/>
        <v>4442.7</v>
      </c>
      <c r="E3867" s="2">
        <f t="shared" si="5"/>
        <v>4442.7</v>
      </c>
      <c r="G3867" s="10">
        <f t="shared" si="9"/>
        <v>41849.64583</v>
      </c>
      <c r="H3867" s="6" t="str">
        <f t="shared" si="6"/>
        <v/>
      </c>
      <c r="I3867" s="2">
        <f t="shared" si="7"/>
        <v>1426.89</v>
      </c>
      <c r="M3867" s="10">
        <f>IFERROR(__xludf.DUMMYFUNCTION("""COMPUTED_VALUE"""),43591.66666666667)</f>
        <v>43591.66667</v>
      </c>
      <c r="N3867" s="2">
        <f>IFERROR(__xludf.DUMMYFUNCTION("""COMPUTED_VALUE"""),8123.29)</f>
        <v>8123.29</v>
      </c>
    </row>
    <row r="3868">
      <c r="A3868" s="10">
        <f t="shared" si="8"/>
        <v>41850.66667</v>
      </c>
      <c r="B3868" s="2" t="str">
        <f t="shared" si="2"/>
        <v/>
      </c>
      <c r="C3868" s="2" t="str">
        <f t="shared" si="3"/>
        <v>SP500</v>
      </c>
      <c r="D3868" s="2">
        <f t="shared" si="4"/>
        <v>4462.9</v>
      </c>
      <c r="E3868" s="2">
        <f t="shared" si="5"/>
        <v>4462.9</v>
      </c>
      <c r="G3868" s="10">
        <f t="shared" si="9"/>
        <v>41850.64583</v>
      </c>
      <c r="H3868" s="6" t="str">
        <f t="shared" si="6"/>
        <v/>
      </c>
      <c r="I3868" s="2">
        <f t="shared" si="7"/>
        <v>1426.89</v>
      </c>
      <c r="M3868" s="10">
        <f>IFERROR(__xludf.DUMMYFUNCTION("""COMPUTED_VALUE"""),43592.66666666667)</f>
        <v>43592.66667</v>
      </c>
      <c r="N3868" s="2">
        <f>IFERROR(__xludf.DUMMYFUNCTION("""COMPUTED_VALUE"""),7963.76)</f>
        <v>7963.76</v>
      </c>
    </row>
    <row r="3869">
      <c r="A3869" s="10">
        <f t="shared" si="8"/>
        <v>41851.66667</v>
      </c>
      <c r="B3869" s="2" t="str">
        <f t="shared" si="2"/>
        <v/>
      </c>
      <c r="C3869" s="2" t="str">
        <f t="shared" si="3"/>
        <v>SP500</v>
      </c>
      <c r="D3869" s="2">
        <f t="shared" si="4"/>
        <v>4369.77</v>
      </c>
      <c r="E3869" s="2">
        <f t="shared" si="5"/>
        <v>4369.77</v>
      </c>
      <c r="G3869" s="10">
        <f t="shared" si="9"/>
        <v>41851.64583</v>
      </c>
      <c r="H3869" s="6" t="str">
        <f t="shared" si="6"/>
        <v/>
      </c>
      <c r="I3869" s="2">
        <f t="shared" si="7"/>
        <v>1426.89</v>
      </c>
      <c r="M3869" s="10">
        <f>IFERROR(__xludf.DUMMYFUNCTION("""COMPUTED_VALUE"""),43593.66666666667)</f>
        <v>43593.66667</v>
      </c>
      <c r="N3869" s="2">
        <f>IFERROR(__xludf.DUMMYFUNCTION("""COMPUTED_VALUE"""),7943.32)</f>
        <v>7943.32</v>
      </c>
    </row>
    <row r="3870">
      <c r="A3870" s="10">
        <f t="shared" si="8"/>
        <v>41852.66667</v>
      </c>
      <c r="B3870" s="2" t="str">
        <f t="shared" si="2"/>
        <v/>
      </c>
      <c r="C3870" s="2" t="str">
        <f t="shared" si="3"/>
        <v>SP500</v>
      </c>
      <c r="D3870" s="2">
        <f t="shared" si="4"/>
        <v>4352.64</v>
      </c>
      <c r="E3870" s="2">
        <f t="shared" si="5"/>
        <v>4352.64</v>
      </c>
      <c r="G3870" s="10">
        <f t="shared" si="9"/>
        <v>41852.64583</v>
      </c>
      <c r="H3870" s="6" t="str">
        <f t="shared" si="6"/>
        <v/>
      </c>
      <c r="I3870" s="2">
        <f t="shared" si="7"/>
        <v>1426.89</v>
      </c>
      <c r="M3870" s="10">
        <f>IFERROR(__xludf.DUMMYFUNCTION("""COMPUTED_VALUE"""),43594.66666666667)</f>
        <v>43594.66667</v>
      </c>
      <c r="N3870" s="2">
        <f>IFERROR(__xludf.DUMMYFUNCTION("""COMPUTED_VALUE"""),7910.59)</f>
        <v>7910.59</v>
      </c>
    </row>
    <row r="3871">
      <c r="A3871" s="10">
        <f t="shared" si="8"/>
        <v>41853.66667</v>
      </c>
      <c r="B3871" s="2" t="str">
        <f t="shared" si="2"/>
        <v/>
      </c>
      <c r="C3871" s="2" t="str">
        <f t="shared" si="3"/>
        <v>SP500</v>
      </c>
      <c r="D3871" s="2" t="str">
        <f t="shared" si="4"/>
        <v/>
      </c>
      <c r="E3871" s="2">
        <f t="shared" si="5"/>
        <v>4352.64</v>
      </c>
      <c r="G3871" s="10">
        <f t="shared" si="9"/>
        <v>41853.64583</v>
      </c>
      <c r="H3871" s="6" t="str">
        <f t="shared" si="6"/>
        <v/>
      </c>
      <c r="I3871" s="2">
        <f t="shared" si="7"/>
        <v>1426.89</v>
      </c>
      <c r="M3871" s="10">
        <f>IFERROR(__xludf.DUMMYFUNCTION("""COMPUTED_VALUE"""),43595.66666666667)</f>
        <v>43595.66667</v>
      </c>
      <c r="N3871" s="2">
        <f>IFERROR(__xludf.DUMMYFUNCTION("""COMPUTED_VALUE"""),7916.94)</f>
        <v>7916.94</v>
      </c>
    </row>
    <row r="3872">
      <c r="A3872" s="10">
        <f t="shared" si="8"/>
        <v>41854.66667</v>
      </c>
      <c r="B3872" s="2" t="str">
        <f t="shared" si="2"/>
        <v/>
      </c>
      <c r="C3872" s="2" t="str">
        <f t="shared" si="3"/>
        <v>SP500</v>
      </c>
      <c r="D3872" s="2" t="str">
        <f t="shared" si="4"/>
        <v/>
      </c>
      <c r="E3872" s="2">
        <f t="shared" si="5"/>
        <v>4352.64</v>
      </c>
      <c r="G3872" s="10">
        <f t="shared" si="9"/>
        <v>41854.64583</v>
      </c>
      <c r="H3872" s="6" t="str">
        <f t="shared" si="6"/>
        <v/>
      </c>
      <c r="I3872" s="2">
        <f t="shared" si="7"/>
        <v>1426.89</v>
      </c>
      <c r="M3872" s="10">
        <f>IFERROR(__xludf.DUMMYFUNCTION("""COMPUTED_VALUE"""),43598.66666666667)</f>
        <v>43598.66667</v>
      </c>
      <c r="N3872" s="2">
        <f>IFERROR(__xludf.DUMMYFUNCTION("""COMPUTED_VALUE"""),7647.02)</f>
        <v>7647.02</v>
      </c>
    </row>
    <row r="3873">
      <c r="A3873" s="10">
        <f t="shared" si="8"/>
        <v>41855.66667</v>
      </c>
      <c r="B3873" s="2" t="str">
        <f t="shared" si="2"/>
        <v/>
      </c>
      <c r="C3873" s="2" t="str">
        <f t="shared" si="3"/>
        <v>SP500</v>
      </c>
      <c r="D3873" s="2">
        <f t="shared" si="4"/>
        <v>4383.89</v>
      </c>
      <c r="E3873" s="2">
        <f t="shared" si="5"/>
        <v>4383.89</v>
      </c>
      <c r="G3873" s="10">
        <f t="shared" si="9"/>
        <v>41855.64583</v>
      </c>
      <c r="H3873" s="6" t="str">
        <f t="shared" si="6"/>
        <v/>
      </c>
      <c r="I3873" s="2">
        <f t="shared" si="7"/>
        <v>1426.89</v>
      </c>
      <c r="M3873" s="10">
        <f>IFERROR(__xludf.DUMMYFUNCTION("""COMPUTED_VALUE"""),43599.66666666667)</f>
        <v>43599.66667</v>
      </c>
      <c r="N3873" s="2">
        <f>IFERROR(__xludf.DUMMYFUNCTION("""COMPUTED_VALUE"""),7734.49)</f>
        <v>7734.49</v>
      </c>
    </row>
    <row r="3874">
      <c r="A3874" s="10">
        <f t="shared" si="8"/>
        <v>41856.66667</v>
      </c>
      <c r="B3874" s="2" t="str">
        <f t="shared" si="2"/>
        <v/>
      </c>
      <c r="C3874" s="2" t="str">
        <f t="shared" si="3"/>
        <v>SP500</v>
      </c>
      <c r="D3874" s="2">
        <f t="shared" si="4"/>
        <v>4352.84</v>
      </c>
      <c r="E3874" s="2">
        <f t="shared" si="5"/>
        <v>4352.84</v>
      </c>
      <c r="G3874" s="10">
        <f t="shared" si="9"/>
        <v>41856.64583</v>
      </c>
      <c r="H3874" s="6" t="str">
        <f t="shared" si="6"/>
        <v/>
      </c>
      <c r="I3874" s="2">
        <f t="shared" si="7"/>
        <v>1426.89</v>
      </c>
      <c r="M3874" s="10">
        <f>IFERROR(__xludf.DUMMYFUNCTION("""COMPUTED_VALUE"""),43600.66666666667)</f>
        <v>43600.66667</v>
      </c>
      <c r="N3874" s="2">
        <f>IFERROR(__xludf.DUMMYFUNCTION("""COMPUTED_VALUE"""),7822.15)</f>
        <v>7822.15</v>
      </c>
    </row>
    <row r="3875">
      <c r="A3875" s="10">
        <f t="shared" si="8"/>
        <v>41857.66667</v>
      </c>
      <c r="B3875" s="2" t="str">
        <f t="shared" si="2"/>
        <v/>
      </c>
      <c r="C3875" s="2" t="str">
        <f t="shared" si="3"/>
        <v>SP500</v>
      </c>
      <c r="D3875" s="2">
        <f t="shared" si="4"/>
        <v>4355.05</v>
      </c>
      <c r="E3875" s="2">
        <f t="shared" si="5"/>
        <v>4355.05</v>
      </c>
      <c r="G3875" s="10">
        <f t="shared" si="9"/>
        <v>41857.64583</v>
      </c>
      <c r="H3875" s="6" t="str">
        <f t="shared" si="6"/>
        <v/>
      </c>
      <c r="I3875" s="2">
        <f t="shared" si="7"/>
        <v>1426.89</v>
      </c>
      <c r="M3875" s="10">
        <f>IFERROR(__xludf.DUMMYFUNCTION("""COMPUTED_VALUE"""),43601.66666666667)</f>
        <v>43601.66667</v>
      </c>
      <c r="N3875" s="2">
        <f>IFERROR(__xludf.DUMMYFUNCTION("""COMPUTED_VALUE"""),7898.05)</f>
        <v>7898.05</v>
      </c>
    </row>
    <row r="3876">
      <c r="A3876" s="10">
        <f t="shared" si="8"/>
        <v>41858.66667</v>
      </c>
      <c r="B3876" s="2" t="str">
        <f t="shared" si="2"/>
        <v/>
      </c>
      <c r="C3876" s="2" t="str">
        <f t="shared" si="3"/>
        <v>SP500</v>
      </c>
      <c r="D3876" s="2">
        <f t="shared" si="4"/>
        <v>4334.97</v>
      </c>
      <c r="E3876" s="2">
        <f t="shared" si="5"/>
        <v>4334.97</v>
      </c>
      <c r="G3876" s="10">
        <f t="shared" si="9"/>
        <v>41858.64583</v>
      </c>
      <c r="H3876" s="6" t="str">
        <f t="shared" si="6"/>
        <v/>
      </c>
      <c r="I3876" s="2">
        <f t="shared" si="7"/>
        <v>1426.89</v>
      </c>
      <c r="M3876" s="10">
        <f>IFERROR(__xludf.DUMMYFUNCTION("""COMPUTED_VALUE"""),43602.66666666667)</f>
        <v>43602.66667</v>
      </c>
      <c r="N3876" s="2">
        <f>IFERROR(__xludf.DUMMYFUNCTION("""COMPUTED_VALUE"""),7816.29)</f>
        <v>7816.29</v>
      </c>
    </row>
    <row r="3877">
      <c r="A3877" s="10">
        <f t="shared" si="8"/>
        <v>41859.66667</v>
      </c>
      <c r="B3877" s="2" t="str">
        <f t="shared" si="2"/>
        <v/>
      </c>
      <c r="C3877" s="2" t="str">
        <f t="shared" si="3"/>
        <v>SP500</v>
      </c>
      <c r="D3877" s="2">
        <f t="shared" si="4"/>
        <v>4370.9</v>
      </c>
      <c r="E3877" s="2">
        <f t="shared" si="5"/>
        <v>4370.9</v>
      </c>
      <c r="G3877" s="10">
        <f t="shared" si="9"/>
        <v>41859.64583</v>
      </c>
      <c r="H3877" s="6" t="str">
        <f t="shared" si="6"/>
        <v/>
      </c>
      <c r="I3877" s="2">
        <f t="shared" si="7"/>
        <v>1426.89</v>
      </c>
      <c r="M3877" s="10">
        <f>IFERROR(__xludf.DUMMYFUNCTION("""COMPUTED_VALUE"""),43605.66666666667)</f>
        <v>43605.66667</v>
      </c>
      <c r="N3877" s="2">
        <f>IFERROR(__xludf.DUMMYFUNCTION("""COMPUTED_VALUE"""),7702.38)</f>
        <v>7702.38</v>
      </c>
    </row>
    <row r="3878">
      <c r="A3878" s="10">
        <f t="shared" si="8"/>
        <v>41860.66667</v>
      </c>
      <c r="B3878" s="2" t="str">
        <f t="shared" si="2"/>
        <v/>
      </c>
      <c r="C3878" s="2" t="str">
        <f t="shared" si="3"/>
        <v>SP500</v>
      </c>
      <c r="D3878" s="2" t="str">
        <f t="shared" si="4"/>
        <v/>
      </c>
      <c r="E3878" s="2">
        <f t="shared" si="5"/>
        <v>4370.9</v>
      </c>
      <c r="G3878" s="10">
        <f t="shared" si="9"/>
        <v>41860.64583</v>
      </c>
      <c r="H3878" s="6" t="str">
        <f t="shared" si="6"/>
        <v/>
      </c>
      <c r="I3878" s="2">
        <f t="shared" si="7"/>
        <v>1426.89</v>
      </c>
      <c r="M3878" s="10">
        <f>IFERROR(__xludf.DUMMYFUNCTION("""COMPUTED_VALUE"""),43606.66666666667)</f>
        <v>43606.66667</v>
      </c>
      <c r="N3878" s="2">
        <f>IFERROR(__xludf.DUMMYFUNCTION("""COMPUTED_VALUE"""),7785.72)</f>
        <v>7785.72</v>
      </c>
    </row>
    <row r="3879">
      <c r="A3879" s="10">
        <f t="shared" si="8"/>
        <v>41861.66667</v>
      </c>
      <c r="B3879" s="2" t="str">
        <f t="shared" si="2"/>
        <v/>
      </c>
      <c r="C3879" s="2" t="str">
        <f t="shared" si="3"/>
        <v>SP500</v>
      </c>
      <c r="D3879" s="2" t="str">
        <f t="shared" si="4"/>
        <v/>
      </c>
      <c r="E3879" s="2">
        <f t="shared" si="5"/>
        <v>4370.9</v>
      </c>
      <c r="G3879" s="10">
        <f t="shared" si="9"/>
        <v>41861.64583</v>
      </c>
      <c r="H3879" s="6" t="str">
        <f t="shared" si="6"/>
        <v/>
      </c>
      <c r="I3879" s="2">
        <f t="shared" si="7"/>
        <v>1426.89</v>
      </c>
      <c r="M3879" s="10">
        <f>IFERROR(__xludf.DUMMYFUNCTION("""COMPUTED_VALUE"""),43607.66666666667)</f>
        <v>43607.66667</v>
      </c>
      <c r="N3879" s="2">
        <f>IFERROR(__xludf.DUMMYFUNCTION("""COMPUTED_VALUE"""),7750.84)</f>
        <v>7750.84</v>
      </c>
    </row>
    <row r="3880">
      <c r="A3880" s="10">
        <f t="shared" si="8"/>
        <v>41862.66667</v>
      </c>
      <c r="B3880" s="2" t="str">
        <f t="shared" si="2"/>
        <v/>
      </c>
      <c r="C3880" s="2" t="str">
        <f t="shared" si="3"/>
        <v>SP500</v>
      </c>
      <c r="D3880" s="2">
        <f t="shared" si="4"/>
        <v>4401.33</v>
      </c>
      <c r="E3880" s="2">
        <f t="shared" si="5"/>
        <v>4401.33</v>
      </c>
      <c r="G3880" s="10">
        <f t="shared" si="9"/>
        <v>41862.64583</v>
      </c>
      <c r="H3880" s="6" t="str">
        <f t="shared" si="6"/>
        <v/>
      </c>
      <c r="I3880" s="2">
        <f t="shared" si="7"/>
        <v>1426.89</v>
      </c>
      <c r="M3880" s="10">
        <f>IFERROR(__xludf.DUMMYFUNCTION("""COMPUTED_VALUE"""),43608.66666666667)</f>
        <v>43608.66667</v>
      </c>
      <c r="N3880" s="2">
        <f>IFERROR(__xludf.DUMMYFUNCTION("""COMPUTED_VALUE"""),7628.28)</f>
        <v>7628.28</v>
      </c>
    </row>
    <row r="3881">
      <c r="A3881" s="10">
        <f t="shared" si="8"/>
        <v>41863.66667</v>
      </c>
      <c r="B3881" s="2" t="str">
        <f t="shared" si="2"/>
        <v/>
      </c>
      <c r="C3881" s="2" t="str">
        <f t="shared" si="3"/>
        <v>SP500</v>
      </c>
      <c r="D3881" s="2">
        <f t="shared" si="4"/>
        <v>4389.25</v>
      </c>
      <c r="E3881" s="2">
        <f t="shared" si="5"/>
        <v>4389.25</v>
      </c>
      <c r="G3881" s="10">
        <f t="shared" si="9"/>
        <v>41863.64583</v>
      </c>
      <c r="H3881" s="6" t="str">
        <f t="shared" si="6"/>
        <v/>
      </c>
      <c r="I3881" s="2">
        <f t="shared" si="7"/>
        <v>1426.89</v>
      </c>
      <c r="M3881" s="10">
        <f>IFERROR(__xludf.DUMMYFUNCTION("""COMPUTED_VALUE"""),43609.66666666667)</f>
        <v>43609.66667</v>
      </c>
      <c r="N3881" s="2">
        <f>IFERROR(__xludf.DUMMYFUNCTION("""COMPUTED_VALUE"""),7637.01)</f>
        <v>7637.01</v>
      </c>
    </row>
    <row r="3882">
      <c r="A3882" s="10">
        <f t="shared" si="8"/>
        <v>41864.66667</v>
      </c>
      <c r="B3882" s="2" t="str">
        <f t="shared" si="2"/>
        <v/>
      </c>
      <c r="C3882" s="2" t="str">
        <f t="shared" si="3"/>
        <v>SP500</v>
      </c>
      <c r="D3882" s="2">
        <f t="shared" si="4"/>
        <v>4434.13</v>
      </c>
      <c r="E3882" s="2">
        <f t="shared" si="5"/>
        <v>4434.13</v>
      </c>
      <c r="G3882" s="10">
        <f t="shared" si="9"/>
        <v>41864.64583</v>
      </c>
      <c r="H3882" s="6" t="str">
        <f t="shared" si="6"/>
        <v/>
      </c>
      <c r="I3882" s="2">
        <f t="shared" si="7"/>
        <v>1426.89</v>
      </c>
      <c r="M3882" s="10">
        <f>IFERROR(__xludf.DUMMYFUNCTION("""COMPUTED_VALUE"""),43613.66666666667)</f>
        <v>43613.66667</v>
      </c>
      <c r="N3882" s="2">
        <f>IFERROR(__xludf.DUMMYFUNCTION("""COMPUTED_VALUE"""),7607.35)</f>
        <v>7607.35</v>
      </c>
    </row>
    <row r="3883">
      <c r="A3883" s="10">
        <f t="shared" si="8"/>
        <v>41865.66667</v>
      </c>
      <c r="B3883" s="2" t="str">
        <f t="shared" si="2"/>
        <v/>
      </c>
      <c r="C3883" s="2" t="str">
        <f t="shared" si="3"/>
        <v>SP500</v>
      </c>
      <c r="D3883" s="2">
        <f t="shared" si="4"/>
        <v>4453</v>
      </c>
      <c r="E3883" s="2">
        <f t="shared" si="5"/>
        <v>4453</v>
      </c>
      <c r="G3883" s="10">
        <f t="shared" si="9"/>
        <v>41865.64583</v>
      </c>
      <c r="H3883" s="6" t="str">
        <f t="shared" si="6"/>
        <v/>
      </c>
      <c r="I3883" s="2">
        <f t="shared" si="7"/>
        <v>1426.89</v>
      </c>
      <c r="M3883" s="10">
        <f>IFERROR(__xludf.DUMMYFUNCTION("""COMPUTED_VALUE"""),43614.66666666667)</f>
        <v>43614.66667</v>
      </c>
      <c r="N3883" s="2">
        <f>IFERROR(__xludf.DUMMYFUNCTION("""COMPUTED_VALUE"""),7547.31)</f>
        <v>7547.31</v>
      </c>
    </row>
    <row r="3884">
      <c r="A3884" s="10">
        <f t="shared" si="8"/>
        <v>41866.66667</v>
      </c>
      <c r="B3884" s="2" t="str">
        <f t="shared" si="2"/>
        <v/>
      </c>
      <c r="C3884" s="2" t="str">
        <f t="shared" si="3"/>
        <v>SP500</v>
      </c>
      <c r="D3884" s="2">
        <f t="shared" si="4"/>
        <v>4464.93</v>
      </c>
      <c r="E3884" s="2">
        <f t="shared" si="5"/>
        <v>4464.93</v>
      </c>
      <c r="G3884" s="10">
        <f t="shared" si="9"/>
        <v>41866.64583</v>
      </c>
      <c r="H3884" s="6" t="str">
        <f t="shared" si="6"/>
        <v/>
      </c>
      <c r="I3884" s="2">
        <f t="shared" si="7"/>
        <v>1426.89</v>
      </c>
      <c r="M3884" s="10">
        <f>IFERROR(__xludf.DUMMYFUNCTION("""COMPUTED_VALUE"""),43615.66666666667)</f>
        <v>43615.66667</v>
      </c>
      <c r="N3884" s="2">
        <f>IFERROR(__xludf.DUMMYFUNCTION("""COMPUTED_VALUE"""),7567.72)</f>
        <v>7567.72</v>
      </c>
    </row>
    <row r="3885">
      <c r="A3885" s="10">
        <f t="shared" si="8"/>
        <v>41867.66667</v>
      </c>
      <c r="B3885" s="2" t="str">
        <f t="shared" si="2"/>
        <v/>
      </c>
      <c r="C3885" s="2" t="str">
        <f t="shared" si="3"/>
        <v>SP500</v>
      </c>
      <c r="D3885" s="2" t="str">
        <f t="shared" si="4"/>
        <v/>
      </c>
      <c r="E3885" s="2">
        <f t="shared" si="5"/>
        <v>4464.93</v>
      </c>
      <c r="G3885" s="10">
        <f t="shared" si="9"/>
        <v>41867.64583</v>
      </c>
      <c r="H3885" s="6" t="str">
        <f t="shared" si="6"/>
        <v/>
      </c>
      <c r="I3885" s="2">
        <f t="shared" si="7"/>
        <v>1426.89</v>
      </c>
      <c r="M3885" s="10">
        <f>IFERROR(__xludf.DUMMYFUNCTION("""COMPUTED_VALUE"""),43616.66666666667)</f>
        <v>43616.66667</v>
      </c>
      <c r="N3885" s="2">
        <f>IFERROR(__xludf.DUMMYFUNCTION("""COMPUTED_VALUE"""),7453.15)</f>
        <v>7453.15</v>
      </c>
    </row>
    <row r="3886">
      <c r="A3886" s="10">
        <f t="shared" si="8"/>
        <v>41868.66667</v>
      </c>
      <c r="B3886" s="2" t="str">
        <f t="shared" si="2"/>
        <v/>
      </c>
      <c r="C3886" s="2" t="str">
        <f t="shared" si="3"/>
        <v>SP500</v>
      </c>
      <c r="D3886" s="2" t="str">
        <f t="shared" si="4"/>
        <v/>
      </c>
      <c r="E3886" s="2">
        <f t="shared" si="5"/>
        <v>4464.93</v>
      </c>
      <c r="G3886" s="10">
        <f t="shared" si="9"/>
        <v>41868.64583</v>
      </c>
      <c r="H3886" s="6" t="str">
        <f t="shared" si="6"/>
        <v/>
      </c>
      <c r="I3886" s="2">
        <f t="shared" si="7"/>
        <v>1426.89</v>
      </c>
      <c r="M3886" s="10">
        <f>IFERROR(__xludf.DUMMYFUNCTION("""COMPUTED_VALUE"""),43619.66666666667)</f>
        <v>43619.66667</v>
      </c>
      <c r="N3886" s="2">
        <f>IFERROR(__xludf.DUMMYFUNCTION("""COMPUTED_VALUE"""),7333.02)</f>
        <v>7333.02</v>
      </c>
    </row>
    <row r="3887">
      <c r="A3887" s="10">
        <f t="shared" si="8"/>
        <v>41869.66667</v>
      </c>
      <c r="B3887" s="2" t="str">
        <f t="shared" si="2"/>
        <v/>
      </c>
      <c r="C3887" s="2" t="str">
        <f t="shared" si="3"/>
        <v>SP500</v>
      </c>
      <c r="D3887" s="2">
        <f t="shared" si="4"/>
        <v>4508.31</v>
      </c>
      <c r="E3887" s="2">
        <f t="shared" si="5"/>
        <v>4508.31</v>
      </c>
      <c r="G3887" s="10">
        <f t="shared" si="9"/>
        <v>41869.64583</v>
      </c>
      <c r="H3887" s="6" t="str">
        <f t="shared" si="6"/>
        <v/>
      </c>
      <c r="I3887" s="2">
        <f t="shared" si="7"/>
        <v>1426.89</v>
      </c>
      <c r="M3887" s="10">
        <f>IFERROR(__xludf.DUMMYFUNCTION("""COMPUTED_VALUE"""),43620.66666666667)</f>
        <v>43620.66667</v>
      </c>
      <c r="N3887" s="2">
        <f>IFERROR(__xludf.DUMMYFUNCTION("""COMPUTED_VALUE"""),7527.12)</f>
        <v>7527.12</v>
      </c>
    </row>
    <row r="3888">
      <c r="A3888" s="10">
        <f t="shared" si="8"/>
        <v>41870.66667</v>
      </c>
      <c r="B3888" s="2" t="str">
        <f t="shared" si="2"/>
        <v/>
      </c>
      <c r="C3888" s="2" t="str">
        <f t="shared" si="3"/>
        <v>SP500</v>
      </c>
      <c r="D3888" s="2">
        <f t="shared" si="4"/>
        <v>4527.51</v>
      </c>
      <c r="E3888" s="2">
        <f t="shared" si="5"/>
        <v>4527.51</v>
      </c>
      <c r="G3888" s="10">
        <f t="shared" si="9"/>
        <v>41870.64583</v>
      </c>
      <c r="H3888" s="6" t="str">
        <f t="shared" si="6"/>
        <v/>
      </c>
      <c r="I3888" s="2">
        <f t="shared" si="7"/>
        <v>1426.89</v>
      </c>
      <c r="M3888" s="10">
        <f>IFERROR(__xludf.DUMMYFUNCTION("""COMPUTED_VALUE"""),43621.66666666667)</f>
        <v>43621.66667</v>
      </c>
      <c r="N3888" s="2">
        <f>IFERROR(__xludf.DUMMYFUNCTION("""COMPUTED_VALUE"""),7575.48)</f>
        <v>7575.48</v>
      </c>
    </row>
    <row r="3889">
      <c r="A3889" s="10">
        <f t="shared" si="8"/>
        <v>41871.66667</v>
      </c>
      <c r="B3889" s="2" t="str">
        <f t="shared" si="2"/>
        <v/>
      </c>
      <c r="C3889" s="2" t="str">
        <f t="shared" si="3"/>
        <v>SP500</v>
      </c>
      <c r="D3889" s="2">
        <f t="shared" si="4"/>
        <v>4526.48</v>
      </c>
      <c r="E3889" s="2">
        <f t="shared" si="5"/>
        <v>4526.48</v>
      </c>
      <c r="G3889" s="10">
        <f t="shared" si="9"/>
        <v>41871.64583</v>
      </c>
      <c r="H3889" s="6" t="str">
        <f t="shared" si="6"/>
        <v/>
      </c>
      <c r="I3889" s="2">
        <f t="shared" si="7"/>
        <v>1426.89</v>
      </c>
      <c r="M3889" s="10">
        <f>IFERROR(__xludf.DUMMYFUNCTION("""COMPUTED_VALUE"""),43622.66666666667)</f>
        <v>43622.66667</v>
      </c>
      <c r="N3889" s="2">
        <f>IFERROR(__xludf.DUMMYFUNCTION("""COMPUTED_VALUE"""),7615.55)</f>
        <v>7615.55</v>
      </c>
    </row>
    <row r="3890">
      <c r="A3890" s="10">
        <f t="shared" si="8"/>
        <v>41872.66667</v>
      </c>
      <c r="B3890" s="2" t="str">
        <f t="shared" si="2"/>
        <v/>
      </c>
      <c r="C3890" s="2" t="str">
        <f t="shared" si="3"/>
        <v>SP500</v>
      </c>
      <c r="D3890" s="2">
        <f t="shared" si="4"/>
        <v>4532.1</v>
      </c>
      <c r="E3890" s="2">
        <f t="shared" si="5"/>
        <v>4532.1</v>
      </c>
      <c r="G3890" s="10">
        <f t="shared" si="9"/>
        <v>41872.64583</v>
      </c>
      <c r="H3890" s="6" t="str">
        <f t="shared" si="6"/>
        <v/>
      </c>
      <c r="I3890" s="2">
        <f t="shared" si="7"/>
        <v>1426.89</v>
      </c>
      <c r="M3890" s="10">
        <f>IFERROR(__xludf.DUMMYFUNCTION("""COMPUTED_VALUE"""),43623.66666666667)</f>
        <v>43623.66667</v>
      </c>
      <c r="N3890" s="2">
        <f>IFERROR(__xludf.DUMMYFUNCTION("""COMPUTED_VALUE"""),7742.1)</f>
        <v>7742.1</v>
      </c>
    </row>
    <row r="3891">
      <c r="A3891" s="10">
        <f t="shared" si="8"/>
        <v>41873.66667</v>
      </c>
      <c r="B3891" s="2" t="str">
        <f t="shared" si="2"/>
        <v/>
      </c>
      <c r="C3891" s="2" t="str">
        <f t="shared" si="3"/>
        <v>SP500</v>
      </c>
      <c r="D3891" s="2">
        <f t="shared" si="4"/>
        <v>4538.55</v>
      </c>
      <c r="E3891" s="2">
        <f t="shared" si="5"/>
        <v>4538.55</v>
      </c>
      <c r="G3891" s="10">
        <f t="shared" si="9"/>
        <v>41873.64583</v>
      </c>
      <c r="H3891" s="6" t="str">
        <f t="shared" si="6"/>
        <v/>
      </c>
      <c r="I3891" s="2">
        <f t="shared" si="7"/>
        <v>1426.89</v>
      </c>
      <c r="M3891" s="10">
        <f>IFERROR(__xludf.DUMMYFUNCTION("""COMPUTED_VALUE"""),43626.66666666667)</f>
        <v>43626.66667</v>
      </c>
      <c r="N3891" s="2">
        <f>IFERROR(__xludf.DUMMYFUNCTION("""COMPUTED_VALUE"""),7823.17)</f>
        <v>7823.17</v>
      </c>
    </row>
    <row r="3892">
      <c r="A3892" s="10">
        <f t="shared" si="8"/>
        <v>41874.66667</v>
      </c>
      <c r="B3892" s="2" t="str">
        <f t="shared" si="2"/>
        <v/>
      </c>
      <c r="C3892" s="2" t="str">
        <f t="shared" si="3"/>
        <v>SP500</v>
      </c>
      <c r="D3892" s="2" t="str">
        <f t="shared" si="4"/>
        <v/>
      </c>
      <c r="E3892" s="2">
        <f t="shared" si="5"/>
        <v>4538.55</v>
      </c>
      <c r="G3892" s="10">
        <f t="shared" si="9"/>
        <v>41874.64583</v>
      </c>
      <c r="H3892" s="6" t="str">
        <f t="shared" si="6"/>
        <v/>
      </c>
      <c r="I3892" s="2">
        <f t="shared" si="7"/>
        <v>1426.89</v>
      </c>
      <c r="M3892" s="10">
        <f>IFERROR(__xludf.DUMMYFUNCTION("""COMPUTED_VALUE"""),43627.66666666667)</f>
        <v>43627.66667</v>
      </c>
      <c r="N3892" s="2">
        <f>IFERROR(__xludf.DUMMYFUNCTION("""COMPUTED_VALUE"""),7822.57)</f>
        <v>7822.57</v>
      </c>
    </row>
    <row r="3893">
      <c r="A3893" s="10">
        <f t="shared" si="8"/>
        <v>41875.66667</v>
      </c>
      <c r="B3893" s="2" t="str">
        <f t="shared" si="2"/>
        <v/>
      </c>
      <c r="C3893" s="2" t="str">
        <f t="shared" si="3"/>
        <v>SP500</v>
      </c>
      <c r="D3893" s="2" t="str">
        <f t="shared" si="4"/>
        <v/>
      </c>
      <c r="E3893" s="2">
        <f t="shared" si="5"/>
        <v>4538.55</v>
      </c>
      <c r="G3893" s="10">
        <f t="shared" si="9"/>
        <v>41875.64583</v>
      </c>
      <c r="H3893" s="6" t="str">
        <f t="shared" si="6"/>
        <v/>
      </c>
      <c r="I3893" s="2">
        <f t="shared" si="7"/>
        <v>1426.89</v>
      </c>
      <c r="M3893" s="10">
        <f>IFERROR(__xludf.DUMMYFUNCTION("""COMPUTED_VALUE"""),43628.66666666667)</f>
        <v>43628.66667</v>
      </c>
      <c r="N3893" s="2">
        <f>IFERROR(__xludf.DUMMYFUNCTION("""COMPUTED_VALUE"""),7792.72)</f>
        <v>7792.72</v>
      </c>
    </row>
    <row r="3894">
      <c r="A3894" s="10">
        <f t="shared" si="8"/>
        <v>41876.66667</v>
      </c>
      <c r="B3894" s="2" t="str">
        <f t="shared" si="2"/>
        <v/>
      </c>
      <c r="C3894" s="2" t="str">
        <f t="shared" si="3"/>
        <v>SP500</v>
      </c>
      <c r="D3894" s="2">
        <f t="shared" si="4"/>
        <v>4557.35</v>
      </c>
      <c r="E3894" s="2">
        <f t="shared" si="5"/>
        <v>4557.35</v>
      </c>
      <c r="G3894" s="10">
        <f t="shared" si="9"/>
        <v>41876.64583</v>
      </c>
      <c r="H3894" s="6" t="str">
        <f t="shared" si="6"/>
        <v/>
      </c>
      <c r="I3894" s="2">
        <f t="shared" si="7"/>
        <v>1426.89</v>
      </c>
      <c r="M3894" s="10">
        <f>IFERROR(__xludf.DUMMYFUNCTION("""COMPUTED_VALUE"""),43629.66666666667)</f>
        <v>43629.66667</v>
      </c>
      <c r="N3894" s="2">
        <f>IFERROR(__xludf.DUMMYFUNCTION("""COMPUTED_VALUE"""),7837.13)</f>
        <v>7837.13</v>
      </c>
    </row>
    <row r="3895">
      <c r="A3895" s="10">
        <f t="shared" si="8"/>
        <v>41877.66667</v>
      </c>
      <c r="B3895" s="2" t="str">
        <f t="shared" si="2"/>
        <v/>
      </c>
      <c r="C3895" s="2" t="str">
        <f t="shared" si="3"/>
        <v>SP500</v>
      </c>
      <c r="D3895" s="2">
        <f t="shared" si="4"/>
        <v>4570.64</v>
      </c>
      <c r="E3895" s="2">
        <f t="shared" si="5"/>
        <v>4570.64</v>
      </c>
      <c r="G3895" s="10">
        <f t="shared" si="9"/>
        <v>41877.64583</v>
      </c>
      <c r="H3895" s="6" t="str">
        <f t="shared" si="6"/>
        <v/>
      </c>
      <c r="I3895" s="2">
        <f t="shared" si="7"/>
        <v>1426.89</v>
      </c>
      <c r="M3895" s="10">
        <f>IFERROR(__xludf.DUMMYFUNCTION("""COMPUTED_VALUE"""),43630.66666666667)</f>
        <v>43630.66667</v>
      </c>
      <c r="N3895" s="2">
        <f>IFERROR(__xludf.DUMMYFUNCTION("""COMPUTED_VALUE"""),7796.66)</f>
        <v>7796.66</v>
      </c>
    </row>
    <row r="3896">
      <c r="A3896" s="10">
        <f t="shared" si="8"/>
        <v>41878.66667</v>
      </c>
      <c r="B3896" s="2" t="str">
        <f t="shared" si="2"/>
        <v/>
      </c>
      <c r="C3896" s="2" t="str">
        <f t="shared" si="3"/>
        <v>SP500</v>
      </c>
      <c r="D3896" s="2">
        <f t="shared" si="4"/>
        <v>4569.62</v>
      </c>
      <c r="E3896" s="2">
        <f t="shared" si="5"/>
        <v>4569.62</v>
      </c>
      <c r="G3896" s="10">
        <f t="shared" si="9"/>
        <v>41878.64583</v>
      </c>
      <c r="H3896" s="6" t="str">
        <f t="shared" si="6"/>
        <v/>
      </c>
      <c r="I3896" s="2">
        <f t="shared" si="7"/>
        <v>1426.89</v>
      </c>
      <c r="M3896" s="10">
        <f>IFERROR(__xludf.DUMMYFUNCTION("""COMPUTED_VALUE"""),43633.66666666667)</f>
        <v>43633.66667</v>
      </c>
      <c r="N3896" s="2">
        <f>IFERROR(__xludf.DUMMYFUNCTION("""COMPUTED_VALUE"""),7845.02)</f>
        <v>7845.02</v>
      </c>
    </row>
    <row r="3897">
      <c r="A3897" s="10">
        <f t="shared" si="8"/>
        <v>41879.66667</v>
      </c>
      <c r="B3897" s="2" t="str">
        <f t="shared" si="2"/>
        <v/>
      </c>
      <c r="C3897" s="2" t="str">
        <f t="shared" si="3"/>
        <v>SP500</v>
      </c>
      <c r="D3897" s="2">
        <f t="shared" si="4"/>
        <v>4557.69</v>
      </c>
      <c r="E3897" s="2">
        <f t="shared" si="5"/>
        <v>4557.69</v>
      </c>
      <c r="G3897" s="10">
        <f t="shared" si="9"/>
        <v>41879.64583</v>
      </c>
      <c r="H3897" s="6" t="str">
        <f t="shared" si="6"/>
        <v/>
      </c>
      <c r="I3897" s="2">
        <f t="shared" si="7"/>
        <v>1426.89</v>
      </c>
      <c r="M3897" s="10">
        <f>IFERROR(__xludf.DUMMYFUNCTION("""COMPUTED_VALUE"""),43634.66666666667)</f>
        <v>43634.66667</v>
      </c>
      <c r="N3897" s="2">
        <f>IFERROR(__xludf.DUMMYFUNCTION("""COMPUTED_VALUE"""),7953.88)</f>
        <v>7953.88</v>
      </c>
    </row>
    <row r="3898">
      <c r="A3898" s="10">
        <f t="shared" si="8"/>
        <v>41880.66667</v>
      </c>
      <c r="B3898" s="2" t="str">
        <f t="shared" si="2"/>
        <v/>
      </c>
      <c r="C3898" s="2" t="str">
        <f t="shared" si="3"/>
        <v>SP500</v>
      </c>
      <c r="D3898" s="2">
        <f t="shared" si="4"/>
        <v>4580.27</v>
      </c>
      <c r="E3898" s="2">
        <f t="shared" si="5"/>
        <v>4580.27</v>
      </c>
      <c r="G3898" s="10">
        <f t="shared" si="9"/>
        <v>41880.64583</v>
      </c>
      <c r="H3898" s="6" t="str">
        <f t="shared" si="6"/>
        <v/>
      </c>
      <c r="I3898" s="2">
        <f t="shared" si="7"/>
        <v>1426.89</v>
      </c>
      <c r="M3898" s="10">
        <f>IFERROR(__xludf.DUMMYFUNCTION("""COMPUTED_VALUE"""),43635.66666666667)</f>
        <v>43635.66667</v>
      </c>
      <c r="N3898" s="2">
        <f>IFERROR(__xludf.DUMMYFUNCTION("""COMPUTED_VALUE"""),7987.32)</f>
        <v>7987.32</v>
      </c>
    </row>
    <row r="3899">
      <c r="A3899" s="10">
        <f t="shared" si="8"/>
        <v>41881.66667</v>
      </c>
      <c r="B3899" s="2" t="str">
        <f t="shared" si="2"/>
        <v/>
      </c>
      <c r="C3899" s="2" t="str">
        <f t="shared" si="3"/>
        <v>SP500</v>
      </c>
      <c r="D3899" s="2" t="str">
        <f t="shared" si="4"/>
        <v/>
      </c>
      <c r="E3899" s="2">
        <f t="shared" si="5"/>
        <v>4580.27</v>
      </c>
      <c r="G3899" s="10">
        <f t="shared" si="9"/>
        <v>41881.64583</v>
      </c>
      <c r="H3899" s="6" t="str">
        <f t="shared" si="6"/>
        <v/>
      </c>
      <c r="I3899" s="2">
        <f t="shared" si="7"/>
        <v>1426.89</v>
      </c>
      <c r="M3899" s="10">
        <f>IFERROR(__xludf.DUMMYFUNCTION("""COMPUTED_VALUE"""),43636.66666666667)</f>
        <v>43636.66667</v>
      </c>
      <c r="N3899" s="2">
        <f>IFERROR(__xludf.DUMMYFUNCTION("""COMPUTED_VALUE"""),8051.34)</f>
        <v>8051.34</v>
      </c>
    </row>
    <row r="3900">
      <c r="A3900" s="10">
        <f t="shared" si="8"/>
        <v>41882.66667</v>
      </c>
      <c r="B3900" s="2" t="str">
        <f t="shared" si="2"/>
        <v/>
      </c>
      <c r="C3900" s="2" t="str">
        <f t="shared" si="3"/>
        <v>SP500</v>
      </c>
      <c r="D3900" s="2" t="str">
        <f t="shared" si="4"/>
        <v/>
      </c>
      <c r="E3900" s="2">
        <f t="shared" si="5"/>
        <v>4580.27</v>
      </c>
      <c r="G3900" s="10">
        <f t="shared" si="9"/>
        <v>41882.64583</v>
      </c>
      <c r="H3900" s="6" t="str">
        <f t="shared" si="6"/>
        <v/>
      </c>
      <c r="I3900" s="2">
        <f t="shared" si="7"/>
        <v>1426.89</v>
      </c>
      <c r="M3900" s="10">
        <f>IFERROR(__xludf.DUMMYFUNCTION("""COMPUTED_VALUE"""),43637.66666666667)</f>
        <v>43637.66667</v>
      </c>
      <c r="N3900" s="2">
        <f>IFERROR(__xludf.DUMMYFUNCTION("""COMPUTED_VALUE"""),8031.71)</f>
        <v>8031.71</v>
      </c>
    </row>
    <row r="3901">
      <c r="A3901" s="10">
        <f t="shared" si="8"/>
        <v>41883.66667</v>
      </c>
      <c r="B3901" s="2" t="str">
        <f t="shared" si="2"/>
        <v/>
      </c>
      <c r="C3901" s="2" t="str">
        <f t="shared" si="3"/>
        <v>SP500</v>
      </c>
      <c r="D3901" s="2" t="str">
        <f t="shared" si="4"/>
        <v/>
      </c>
      <c r="E3901" s="2">
        <f t="shared" si="5"/>
        <v>4580.27</v>
      </c>
      <c r="G3901" s="10">
        <f t="shared" si="9"/>
        <v>41883.64583</v>
      </c>
      <c r="H3901" s="6" t="str">
        <f t="shared" si="6"/>
        <v/>
      </c>
      <c r="I3901" s="2">
        <f t="shared" si="7"/>
        <v>1426.89</v>
      </c>
      <c r="M3901" s="10">
        <f>IFERROR(__xludf.DUMMYFUNCTION("""COMPUTED_VALUE"""),43640.66666666667)</f>
        <v>43640.66667</v>
      </c>
      <c r="N3901" s="2">
        <f>IFERROR(__xludf.DUMMYFUNCTION("""COMPUTED_VALUE"""),8005.7)</f>
        <v>8005.7</v>
      </c>
      <c r="P3901" s="10">
        <f t="shared" ref="P3901:P5058" si="10">DATE(VALUE(MID(R3901, 1, 4)), VALUE(MID(R3901, 6, 2)), VALUE(RIGHT(R3901, 2))) + TIME(15, 30, 0)</f>
        <v>38351.64583</v>
      </c>
      <c r="Q3901" s="12">
        <v>895.92</v>
      </c>
      <c r="R3901" s="16">
        <v>38351.0</v>
      </c>
    </row>
    <row r="3902">
      <c r="A3902" s="10">
        <f t="shared" si="8"/>
        <v>41884.66667</v>
      </c>
      <c r="B3902" s="2" t="str">
        <f t="shared" si="2"/>
        <v/>
      </c>
      <c r="C3902" s="2" t="str">
        <f t="shared" si="3"/>
        <v>SP500</v>
      </c>
      <c r="D3902" s="2">
        <f t="shared" si="4"/>
        <v>4598.19</v>
      </c>
      <c r="E3902" s="2">
        <f t="shared" si="5"/>
        <v>4598.19</v>
      </c>
      <c r="G3902" s="10">
        <f t="shared" si="9"/>
        <v>41884.64583</v>
      </c>
      <c r="H3902" s="6" t="str">
        <f t="shared" si="6"/>
        <v/>
      </c>
      <c r="I3902" s="2">
        <f t="shared" si="7"/>
        <v>1426.89</v>
      </c>
      <c r="M3902" s="10">
        <f>IFERROR(__xludf.DUMMYFUNCTION("""COMPUTED_VALUE"""),43641.66666666667)</f>
        <v>43641.66667</v>
      </c>
      <c r="N3902" s="2">
        <f>IFERROR(__xludf.DUMMYFUNCTION("""COMPUTED_VALUE"""),7884.72)</f>
        <v>7884.72</v>
      </c>
      <c r="P3902" s="10">
        <f t="shared" si="10"/>
        <v>38350.64583</v>
      </c>
      <c r="Q3902" s="13">
        <v>884.27</v>
      </c>
      <c r="R3902" s="17">
        <v>38350.0</v>
      </c>
    </row>
    <row r="3903">
      <c r="A3903" s="10">
        <f t="shared" si="8"/>
        <v>41885.66667</v>
      </c>
      <c r="B3903" s="2" t="str">
        <f t="shared" si="2"/>
        <v/>
      </c>
      <c r="C3903" s="2" t="str">
        <f t="shared" si="3"/>
        <v>SP500</v>
      </c>
      <c r="D3903" s="2">
        <f t="shared" si="4"/>
        <v>4572.56</v>
      </c>
      <c r="E3903" s="2">
        <f t="shared" si="5"/>
        <v>4572.56</v>
      </c>
      <c r="G3903" s="10">
        <f t="shared" si="9"/>
        <v>41885.64583</v>
      </c>
      <c r="H3903" s="6" t="str">
        <f t="shared" si="6"/>
        <v/>
      </c>
      <c r="I3903" s="2">
        <f t="shared" si="7"/>
        <v>1426.89</v>
      </c>
      <c r="M3903" s="10">
        <f>IFERROR(__xludf.DUMMYFUNCTION("""COMPUTED_VALUE"""),43642.66666666667)</f>
        <v>43642.66667</v>
      </c>
      <c r="N3903" s="2">
        <f>IFERROR(__xludf.DUMMYFUNCTION("""COMPUTED_VALUE"""),7909.97)</f>
        <v>7909.97</v>
      </c>
      <c r="P3903" s="10">
        <f t="shared" si="10"/>
        <v>38349.64583</v>
      </c>
      <c r="Q3903" s="13">
        <v>878.43</v>
      </c>
      <c r="R3903" s="17">
        <v>38349.0</v>
      </c>
    </row>
    <row r="3904">
      <c r="A3904" s="10">
        <f t="shared" si="8"/>
        <v>41886.66667</v>
      </c>
      <c r="B3904" s="2" t="str">
        <f t="shared" si="2"/>
        <v/>
      </c>
      <c r="C3904" s="2" t="str">
        <f t="shared" si="3"/>
        <v>SP500</v>
      </c>
      <c r="D3904" s="2">
        <f t="shared" si="4"/>
        <v>4562.29</v>
      </c>
      <c r="E3904" s="2">
        <f t="shared" si="5"/>
        <v>4562.29</v>
      </c>
      <c r="G3904" s="10">
        <f t="shared" si="9"/>
        <v>41886.64583</v>
      </c>
      <c r="H3904" s="6" t="str">
        <f t="shared" si="6"/>
        <v/>
      </c>
      <c r="I3904" s="2">
        <f t="shared" si="7"/>
        <v>1426.89</v>
      </c>
      <c r="M3904" s="10">
        <f>IFERROR(__xludf.DUMMYFUNCTION("""COMPUTED_VALUE"""),43643.66666666667)</f>
        <v>43643.66667</v>
      </c>
      <c r="N3904" s="2">
        <f>IFERROR(__xludf.DUMMYFUNCTION("""COMPUTED_VALUE"""),7967.76)</f>
        <v>7967.76</v>
      </c>
      <c r="P3904" s="10">
        <f t="shared" si="10"/>
        <v>38348.64583</v>
      </c>
      <c r="Q3904" s="13">
        <v>876.98</v>
      </c>
      <c r="R3904" s="17">
        <v>38348.0</v>
      </c>
    </row>
    <row r="3905">
      <c r="A3905" s="10">
        <f t="shared" si="8"/>
        <v>41887.66667</v>
      </c>
      <c r="B3905" s="2" t="str">
        <f t="shared" si="2"/>
        <v/>
      </c>
      <c r="C3905" s="2" t="str">
        <f t="shared" si="3"/>
        <v>SP500</v>
      </c>
      <c r="D3905" s="2">
        <f t="shared" si="4"/>
        <v>4582.9</v>
      </c>
      <c r="E3905" s="2">
        <f t="shared" si="5"/>
        <v>4582.9</v>
      </c>
      <c r="G3905" s="10">
        <f t="shared" si="9"/>
        <v>41887.64583</v>
      </c>
      <c r="H3905" s="6" t="str">
        <f t="shared" si="6"/>
        <v/>
      </c>
      <c r="I3905" s="2">
        <f t="shared" si="7"/>
        <v>1426.89</v>
      </c>
      <c r="M3905" s="10">
        <f>IFERROR(__xludf.DUMMYFUNCTION("""COMPUTED_VALUE"""),43644.66666666667)</f>
        <v>43644.66667</v>
      </c>
      <c r="N3905" s="2">
        <f>IFERROR(__xludf.DUMMYFUNCTION("""COMPUTED_VALUE"""),8006.24)</f>
        <v>8006.24</v>
      </c>
      <c r="P3905" s="10">
        <f t="shared" si="10"/>
        <v>38345.64583</v>
      </c>
      <c r="Q3905" s="13">
        <v>879.92</v>
      </c>
      <c r="R3905" s="17">
        <v>38345.0</v>
      </c>
    </row>
    <row r="3906">
      <c r="A3906" s="10">
        <f t="shared" si="8"/>
        <v>41888.66667</v>
      </c>
      <c r="B3906" s="2" t="str">
        <f t="shared" si="2"/>
        <v/>
      </c>
      <c r="C3906" s="2" t="str">
        <f t="shared" si="3"/>
        <v>SP500</v>
      </c>
      <c r="D3906" s="2" t="str">
        <f t="shared" si="4"/>
        <v/>
      </c>
      <c r="E3906" s="2">
        <f t="shared" si="5"/>
        <v>4582.9</v>
      </c>
      <c r="G3906" s="10">
        <f t="shared" si="9"/>
        <v>41888.64583</v>
      </c>
      <c r="H3906" s="6" t="str">
        <f t="shared" si="6"/>
        <v/>
      </c>
      <c r="I3906" s="2">
        <f t="shared" si="7"/>
        <v>1426.89</v>
      </c>
      <c r="M3906" s="10">
        <f>IFERROR(__xludf.DUMMYFUNCTION("""COMPUTED_VALUE"""),43647.66666666667)</f>
        <v>43647.66667</v>
      </c>
      <c r="N3906" s="2">
        <f>IFERROR(__xludf.DUMMYFUNCTION("""COMPUTED_VALUE"""),8091.16)</f>
        <v>8091.16</v>
      </c>
      <c r="P3906" s="10">
        <f t="shared" si="10"/>
        <v>38344.64583</v>
      </c>
      <c r="Q3906" s="13">
        <v>876.88</v>
      </c>
      <c r="R3906" s="17">
        <v>38344.0</v>
      </c>
    </row>
    <row r="3907">
      <c r="A3907" s="10">
        <f t="shared" si="8"/>
        <v>41889.66667</v>
      </c>
      <c r="B3907" s="2" t="str">
        <f t="shared" si="2"/>
        <v/>
      </c>
      <c r="C3907" s="2" t="str">
        <f t="shared" si="3"/>
        <v>SP500</v>
      </c>
      <c r="D3907" s="2" t="str">
        <f t="shared" si="4"/>
        <v/>
      </c>
      <c r="E3907" s="2">
        <f t="shared" si="5"/>
        <v>4582.9</v>
      </c>
      <c r="G3907" s="10">
        <f t="shared" si="9"/>
        <v>41889.64583</v>
      </c>
      <c r="H3907" s="6" t="str">
        <f t="shared" si="6"/>
        <v/>
      </c>
      <c r="I3907" s="2">
        <f t="shared" si="7"/>
        <v>1426.89</v>
      </c>
      <c r="M3907" s="10">
        <f>IFERROR(__xludf.DUMMYFUNCTION("""COMPUTED_VALUE"""),43648.66666666667)</f>
        <v>43648.66667</v>
      </c>
      <c r="N3907" s="2">
        <f>IFERROR(__xludf.DUMMYFUNCTION("""COMPUTED_VALUE"""),8109.09)</f>
        <v>8109.09</v>
      </c>
      <c r="P3907" s="10">
        <f t="shared" si="10"/>
        <v>38343.64583</v>
      </c>
      <c r="Q3907" s="13">
        <v>883.38</v>
      </c>
      <c r="R3907" s="17">
        <v>38343.0</v>
      </c>
    </row>
    <row r="3908">
      <c r="A3908" s="10">
        <f t="shared" si="8"/>
        <v>41890.66667</v>
      </c>
      <c r="B3908" s="2" t="str">
        <f t="shared" si="2"/>
        <v/>
      </c>
      <c r="C3908" s="2" t="str">
        <f t="shared" si="3"/>
        <v>SP500</v>
      </c>
      <c r="D3908" s="2">
        <f t="shared" si="4"/>
        <v>4592.29</v>
      </c>
      <c r="E3908" s="2">
        <f t="shared" si="5"/>
        <v>4592.29</v>
      </c>
      <c r="G3908" s="10">
        <f t="shared" si="9"/>
        <v>41890.64583</v>
      </c>
      <c r="H3908" s="6" t="str">
        <f t="shared" si="6"/>
        <v/>
      </c>
      <c r="I3908" s="2">
        <f t="shared" si="7"/>
        <v>1426.89</v>
      </c>
      <c r="M3908" s="10">
        <f>IFERROR(__xludf.DUMMYFUNCTION("""COMPUTED_VALUE"""),43649.54166666667)</f>
        <v>43649.54167</v>
      </c>
      <c r="N3908" s="2">
        <f>IFERROR(__xludf.DUMMYFUNCTION("""COMPUTED_VALUE"""),8170.23)</f>
        <v>8170.23</v>
      </c>
      <c r="P3908" s="10">
        <f t="shared" si="10"/>
        <v>38342.64583</v>
      </c>
      <c r="Q3908" s="13">
        <v>882.82</v>
      </c>
      <c r="R3908" s="17">
        <v>38342.0</v>
      </c>
    </row>
    <row r="3909">
      <c r="A3909" s="10">
        <f t="shared" si="8"/>
        <v>41891.66667</v>
      </c>
      <c r="B3909" s="2" t="str">
        <f t="shared" si="2"/>
        <v/>
      </c>
      <c r="C3909" s="2" t="str">
        <f t="shared" si="3"/>
        <v>SP500</v>
      </c>
      <c r="D3909" s="2">
        <f t="shared" si="4"/>
        <v>4552.29</v>
      </c>
      <c r="E3909" s="2">
        <f t="shared" si="5"/>
        <v>4552.29</v>
      </c>
      <c r="G3909" s="10">
        <f t="shared" si="9"/>
        <v>41891.64583</v>
      </c>
      <c r="H3909" s="6" t="str">
        <f t="shared" si="6"/>
        <v/>
      </c>
      <c r="I3909" s="2">
        <f t="shared" si="7"/>
        <v>1426.89</v>
      </c>
      <c r="M3909" s="10">
        <f>IFERROR(__xludf.DUMMYFUNCTION("""COMPUTED_VALUE"""),43651.66666666667)</f>
        <v>43651.66667</v>
      </c>
      <c r="N3909" s="2">
        <f>IFERROR(__xludf.DUMMYFUNCTION("""COMPUTED_VALUE"""),8161.79)</f>
        <v>8161.79</v>
      </c>
      <c r="P3909" s="10">
        <f t="shared" si="10"/>
        <v>38341.64583</v>
      </c>
      <c r="Q3909" s="13">
        <v>884.31</v>
      </c>
      <c r="R3909" s="17">
        <v>38341.0</v>
      </c>
    </row>
    <row r="3910">
      <c r="A3910" s="10">
        <f t="shared" si="8"/>
        <v>41892.66667</v>
      </c>
      <c r="B3910" s="2" t="str">
        <f t="shared" si="2"/>
        <v/>
      </c>
      <c r="C3910" s="2" t="str">
        <f t="shared" si="3"/>
        <v>SP500</v>
      </c>
      <c r="D3910" s="2">
        <f t="shared" si="4"/>
        <v>4586.52</v>
      </c>
      <c r="E3910" s="2">
        <f t="shared" si="5"/>
        <v>4586.52</v>
      </c>
      <c r="G3910" s="10">
        <f t="shared" si="9"/>
        <v>41892.64583</v>
      </c>
      <c r="H3910" s="6" t="str">
        <f t="shared" si="6"/>
        <v/>
      </c>
      <c r="I3910" s="2">
        <f t="shared" si="7"/>
        <v>1426.89</v>
      </c>
      <c r="M3910" s="10">
        <f>IFERROR(__xludf.DUMMYFUNCTION("""COMPUTED_VALUE"""),43654.66666666667)</f>
        <v>43654.66667</v>
      </c>
      <c r="N3910" s="2">
        <f>IFERROR(__xludf.DUMMYFUNCTION("""COMPUTED_VALUE"""),8098.38)</f>
        <v>8098.38</v>
      </c>
      <c r="P3910" s="10">
        <f t="shared" si="10"/>
        <v>38338.64583</v>
      </c>
      <c r="Q3910" s="13">
        <v>875.13</v>
      </c>
      <c r="R3910" s="17">
        <v>38338.0</v>
      </c>
    </row>
    <row r="3911">
      <c r="A3911" s="10">
        <f t="shared" si="8"/>
        <v>41893.66667</v>
      </c>
      <c r="B3911" s="2" t="str">
        <f t="shared" si="2"/>
        <v/>
      </c>
      <c r="C3911" s="2" t="str">
        <f t="shared" si="3"/>
        <v>SP500</v>
      </c>
      <c r="D3911" s="2">
        <f t="shared" si="4"/>
        <v>4591.81</v>
      </c>
      <c r="E3911" s="2">
        <f t="shared" si="5"/>
        <v>4591.81</v>
      </c>
      <c r="G3911" s="10">
        <f t="shared" si="9"/>
        <v>41893.64583</v>
      </c>
      <c r="H3911" s="6" t="str">
        <f t="shared" si="6"/>
        <v/>
      </c>
      <c r="I3911" s="2">
        <f t="shared" si="7"/>
        <v>1426.89</v>
      </c>
      <c r="M3911" s="10">
        <f>IFERROR(__xludf.DUMMYFUNCTION("""COMPUTED_VALUE"""),43655.66666666667)</f>
        <v>43655.66667</v>
      </c>
      <c r="N3911" s="2">
        <f>IFERROR(__xludf.DUMMYFUNCTION("""COMPUTED_VALUE"""),8141.73)</f>
        <v>8141.73</v>
      </c>
      <c r="P3911" s="10">
        <f t="shared" si="10"/>
        <v>38337.64583</v>
      </c>
      <c r="Q3911" s="13">
        <v>873.7</v>
      </c>
      <c r="R3911" s="17">
        <v>38337.0</v>
      </c>
    </row>
    <row r="3912">
      <c r="A3912" s="10">
        <f t="shared" si="8"/>
        <v>41894.66667</v>
      </c>
      <c r="B3912" s="2" t="str">
        <f t="shared" si="2"/>
        <v/>
      </c>
      <c r="C3912" s="2" t="str">
        <f t="shared" si="3"/>
        <v>SP500</v>
      </c>
      <c r="D3912" s="2">
        <f t="shared" si="4"/>
        <v>4567.6</v>
      </c>
      <c r="E3912" s="2">
        <f t="shared" si="5"/>
        <v>4567.6</v>
      </c>
      <c r="G3912" s="10">
        <f t="shared" si="9"/>
        <v>41894.64583</v>
      </c>
      <c r="H3912" s="6" t="str">
        <f t="shared" si="6"/>
        <v/>
      </c>
      <c r="I3912" s="2">
        <f t="shared" si="7"/>
        <v>1426.89</v>
      </c>
      <c r="M3912" s="10">
        <f>IFERROR(__xludf.DUMMYFUNCTION("""COMPUTED_VALUE"""),43656.66666666667)</f>
        <v>43656.66667</v>
      </c>
      <c r="N3912" s="2">
        <f>IFERROR(__xludf.DUMMYFUNCTION("""COMPUTED_VALUE"""),8202.53)</f>
        <v>8202.53</v>
      </c>
      <c r="P3912" s="10">
        <f t="shared" si="10"/>
        <v>38336.64583</v>
      </c>
      <c r="Q3912" s="13">
        <v>868.84</v>
      </c>
      <c r="R3912" s="17">
        <v>38336.0</v>
      </c>
    </row>
    <row r="3913">
      <c r="A3913" s="10">
        <f t="shared" si="8"/>
        <v>41895.66667</v>
      </c>
      <c r="B3913" s="2" t="str">
        <f t="shared" si="2"/>
        <v/>
      </c>
      <c r="C3913" s="2" t="str">
        <f t="shared" si="3"/>
        <v>SP500</v>
      </c>
      <c r="D3913" s="2" t="str">
        <f t="shared" si="4"/>
        <v/>
      </c>
      <c r="E3913" s="2">
        <f t="shared" si="5"/>
        <v>4567.6</v>
      </c>
      <c r="G3913" s="10">
        <f t="shared" si="9"/>
        <v>41895.64583</v>
      </c>
      <c r="H3913" s="6" t="str">
        <f t="shared" si="6"/>
        <v/>
      </c>
      <c r="I3913" s="2">
        <f t="shared" si="7"/>
        <v>1426.89</v>
      </c>
      <c r="M3913" s="10">
        <f>IFERROR(__xludf.DUMMYFUNCTION("""COMPUTED_VALUE"""),43657.66666666667)</f>
        <v>43657.66667</v>
      </c>
      <c r="N3913" s="2">
        <f>IFERROR(__xludf.DUMMYFUNCTION("""COMPUTED_VALUE"""),8196.04)</f>
        <v>8196.04</v>
      </c>
      <c r="P3913" s="10">
        <f t="shared" si="10"/>
        <v>38335.64583</v>
      </c>
      <c r="Q3913" s="13">
        <v>849.4</v>
      </c>
      <c r="R3913" s="17">
        <v>38335.0</v>
      </c>
    </row>
    <row r="3914">
      <c r="A3914" s="10">
        <f t="shared" si="8"/>
        <v>41896.66667</v>
      </c>
      <c r="B3914" s="2" t="str">
        <f t="shared" si="2"/>
        <v/>
      </c>
      <c r="C3914" s="2" t="str">
        <f t="shared" si="3"/>
        <v>SP500</v>
      </c>
      <c r="D3914" s="2" t="str">
        <f t="shared" si="4"/>
        <v/>
      </c>
      <c r="E3914" s="2">
        <f t="shared" si="5"/>
        <v>4567.6</v>
      </c>
      <c r="G3914" s="10">
        <f t="shared" si="9"/>
        <v>41896.64583</v>
      </c>
      <c r="H3914" s="6" t="str">
        <f t="shared" si="6"/>
        <v/>
      </c>
      <c r="I3914" s="2">
        <f t="shared" si="7"/>
        <v>1426.89</v>
      </c>
      <c r="M3914" s="10">
        <f>IFERROR(__xludf.DUMMYFUNCTION("""COMPUTED_VALUE"""),43658.66666666667)</f>
        <v>43658.66667</v>
      </c>
      <c r="N3914" s="2">
        <f>IFERROR(__xludf.DUMMYFUNCTION("""COMPUTED_VALUE"""),8244.14)</f>
        <v>8244.14</v>
      </c>
      <c r="P3914" s="10">
        <f t="shared" si="10"/>
        <v>38334.64583</v>
      </c>
      <c r="Q3914" s="13">
        <v>844.2</v>
      </c>
      <c r="R3914" s="17">
        <v>38334.0</v>
      </c>
    </row>
    <row r="3915">
      <c r="A3915" s="10">
        <f t="shared" si="8"/>
        <v>41897.66667</v>
      </c>
      <c r="B3915" s="2" t="str">
        <f t="shared" si="2"/>
        <v/>
      </c>
      <c r="C3915" s="2" t="str">
        <f t="shared" si="3"/>
        <v>SP500</v>
      </c>
      <c r="D3915" s="2">
        <f t="shared" si="4"/>
        <v>4518.9</v>
      </c>
      <c r="E3915" s="2">
        <f t="shared" si="5"/>
        <v>4518.9</v>
      </c>
      <c r="G3915" s="10">
        <f t="shared" si="9"/>
        <v>41897.64583</v>
      </c>
      <c r="H3915" s="6" t="str">
        <f t="shared" si="6"/>
        <v/>
      </c>
      <c r="I3915" s="2">
        <f t="shared" si="7"/>
        <v>1426.89</v>
      </c>
      <c r="M3915" s="10">
        <f>IFERROR(__xludf.DUMMYFUNCTION("""COMPUTED_VALUE"""),43661.66666666667)</f>
        <v>43661.66667</v>
      </c>
      <c r="N3915" s="2">
        <f>IFERROR(__xludf.DUMMYFUNCTION("""COMPUTED_VALUE"""),8258.19)</f>
        <v>8258.19</v>
      </c>
      <c r="P3915" s="10">
        <f t="shared" si="10"/>
        <v>38331.64583</v>
      </c>
      <c r="Q3915" s="13">
        <v>844.85</v>
      </c>
      <c r="R3915" s="17">
        <v>38331.0</v>
      </c>
    </row>
    <row r="3916">
      <c r="A3916" s="10">
        <f t="shared" si="8"/>
        <v>41898.66667</v>
      </c>
      <c r="B3916" s="2" t="str">
        <f t="shared" si="2"/>
        <v/>
      </c>
      <c r="C3916" s="2" t="str">
        <f t="shared" si="3"/>
        <v>SP500</v>
      </c>
      <c r="D3916" s="2">
        <f t="shared" si="4"/>
        <v>4552.76</v>
      </c>
      <c r="E3916" s="2">
        <f t="shared" si="5"/>
        <v>4552.76</v>
      </c>
      <c r="G3916" s="10">
        <f t="shared" si="9"/>
        <v>41898.64583</v>
      </c>
      <c r="H3916" s="6" t="str">
        <f t="shared" si="6"/>
        <v/>
      </c>
      <c r="I3916" s="2">
        <f t="shared" si="7"/>
        <v>1426.89</v>
      </c>
      <c r="M3916" s="10">
        <f>IFERROR(__xludf.DUMMYFUNCTION("""COMPUTED_VALUE"""),43662.66666666667)</f>
        <v>43662.66667</v>
      </c>
      <c r="N3916" s="2">
        <f>IFERROR(__xludf.DUMMYFUNCTION("""COMPUTED_VALUE"""),8222.8)</f>
        <v>8222.8</v>
      </c>
      <c r="P3916" s="10">
        <f t="shared" si="10"/>
        <v>38330.64583</v>
      </c>
      <c r="Q3916" s="13">
        <v>861.31</v>
      </c>
      <c r="R3916" s="18">
        <v>38330.0</v>
      </c>
    </row>
    <row r="3917">
      <c r="A3917" s="10">
        <f t="shared" si="8"/>
        <v>41899.66667</v>
      </c>
      <c r="B3917" s="2" t="str">
        <f t="shared" si="2"/>
        <v/>
      </c>
      <c r="C3917" s="2" t="str">
        <f t="shared" si="3"/>
        <v>SP500</v>
      </c>
      <c r="D3917" s="2">
        <f t="shared" si="4"/>
        <v>4562.19</v>
      </c>
      <c r="E3917" s="2">
        <f t="shared" si="5"/>
        <v>4562.19</v>
      </c>
      <c r="G3917" s="10">
        <f t="shared" si="9"/>
        <v>41899.64583</v>
      </c>
      <c r="H3917" s="6" t="str">
        <f t="shared" si="6"/>
        <v/>
      </c>
      <c r="I3917" s="2">
        <f t="shared" si="7"/>
        <v>1426.89</v>
      </c>
      <c r="M3917" s="10">
        <f>IFERROR(__xludf.DUMMYFUNCTION("""COMPUTED_VALUE"""),43663.66666666667)</f>
        <v>43663.66667</v>
      </c>
      <c r="N3917" s="2">
        <f>IFERROR(__xludf.DUMMYFUNCTION("""COMPUTED_VALUE"""),8185.21)</f>
        <v>8185.21</v>
      </c>
      <c r="P3917" s="10">
        <f t="shared" si="10"/>
        <v>38329.64583</v>
      </c>
      <c r="Q3917" s="13">
        <v>871.74</v>
      </c>
      <c r="R3917" s="18">
        <v>38329.0</v>
      </c>
    </row>
    <row r="3918">
      <c r="A3918" s="10">
        <f t="shared" si="8"/>
        <v>41900.66667</v>
      </c>
      <c r="B3918" s="2" t="str">
        <f t="shared" si="2"/>
        <v/>
      </c>
      <c r="C3918" s="2" t="str">
        <f t="shared" si="3"/>
        <v>SP500</v>
      </c>
      <c r="D3918" s="2">
        <f t="shared" si="4"/>
        <v>4593.43</v>
      </c>
      <c r="E3918" s="2">
        <f t="shared" si="5"/>
        <v>4593.43</v>
      </c>
      <c r="G3918" s="10">
        <f t="shared" si="9"/>
        <v>41900.64583</v>
      </c>
      <c r="H3918" s="6" t="str">
        <f t="shared" si="6"/>
        <v/>
      </c>
      <c r="I3918" s="2">
        <f t="shared" si="7"/>
        <v>1426.89</v>
      </c>
      <c r="M3918" s="10">
        <f>IFERROR(__xludf.DUMMYFUNCTION("""COMPUTED_VALUE"""),43664.66666666667)</f>
        <v>43664.66667</v>
      </c>
      <c r="N3918" s="2">
        <f>IFERROR(__xludf.DUMMYFUNCTION("""COMPUTED_VALUE"""),8207.24)</f>
        <v>8207.24</v>
      </c>
      <c r="P3918" s="10">
        <f t="shared" si="10"/>
        <v>38328.64583</v>
      </c>
      <c r="Q3918" s="13">
        <v>861.07</v>
      </c>
      <c r="R3918" s="18">
        <v>38328.0</v>
      </c>
    </row>
    <row r="3919">
      <c r="A3919" s="10">
        <f t="shared" si="8"/>
        <v>41901.66667</v>
      </c>
      <c r="B3919" s="2" t="str">
        <f t="shared" si="2"/>
        <v/>
      </c>
      <c r="C3919" s="2" t="str">
        <f t="shared" si="3"/>
        <v>SP500</v>
      </c>
      <c r="D3919" s="2">
        <f t="shared" si="4"/>
        <v>4579.79</v>
      </c>
      <c r="E3919" s="2">
        <f t="shared" si="5"/>
        <v>4579.79</v>
      </c>
      <c r="G3919" s="10">
        <f t="shared" si="9"/>
        <v>41901.64583</v>
      </c>
      <c r="H3919" s="6" t="str">
        <f t="shared" si="6"/>
        <v/>
      </c>
      <c r="I3919" s="2">
        <f t="shared" si="7"/>
        <v>1426.89</v>
      </c>
      <c r="M3919" s="10">
        <f>IFERROR(__xludf.DUMMYFUNCTION("""COMPUTED_VALUE"""),43665.66666666667)</f>
        <v>43665.66667</v>
      </c>
      <c r="N3919" s="2">
        <f>IFERROR(__xludf.DUMMYFUNCTION("""COMPUTED_VALUE"""),8146.49)</f>
        <v>8146.49</v>
      </c>
      <c r="P3919" s="10">
        <f t="shared" si="10"/>
        <v>38327.64583</v>
      </c>
      <c r="Q3919" s="13">
        <v>870.75</v>
      </c>
      <c r="R3919" s="18">
        <v>38327.0</v>
      </c>
    </row>
    <row r="3920">
      <c r="A3920" s="10">
        <f t="shared" si="8"/>
        <v>41902.66667</v>
      </c>
      <c r="B3920" s="2" t="str">
        <f t="shared" si="2"/>
        <v/>
      </c>
      <c r="C3920" s="2" t="str">
        <f t="shared" si="3"/>
        <v>SP500</v>
      </c>
      <c r="D3920" s="2" t="str">
        <f t="shared" si="4"/>
        <v/>
      </c>
      <c r="E3920" s="2">
        <f t="shared" si="5"/>
        <v>4579.79</v>
      </c>
      <c r="G3920" s="10">
        <f t="shared" si="9"/>
        <v>41902.64583</v>
      </c>
      <c r="H3920" s="6" t="str">
        <f t="shared" si="6"/>
        <v/>
      </c>
      <c r="I3920" s="2">
        <f t="shared" si="7"/>
        <v>1426.89</v>
      </c>
      <c r="M3920" s="10">
        <f>IFERROR(__xludf.DUMMYFUNCTION("""COMPUTED_VALUE"""),43668.66666666667)</f>
        <v>43668.66667</v>
      </c>
      <c r="N3920" s="2">
        <f>IFERROR(__xludf.DUMMYFUNCTION("""COMPUTED_VALUE"""),8204.14)</f>
        <v>8204.14</v>
      </c>
      <c r="P3920" s="10">
        <f t="shared" si="10"/>
        <v>38324.64583</v>
      </c>
      <c r="Q3920" s="13">
        <v>882.55</v>
      </c>
      <c r="R3920" s="18">
        <v>38324.0</v>
      </c>
    </row>
    <row r="3921">
      <c r="A3921" s="10">
        <f t="shared" si="8"/>
        <v>41903.66667</v>
      </c>
      <c r="B3921" s="2" t="str">
        <f t="shared" si="2"/>
        <v/>
      </c>
      <c r="C3921" s="2" t="str">
        <f t="shared" si="3"/>
        <v>SP500</v>
      </c>
      <c r="D3921" s="2" t="str">
        <f t="shared" si="4"/>
        <v/>
      </c>
      <c r="E3921" s="2">
        <f t="shared" si="5"/>
        <v>4579.79</v>
      </c>
      <c r="G3921" s="10">
        <f t="shared" si="9"/>
        <v>41903.64583</v>
      </c>
      <c r="H3921" s="6" t="str">
        <f t="shared" si="6"/>
        <v/>
      </c>
      <c r="I3921" s="2">
        <f t="shared" si="7"/>
        <v>1426.89</v>
      </c>
      <c r="M3921" s="10">
        <f>IFERROR(__xludf.DUMMYFUNCTION("""COMPUTED_VALUE"""),43669.66666666667)</f>
        <v>43669.66667</v>
      </c>
      <c r="N3921" s="2">
        <f>IFERROR(__xludf.DUMMYFUNCTION("""COMPUTED_VALUE"""),8251.4)</f>
        <v>8251.4</v>
      </c>
      <c r="P3921" s="10">
        <f t="shared" si="10"/>
        <v>38323.64583</v>
      </c>
      <c r="Q3921" s="13">
        <v>884.1</v>
      </c>
      <c r="R3921" s="18">
        <v>38323.0</v>
      </c>
    </row>
    <row r="3922">
      <c r="A3922" s="10">
        <f t="shared" si="8"/>
        <v>41904.66667</v>
      </c>
      <c r="B3922" s="2" t="str">
        <f t="shared" si="2"/>
        <v/>
      </c>
      <c r="C3922" s="2" t="str">
        <f t="shared" si="3"/>
        <v>SP500</v>
      </c>
      <c r="D3922" s="2">
        <f t="shared" si="4"/>
        <v>4527.69</v>
      </c>
      <c r="E3922" s="2">
        <f t="shared" si="5"/>
        <v>4527.69</v>
      </c>
      <c r="G3922" s="10">
        <f t="shared" si="9"/>
        <v>41904.64583</v>
      </c>
      <c r="H3922" s="6" t="str">
        <f t="shared" si="6"/>
        <v/>
      </c>
      <c r="I3922" s="2">
        <f t="shared" si="7"/>
        <v>1426.89</v>
      </c>
      <c r="M3922" s="10">
        <f>IFERROR(__xludf.DUMMYFUNCTION("""COMPUTED_VALUE"""),43670.66666666667)</f>
        <v>43670.66667</v>
      </c>
      <c r="N3922" s="2">
        <f>IFERROR(__xludf.DUMMYFUNCTION("""COMPUTED_VALUE"""),8321.5)</f>
        <v>8321.5</v>
      </c>
      <c r="P3922" s="10">
        <f t="shared" si="10"/>
        <v>38322.64583</v>
      </c>
      <c r="Q3922" s="13">
        <v>876.8</v>
      </c>
      <c r="R3922" s="18">
        <v>38322.0</v>
      </c>
    </row>
    <row r="3923">
      <c r="A3923" s="10">
        <f t="shared" si="8"/>
        <v>41905.66667</v>
      </c>
      <c r="B3923" s="2" t="str">
        <f t="shared" si="2"/>
        <v/>
      </c>
      <c r="C3923" s="2" t="str">
        <f t="shared" si="3"/>
        <v>SP500</v>
      </c>
      <c r="D3923" s="2">
        <f t="shared" si="4"/>
        <v>4508.69</v>
      </c>
      <c r="E3923" s="2">
        <f t="shared" si="5"/>
        <v>4508.69</v>
      </c>
      <c r="G3923" s="10">
        <f t="shared" si="9"/>
        <v>41905.64583</v>
      </c>
      <c r="H3923" s="6" t="str">
        <f t="shared" si="6"/>
        <v/>
      </c>
      <c r="I3923" s="2">
        <f t="shared" si="7"/>
        <v>1426.89</v>
      </c>
      <c r="M3923" s="10">
        <f>IFERROR(__xludf.DUMMYFUNCTION("""COMPUTED_VALUE"""),43671.66666666667)</f>
        <v>43671.66667</v>
      </c>
      <c r="N3923" s="2">
        <f>IFERROR(__xludf.DUMMYFUNCTION("""COMPUTED_VALUE"""),8238.54)</f>
        <v>8238.54</v>
      </c>
      <c r="P3923" s="10">
        <f t="shared" si="10"/>
        <v>38321.64583</v>
      </c>
      <c r="Q3923" s="13">
        <v>878.06</v>
      </c>
      <c r="R3923" s="17">
        <v>38321.0</v>
      </c>
    </row>
    <row r="3924">
      <c r="A3924" s="10">
        <f t="shared" si="8"/>
        <v>41906.66667</v>
      </c>
      <c r="B3924" s="2" t="str">
        <f t="shared" si="2"/>
        <v/>
      </c>
      <c r="C3924" s="2" t="str">
        <f t="shared" si="3"/>
        <v>SP500</v>
      </c>
      <c r="D3924" s="2">
        <f t="shared" si="4"/>
        <v>4555.22</v>
      </c>
      <c r="E3924" s="2">
        <f t="shared" si="5"/>
        <v>4555.22</v>
      </c>
      <c r="G3924" s="10">
        <f t="shared" si="9"/>
        <v>41906.64583</v>
      </c>
      <c r="H3924" s="6" t="str">
        <f t="shared" si="6"/>
        <v/>
      </c>
      <c r="I3924" s="2">
        <f t="shared" si="7"/>
        <v>1426.89</v>
      </c>
      <c r="M3924" s="10">
        <f>IFERROR(__xludf.DUMMYFUNCTION("""COMPUTED_VALUE"""),43672.66666666667)</f>
        <v>43672.66667</v>
      </c>
      <c r="N3924" s="2">
        <f>IFERROR(__xludf.DUMMYFUNCTION("""COMPUTED_VALUE"""),8330.21)</f>
        <v>8330.21</v>
      </c>
      <c r="P3924" s="10">
        <f t="shared" si="10"/>
        <v>38320.64583</v>
      </c>
      <c r="Q3924" s="13">
        <v>865.4</v>
      </c>
      <c r="R3924" s="17">
        <v>38320.0</v>
      </c>
    </row>
    <row r="3925">
      <c r="A3925" s="10">
        <f t="shared" si="8"/>
        <v>41907.66667</v>
      </c>
      <c r="B3925" s="2" t="str">
        <f t="shared" si="2"/>
        <v/>
      </c>
      <c r="C3925" s="2" t="str">
        <f t="shared" si="3"/>
        <v>SP500</v>
      </c>
      <c r="D3925" s="2">
        <f t="shared" si="4"/>
        <v>4466.75</v>
      </c>
      <c r="E3925" s="2">
        <f t="shared" si="5"/>
        <v>4466.75</v>
      </c>
      <c r="G3925" s="10">
        <f t="shared" si="9"/>
        <v>41907.64583</v>
      </c>
      <c r="H3925" s="6" t="str">
        <f t="shared" si="6"/>
        <v/>
      </c>
      <c r="I3925" s="2">
        <f t="shared" si="7"/>
        <v>1426.89</v>
      </c>
      <c r="M3925" s="10">
        <f>IFERROR(__xludf.DUMMYFUNCTION("""COMPUTED_VALUE"""),43675.66666666667)</f>
        <v>43675.66667</v>
      </c>
      <c r="N3925" s="2">
        <f>IFERROR(__xludf.DUMMYFUNCTION("""COMPUTED_VALUE"""),8293.33)</f>
        <v>8293.33</v>
      </c>
      <c r="P3925" s="10">
        <f t="shared" si="10"/>
        <v>38317.64583</v>
      </c>
      <c r="Q3925" s="13">
        <v>858.12</v>
      </c>
      <c r="R3925" s="17">
        <v>38317.0</v>
      </c>
    </row>
    <row r="3926">
      <c r="A3926" s="10">
        <f t="shared" si="8"/>
        <v>41908.66667</v>
      </c>
      <c r="B3926" s="2" t="str">
        <f t="shared" si="2"/>
        <v/>
      </c>
      <c r="C3926" s="2" t="str">
        <f t="shared" si="3"/>
        <v>SP500</v>
      </c>
      <c r="D3926" s="2">
        <f t="shared" si="4"/>
        <v>4512.19</v>
      </c>
      <c r="E3926" s="2">
        <f t="shared" si="5"/>
        <v>4512.19</v>
      </c>
      <c r="G3926" s="10">
        <f t="shared" si="9"/>
        <v>41908.64583</v>
      </c>
      <c r="H3926" s="6" t="str">
        <f t="shared" si="6"/>
        <v/>
      </c>
      <c r="I3926" s="2">
        <f t="shared" si="7"/>
        <v>1426.89</v>
      </c>
      <c r="M3926" s="10">
        <f>IFERROR(__xludf.DUMMYFUNCTION("""COMPUTED_VALUE"""),43676.66666666667)</f>
        <v>43676.66667</v>
      </c>
      <c r="N3926" s="2">
        <f>IFERROR(__xludf.DUMMYFUNCTION("""COMPUTED_VALUE"""),8273.61)</f>
        <v>8273.61</v>
      </c>
      <c r="P3926" s="10">
        <f t="shared" si="10"/>
        <v>38316.64583</v>
      </c>
      <c r="Q3926" s="13">
        <v>872.49</v>
      </c>
      <c r="R3926" s="17">
        <v>38316.0</v>
      </c>
    </row>
    <row r="3927">
      <c r="A3927" s="10">
        <f t="shared" si="8"/>
        <v>41909.66667</v>
      </c>
      <c r="B3927" s="2" t="str">
        <f t="shared" si="2"/>
        <v/>
      </c>
      <c r="C3927" s="2" t="str">
        <f t="shared" si="3"/>
        <v>SP500</v>
      </c>
      <c r="D3927" s="2" t="str">
        <f t="shared" si="4"/>
        <v/>
      </c>
      <c r="E3927" s="2">
        <f t="shared" si="5"/>
        <v>4512.19</v>
      </c>
      <c r="G3927" s="10">
        <f t="shared" si="9"/>
        <v>41909.64583</v>
      </c>
      <c r="H3927" s="6" t="str">
        <f t="shared" si="6"/>
        <v/>
      </c>
      <c r="I3927" s="2">
        <f t="shared" si="7"/>
        <v>1426.89</v>
      </c>
      <c r="M3927" s="10">
        <f>IFERROR(__xludf.DUMMYFUNCTION("""COMPUTED_VALUE"""),43677.66666666667)</f>
        <v>43677.66667</v>
      </c>
      <c r="N3927" s="2">
        <f>IFERROR(__xludf.DUMMYFUNCTION("""COMPUTED_VALUE"""),8175.42)</f>
        <v>8175.42</v>
      </c>
      <c r="P3927" s="10">
        <f t="shared" si="10"/>
        <v>38315.64583</v>
      </c>
      <c r="Q3927" s="13">
        <v>872.56</v>
      </c>
      <c r="R3927" s="17">
        <v>38315.0</v>
      </c>
    </row>
    <row r="3928">
      <c r="A3928" s="10">
        <f t="shared" si="8"/>
        <v>41910.66667</v>
      </c>
      <c r="B3928" s="2" t="str">
        <f t="shared" si="2"/>
        <v/>
      </c>
      <c r="C3928" s="2" t="str">
        <f t="shared" si="3"/>
        <v>SP500</v>
      </c>
      <c r="D3928" s="2" t="str">
        <f t="shared" si="4"/>
        <v/>
      </c>
      <c r="E3928" s="2">
        <f t="shared" si="5"/>
        <v>4512.19</v>
      </c>
      <c r="G3928" s="10">
        <f t="shared" si="9"/>
        <v>41910.64583</v>
      </c>
      <c r="H3928" s="6" t="str">
        <f t="shared" si="6"/>
        <v/>
      </c>
      <c r="I3928" s="2">
        <f t="shared" si="7"/>
        <v>1426.89</v>
      </c>
      <c r="M3928" s="10">
        <f>IFERROR(__xludf.DUMMYFUNCTION("""COMPUTED_VALUE"""),43678.66666666667)</f>
        <v>43678.66667</v>
      </c>
      <c r="N3928" s="2">
        <f>IFERROR(__xludf.DUMMYFUNCTION("""COMPUTED_VALUE"""),8111.12)</f>
        <v>8111.12</v>
      </c>
      <c r="P3928" s="10">
        <f t="shared" si="10"/>
        <v>38314.64583</v>
      </c>
      <c r="Q3928" s="13">
        <v>860.4</v>
      </c>
      <c r="R3928" s="17">
        <v>38314.0</v>
      </c>
    </row>
    <row r="3929">
      <c r="A3929" s="10">
        <f t="shared" si="8"/>
        <v>41911.66667</v>
      </c>
      <c r="B3929" s="2" t="str">
        <f t="shared" si="2"/>
        <v/>
      </c>
      <c r="C3929" s="2" t="str">
        <f t="shared" si="3"/>
        <v>SP500</v>
      </c>
      <c r="D3929" s="2">
        <f t="shared" si="4"/>
        <v>4505.85</v>
      </c>
      <c r="E3929" s="2">
        <f t="shared" si="5"/>
        <v>4505.85</v>
      </c>
      <c r="G3929" s="10">
        <f t="shared" si="9"/>
        <v>41911.64583</v>
      </c>
      <c r="H3929" s="6" t="str">
        <f t="shared" si="6"/>
        <v/>
      </c>
      <c r="I3929" s="2">
        <f t="shared" si="7"/>
        <v>1426.89</v>
      </c>
      <c r="M3929" s="10">
        <f>IFERROR(__xludf.DUMMYFUNCTION("""COMPUTED_VALUE"""),43679.66666666667)</f>
        <v>43679.66667</v>
      </c>
      <c r="N3929" s="2">
        <f>IFERROR(__xludf.DUMMYFUNCTION("""COMPUTED_VALUE"""),8004.07)</f>
        <v>8004.07</v>
      </c>
      <c r="P3929" s="10">
        <f t="shared" si="10"/>
        <v>38313.64583</v>
      </c>
      <c r="Q3929" s="13">
        <v>849.99</v>
      </c>
      <c r="R3929" s="17">
        <v>38313.0</v>
      </c>
    </row>
    <row r="3930">
      <c r="A3930" s="10">
        <f t="shared" si="8"/>
        <v>41912.66667</v>
      </c>
      <c r="B3930" s="2" t="str">
        <f t="shared" si="2"/>
        <v/>
      </c>
      <c r="C3930" s="2" t="str">
        <f t="shared" si="3"/>
        <v>SP500</v>
      </c>
      <c r="D3930" s="2">
        <f t="shared" si="4"/>
        <v>4493.39</v>
      </c>
      <c r="E3930" s="2">
        <f t="shared" si="5"/>
        <v>4493.39</v>
      </c>
      <c r="G3930" s="10">
        <f t="shared" si="9"/>
        <v>41912.64583</v>
      </c>
      <c r="H3930" s="6" t="str">
        <f t="shared" si="6"/>
        <v/>
      </c>
      <c r="I3930" s="2">
        <f t="shared" si="7"/>
        <v>1426.89</v>
      </c>
      <c r="M3930" s="10">
        <f>IFERROR(__xludf.DUMMYFUNCTION("""COMPUTED_VALUE"""),43682.66666666667)</f>
        <v>43682.66667</v>
      </c>
      <c r="N3930" s="2">
        <f>IFERROR(__xludf.DUMMYFUNCTION("""COMPUTED_VALUE"""),7726.04)</f>
        <v>7726.04</v>
      </c>
      <c r="P3930" s="10">
        <f t="shared" si="10"/>
        <v>38310.64583</v>
      </c>
      <c r="Q3930" s="13">
        <v>867.03</v>
      </c>
      <c r="R3930" s="17">
        <v>38310.0</v>
      </c>
    </row>
    <row r="3931">
      <c r="A3931" s="10">
        <f t="shared" si="8"/>
        <v>41913.66667</v>
      </c>
      <c r="B3931" s="2" t="str">
        <f t="shared" si="2"/>
        <v/>
      </c>
      <c r="C3931" s="2" t="str">
        <f t="shared" si="3"/>
        <v>SP500</v>
      </c>
      <c r="D3931" s="2">
        <f t="shared" si="4"/>
        <v>4422.09</v>
      </c>
      <c r="E3931" s="2">
        <f t="shared" si="5"/>
        <v>4422.09</v>
      </c>
      <c r="G3931" s="10">
        <f t="shared" si="9"/>
        <v>41913.64583</v>
      </c>
      <c r="H3931" s="6" t="str">
        <f t="shared" si="6"/>
        <v/>
      </c>
      <c r="I3931" s="2">
        <f t="shared" si="7"/>
        <v>1426.89</v>
      </c>
      <c r="M3931" s="10">
        <f>IFERROR(__xludf.DUMMYFUNCTION("""COMPUTED_VALUE"""),43683.66666666667)</f>
        <v>43683.66667</v>
      </c>
      <c r="N3931" s="2">
        <f>IFERROR(__xludf.DUMMYFUNCTION("""COMPUTED_VALUE"""),7833.27)</f>
        <v>7833.27</v>
      </c>
      <c r="P3931" s="10">
        <f t="shared" si="10"/>
        <v>38309.64583</v>
      </c>
      <c r="Q3931" s="13">
        <v>875.84</v>
      </c>
      <c r="R3931" s="17">
        <v>38309.0</v>
      </c>
    </row>
    <row r="3932">
      <c r="A3932" s="10">
        <f t="shared" si="8"/>
        <v>41914.66667</v>
      </c>
      <c r="B3932" s="2" t="str">
        <f t="shared" si="2"/>
        <v/>
      </c>
      <c r="C3932" s="2" t="str">
        <f t="shared" si="3"/>
        <v>SP500</v>
      </c>
      <c r="D3932" s="2">
        <f t="shared" si="4"/>
        <v>4430.19</v>
      </c>
      <c r="E3932" s="2">
        <f t="shared" si="5"/>
        <v>4430.19</v>
      </c>
      <c r="G3932" s="10">
        <f t="shared" si="9"/>
        <v>41914.64583</v>
      </c>
      <c r="H3932" s="6" t="str">
        <f t="shared" si="6"/>
        <v/>
      </c>
      <c r="I3932" s="2">
        <f t="shared" si="7"/>
        <v>1426.89</v>
      </c>
      <c r="M3932" s="10">
        <f>IFERROR(__xludf.DUMMYFUNCTION("""COMPUTED_VALUE"""),43684.66666666667)</f>
        <v>43684.66667</v>
      </c>
      <c r="N3932" s="2">
        <f>IFERROR(__xludf.DUMMYFUNCTION("""COMPUTED_VALUE"""),7862.83)</f>
        <v>7862.83</v>
      </c>
      <c r="P3932" s="10">
        <f t="shared" si="10"/>
        <v>38308.64583</v>
      </c>
      <c r="Q3932" s="13">
        <v>885.42</v>
      </c>
      <c r="R3932" s="17">
        <v>38308.0</v>
      </c>
    </row>
    <row r="3933">
      <c r="A3933" s="10">
        <f t="shared" si="8"/>
        <v>41915.66667</v>
      </c>
      <c r="B3933" s="2" t="str">
        <f t="shared" si="2"/>
        <v/>
      </c>
      <c r="C3933" s="2" t="str">
        <f t="shared" si="3"/>
        <v>SP500</v>
      </c>
      <c r="D3933" s="2">
        <f t="shared" si="4"/>
        <v>4475.62</v>
      </c>
      <c r="E3933" s="2">
        <f t="shared" si="5"/>
        <v>4475.62</v>
      </c>
      <c r="G3933" s="10">
        <f t="shared" si="9"/>
        <v>41915.64583</v>
      </c>
      <c r="H3933" s="6" t="str">
        <f t="shared" si="6"/>
        <v/>
      </c>
      <c r="I3933" s="2">
        <f t="shared" si="7"/>
        <v>1426.89</v>
      </c>
      <c r="M3933" s="10">
        <f>IFERROR(__xludf.DUMMYFUNCTION("""COMPUTED_VALUE"""),43685.66666666667)</f>
        <v>43685.66667</v>
      </c>
      <c r="N3933" s="2">
        <f>IFERROR(__xludf.DUMMYFUNCTION("""COMPUTED_VALUE"""),8039.16)</f>
        <v>8039.16</v>
      </c>
      <c r="P3933" s="10">
        <f t="shared" si="10"/>
        <v>38307.64583</v>
      </c>
      <c r="Q3933" s="13">
        <v>876.61</v>
      </c>
      <c r="R3933" s="17">
        <v>38307.0</v>
      </c>
    </row>
    <row r="3934">
      <c r="A3934" s="10">
        <f t="shared" si="8"/>
        <v>41916.66667</v>
      </c>
      <c r="B3934" s="2" t="str">
        <f t="shared" si="2"/>
        <v/>
      </c>
      <c r="C3934" s="2" t="str">
        <f t="shared" si="3"/>
        <v>SP500</v>
      </c>
      <c r="D3934" s="2" t="str">
        <f t="shared" si="4"/>
        <v/>
      </c>
      <c r="E3934" s="2">
        <f t="shared" si="5"/>
        <v>4475.62</v>
      </c>
      <c r="G3934" s="10">
        <f t="shared" si="9"/>
        <v>41916.64583</v>
      </c>
      <c r="H3934" s="6" t="str">
        <f t="shared" si="6"/>
        <v/>
      </c>
      <c r="I3934" s="2">
        <f t="shared" si="7"/>
        <v>1426.89</v>
      </c>
      <c r="M3934" s="10">
        <f>IFERROR(__xludf.DUMMYFUNCTION("""COMPUTED_VALUE"""),43686.66666666667)</f>
        <v>43686.66667</v>
      </c>
      <c r="N3934" s="2">
        <f>IFERROR(__xludf.DUMMYFUNCTION("""COMPUTED_VALUE"""),7959.14)</f>
        <v>7959.14</v>
      </c>
      <c r="P3934" s="10">
        <f t="shared" si="10"/>
        <v>38306.64583</v>
      </c>
      <c r="Q3934" s="13">
        <v>882.33</v>
      </c>
      <c r="R3934" s="17">
        <v>38306.0</v>
      </c>
    </row>
    <row r="3935">
      <c r="A3935" s="10">
        <f t="shared" si="8"/>
        <v>41917.66667</v>
      </c>
      <c r="B3935" s="2" t="str">
        <f t="shared" si="2"/>
        <v/>
      </c>
      <c r="C3935" s="2" t="str">
        <f t="shared" si="3"/>
        <v>SP500</v>
      </c>
      <c r="D3935" s="2" t="str">
        <f t="shared" si="4"/>
        <v/>
      </c>
      <c r="E3935" s="2">
        <f t="shared" si="5"/>
        <v>4475.62</v>
      </c>
      <c r="G3935" s="10">
        <f t="shared" si="9"/>
        <v>41917.64583</v>
      </c>
      <c r="H3935" s="6" t="str">
        <f t="shared" si="6"/>
        <v/>
      </c>
      <c r="I3935" s="2">
        <f t="shared" si="7"/>
        <v>1426.89</v>
      </c>
      <c r="M3935" s="10">
        <f>IFERROR(__xludf.DUMMYFUNCTION("""COMPUTED_VALUE"""),43689.66666666667)</f>
        <v>43689.66667</v>
      </c>
      <c r="N3935" s="2">
        <f>IFERROR(__xludf.DUMMYFUNCTION("""COMPUTED_VALUE"""),7863.41)</f>
        <v>7863.41</v>
      </c>
      <c r="P3935" s="10">
        <f t="shared" si="10"/>
        <v>38303.64583</v>
      </c>
      <c r="Q3935" s="13">
        <v>876.67</v>
      </c>
      <c r="R3935" s="17">
        <v>38303.0</v>
      </c>
    </row>
    <row r="3936">
      <c r="A3936" s="10">
        <f t="shared" si="8"/>
        <v>41918.66667</v>
      </c>
      <c r="B3936" s="2" t="str">
        <f t="shared" si="2"/>
        <v/>
      </c>
      <c r="C3936" s="2" t="str">
        <f t="shared" si="3"/>
        <v>SP500</v>
      </c>
      <c r="D3936" s="2">
        <f t="shared" si="4"/>
        <v>4454.8</v>
      </c>
      <c r="E3936" s="2">
        <f t="shared" si="5"/>
        <v>4454.8</v>
      </c>
      <c r="G3936" s="10">
        <f t="shared" si="9"/>
        <v>41918.64583</v>
      </c>
      <c r="H3936" s="6" t="str">
        <f t="shared" si="6"/>
        <v/>
      </c>
      <c r="I3936" s="2">
        <f t="shared" si="7"/>
        <v>1426.89</v>
      </c>
      <c r="M3936" s="10">
        <f>IFERROR(__xludf.DUMMYFUNCTION("""COMPUTED_VALUE"""),43690.66666666667)</f>
        <v>43690.66667</v>
      </c>
      <c r="N3936" s="2">
        <f>IFERROR(__xludf.DUMMYFUNCTION("""COMPUTED_VALUE"""),8016.36)</f>
        <v>8016.36</v>
      </c>
      <c r="P3936" s="10">
        <f t="shared" si="10"/>
        <v>38302.64583</v>
      </c>
      <c r="Q3936" s="13">
        <v>861.26</v>
      </c>
      <c r="R3936" s="17">
        <v>38302.0</v>
      </c>
    </row>
    <row r="3937">
      <c r="A3937" s="10">
        <f t="shared" si="8"/>
        <v>41919.66667</v>
      </c>
      <c r="B3937" s="2" t="str">
        <f t="shared" si="2"/>
        <v/>
      </c>
      <c r="C3937" s="2" t="str">
        <f t="shared" si="3"/>
        <v>SP500</v>
      </c>
      <c r="D3937" s="2">
        <f t="shared" si="4"/>
        <v>4385.2</v>
      </c>
      <c r="E3937" s="2">
        <f t="shared" si="5"/>
        <v>4385.2</v>
      </c>
      <c r="G3937" s="10">
        <f t="shared" si="9"/>
        <v>41919.64583</v>
      </c>
      <c r="H3937" s="6" t="str">
        <f t="shared" si="6"/>
        <v/>
      </c>
      <c r="I3937" s="2">
        <f t="shared" si="7"/>
        <v>1426.89</v>
      </c>
      <c r="M3937" s="10">
        <f>IFERROR(__xludf.DUMMYFUNCTION("""COMPUTED_VALUE"""),43691.66666666667)</f>
        <v>43691.66667</v>
      </c>
      <c r="N3937" s="2">
        <f>IFERROR(__xludf.DUMMYFUNCTION("""COMPUTED_VALUE"""),7773.94)</f>
        <v>7773.94</v>
      </c>
      <c r="P3937" s="10">
        <f t="shared" si="10"/>
        <v>38301.64583</v>
      </c>
      <c r="Q3937" s="13">
        <v>860.54</v>
      </c>
      <c r="R3937" s="17">
        <v>38301.0</v>
      </c>
    </row>
    <row r="3938">
      <c r="A3938" s="10">
        <f t="shared" si="8"/>
        <v>41920.66667</v>
      </c>
      <c r="B3938" s="2" t="str">
        <f t="shared" si="2"/>
        <v/>
      </c>
      <c r="C3938" s="2" t="str">
        <f t="shared" si="3"/>
        <v>SP500</v>
      </c>
      <c r="D3938" s="2">
        <f t="shared" si="4"/>
        <v>4468.59</v>
      </c>
      <c r="E3938" s="2">
        <f t="shared" si="5"/>
        <v>4468.59</v>
      </c>
      <c r="G3938" s="10">
        <f t="shared" si="9"/>
        <v>41920.64583</v>
      </c>
      <c r="H3938" s="6" t="str">
        <f t="shared" si="6"/>
        <v/>
      </c>
      <c r="I3938" s="2">
        <f t="shared" si="7"/>
        <v>1426.89</v>
      </c>
      <c r="M3938" s="10">
        <f>IFERROR(__xludf.DUMMYFUNCTION("""COMPUTED_VALUE"""),43692.66666666667)</f>
        <v>43692.66667</v>
      </c>
      <c r="N3938" s="2">
        <f>IFERROR(__xludf.DUMMYFUNCTION("""COMPUTED_VALUE"""),7766.62)</f>
        <v>7766.62</v>
      </c>
      <c r="P3938" s="10">
        <f t="shared" si="10"/>
        <v>38300.64583</v>
      </c>
      <c r="Q3938" s="13">
        <v>844.15</v>
      </c>
      <c r="R3938" s="18">
        <v>38300.0</v>
      </c>
    </row>
    <row r="3939">
      <c r="A3939" s="10">
        <f t="shared" si="8"/>
        <v>41921.66667</v>
      </c>
      <c r="B3939" s="2" t="str">
        <f t="shared" si="2"/>
        <v/>
      </c>
      <c r="C3939" s="2" t="str">
        <f t="shared" si="3"/>
        <v>SP500</v>
      </c>
      <c r="D3939" s="2">
        <f t="shared" si="4"/>
        <v>4378.34</v>
      </c>
      <c r="E3939" s="2">
        <f t="shared" si="5"/>
        <v>4378.34</v>
      </c>
      <c r="G3939" s="10">
        <f t="shared" si="9"/>
        <v>41921.64583</v>
      </c>
      <c r="H3939" s="6" t="str">
        <f t="shared" si="6"/>
        <v/>
      </c>
      <c r="I3939" s="2">
        <f t="shared" si="7"/>
        <v>1426.89</v>
      </c>
      <c r="M3939" s="10">
        <f>IFERROR(__xludf.DUMMYFUNCTION("""COMPUTED_VALUE"""),43693.66666666667)</f>
        <v>43693.66667</v>
      </c>
      <c r="N3939" s="2">
        <f>IFERROR(__xludf.DUMMYFUNCTION("""COMPUTED_VALUE"""),7895.99)</f>
        <v>7895.99</v>
      </c>
      <c r="P3939" s="10">
        <f t="shared" si="10"/>
        <v>38299.64583</v>
      </c>
      <c r="Q3939" s="13">
        <v>846.11</v>
      </c>
      <c r="R3939" s="18">
        <v>38299.0</v>
      </c>
    </row>
    <row r="3940">
      <c r="A3940" s="10">
        <f t="shared" si="8"/>
        <v>41922.66667</v>
      </c>
      <c r="B3940" s="2" t="str">
        <f t="shared" si="2"/>
        <v/>
      </c>
      <c r="C3940" s="2" t="str">
        <f t="shared" si="3"/>
        <v>SP500</v>
      </c>
      <c r="D3940" s="2">
        <f t="shared" si="4"/>
        <v>4276.24</v>
      </c>
      <c r="E3940" s="2">
        <f t="shared" si="5"/>
        <v>4276.24</v>
      </c>
      <c r="G3940" s="10">
        <f t="shared" si="9"/>
        <v>41922.64583</v>
      </c>
      <c r="H3940" s="6" t="str">
        <f t="shared" si="6"/>
        <v/>
      </c>
      <c r="I3940" s="2">
        <f t="shared" si="7"/>
        <v>1426.89</v>
      </c>
      <c r="M3940" s="10">
        <f>IFERROR(__xludf.DUMMYFUNCTION("""COMPUTED_VALUE"""),43696.66666666667)</f>
        <v>43696.66667</v>
      </c>
      <c r="N3940" s="2">
        <f>IFERROR(__xludf.DUMMYFUNCTION("""COMPUTED_VALUE"""),8002.81)</f>
        <v>8002.81</v>
      </c>
      <c r="P3940" s="10">
        <f t="shared" si="10"/>
        <v>38296.64583</v>
      </c>
      <c r="Q3940" s="13">
        <v>860.68</v>
      </c>
      <c r="R3940" s="18">
        <v>38296.0</v>
      </c>
    </row>
    <row r="3941">
      <c r="A3941" s="10">
        <f t="shared" si="8"/>
        <v>41923.66667</v>
      </c>
      <c r="B3941" s="2" t="str">
        <f t="shared" si="2"/>
        <v/>
      </c>
      <c r="C3941" s="2" t="str">
        <f t="shared" si="3"/>
        <v>SP500</v>
      </c>
      <c r="D3941" s="2" t="str">
        <f t="shared" si="4"/>
        <v/>
      </c>
      <c r="E3941" s="2">
        <f t="shared" si="5"/>
        <v>4276.24</v>
      </c>
      <c r="G3941" s="10">
        <f t="shared" si="9"/>
        <v>41923.64583</v>
      </c>
      <c r="H3941" s="6" t="str">
        <f t="shared" si="6"/>
        <v/>
      </c>
      <c r="I3941" s="2">
        <f t="shared" si="7"/>
        <v>1426.89</v>
      </c>
      <c r="M3941" s="10">
        <f>IFERROR(__xludf.DUMMYFUNCTION("""COMPUTED_VALUE"""),43697.66666666667)</f>
        <v>43697.66667</v>
      </c>
      <c r="N3941" s="2">
        <f>IFERROR(__xludf.DUMMYFUNCTION("""COMPUTED_VALUE"""),7948.56)</f>
        <v>7948.56</v>
      </c>
      <c r="P3941" s="10">
        <f t="shared" si="10"/>
        <v>38295.64583</v>
      </c>
      <c r="Q3941" s="13">
        <v>851.2</v>
      </c>
      <c r="R3941" s="18">
        <v>38295.0</v>
      </c>
    </row>
    <row r="3942">
      <c r="A3942" s="10">
        <f t="shared" si="8"/>
        <v>41924.66667</v>
      </c>
      <c r="B3942" s="2" t="str">
        <f t="shared" si="2"/>
        <v/>
      </c>
      <c r="C3942" s="2" t="str">
        <f t="shared" si="3"/>
        <v>SP500</v>
      </c>
      <c r="D3942" s="2" t="str">
        <f t="shared" si="4"/>
        <v/>
      </c>
      <c r="E3942" s="2">
        <f t="shared" si="5"/>
        <v>4276.24</v>
      </c>
      <c r="G3942" s="10">
        <f t="shared" si="9"/>
        <v>41924.64583</v>
      </c>
      <c r="H3942" s="6" t="str">
        <f t="shared" si="6"/>
        <v/>
      </c>
      <c r="I3942" s="2">
        <f t="shared" si="7"/>
        <v>1426.89</v>
      </c>
      <c r="M3942" s="10">
        <f>IFERROR(__xludf.DUMMYFUNCTION("""COMPUTED_VALUE"""),43698.66666666667)</f>
        <v>43698.66667</v>
      </c>
      <c r="N3942" s="2">
        <f>IFERROR(__xludf.DUMMYFUNCTION("""COMPUTED_VALUE"""),8020.21)</f>
        <v>8020.21</v>
      </c>
      <c r="P3942" s="10">
        <f t="shared" si="10"/>
        <v>38294.64583</v>
      </c>
      <c r="Q3942" s="13">
        <v>861.05</v>
      </c>
      <c r="R3942" s="18">
        <v>38294.0</v>
      </c>
    </row>
    <row r="3943">
      <c r="A3943" s="10">
        <f t="shared" si="8"/>
        <v>41925.66667</v>
      </c>
      <c r="B3943" s="2" t="str">
        <f t="shared" si="2"/>
        <v/>
      </c>
      <c r="C3943" s="2" t="str">
        <f t="shared" si="3"/>
        <v>SP500</v>
      </c>
      <c r="D3943" s="2">
        <f t="shared" si="4"/>
        <v>4213.66</v>
      </c>
      <c r="E3943" s="2">
        <f t="shared" si="5"/>
        <v>4213.66</v>
      </c>
      <c r="G3943" s="10">
        <f t="shared" si="9"/>
        <v>41925.64583</v>
      </c>
      <c r="H3943" s="6" t="str">
        <f t="shared" si="6"/>
        <v/>
      </c>
      <c r="I3943" s="2">
        <f t="shared" si="7"/>
        <v>1426.89</v>
      </c>
      <c r="M3943" s="10">
        <f>IFERROR(__xludf.DUMMYFUNCTION("""COMPUTED_VALUE"""),43699.66666666667)</f>
        <v>43699.66667</v>
      </c>
      <c r="N3943" s="2">
        <f>IFERROR(__xludf.DUMMYFUNCTION("""COMPUTED_VALUE"""),7991.39)</f>
        <v>7991.39</v>
      </c>
      <c r="P3943" s="10">
        <f t="shared" si="10"/>
        <v>38293.64583</v>
      </c>
      <c r="Q3943" s="13">
        <v>846.67</v>
      </c>
      <c r="R3943" s="18">
        <v>38293.0</v>
      </c>
    </row>
    <row r="3944">
      <c r="A3944" s="10">
        <f t="shared" si="8"/>
        <v>41926.66667</v>
      </c>
      <c r="B3944" s="2" t="str">
        <f t="shared" si="2"/>
        <v/>
      </c>
      <c r="C3944" s="2" t="str">
        <f t="shared" si="3"/>
        <v>SP500</v>
      </c>
      <c r="D3944" s="2">
        <f t="shared" si="4"/>
        <v>4227.17</v>
      </c>
      <c r="E3944" s="2">
        <f t="shared" si="5"/>
        <v>4227.17</v>
      </c>
      <c r="G3944" s="10">
        <f t="shared" si="9"/>
        <v>41926.64583</v>
      </c>
      <c r="H3944" s="6" t="str">
        <f t="shared" si="6"/>
        <v/>
      </c>
      <c r="I3944" s="2">
        <f t="shared" si="7"/>
        <v>1426.89</v>
      </c>
      <c r="M3944" s="10">
        <f>IFERROR(__xludf.DUMMYFUNCTION("""COMPUTED_VALUE"""),43700.66666666667)</f>
        <v>43700.66667</v>
      </c>
      <c r="N3944" s="2">
        <f>IFERROR(__xludf.DUMMYFUNCTION("""COMPUTED_VALUE"""),7751.77)</f>
        <v>7751.77</v>
      </c>
      <c r="P3944" s="10">
        <f t="shared" si="10"/>
        <v>38292.64583</v>
      </c>
      <c r="Q3944" s="13">
        <v>835.66</v>
      </c>
      <c r="R3944" s="18">
        <v>38292.0</v>
      </c>
    </row>
    <row r="3945">
      <c r="A3945" s="10">
        <f t="shared" si="8"/>
        <v>41927.66667</v>
      </c>
      <c r="B3945" s="2" t="str">
        <f t="shared" si="2"/>
        <v/>
      </c>
      <c r="C3945" s="2" t="str">
        <f t="shared" si="3"/>
        <v>SP500</v>
      </c>
      <c r="D3945" s="2">
        <f t="shared" si="4"/>
        <v>4215.32</v>
      </c>
      <c r="E3945" s="2">
        <f t="shared" si="5"/>
        <v>4215.32</v>
      </c>
      <c r="G3945" s="10">
        <f t="shared" si="9"/>
        <v>41927.64583</v>
      </c>
      <c r="H3945" s="6" t="str">
        <f t="shared" si="6"/>
        <v/>
      </c>
      <c r="I3945" s="2">
        <f t="shared" si="7"/>
        <v>1426.89</v>
      </c>
      <c r="M3945" s="10">
        <f>IFERROR(__xludf.DUMMYFUNCTION("""COMPUTED_VALUE"""),43703.66666666667)</f>
        <v>43703.66667</v>
      </c>
      <c r="N3945" s="2">
        <f>IFERROR(__xludf.DUMMYFUNCTION("""COMPUTED_VALUE"""),7853.74)</f>
        <v>7853.74</v>
      </c>
      <c r="P3945" s="10">
        <f t="shared" si="10"/>
        <v>38289.64583</v>
      </c>
      <c r="Q3945" s="13">
        <v>834.84</v>
      </c>
      <c r="R3945" s="17">
        <v>38289.0</v>
      </c>
    </row>
    <row r="3946">
      <c r="A3946" s="10">
        <f t="shared" si="8"/>
        <v>41928.66667</v>
      </c>
      <c r="B3946" s="2" t="str">
        <f t="shared" si="2"/>
        <v/>
      </c>
      <c r="C3946" s="2" t="str">
        <f t="shared" si="3"/>
        <v>SP500</v>
      </c>
      <c r="D3946" s="2">
        <f t="shared" si="4"/>
        <v>4217.39</v>
      </c>
      <c r="E3946" s="2">
        <f t="shared" si="5"/>
        <v>4217.39</v>
      </c>
      <c r="G3946" s="10">
        <f t="shared" si="9"/>
        <v>41928.64583</v>
      </c>
      <c r="H3946" s="6" t="str">
        <f t="shared" si="6"/>
        <v/>
      </c>
      <c r="I3946" s="2">
        <f t="shared" si="7"/>
        <v>1426.89</v>
      </c>
      <c r="M3946" s="10">
        <f>IFERROR(__xludf.DUMMYFUNCTION("""COMPUTED_VALUE"""),43704.66666666667)</f>
        <v>43704.66667</v>
      </c>
      <c r="N3946" s="2">
        <f>IFERROR(__xludf.DUMMYFUNCTION("""COMPUTED_VALUE"""),7826.95)</f>
        <v>7826.95</v>
      </c>
      <c r="P3946" s="10">
        <f t="shared" si="10"/>
        <v>38288.64583</v>
      </c>
      <c r="Q3946" s="13">
        <v>833.54</v>
      </c>
      <c r="R3946" s="17">
        <v>38288.0</v>
      </c>
    </row>
    <row r="3947">
      <c r="A3947" s="10">
        <f t="shared" si="8"/>
        <v>41929.66667</v>
      </c>
      <c r="B3947" s="2" t="str">
        <f t="shared" si="2"/>
        <v/>
      </c>
      <c r="C3947" s="2" t="str">
        <f t="shared" si="3"/>
        <v>SP500</v>
      </c>
      <c r="D3947" s="2">
        <f t="shared" si="4"/>
        <v>4258.44</v>
      </c>
      <c r="E3947" s="2">
        <f t="shared" si="5"/>
        <v>4258.44</v>
      </c>
      <c r="G3947" s="10">
        <f t="shared" si="9"/>
        <v>41929.64583</v>
      </c>
      <c r="H3947" s="6" t="str">
        <f t="shared" si="6"/>
        <v/>
      </c>
      <c r="I3947" s="2">
        <f t="shared" si="7"/>
        <v>1426.89</v>
      </c>
      <c r="M3947" s="10">
        <f>IFERROR(__xludf.DUMMYFUNCTION("""COMPUTED_VALUE"""),43705.66666666667)</f>
        <v>43705.66667</v>
      </c>
      <c r="N3947" s="2">
        <f>IFERROR(__xludf.DUMMYFUNCTION("""COMPUTED_VALUE"""),7856.88)</f>
        <v>7856.88</v>
      </c>
      <c r="P3947" s="10">
        <f t="shared" si="10"/>
        <v>38287.64583</v>
      </c>
      <c r="Q3947" s="13">
        <v>809.91</v>
      </c>
      <c r="R3947" s="17">
        <v>38287.0</v>
      </c>
    </row>
    <row r="3948">
      <c r="A3948" s="10">
        <f t="shared" si="8"/>
        <v>41930.66667</v>
      </c>
      <c r="B3948" s="2" t="str">
        <f t="shared" si="2"/>
        <v/>
      </c>
      <c r="C3948" s="2" t="str">
        <f t="shared" si="3"/>
        <v>SP500</v>
      </c>
      <c r="D3948" s="2" t="str">
        <f t="shared" si="4"/>
        <v/>
      </c>
      <c r="E3948" s="2">
        <f t="shared" si="5"/>
        <v>4258.44</v>
      </c>
      <c r="G3948" s="10">
        <f t="shared" si="9"/>
        <v>41930.64583</v>
      </c>
      <c r="H3948" s="6" t="str">
        <f t="shared" si="6"/>
        <v/>
      </c>
      <c r="I3948" s="2">
        <f t="shared" si="7"/>
        <v>1426.89</v>
      </c>
      <c r="M3948" s="10">
        <f>IFERROR(__xludf.DUMMYFUNCTION("""COMPUTED_VALUE"""),43706.66666666667)</f>
        <v>43706.66667</v>
      </c>
      <c r="N3948" s="2">
        <f>IFERROR(__xludf.DUMMYFUNCTION("""COMPUTED_VALUE"""),7973.39)</f>
        <v>7973.39</v>
      </c>
      <c r="P3948" s="10">
        <f t="shared" si="10"/>
        <v>38286.64583</v>
      </c>
      <c r="Q3948" s="13">
        <v>813.7</v>
      </c>
      <c r="R3948" s="17">
        <v>38286.0</v>
      </c>
    </row>
    <row r="3949">
      <c r="A3949" s="10">
        <f t="shared" si="8"/>
        <v>41931.66667</v>
      </c>
      <c r="B3949" s="2" t="str">
        <f t="shared" si="2"/>
        <v/>
      </c>
      <c r="C3949" s="2" t="str">
        <f t="shared" si="3"/>
        <v>SP500</v>
      </c>
      <c r="D3949" s="2" t="str">
        <f t="shared" si="4"/>
        <v/>
      </c>
      <c r="E3949" s="2">
        <f t="shared" si="5"/>
        <v>4258.44</v>
      </c>
      <c r="G3949" s="10">
        <f t="shared" si="9"/>
        <v>41931.64583</v>
      </c>
      <c r="H3949" s="6" t="str">
        <f t="shared" si="6"/>
        <v/>
      </c>
      <c r="I3949" s="2">
        <f t="shared" si="7"/>
        <v>1426.89</v>
      </c>
      <c r="M3949" s="10">
        <f>IFERROR(__xludf.DUMMYFUNCTION("""COMPUTED_VALUE"""),43707.66666666667)</f>
        <v>43707.66667</v>
      </c>
      <c r="N3949" s="2">
        <f>IFERROR(__xludf.DUMMYFUNCTION("""COMPUTED_VALUE"""),7962.88)</f>
        <v>7962.88</v>
      </c>
      <c r="P3949" s="10">
        <f t="shared" si="10"/>
        <v>38285.64583</v>
      </c>
      <c r="Q3949" s="13">
        <v>808.14</v>
      </c>
      <c r="R3949" s="17">
        <v>38285.0</v>
      </c>
    </row>
    <row r="3950">
      <c r="A3950" s="10">
        <f t="shared" si="8"/>
        <v>41932.66667</v>
      </c>
      <c r="B3950" s="2" t="str">
        <f t="shared" si="2"/>
        <v/>
      </c>
      <c r="C3950" s="2" t="str">
        <f t="shared" si="3"/>
        <v>SP500</v>
      </c>
      <c r="D3950" s="2">
        <f t="shared" si="4"/>
        <v>4316.07</v>
      </c>
      <c r="E3950" s="2">
        <f t="shared" si="5"/>
        <v>4316.07</v>
      </c>
      <c r="G3950" s="10">
        <f t="shared" si="9"/>
        <v>41932.64583</v>
      </c>
      <c r="H3950" s="6" t="str">
        <f t="shared" si="6"/>
        <v/>
      </c>
      <c r="I3950" s="2">
        <f t="shared" si="7"/>
        <v>1426.89</v>
      </c>
      <c r="M3950" s="10">
        <f>IFERROR(__xludf.DUMMYFUNCTION("""COMPUTED_VALUE"""),43711.66666666667)</f>
        <v>43711.66667</v>
      </c>
      <c r="N3950" s="2">
        <f>IFERROR(__xludf.DUMMYFUNCTION("""COMPUTED_VALUE"""),7874.16)</f>
        <v>7874.16</v>
      </c>
      <c r="P3950" s="10">
        <f t="shared" si="10"/>
        <v>38282.64583</v>
      </c>
      <c r="Q3950" s="13">
        <v>828.17</v>
      </c>
      <c r="R3950" s="17">
        <v>38282.0</v>
      </c>
    </row>
    <row r="3951">
      <c r="A3951" s="10">
        <f t="shared" si="8"/>
        <v>41933.66667</v>
      </c>
      <c r="B3951" s="2" t="str">
        <f t="shared" si="2"/>
        <v/>
      </c>
      <c r="C3951" s="2" t="str">
        <f t="shared" si="3"/>
        <v>SP500</v>
      </c>
      <c r="D3951" s="2">
        <f t="shared" si="4"/>
        <v>4419.48</v>
      </c>
      <c r="E3951" s="2">
        <f t="shared" si="5"/>
        <v>4419.48</v>
      </c>
      <c r="G3951" s="10">
        <f t="shared" si="9"/>
        <v>41933.64583</v>
      </c>
      <c r="H3951" s="6" t="str">
        <f t="shared" si="6"/>
        <v/>
      </c>
      <c r="I3951" s="2">
        <f t="shared" si="7"/>
        <v>1426.89</v>
      </c>
      <c r="M3951" s="10">
        <f>IFERROR(__xludf.DUMMYFUNCTION("""COMPUTED_VALUE"""),43712.66666666667)</f>
        <v>43712.66667</v>
      </c>
      <c r="N3951" s="2">
        <f>IFERROR(__xludf.DUMMYFUNCTION("""COMPUTED_VALUE"""),7976.88)</f>
        <v>7976.88</v>
      </c>
      <c r="P3951" s="10">
        <f t="shared" si="10"/>
        <v>38281.64583</v>
      </c>
      <c r="Q3951" s="13">
        <v>820.63</v>
      </c>
      <c r="R3951" s="17">
        <v>38281.0</v>
      </c>
    </row>
    <row r="3952">
      <c r="A3952" s="10">
        <f t="shared" si="8"/>
        <v>41934.66667</v>
      </c>
      <c r="B3952" s="2" t="str">
        <f t="shared" si="2"/>
        <v/>
      </c>
      <c r="C3952" s="2" t="str">
        <f t="shared" si="3"/>
        <v>SP500</v>
      </c>
      <c r="D3952" s="2">
        <f t="shared" si="4"/>
        <v>4382.85</v>
      </c>
      <c r="E3952" s="2">
        <f t="shared" si="5"/>
        <v>4382.85</v>
      </c>
      <c r="G3952" s="10">
        <f t="shared" si="9"/>
        <v>41934.64583</v>
      </c>
      <c r="H3952" s="6" t="str">
        <f t="shared" si="6"/>
        <v/>
      </c>
      <c r="I3952" s="2">
        <f t="shared" si="7"/>
        <v>1426.89</v>
      </c>
      <c r="M3952" s="10">
        <f>IFERROR(__xludf.DUMMYFUNCTION("""COMPUTED_VALUE"""),43713.66666666667)</f>
        <v>43713.66667</v>
      </c>
      <c r="N3952" s="2">
        <f>IFERROR(__xludf.DUMMYFUNCTION("""COMPUTED_VALUE"""),8116.83)</f>
        <v>8116.83</v>
      </c>
      <c r="P3952" s="10">
        <f t="shared" si="10"/>
        <v>38280.64583</v>
      </c>
      <c r="Q3952" s="13">
        <v>828.61</v>
      </c>
      <c r="R3952" s="17">
        <v>38280.0</v>
      </c>
    </row>
    <row r="3953">
      <c r="A3953" s="10">
        <f t="shared" si="8"/>
        <v>41935.66667</v>
      </c>
      <c r="B3953" s="2" t="str">
        <f t="shared" si="2"/>
        <v/>
      </c>
      <c r="C3953" s="2" t="str">
        <f t="shared" si="3"/>
        <v>SP500</v>
      </c>
      <c r="D3953" s="2">
        <f t="shared" si="4"/>
        <v>4452.79</v>
      </c>
      <c r="E3953" s="2">
        <f t="shared" si="5"/>
        <v>4452.79</v>
      </c>
      <c r="G3953" s="10">
        <f t="shared" si="9"/>
        <v>41935.64583</v>
      </c>
      <c r="H3953" s="6" t="str">
        <f t="shared" si="6"/>
        <v/>
      </c>
      <c r="I3953" s="2">
        <f t="shared" si="7"/>
        <v>1426.89</v>
      </c>
      <c r="M3953" s="10">
        <f>IFERROR(__xludf.DUMMYFUNCTION("""COMPUTED_VALUE"""),43714.66666666667)</f>
        <v>43714.66667</v>
      </c>
      <c r="N3953" s="2">
        <f>IFERROR(__xludf.DUMMYFUNCTION("""COMPUTED_VALUE"""),8103.07)</f>
        <v>8103.07</v>
      </c>
      <c r="P3953" s="10">
        <f t="shared" si="10"/>
        <v>38279.64583</v>
      </c>
      <c r="Q3953" s="13">
        <v>855.77</v>
      </c>
      <c r="R3953" s="17">
        <v>38279.0</v>
      </c>
    </row>
    <row r="3954">
      <c r="A3954" s="10">
        <f t="shared" si="8"/>
        <v>41936.66667</v>
      </c>
      <c r="B3954" s="2" t="str">
        <f t="shared" si="2"/>
        <v/>
      </c>
      <c r="C3954" s="2" t="str">
        <f t="shared" si="3"/>
        <v>SP500</v>
      </c>
      <c r="D3954" s="2">
        <f t="shared" si="4"/>
        <v>4483.72</v>
      </c>
      <c r="E3954" s="2">
        <f t="shared" si="5"/>
        <v>4483.72</v>
      </c>
      <c r="G3954" s="10">
        <f t="shared" si="9"/>
        <v>41936.64583</v>
      </c>
      <c r="H3954" s="6" t="str">
        <f t="shared" si="6"/>
        <v/>
      </c>
      <c r="I3954" s="2">
        <f t="shared" si="7"/>
        <v>1426.89</v>
      </c>
      <c r="M3954" s="10">
        <f>IFERROR(__xludf.DUMMYFUNCTION("""COMPUTED_VALUE"""),43717.66666666667)</f>
        <v>43717.66667</v>
      </c>
      <c r="N3954" s="2">
        <f>IFERROR(__xludf.DUMMYFUNCTION("""COMPUTED_VALUE"""),8087.44)</f>
        <v>8087.44</v>
      </c>
      <c r="P3954" s="10">
        <f t="shared" si="10"/>
        <v>38278.64583</v>
      </c>
      <c r="Q3954" s="13">
        <v>848.27</v>
      </c>
      <c r="R3954" s="17">
        <v>38278.0</v>
      </c>
    </row>
    <row r="3955">
      <c r="A3955" s="10">
        <f t="shared" si="8"/>
        <v>41937.66667</v>
      </c>
      <c r="B3955" s="2" t="str">
        <f t="shared" si="2"/>
        <v/>
      </c>
      <c r="C3955" s="2" t="str">
        <f t="shared" si="3"/>
        <v>SP500</v>
      </c>
      <c r="D3955" s="2" t="str">
        <f t="shared" si="4"/>
        <v/>
      </c>
      <c r="E3955" s="2">
        <f t="shared" si="5"/>
        <v>4483.72</v>
      </c>
      <c r="G3955" s="10">
        <f t="shared" si="9"/>
        <v>41937.64583</v>
      </c>
      <c r="H3955" s="6" t="str">
        <f t="shared" si="6"/>
        <v/>
      </c>
      <c r="I3955" s="2">
        <f t="shared" si="7"/>
        <v>1426.89</v>
      </c>
      <c r="M3955" s="10">
        <f>IFERROR(__xludf.DUMMYFUNCTION("""COMPUTED_VALUE"""),43718.66666666667)</f>
        <v>43718.66667</v>
      </c>
      <c r="N3955" s="2">
        <f>IFERROR(__xludf.DUMMYFUNCTION("""COMPUTED_VALUE"""),8084.16)</f>
        <v>8084.16</v>
      </c>
      <c r="P3955" s="10">
        <f t="shared" si="10"/>
        <v>38275.64583</v>
      </c>
      <c r="Q3955" s="13">
        <v>841.94</v>
      </c>
      <c r="R3955" s="17">
        <v>38275.0</v>
      </c>
    </row>
    <row r="3956">
      <c r="A3956" s="10">
        <f t="shared" si="8"/>
        <v>41938.66667</v>
      </c>
      <c r="B3956" s="2" t="str">
        <f t="shared" si="2"/>
        <v/>
      </c>
      <c r="C3956" s="2" t="str">
        <f t="shared" si="3"/>
        <v>SP500</v>
      </c>
      <c r="D3956" s="2" t="str">
        <f t="shared" si="4"/>
        <v/>
      </c>
      <c r="E3956" s="2">
        <f t="shared" si="5"/>
        <v>4483.72</v>
      </c>
      <c r="G3956" s="10">
        <f t="shared" si="9"/>
        <v>41938.64583</v>
      </c>
      <c r="H3956" s="6" t="str">
        <f t="shared" si="6"/>
        <v/>
      </c>
      <c r="I3956" s="2">
        <f t="shared" si="7"/>
        <v>1426.89</v>
      </c>
      <c r="M3956" s="10">
        <f>IFERROR(__xludf.DUMMYFUNCTION("""COMPUTED_VALUE"""),43719.66666666667)</f>
        <v>43719.66667</v>
      </c>
      <c r="N3956" s="2">
        <f>IFERROR(__xludf.DUMMYFUNCTION("""COMPUTED_VALUE"""),8169.68)</f>
        <v>8169.68</v>
      </c>
      <c r="P3956" s="10">
        <f t="shared" si="10"/>
        <v>38274.64583</v>
      </c>
      <c r="Q3956" s="13">
        <v>846.63</v>
      </c>
      <c r="R3956" s="17">
        <v>38274.0</v>
      </c>
    </row>
    <row r="3957">
      <c r="A3957" s="10">
        <f t="shared" si="8"/>
        <v>41939.66667</v>
      </c>
      <c r="B3957" s="2" t="str">
        <f t="shared" si="2"/>
        <v/>
      </c>
      <c r="C3957" s="2" t="str">
        <f t="shared" si="3"/>
        <v>SP500</v>
      </c>
      <c r="D3957" s="2">
        <f t="shared" si="4"/>
        <v>4485.93</v>
      </c>
      <c r="E3957" s="2">
        <f t="shared" si="5"/>
        <v>4485.93</v>
      </c>
      <c r="G3957" s="10">
        <f t="shared" si="9"/>
        <v>41939.64583</v>
      </c>
      <c r="H3957" s="6" t="str">
        <f t="shared" si="6"/>
        <v/>
      </c>
      <c r="I3957" s="2">
        <f t="shared" si="7"/>
        <v>1426.89</v>
      </c>
      <c r="M3957" s="10">
        <f>IFERROR(__xludf.DUMMYFUNCTION("""COMPUTED_VALUE"""),43720.66666666667)</f>
        <v>43720.66667</v>
      </c>
      <c r="N3957" s="2">
        <f>IFERROR(__xludf.DUMMYFUNCTION("""COMPUTED_VALUE"""),8194.47)</f>
        <v>8194.47</v>
      </c>
      <c r="P3957" s="10">
        <f t="shared" si="10"/>
        <v>38273.64583</v>
      </c>
      <c r="Q3957" s="13">
        <v>856.18</v>
      </c>
      <c r="R3957" s="17">
        <v>38273.0</v>
      </c>
    </row>
    <row r="3958">
      <c r="A3958" s="10">
        <f t="shared" si="8"/>
        <v>41940.66667</v>
      </c>
      <c r="B3958" s="2" t="str">
        <f t="shared" si="2"/>
        <v/>
      </c>
      <c r="C3958" s="2" t="str">
        <f t="shared" si="3"/>
        <v>SP500</v>
      </c>
      <c r="D3958" s="2">
        <f t="shared" si="4"/>
        <v>4564.29</v>
      </c>
      <c r="E3958" s="2">
        <f t="shared" si="5"/>
        <v>4564.29</v>
      </c>
      <c r="G3958" s="10">
        <f t="shared" si="9"/>
        <v>41940.64583</v>
      </c>
      <c r="H3958" s="6" t="str">
        <f t="shared" si="6"/>
        <v/>
      </c>
      <c r="I3958" s="2">
        <f t="shared" si="7"/>
        <v>1426.89</v>
      </c>
      <c r="M3958" s="10">
        <f>IFERROR(__xludf.DUMMYFUNCTION("""COMPUTED_VALUE"""),43721.66666666667)</f>
        <v>43721.66667</v>
      </c>
      <c r="N3958" s="2">
        <f>IFERROR(__xludf.DUMMYFUNCTION("""COMPUTED_VALUE"""),8176.71)</f>
        <v>8176.71</v>
      </c>
      <c r="P3958" s="10">
        <f t="shared" si="10"/>
        <v>38272.64583</v>
      </c>
      <c r="Q3958" s="13">
        <v>858.09</v>
      </c>
      <c r="R3958" s="17">
        <v>38272.0</v>
      </c>
    </row>
    <row r="3959">
      <c r="A3959" s="10">
        <f t="shared" si="8"/>
        <v>41941.66667</v>
      </c>
      <c r="B3959" s="2" t="str">
        <f t="shared" si="2"/>
        <v/>
      </c>
      <c r="C3959" s="2" t="str">
        <f t="shared" si="3"/>
        <v>SP500</v>
      </c>
      <c r="D3959" s="2">
        <f t="shared" si="4"/>
        <v>4549.23</v>
      </c>
      <c r="E3959" s="2">
        <f t="shared" si="5"/>
        <v>4549.23</v>
      </c>
      <c r="G3959" s="10">
        <f t="shared" si="9"/>
        <v>41941.64583</v>
      </c>
      <c r="H3959" s="6" t="str">
        <f t="shared" si="6"/>
        <v/>
      </c>
      <c r="I3959" s="2">
        <f t="shared" si="7"/>
        <v>1426.89</v>
      </c>
      <c r="M3959" s="10">
        <f>IFERROR(__xludf.DUMMYFUNCTION("""COMPUTED_VALUE"""),43724.66666666667)</f>
        <v>43724.66667</v>
      </c>
      <c r="N3959" s="2">
        <f>IFERROR(__xludf.DUMMYFUNCTION("""COMPUTED_VALUE"""),8153.54)</f>
        <v>8153.54</v>
      </c>
      <c r="P3959" s="10">
        <f t="shared" si="10"/>
        <v>38271.64583</v>
      </c>
      <c r="Q3959" s="13">
        <v>881.11</v>
      </c>
      <c r="R3959" s="17">
        <v>38271.0</v>
      </c>
    </row>
    <row r="3960">
      <c r="A3960" s="10">
        <f t="shared" si="8"/>
        <v>41942.66667</v>
      </c>
      <c r="B3960" s="2" t="str">
        <f t="shared" si="2"/>
        <v/>
      </c>
      <c r="C3960" s="2" t="str">
        <f t="shared" si="3"/>
        <v>SP500</v>
      </c>
      <c r="D3960" s="2">
        <f t="shared" si="4"/>
        <v>4566.14</v>
      </c>
      <c r="E3960" s="2">
        <f t="shared" si="5"/>
        <v>4566.14</v>
      </c>
      <c r="G3960" s="10">
        <f t="shared" si="9"/>
        <v>41942.64583</v>
      </c>
      <c r="H3960" s="6" t="str">
        <f t="shared" si="6"/>
        <v/>
      </c>
      <c r="I3960" s="2">
        <f t="shared" si="7"/>
        <v>1426.89</v>
      </c>
      <c r="M3960" s="10">
        <f>IFERROR(__xludf.DUMMYFUNCTION("""COMPUTED_VALUE"""),43725.66666666667)</f>
        <v>43725.66667</v>
      </c>
      <c r="N3960" s="2">
        <f>IFERROR(__xludf.DUMMYFUNCTION("""COMPUTED_VALUE"""),8186.02)</f>
        <v>8186.02</v>
      </c>
      <c r="P3960" s="10">
        <f t="shared" si="10"/>
        <v>38268.64583</v>
      </c>
      <c r="Q3960" s="13">
        <v>881.38</v>
      </c>
      <c r="R3960" s="18">
        <v>38268.0</v>
      </c>
    </row>
    <row r="3961">
      <c r="A3961" s="10">
        <f t="shared" si="8"/>
        <v>41943.66667</v>
      </c>
      <c r="B3961" s="2" t="str">
        <f t="shared" si="2"/>
        <v/>
      </c>
      <c r="C3961" s="2" t="str">
        <f t="shared" si="3"/>
        <v>SP500</v>
      </c>
      <c r="D3961" s="2">
        <f t="shared" si="4"/>
        <v>4630.74</v>
      </c>
      <c r="E3961" s="2">
        <f t="shared" si="5"/>
        <v>4630.74</v>
      </c>
      <c r="G3961" s="10">
        <f t="shared" si="9"/>
        <v>41943.64583</v>
      </c>
      <c r="H3961" s="6" t="str">
        <f t="shared" si="6"/>
        <v/>
      </c>
      <c r="I3961" s="2">
        <f t="shared" si="7"/>
        <v>1426.89</v>
      </c>
      <c r="M3961" s="10">
        <f>IFERROR(__xludf.DUMMYFUNCTION("""COMPUTED_VALUE"""),43726.66666666667)</f>
        <v>43726.66667</v>
      </c>
      <c r="N3961" s="2">
        <f>IFERROR(__xludf.DUMMYFUNCTION("""COMPUTED_VALUE"""),8177.39)</f>
        <v>8177.39</v>
      </c>
      <c r="P3961" s="10">
        <f t="shared" si="10"/>
        <v>38267.64583</v>
      </c>
      <c r="Q3961" s="13">
        <v>885.33</v>
      </c>
      <c r="R3961" s="18">
        <v>38267.0</v>
      </c>
    </row>
    <row r="3962">
      <c r="A3962" s="10">
        <f t="shared" si="8"/>
        <v>41944.66667</v>
      </c>
      <c r="B3962" s="2" t="str">
        <f t="shared" si="2"/>
        <v/>
      </c>
      <c r="C3962" s="2" t="str">
        <f t="shared" si="3"/>
        <v>SP500</v>
      </c>
      <c r="D3962" s="2" t="str">
        <f t="shared" si="4"/>
        <v/>
      </c>
      <c r="E3962" s="2">
        <f t="shared" si="5"/>
        <v>4630.74</v>
      </c>
      <c r="G3962" s="10">
        <f t="shared" si="9"/>
        <v>41944.64583</v>
      </c>
      <c r="H3962" s="6" t="str">
        <f t="shared" si="6"/>
        <v/>
      </c>
      <c r="I3962" s="2">
        <f t="shared" si="7"/>
        <v>1426.89</v>
      </c>
      <c r="M3962" s="10">
        <f>IFERROR(__xludf.DUMMYFUNCTION("""COMPUTED_VALUE"""),43727.66666666667)</f>
        <v>43727.66667</v>
      </c>
      <c r="N3962" s="2">
        <f>IFERROR(__xludf.DUMMYFUNCTION("""COMPUTED_VALUE"""),8182.88)</f>
        <v>8182.88</v>
      </c>
      <c r="P3962" s="10">
        <f t="shared" si="10"/>
        <v>38266.64583</v>
      </c>
      <c r="Q3962" s="13">
        <v>887.45</v>
      </c>
      <c r="R3962" s="18">
        <v>38266.0</v>
      </c>
    </row>
    <row r="3963">
      <c r="A3963" s="10">
        <f t="shared" si="8"/>
        <v>41945.66667</v>
      </c>
      <c r="B3963" s="2" t="str">
        <f t="shared" si="2"/>
        <v/>
      </c>
      <c r="C3963" s="2" t="str">
        <f t="shared" si="3"/>
        <v>SP500</v>
      </c>
      <c r="D3963" s="2" t="str">
        <f t="shared" si="4"/>
        <v/>
      </c>
      <c r="E3963" s="2">
        <f t="shared" si="5"/>
        <v>4630.74</v>
      </c>
      <c r="G3963" s="10">
        <f t="shared" si="9"/>
        <v>41945.64583</v>
      </c>
      <c r="H3963" s="6" t="str">
        <f t="shared" si="6"/>
        <v/>
      </c>
      <c r="I3963" s="2">
        <f t="shared" si="7"/>
        <v>1426.89</v>
      </c>
      <c r="M3963" s="10">
        <f>IFERROR(__xludf.DUMMYFUNCTION("""COMPUTED_VALUE"""),43728.66666666667)</f>
        <v>43728.66667</v>
      </c>
      <c r="N3963" s="2">
        <f>IFERROR(__xludf.DUMMYFUNCTION("""COMPUTED_VALUE"""),8117.67)</f>
        <v>8117.67</v>
      </c>
      <c r="P3963" s="10">
        <f t="shared" si="10"/>
        <v>38265.64583</v>
      </c>
      <c r="Q3963" s="13">
        <v>884.84</v>
      </c>
      <c r="R3963" s="18">
        <v>38265.0</v>
      </c>
    </row>
    <row r="3964">
      <c r="A3964" s="10">
        <f t="shared" si="8"/>
        <v>41946.66667</v>
      </c>
      <c r="B3964" s="2" t="str">
        <f t="shared" si="2"/>
        <v/>
      </c>
      <c r="C3964" s="2" t="str">
        <f t="shared" si="3"/>
        <v>SP500</v>
      </c>
      <c r="D3964" s="2">
        <f t="shared" si="4"/>
        <v>4638.91</v>
      </c>
      <c r="E3964" s="2">
        <f t="shared" si="5"/>
        <v>4638.91</v>
      </c>
      <c r="G3964" s="10">
        <f t="shared" si="9"/>
        <v>41946.64583</v>
      </c>
      <c r="H3964" s="6" t="str">
        <f t="shared" si="6"/>
        <v/>
      </c>
      <c r="I3964" s="2">
        <f t="shared" si="7"/>
        <v>1426.89</v>
      </c>
      <c r="M3964" s="10">
        <f>IFERROR(__xludf.DUMMYFUNCTION("""COMPUTED_VALUE"""),43731.66666666667)</f>
        <v>43731.66667</v>
      </c>
      <c r="N3964" s="2">
        <f>IFERROR(__xludf.DUMMYFUNCTION("""COMPUTED_VALUE"""),8112.46)</f>
        <v>8112.46</v>
      </c>
      <c r="P3964" s="10">
        <f t="shared" si="10"/>
        <v>38264.64583</v>
      </c>
      <c r="Q3964" s="13">
        <v>880.84</v>
      </c>
      <c r="R3964" s="18">
        <v>38264.0</v>
      </c>
    </row>
    <row r="3965">
      <c r="A3965" s="10">
        <f t="shared" si="8"/>
        <v>41947.66667</v>
      </c>
      <c r="B3965" s="2" t="str">
        <f t="shared" si="2"/>
        <v/>
      </c>
      <c r="C3965" s="2" t="str">
        <f t="shared" si="3"/>
        <v>SP500</v>
      </c>
      <c r="D3965" s="2">
        <f t="shared" si="4"/>
        <v>4623.64</v>
      </c>
      <c r="E3965" s="2">
        <f t="shared" si="5"/>
        <v>4623.64</v>
      </c>
      <c r="G3965" s="10">
        <f t="shared" si="9"/>
        <v>41947.64583</v>
      </c>
      <c r="H3965" s="6" t="str">
        <f t="shared" si="6"/>
        <v/>
      </c>
      <c r="I3965" s="2">
        <f t="shared" si="7"/>
        <v>1426.89</v>
      </c>
      <c r="M3965" s="10">
        <f>IFERROR(__xludf.DUMMYFUNCTION("""COMPUTED_VALUE"""),43732.66666666667)</f>
        <v>43732.66667</v>
      </c>
      <c r="N3965" s="2">
        <f>IFERROR(__xludf.DUMMYFUNCTION("""COMPUTED_VALUE"""),7993.63)</f>
        <v>7993.63</v>
      </c>
      <c r="P3965" s="10">
        <f t="shared" si="10"/>
        <v>38261.64583</v>
      </c>
      <c r="Q3965" s="13">
        <v>846.01</v>
      </c>
      <c r="R3965" s="18">
        <v>38261.0</v>
      </c>
    </row>
    <row r="3966">
      <c r="A3966" s="10">
        <f t="shared" si="8"/>
        <v>41948.66667</v>
      </c>
      <c r="B3966" s="2" t="str">
        <f t="shared" si="2"/>
        <v/>
      </c>
      <c r="C3966" s="2" t="str">
        <f t="shared" si="3"/>
        <v>SP500</v>
      </c>
      <c r="D3966" s="2">
        <f t="shared" si="4"/>
        <v>4620.72</v>
      </c>
      <c r="E3966" s="2">
        <f t="shared" si="5"/>
        <v>4620.72</v>
      </c>
      <c r="G3966" s="10">
        <f t="shared" si="9"/>
        <v>41948.64583</v>
      </c>
      <c r="H3966" s="6" t="str">
        <f t="shared" si="6"/>
        <v/>
      </c>
      <c r="I3966" s="2">
        <f t="shared" si="7"/>
        <v>1426.89</v>
      </c>
      <c r="M3966" s="10">
        <f>IFERROR(__xludf.DUMMYFUNCTION("""COMPUTED_VALUE"""),43733.66666666667)</f>
        <v>43733.66667</v>
      </c>
      <c r="N3966" s="2">
        <f>IFERROR(__xludf.DUMMYFUNCTION("""COMPUTED_VALUE"""),8077.38)</f>
        <v>8077.38</v>
      </c>
      <c r="P3966" s="10">
        <f t="shared" si="10"/>
        <v>38260.64583</v>
      </c>
      <c r="Q3966" s="13">
        <v>835.09</v>
      </c>
      <c r="R3966" s="18">
        <v>38260.0</v>
      </c>
    </row>
    <row r="3967">
      <c r="A3967" s="10">
        <f t="shared" si="8"/>
        <v>41949.66667</v>
      </c>
      <c r="B3967" s="2" t="str">
        <f t="shared" si="2"/>
        <v/>
      </c>
      <c r="C3967" s="2" t="str">
        <f t="shared" si="3"/>
        <v>SP500</v>
      </c>
      <c r="D3967" s="2">
        <f t="shared" si="4"/>
        <v>4638.47</v>
      </c>
      <c r="E3967" s="2">
        <f t="shared" si="5"/>
        <v>4638.47</v>
      </c>
      <c r="G3967" s="10">
        <f t="shared" si="9"/>
        <v>41949.64583</v>
      </c>
      <c r="H3967" s="6" t="str">
        <f t="shared" si="6"/>
        <v/>
      </c>
      <c r="I3967" s="2">
        <f t="shared" si="7"/>
        <v>1426.89</v>
      </c>
      <c r="M3967" s="10">
        <f>IFERROR(__xludf.DUMMYFUNCTION("""COMPUTED_VALUE"""),43734.66666666667)</f>
        <v>43734.66667</v>
      </c>
      <c r="N3967" s="2">
        <f>IFERROR(__xludf.DUMMYFUNCTION("""COMPUTED_VALUE"""),8030.66)</f>
        <v>8030.66</v>
      </c>
      <c r="P3967" s="10">
        <f t="shared" si="10"/>
        <v>38254.64583</v>
      </c>
      <c r="Q3967" s="13">
        <v>832.1</v>
      </c>
      <c r="R3967" s="18">
        <v>38254.0</v>
      </c>
    </row>
    <row r="3968">
      <c r="A3968" s="10">
        <f t="shared" si="8"/>
        <v>41950.66667</v>
      </c>
      <c r="B3968" s="2" t="str">
        <f t="shared" si="2"/>
        <v/>
      </c>
      <c r="C3968" s="2" t="str">
        <f t="shared" si="3"/>
        <v>SP500</v>
      </c>
      <c r="D3968" s="2">
        <f t="shared" si="4"/>
        <v>4632.53</v>
      </c>
      <c r="E3968" s="2">
        <f t="shared" si="5"/>
        <v>4632.53</v>
      </c>
      <c r="G3968" s="10">
        <f t="shared" si="9"/>
        <v>41950.64583</v>
      </c>
      <c r="H3968" s="6" t="str">
        <f t="shared" si="6"/>
        <v/>
      </c>
      <c r="I3968" s="2">
        <f t="shared" si="7"/>
        <v>1426.89</v>
      </c>
      <c r="M3968" s="10">
        <f>IFERROR(__xludf.DUMMYFUNCTION("""COMPUTED_VALUE"""),43735.66666666667)</f>
        <v>43735.66667</v>
      </c>
      <c r="N3968" s="2">
        <f>IFERROR(__xludf.DUMMYFUNCTION("""COMPUTED_VALUE"""),7939.63)</f>
        <v>7939.63</v>
      </c>
      <c r="P3968" s="10">
        <f t="shared" si="10"/>
        <v>38253.64583</v>
      </c>
      <c r="Q3968" s="13">
        <v>829.68</v>
      </c>
      <c r="R3968" s="18">
        <v>38253.0</v>
      </c>
    </row>
    <row r="3969">
      <c r="A3969" s="10">
        <f t="shared" si="8"/>
        <v>41951.66667</v>
      </c>
      <c r="B3969" s="2" t="str">
        <f t="shared" si="2"/>
        <v/>
      </c>
      <c r="C3969" s="2" t="str">
        <f t="shared" si="3"/>
        <v>SP500</v>
      </c>
      <c r="D3969" s="2" t="str">
        <f t="shared" si="4"/>
        <v/>
      </c>
      <c r="E3969" s="2">
        <f t="shared" si="5"/>
        <v>4632.53</v>
      </c>
      <c r="G3969" s="10">
        <f t="shared" si="9"/>
        <v>41951.64583</v>
      </c>
      <c r="H3969" s="6" t="str">
        <f t="shared" si="6"/>
        <v/>
      </c>
      <c r="I3969" s="2">
        <f t="shared" si="7"/>
        <v>1426.89</v>
      </c>
      <c r="M3969" s="10">
        <f>IFERROR(__xludf.DUMMYFUNCTION("""COMPUTED_VALUE"""),43738.66666666667)</f>
        <v>43738.66667</v>
      </c>
      <c r="N3969" s="2">
        <f>IFERROR(__xludf.DUMMYFUNCTION("""COMPUTED_VALUE"""),7999.33)</f>
        <v>7999.33</v>
      </c>
      <c r="P3969" s="10">
        <f t="shared" si="10"/>
        <v>38252.64583</v>
      </c>
      <c r="Q3969" s="13">
        <v>835.1</v>
      </c>
      <c r="R3969" s="18">
        <v>38252.0</v>
      </c>
    </row>
    <row r="3970">
      <c r="A3970" s="10">
        <f t="shared" si="8"/>
        <v>41952.66667</v>
      </c>
      <c r="B3970" s="2" t="str">
        <f t="shared" si="2"/>
        <v/>
      </c>
      <c r="C3970" s="2" t="str">
        <f t="shared" si="3"/>
        <v>SP500</v>
      </c>
      <c r="D3970" s="2" t="str">
        <f t="shared" si="4"/>
        <v/>
      </c>
      <c r="E3970" s="2">
        <f t="shared" si="5"/>
        <v>4632.53</v>
      </c>
      <c r="G3970" s="10">
        <f t="shared" si="9"/>
        <v>41952.64583</v>
      </c>
      <c r="H3970" s="6" t="str">
        <f t="shared" si="6"/>
        <v/>
      </c>
      <c r="I3970" s="2">
        <f t="shared" si="7"/>
        <v>1426.89</v>
      </c>
      <c r="M3970" s="10">
        <f>IFERROR(__xludf.DUMMYFUNCTION("""COMPUTED_VALUE"""),43739.66666666667)</f>
        <v>43739.66667</v>
      </c>
      <c r="N3970" s="2">
        <f>IFERROR(__xludf.DUMMYFUNCTION("""COMPUTED_VALUE"""),7908.67)</f>
        <v>7908.67</v>
      </c>
      <c r="P3970" s="10">
        <f t="shared" si="10"/>
        <v>38251.64583</v>
      </c>
      <c r="Q3970" s="13">
        <v>857.15</v>
      </c>
      <c r="R3970" s="18">
        <v>38251.0</v>
      </c>
    </row>
    <row r="3971">
      <c r="A3971" s="10">
        <f t="shared" si="8"/>
        <v>41953.66667</v>
      </c>
      <c r="B3971" s="2" t="str">
        <f t="shared" si="2"/>
        <v/>
      </c>
      <c r="C3971" s="2" t="str">
        <f t="shared" si="3"/>
        <v>SP500</v>
      </c>
      <c r="D3971" s="2">
        <f t="shared" si="4"/>
        <v>4651.62</v>
      </c>
      <c r="E3971" s="2">
        <f t="shared" si="5"/>
        <v>4651.62</v>
      </c>
      <c r="G3971" s="10">
        <f t="shared" si="9"/>
        <v>41953.64583</v>
      </c>
      <c r="H3971" s="6" t="str">
        <f t="shared" si="6"/>
        <v/>
      </c>
      <c r="I3971" s="2">
        <f t="shared" si="7"/>
        <v>1426.89</v>
      </c>
      <c r="M3971" s="10">
        <f>IFERROR(__xludf.DUMMYFUNCTION("""COMPUTED_VALUE"""),43740.66666666667)</f>
        <v>43740.66667</v>
      </c>
      <c r="N3971" s="2">
        <f>IFERROR(__xludf.DUMMYFUNCTION("""COMPUTED_VALUE"""),7785.23)</f>
        <v>7785.23</v>
      </c>
      <c r="P3971" s="10">
        <f t="shared" si="10"/>
        <v>38250.64583</v>
      </c>
      <c r="Q3971" s="13">
        <v>856.87</v>
      </c>
      <c r="R3971" s="18">
        <v>38250.0</v>
      </c>
    </row>
    <row r="3972">
      <c r="A3972" s="10">
        <f t="shared" si="8"/>
        <v>41954.66667</v>
      </c>
      <c r="B3972" s="2" t="str">
        <f t="shared" si="2"/>
        <v/>
      </c>
      <c r="C3972" s="2" t="str">
        <f t="shared" si="3"/>
        <v>SP500</v>
      </c>
      <c r="D3972" s="2">
        <f t="shared" si="4"/>
        <v>4660.56</v>
      </c>
      <c r="E3972" s="2">
        <f t="shared" si="5"/>
        <v>4660.56</v>
      </c>
      <c r="G3972" s="10">
        <f t="shared" si="9"/>
        <v>41954.64583</v>
      </c>
      <c r="H3972" s="6" t="str">
        <f t="shared" si="6"/>
        <v/>
      </c>
      <c r="I3972" s="2">
        <f t="shared" si="7"/>
        <v>1426.89</v>
      </c>
      <c r="M3972" s="10">
        <f>IFERROR(__xludf.DUMMYFUNCTION("""COMPUTED_VALUE"""),43741.66666666667)</f>
        <v>43741.66667</v>
      </c>
      <c r="N3972" s="2">
        <f>IFERROR(__xludf.DUMMYFUNCTION("""COMPUTED_VALUE"""),7872.25)</f>
        <v>7872.25</v>
      </c>
      <c r="P3972" s="10">
        <f t="shared" si="10"/>
        <v>38247.64583</v>
      </c>
      <c r="Q3972" s="13">
        <v>848.11</v>
      </c>
      <c r="R3972" s="18">
        <v>38247.0</v>
      </c>
    </row>
    <row r="3973">
      <c r="A3973" s="10">
        <f t="shared" si="8"/>
        <v>41955.66667</v>
      </c>
      <c r="B3973" s="2" t="str">
        <f t="shared" si="2"/>
        <v/>
      </c>
      <c r="C3973" s="2" t="str">
        <f t="shared" si="3"/>
        <v>SP500</v>
      </c>
      <c r="D3973" s="2">
        <f t="shared" si="4"/>
        <v>4675.13</v>
      </c>
      <c r="E3973" s="2">
        <f t="shared" si="5"/>
        <v>4675.13</v>
      </c>
      <c r="G3973" s="10">
        <f t="shared" si="9"/>
        <v>41955.64583</v>
      </c>
      <c r="H3973" s="6" t="str">
        <f t="shared" si="6"/>
        <v/>
      </c>
      <c r="I3973" s="2">
        <f t="shared" si="7"/>
        <v>1426.89</v>
      </c>
      <c r="M3973" s="10">
        <f>IFERROR(__xludf.DUMMYFUNCTION("""COMPUTED_VALUE"""),43742.66666666667)</f>
        <v>43742.66667</v>
      </c>
      <c r="N3973" s="2">
        <f>IFERROR(__xludf.DUMMYFUNCTION("""COMPUTED_VALUE"""),7982.46)</f>
        <v>7982.46</v>
      </c>
      <c r="P3973" s="10">
        <f t="shared" si="10"/>
        <v>38246.64583</v>
      </c>
      <c r="Q3973" s="13">
        <v>855.38</v>
      </c>
      <c r="R3973" s="18">
        <v>38246.0</v>
      </c>
    </row>
    <row r="3974">
      <c r="A3974" s="10">
        <f t="shared" si="8"/>
        <v>41956.66667</v>
      </c>
      <c r="B3974" s="2" t="str">
        <f t="shared" si="2"/>
        <v/>
      </c>
      <c r="C3974" s="2" t="str">
        <f t="shared" si="3"/>
        <v>SP500</v>
      </c>
      <c r="D3974" s="2">
        <f t="shared" si="4"/>
        <v>4680.14</v>
      </c>
      <c r="E3974" s="2">
        <f t="shared" si="5"/>
        <v>4680.14</v>
      </c>
      <c r="G3974" s="10">
        <f t="shared" si="9"/>
        <v>41956.64583</v>
      </c>
      <c r="H3974" s="6" t="str">
        <f t="shared" si="6"/>
        <v/>
      </c>
      <c r="I3974" s="2">
        <f t="shared" si="7"/>
        <v>1426.89</v>
      </c>
      <c r="M3974" s="10">
        <f>IFERROR(__xludf.DUMMYFUNCTION("""COMPUTED_VALUE"""),43745.66666666667)</f>
        <v>43745.66667</v>
      </c>
      <c r="N3974" s="2">
        <f>IFERROR(__xludf.DUMMYFUNCTION("""COMPUTED_VALUE"""),7956.28)</f>
        <v>7956.28</v>
      </c>
      <c r="P3974" s="10">
        <f t="shared" si="10"/>
        <v>38245.64583</v>
      </c>
      <c r="Q3974" s="13">
        <v>850.63</v>
      </c>
      <c r="R3974" s="18">
        <v>38245.0</v>
      </c>
    </row>
    <row r="3975">
      <c r="A3975" s="10">
        <f t="shared" si="8"/>
        <v>41957.66667</v>
      </c>
      <c r="B3975" s="2" t="str">
        <f t="shared" si="2"/>
        <v/>
      </c>
      <c r="C3975" s="2" t="str">
        <f t="shared" si="3"/>
        <v>SP500</v>
      </c>
      <c r="D3975" s="2">
        <f t="shared" si="4"/>
        <v>4688.54</v>
      </c>
      <c r="E3975" s="2">
        <f t="shared" si="5"/>
        <v>4688.54</v>
      </c>
      <c r="G3975" s="10">
        <f t="shared" si="9"/>
        <v>41957.64583</v>
      </c>
      <c r="H3975" s="6" t="str">
        <f t="shared" si="6"/>
        <v/>
      </c>
      <c r="I3975" s="2">
        <f t="shared" si="7"/>
        <v>1426.89</v>
      </c>
      <c r="M3975" s="10">
        <f>IFERROR(__xludf.DUMMYFUNCTION("""COMPUTED_VALUE"""),43746.66666666667)</f>
        <v>43746.66667</v>
      </c>
      <c r="N3975" s="2">
        <f>IFERROR(__xludf.DUMMYFUNCTION("""COMPUTED_VALUE"""),7823.76)</f>
        <v>7823.76</v>
      </c>
      <c r="P3975" s="10">
        <f t="shared" si="10"/>
        <v>38244.64583</v>
      </c>
      <c r="Q3975" s="13">
        <v>851.42</v>
      </c>
      <c r="R3975" s="18">
        <v>38244.0</v>
      </c>
    </row>
    <row r="3976">
      <c r="A3976" s="10">
        <f t="shared" si="8"/>
        <v>41958.66667</v>
      </c>
      <c r="B3976" s="2" t="str">
        <f t="shared" si="2"/>
        <v/>
      </c>
      <c r="C3976" s="2" t="str">
        <f t="shared" si="3"/>
        <v>SP500</v>
      </c>
      <c r="D3976" s="2" t="str">
        <f t="shared" si="4"/>
        <v/>
      </c>
      <c r="E3976" s="2">
        <f t="shared" si="5"/>
        <v>4688.54</v>
      </c>
      <c r="G3976" s="10">
        <f t="shared" si="9"/>
        <v>41958.64583</v>
      </c>
      <c r="H3976" s="6" t="str">
        <f t="shared" si="6"/>
        <v/>
      </c>
      <c r="I3976" s="2">
        <f t="shared" si="7"/>
        <v>1426.89</v>
      </c>
      <c r="M3976" s="10">
        <f>IFERROR(__xludf.DUMMYFUNCTION("""COMPUTED_VALUE"""),43747.66666666667)</f>
        <v>43747.66667</v>
      </c>
      <c r="N3976" s="2">
        <f>IFERROR(__xludf.DUMMYFUNCTION("""COMPUTED_VALUE"""),7903.73)</f>
        <v>7903.73</v>
      </c>
      <c r="P3976" s="10">
        <f t="shared" si="10"/>
        <v>38243.64583</v>
      </c>
      <c r="Q3976" s="13">
        <v>851.91</v>
      </c>
      <c r="R3976" s="18">
        <v>38243.0</v>
      </c>
    </row>
    <row r="3977">
      <c r="A3977" s="10">
        <f t="shared" si="8"/>
        <v>41959.66667</v>
      </c>
      <c r="B3977" s="2" t="str">
        <f t="shared" si="2"/>
        <v/>
      </c>
      <c r="C3977" s="2" t="str">
        <f t="shared" si="3"/>
        <v>SP500</v>
      </c>
      <c r="D3977" s="2" t="str">
        <f t="shared" si="4"/>
        <v/>
      </c>
      <c r="E3977" s="2">
        <f t="shared" si="5"/>
        <v>4688.54</v>
      </c>
      <c r="G3977" s="10">
        <f t="shared" si="9"/>
        <v>41959.64583</v>
      </c>
      <c r="H3977" s="6" t="str">
        <f t="shared" si="6"/>
        <v/>
      </c>
      <c r="I3977" s="2">
        <f t="shared" si="7"/>
        <v>1426.89</v>
      </c>
      <c r="M3977" s="10">
        <f>IFERROR(__xludf.DUMMYFUNCTION("""COMPUTED_VALUE"""),43748.66666666667)</f>
        <v>43748.66667</v>
      </c>
      <c r="N3977" s="2">
        <f>IFERROR(__xludf.DUMMYFUNCTION("""COMPUTED_VALUE"""),7950.77)</f>
        <v>7950.77</v>
      </c>
      <c r="P3977" s="10">
        <f t="shared" si="10"/>
        <v>38240.64583</v>
      </c>
      <c r="Q3977" s="13">
        <v>836.34</v>
      </c>
      <c r="R3977" s="18">
        <v>38240.0</v>
      </c>
    </row>
    <row r="3978">
      <c r="A3978" s="10">
        <f t="shared" si="8"/>
        <v>41960.66667</v>
      </c>
      <c r="B3978" s="2" t="str">
        <f t="shared" si="2"/>
        <v/>
      </c>
      <c r="C3978" s="2" t="str">
        <f t="shared" si="3"/>
        <v>SP500</v>
      </c>
      <c r="D3978" s="2">
        <f t="shared" si="4"/>
        <v>4671</v>
      </c>
      <c r="E3978" s="2">
        <f t="shared" si="5"/>
        <v>4671</v>
      </c>
      <c r="G3978" s="10">
        <f t="shared" si="9"/>
        <v>41960.64583</v>
      </c>
      <c r="H3978" s="6" t="str">
        <f t="shared" si="6"/>
        <v/>
      </c>
      <c r="I3978" s="2">
        <f t="shared" si="7"/>
        <v>1426.89</v>
      </c>
      <c r="M3978" s="10">
        <f>IFERROR(__xludf.DUMMYFUNCTION("""COMPUTED_VALUE"""),43749.66666666667)</f>
        <v>43749.66667</v>
      </c>
      <c r="N3978" s="2">
        <f>IFERROR(__xludf.DUMMYFUNCTION("""COMPUTED_VALUE"""),8057.04)</f>
        <v>8057.04</v>
      </c>
      <c r="P3978" s="10">
        <f t="shared" si="10"/>
        <v>38239.64583</v>
      </c>
      <c r="Q3978" s="13">
        <v>821.88</v>
      </c>
      <c r="R3978" s="18">
        <v>38239.0</v>
      </c>
    </row>
    <row r="3979">
      <c r="A3979" s="10">
        <f t="shared" si="8"/>
        <v>41961.66667</v>
      </c>
      <c r="B3979" s="2" t="str">
        <f t="shared" si="2"/>
        <v/>
      </c>
      <c r="C3979" s="2" t="str">
        <f t="shared" si="3"/>
        <v>SP500</v>
      </c>
      <c r="D3979" s="2">
        <f t="shared" si="4"/>
        <v>4702.44</v>
      </c>
      <c r="E3979" s="2">
        <f t="shared" si="5"/>
        <v>4702.44</v>
      </c>
      <c r="G3979" s="10">
        <f t="shared" si="9"/>
        <v>41961.64583</v>
      </c>
      <c r="H3979" s="6" t="str">
        <f t="shared" si="6"/>
        <v/>
      </c>
      <c r="I3979" s="2">
        <f t="shared" si="7"/>
        <v>1426.89</v>
      </c>
      <c r="M3979" s="10">
        <f>IFERROR(__xludf.DUMMYFUNCTION("""COMPUTED_VALUE"""),43752.66666666667)</f>
        <v>43752.66667</v>
      </c>
      <c r="N3979" s="2">
        <f>IFERROR(__xludf.DUMMYFUNCTION("""COMPUTED_VALUE"""),8048.65)</f>
        <v>8048.65</v>
      </c>
      <c r="P3979" s="10">
        <f t="shared" si="10"/>
        <v>38238.64583</v>
      </c>
      <c r="Q3979" s="13">
        <v>815.85</v>
      </c>
      <c r="R3979" s="18">
        <v>38238.0</v>
      </c>
    </row>
    <row r="3980">
      <c r="A3980" s="10">
        <f t="shared" si="8"/>
        <v>41962.66667</v>
      </c>
      <c r="B3980" s="2" t="str">
        <f t="shared" si="2"/>
        <v/>
      </c>
      <c r="C3980" s="2" t="str">
        <f t="shared" si="3"/>
        <v>SP500</v>
      </c>
      <c r="D3980" s="2">
        <f t="shared" si="4"/>
        <v>4675.71</v>
      </c>
      <c r="E3980" s="2">
        <f t="shared" si="5"/>
        <v>4675.71</v>
      </c>
      <c r="G3980" s="10">
        <f t="shared" si="9"/>
        <v>41962.64583</v>
      </c>
      <c r="H3980" s="6" t="str">
        <f t="shared" si="6"/>
        <v/>
      </c>
      <c r="I3980" s="2">
        <f t="shared" si="7"/>
        <v>1426.89</v>
      </c>
      <c r="M3980" s="10">
        <f>IFERROR(__xludf.DUMMYFUNCTION("""COMPUTED_VALUE"""),43753.66666666667)</f>
        <v>43753.66667</v>
      </c>
      <c r="N3980" s="2">
        <f>IFERROR(__xludf.DUMMYFUNCTION("""COMPUTED_VALUE"""),8148.71)</f>
        <v>8148.71</v>
      </c>
      <c r="P3980" s="10">
        <f t="shared" si="10"/>
        <v>38237.64583</v>
      </c>
      <c r="Q3980" s="13">
        <v>818.8</v>
      </c>
      <c r="R3980" s="18">
        <v>38237.0</v>
      </c>
    </row>
    <row r="3981">
      <c r="A3981" s="10">
        <f t="shared" si="8"/>
        <v>41963.66667</v>
      </c>
      <c r="B3981" s="2" t="str">
        <f t="shared" si="2"/>
        <v/>
      </c>
      <c r="C3981" s="2" t="str">
        <f t="shared" si="3"/>
        <v>SP500</v>
      </c>
      <c r="D3981" s="2">
        <f t="shared" si="4"/>
        <v>4701.87</v>
      </c>
      <c r="E3981" s="2">
        <f t="shared" si="5"/>
        <v>4701.87</v>
      </c>
      <c r="G3981" s="10">
        <f t="shared" si="9"/>
        <v>41963.64583</v>
      </c>
      <c r="H3981" s="6" t="str">
        <f t="shared" si="6"/>
        <v/>
      </c>
      <c r="I3981" s="2">
        <f t="shared" si="7"/>
        <v>1426.89</v>
      </c>
      <c r="M3981" s="10">
        <f>IFERROR(__xludf.DUMMYFUNCTION("""COMPUTED_VALUE"""),43754.66666666667)</f>
        <v>43754.66667</v>
      </c>
      <c r="N3981" s="2">
        <f>IFERROR(__xludf.DUMMYFUNCTION("""COMPUTED_VALUE"""),8124.18)</f>
        <v>8124.18</v>
      </c>
      <c r="P3981" s="10">
        <f t="shared" si="10"/>
        <v>38236.64583</v>
      </c>
      <c r="Q3981" s="13">
        <v>824.21</v>
      </c>
      <c r="R3981" s="18">
        <v>38236.0</v>
      </c>
    </row>
    <row r="3982">
      <c r="A3982" s="10">
        <f t="shared" si="8"/>
        <v>41964.66667</v>
      </c>
      <c r="B3982" s="2" t="str">
        <f t="shared" si="2"/>
        <v/>
      </c>
      <c r="C3982" s="2" t="str">
        <f t="shared" si="3"/>
        <v>SP500</v>
      </c>
      <c r="D3982" s="2">
        <f t="shared" si="4"/>
        <v>4712.97</v>
      </c>
      <c r="E3982" s="2">
        <f t="shared" si="5"/>
        <v>4712.97</v>
      </c>
      <c r="G3982" s="10">
        <f t="shared" si="9"/>
        <v>41964.64583</v>
      </c>
      <c r="H3982" s="6" t="str">
        <f t="shared" si="6"/>
        <v/>
      </c>
      <c r="I3982" s="2">
        <f t="shared" si="7"/>
        <v>1426.89</v>
      </c>
      <c r="M3982" s="10">
        <f>IFERROR(__xludf.DUMMYFUNCTION("""COMPUTED_VALUE"""),43755.66666666667)</f>
        <v>43755.66667</v>
      </c>
      <c r="N3982" s="2">
        <f>IFERROR(__xludf.DUMMYFUNCTION("""COMPUTED_VALUE"""),8156.85)</f>
        <v>8156.85</v>
      </c>
      <c r="P3982" s="10">
        <f t="shared" si="10"/>
        <v>38233.64583</v>
      </c>
      <c r="Q3982" s="13">
        <v>820.69</v>
      </c>
      <c r="R3982" s="18">
        <v>38233.0</v>
      </c>
    </row>
    <row r="3983">
      <c r="A3983" s="10">
        <f t="shared" si="8"/>
        <v>41965.66667</v>
      </c>
      <c r="B3983" s="2" t="str">
        <f t="shared" si="2"/>
        <v/>
      </c>
      <c r="C3983" s="2" t="str">
        <f t="shared" si="3"/>
        <v>SP500</v>
      </c>
      <c r="D3983" s="2" t="str">
        <f t="shared" si="4"/>
        <v/>
      </c>
      <c r="E3983" s="2">
        <f t="shared" si="5"/>
        <v>4712.97</v>
      </c>
      <c r="G3983" s="10">
        <f t="shared" si="9"/>
        <v>41965.64583</v>
      </c>
      <c r="H3983" s="6" t="str">
        <f t="shared" si="6"/>
        <v/>
      </c>
      <c r="I3983" s="2">
        <f t="shared" si="7"/>
        <v>1426.89</v>
      </c>
      <c r="M3983" s="10">
        <f>IFERROR(__xludf.DUMMYFUNCTION("""COMPUTED_VALUE"""),43756.66666666667)</f>
        <v>43756.66667</v>
      </c>
      <c r="N3983" s="2">
        <f>IFERROR(__xludf.DUMMYFUNCTION("""COMPUTED_VALUE"""),8089.54)</f>
        <v>8089.54</v>
      </c>
      <c r="P3983" s="10">
        <f t="shared" si="10"/>
        <v>38232.64583</v>
      </c>
      <c r="Q3983" s="13">
        <v>823.83</v>
      </c>
      <c r="R3983" s="18">
        <v>38232.0</v>
      </c>
    </row>
    <row r="3984">
      <c r="A3984" s="10">
        <f t="shared" si="8"/>
        <v>41966.66667</v>
      </c>
      <c r="B3984" s="2" t="str">
        <f t="shared" si="2"/>
        <v/>
      </c>
      <c r="C3984" s="2" t="str">
        <f t="shared" si="3"/>
        <v>SP500</v>
      </c>
      <c r="D3984" s="2" t="str">
        <f t="shared" si="4"/>
        <v/>
      </c>
      <c r="E3984" s="2">
        <f t="shared" si="5"/>
        <v>4712.97</v>
      </c>
      <c r="G3984" s="10">
        <f t="shared" si="9"/>
        <v>41966.64583</v>
      </c>
      <c r="H3984" s="6" t="str">
        <f t="shared" si="6"/>
        <v/>
      </c>
      <c r="I3984" s="2">
        <f t="shared" si="7"/>
        <v>1426.89</v>
      </c>
      <c r="M3984" s="10">
        <f>IFERROR(__xludf.DUMMYFUNCTION("""COMPUTED_VALUE"""),43759.66666666667)</f>
        <v>43759.66667</v>
      </c>
      <c r="N3984" s="2">
        <f>IFERROR(__xludf.DUMMYFUNCTION("""COMPUTED_VALUE"""),8162.99)</f>
        <v>8162.99</v>
      </c>
      <c r="P3984" s="10">
        <f t="shared" si="10"/>
        <v>38231.64583</v>
      </c>
      <c r="Q3984" s="13">
        <v>817.36</v>
      </c>
      <c r="R3984" s="18">
        <v>38231.0</v>
      </c>
    </row>
    <row r="3985">
      <c r="A3985" s="10">
        <f t="shared" si="8"/>
        <v>41967.66667</v>
      </c>
      <c r="B3985" s="2" t="str">
        <f t="shared" si="2"/>
        <v/>
      </c>
      <c r="C3985" s="2" t="str">
        <f t="shared" si="3"/>
        <v>SP500</v>
      </c>
      <c r="D3985" s="2">
        <f t="shared" si="4"/>
        <v>4754.89</v>
      </c>
      <c r="E3985" s="2">
        <f t="shared" si="5"/>
        <v>4754.89</v>
      </c>
      <c r="G3985" s="10">
        <f t="shared" si="9"/>
        <v>41967.64583</v>
      </c>
      <c r="H3985" s="6" t="str">
        <f t="shared" si="6"/>
        <v/>
      </c>
      <c r="I3985" s="2">
        <f t="shared" si="7"/>
        <v>1426.89</v>
      </c>
      <c r="M3985" s="10">
        <f>IFERROR(__xludf.DUMMYFUNCTION("""COMPUTED_VALUE"""),43760.66666666667)</f>
        <v>43760.66667</v>
      </c>
      <c r="N3985" s="2">
        <f>IFERROR(__xludf.DUMMYFUNCTION("""COMPUTED_VALUE"""),8104.3)</f>
        <v>8104.3</v>
      </c>
      <c r="P3985" s="10">
        <f t="shared" si="10"/>
        <v>38230.64583</v>
      </c>
      <c r="Q3985" s="13">
        <v>803.57</v>
      </c>
      <c r="R3985" s="18">
        <v>38230.0</v>
      </c>
    </row>
    <row r="3986">
      <c r="A3986" s="10">
        <f t="shared" si="8"/>
        <v>41968.66667</v>
      </c>
      <c r="B3986" s="2" t="str">
        <f t="shared" si="2"/>
        <v/>
      </c>
      <c r="C3986" s="2" t="str">
        <f t="shared" si="3"/>
        <v>SP500</v>
      </c>
      <c r="D3986" s="2">
        <f t="shared" si="4"/>
        <v>4758.25</v>
      </c>
      <c r="E3986" s="2">
        <f t="shared" si="5"/>
        <v>4758.25</v>
      </c>
      <c r="G3986" s="10">
        <f t="shared" si="9"/>
        <v>41968.64583</v>
      </c>
      <c r="H3986" s="6" t="str">
        <f t="shared" si="6"/>
        <v/>
      </c>
      <c r="I3986" s="2">
        <f t="shared" si="7"/>
        <v>1426.89</v>
      </c>
      <c r="M3986" s="10">
        <f>IFERROR(__xludf.DUMMYFUNCTION("""COMPUTED_VALUE"""),43761.66666666667)</f>
        <v>43761.66667</v>
      </c>
      <c r="N3986" s="2">
        <f>IFERROR(__xludf.DUMMYFUNCTION("""COMPUTED_VALUE"""),8119.79)</f>
        <v>8119.79</v>
      </c>
      <c r="P3986" s="10">
        <f t="shared" si="10"/>
        <v>38229.64583</v>
      </c>
      <c r="Q3986" s="13">
        <v>805.19</v>
      </c>
      <c r="R3986" s="18">
        <v>38229.0</v>
      </c>
    </row>
    <row r="3987">
      <c r="A3987" s="10">
        <f t="shared" si="8"/>
        <v>41969.66667</v>
      </c>
      <c r="B3987" s="2" t="str">
        <f t="shared" si="2"/>
        <v/>
      </c>
      <c r="C3987" s="2" t="str">
        <f t="shared" si="3"/>
        <v>SP500</v>
      </c>
      <c r="D3987" s="2">
        <f t="shared" si="4"/>
        <v>4787.32</v>
      </c>
      <c r="E3987" s="2">
        <f t="shared" si="5"/>
        <v>4787.32</v>
      </c>
      <c r="G3987" s="10">
        <f t="shared" si="9"/>
        <v>41969.64583</v>
      </c>
      <c r="H3987" s="6" t="str">
        <f t="shared" si="6"/>
        <v/>
      </c>
      <c r="I3987" s="2">
        <f t="shared" si="7"/>
        <v>1426.89</v>
      </c>
      <c r="M3987" s="10">
        <f>IFERROR(__xludf.DUMMYFUNCTION("""COMPUTED_VALUE"""),43762.66666666667)</f>
        <v>43762.66667</v>
      </c>
      <c r="N3987" s="2">
        <f>IFERROR(__xludf.DUMMYFUNCTION("""COMPUTED_VALUE"""),8185.8)</f>
        <v>8185.8</v>
      </c>
      <c r="P3987" s="10">
        <f t="shared" si="10"/>
        <v>38226.64583</v>
      </c>
      <c r="Q3987" s="13">
        <v>810.3</v>
      </c>
      <c r="R3987" s="18">
        <v>38226.0</v>
      </c>
    </row>
    <row r="3988">
      <c r="A3988" s="10">
        <f t="shared" si="8"/>
        <v>41970.66667</v>
      </c>
      <c r="B3988" s="2" t="str">
        <f t="shared" si="2"/>
        <v/>
      </c>
      <c r="C3988" s="2" t="str">
        <f t="shared" si="3"/>
        <v>SP500</v>
      </c>
      <c r="D3988" s="2" t="str">
        <f t="shared" si="4"/>
        <v/>
      </c>
      <c r="E3988" s="2">
        <f t="shared" si="5"/>
        <v>4787.32</v>
      </c>
      <c r="G3988" s="10">
        <f t="shared" si="9"/>
        <v>41970.64583</v>
      </c>
      <c r="H3988" s="6" t="str">
        <f t="shared" si="6"/>
        <v/>
      </c>
      <c r="I3988" s="2">
        <f t="shared" si="7"/>
        <v>1426.89</v>
      </c>
      <c r="M3988" s="10">
        <f>IFERROR(__xludf.DUMMYFUNCTION("""COMPUTED_VALUE"""),43763.66666666667)</f>
        <v>43763.66667</v>
      </c>
      <c r="N3988" s="2">
        <f>IFERROR(__xludf.DUMMYFUNCTION("""COMPUTED_VALUE"""),8243.12)</f>
        <v>8243.12</v>
      </c>
      <c r="P3988" s="10">
        <f t="shared" si="10"/>
        <v>38225.64583</v>
      </c>
      <c r="Q3988" s="13">
        <v>810.21</v>
      </c>
      <c r="R3988" s="18">
        <v>38225.0</v>
      </c>
    </row>
    <row r="3989">
      <c r="A3989" s="10">
        <f t="shared" si="8"/>
        <v>41971.66667</v>
      </c>
      <c r="B3989" s="2" t="str">
        <f t="shared" si="2"/>
        <v/>
      </c>
      <c r="C3989" s="2" t="str">
        <f t="shared" si="3"/>
        <v>SP500</v>
      </c>
      <c r="D3989" s="2">
        <f t="shared" si="4"/>
        <v>4791.63</v>
      </c>
      <c r="E3989" s="2">
        <f t="shared" si="5"/>
        <v>4791.63</v>
      </c>
      <c r="G3989" s="10">
        <f t="shared" si="9"/>
        <v>41971.64583</v>
      </c>
      <c r="H3989" s="6" t="str">
        <f t="shared" si="6"/>
        <v/>
      </c>
      <c r="I3989" s="2">
        <f t="shared" si="7"/>
        <v>1426.89</v>
      </c>
      <c r="M3989" s="10">
        <f>IFERROR(__xludf.DUMMYFUNCTION("""COMPUTED_VALUE"""),43766.66666666667)</f>
        <v>43766.66667</v>
      </c>
      <c r="N3989" s="2">
        <f>IFERROR(__xludf.DUMMYFUNCTION("""COMPUTED_VALUE"""),8325.99)</f>
        <v>8325.99</v>
      </c>
      <c r="P3989" s="10">
        <f t="shared" si="10"/>
        <v>38224.64583</v>
      </c>
      <c r="Q3989" s="13">
        <v>803.97</v>
      </c>
      <c r="R3989" s="18">
        <v>38224.0</v>
      </c>
    </row>
    <row r="3990">
      <c r="A3990" s="10">
        <f t="shared" si="8"/>
        <v>41972.66667</v>
      </c>
      <c r="B3990" s="2" t="str">
        <f t="shared" si="2"/>
        <v/>
      </c>
      <c r="C3990" s="2" t="str">
        <f t="shared" si="3"/>
        <v>SP500</v>
      </c>
      <c r="D3990" s="2" t="str">
        <f t="shared" si="4"/>
        <v/>
      </c>
      <c r="E3990" s="2">
        <f t="shared" si="5"/>
        <v>4791.63</v>
      </c>
      <c r="G3990" s="10">
        <f t="shared" si="9"/>
        <v>41972.64583</v>
      </c>
      <c r="H3990" s="6" t="str">
        <f t="shared" si="6"/>
        <v/>
      </c>
      <c r="I3990" s="2">
        <f t="shared" si="7"/>
        <v>1426.89</v>
      </c>
      <c r="M3990" s="10">
        <f>IFERROR(__xludf.DUMMYFUNCTION("""COMPUTED_VALUE"""),43767.66666666667)</f>
        <v>43767.66667</v>
      </c>
      <c r="N3990" s="2">
        <f>IFERROR(__xludf.DUMMYFUNCTION("""COMPUTED_VALUE"""),8276.85)</f>
        <v>8276.85</v>
      </c>
      <c r="P3990" s="10">
        <f t="shared" si="10"/>
        <v>38223.64583</v>
      </c>
      <c r="Q3990" s="13">
        <v>792.34</v>
      </c>
      <c r="R3990" s="18">
        <v>38223.0</v>
      </c>
    </row>
    <row r="3991">
      <c r="A3991" s="10">
        <f t="shared" si="8"/>
        <v>41973.66667</v>
      </c>
      <c r="B3991" s="2" t="str">
        <f t="shared" si="2"/>
        <v/>
      </c>
      <c r="C3991" s="2" t="str">
        <f t="shared" si="3"/>
        <v>SP500</v>
      </c>
      <c r="D3991" s="2" t="str">
        <f t="shared" si="4"/>
        <v/>
      </c>
      <c r="E3991" s="2">
        <f t="shared" si="5"/>
        <v>4791.63</v>
      </c>
      <c r="G3991" s="10">
        <f t="shared" si="9"/>
        <v>41973.64583</v>
      </c>
      <c r="H3991" s="6" t="str">
        <f t="shared" si="6"/>
        <v/>
      </c>
      <c r="I3991" s="2">
        <f t="shared" si="7"/>
        <v>1426.89</v>
      </c>
      <c r="M3991" s="10">
        <f>IFERROR(__xludf.DUMMYFUNCTION("""COMPUTED_VALUE"""),43768.66666666667)</f>
        <v>43768.66667</v>
      </c>
      <c r="N3991" s="2">
        <f>IFERROR(__xludf.DUMMYFUNCTION("""COMPUTED_VALUE"""),8303.98)</f>
        <v>8303.98</v>
      </c>
      <c r="P3991" s="10">
        <f t="shared" si="10"/>
        <v>38222.64583</v>
      </c>
      <c r="Q3991" s="13">
        <v>787.65</v>
      </c>
      <c r="R3991" s="18">
        <v>38222.0</v>
      </c>
    </row>
    <row r="3992">
      <c r="A3992" s="10">
        <f t="shared" si="8"/>
        <v>41974.66667</v>
      </c>
      <c r="B3992" s="2" t="str">
        <f t="shared" si="2"/>
        <v/>
      </c>
      <c r="C3992" s="2" t="str">
        <f t="shared" si="3"/>
        <v>SP500</v>
      </c>
      <c r="D3992" s="2">
        <f t="shared" si="4"/>
        <v>4727.35</v>
      </c>
      <c r="E3992" s="2">
        <f t="shared" si="5"/>
        <v>4727.35</v>
      </c>
      <c r="G3992" s="10">
        <f t="shared" si="9"/>
        <v>41974.64583</v>
      </c>
      <c r="H3992" s="6" t="str">
        <f t="shared" si="6"/>
        <v/>
      </c>
      <c r="I3992" s="2">
        <f t="shared" si="7"/>
        <v>1426.89</v>
      </c>
      <c r="M3992" s="10">
        <f>IFERROR(__xludf.DUMMYFUNCTION("""COMPUTED_VALUE"""),43769.66666666667)</f>
        <v>43769.66667</v>
      </c>
      <c r="N3992" s="2">
        <f>IFERROR(__xludf.DUMMYFUNCTION("""COMPUTED_VALUE"""),8292.36)</f>
        <v>8292.36</v>
      </c>
      <c r="P3992" s="10">
        <f t="shared" si="10"/>
        <v>38219.64583</v>
      </c>
      <c r="Q3992" s="13">
        <v>787.64</v>
      </c>
      <c r="R3992" s="18">
        <v>38219.0</v>
      </c>
    </row>
    <row r="3993">
      <c r="A3993" s="10">
        <f t="shared" si="8"/>
        <v>41975.66667</v>
      </c>
      <c r="B3993" s="2" t="str">
        <f t="shared" si="2"/>
        <v/>
      </c>
      <c r="C3993" s="2" t="str">
        <f t="shared" si="3"/>
        <v>SP500</v>
      </c>
      <c r="D3993" s="2">
        <f t="shared" si="4"/>
        <v>4755.81</v>
      </c>
      <c r="E3993" s="2">
        <f t="shared" si="5"/>
        <v>4755.81</v>
      </c>
      <c r="G3993" s="10">
        <f t="shared" si="9"/>
        <v>41975.64583</v>
      </c>
      <c r="H3993" s="6" t="str">
        <f t="shared" si="6"/>
        <v/>
      </c>
      <c r="I3993" s="2">
        <f t="shared" si="7"/>
        <v>1426.89</v>
      </c>
      <c r="M3993" s="10">
        <f>IFERROR(__xludf.DUMMYFUNCTION("""COMPUTED_VALUE"""),43770.66666666667)</f>
        <v>43770.66667</v>
      </c>
      <c r="N3993" s="2">
        <f>IFERROR(__xludf.DUMMYFUNCTION("""COMPUTED_VALUE"""),8386.4)</f>
        <v>8386.4</v>
      </c>
      <c r="P3993" s="10">
        <f t="shared" si="10"/>
        <v>38218.64583</v>
      </c>
      <c r="Q3993" s="13">
        <v>788.53</v>
      </c>
      <c r="R3993" s="18">
        <v>38218.0</v>
      </c>
    </row>
    <row r="3994">
      <c r="A3994" s="10">
        <f t="shared" si="8"/>
        <v>41976.66667</v>
      </c>
      <c r="B3994" s="2" t="str">
        <f t="shared" si="2"/>
        <v/>
      </c>
      <c r="C3994" s="2" t="str">
        <f t="shared" si="3"/>
        <v>SP500</v>
      </c>
      <c r="D3994" s="2">
        <f t="shared" si="4"/>
        <v>4774.47</v>
      </c>
      <c r="E3994" s="2">
        <f t="shared" si="5"/>
        <v>4774.47</v>
      </c>
      <c r="G3994" s="10">
        <f t="shared" si="9"/>
        <v>41976.64583</v>
      </c>
      <c r="H3994" s="6" t="str">
        <f t="shared" si="6"/>
        <v/>
      </c>
      <c r="I3994" s="2">
        <f t="shared" si="7"/>
        <v>1426.89</v>
      </c>
      <c r="M3994" s="10">
        <f>IFERROR(__xludf.DUMMYFUNCTION("""COMPUTED_VALUE"""),43773.66666666667)</f>
        <v>43773.66667</v>
      </c>
      <c r="N3994" s="2">
        <f>IFERROR(__xludf.DUMMYFUNCTION("""COMPUTED_VALUE"""),8433.2)</f>
        <v>8433.2</v>
      </c>
      <c r="P3994" s="10">
        <f t="shared" si="10"/>
        <v>38217.64583</v>
      </c>
      <c r="Q3994" s="13">
        <v>773.19</v>
      </c>
      <c r="R3994" s="18">
        <v>38217.0</v>
      </c>
    </row>
    <row r="3995">
      <c r="A3995" s="10">
        <f t="shared" si="8"/>
        <v>41977.66667</v>
      </c>
      <c r="B3995" s="2" t="str">
        <f t="shared" si="2"/>
        <v/>
      </c>
      <c r="C3995" s="2" t="str">
        <f t="shared" si="3"/>
        <v>SP500</v>
      </c>
      <c r="D3995" s="2">
        <f t="shared" si="4"/>
        <v>4769.44</v>
      </c>
      <c r="E3995" s="2">
        <f t="shared" si="5"/>
        <v>4769.44</v>
      </c>
      <c r="G3995" s="10">
        <f t="shared" si="9"/>
        <v>41977.64583</v>
      </c>
      <c r="H3995" s="6" t="str">
        <f t="shared" si="6"/>
        <v/>
      </c>
      <c r="I3995" s="2">
        <f t="shared" si="7"/>
        <v>1426.89</v>
      </c>
      <c r="M3995" s="10">
        <f>IFERROR(__xludf.DUMMYFUNCTION("""COMPUTED_VALUE"""),43774.66666666667)</f>
        <v>43774.66667</v>
      </c>
      <c r="N3995" s="2">
        <f>IFERROR(__xludf.DUMMYFUNCTION("""COMPUTED_VALUE"""),8434.68)</f>
        <v>8434.68</v>
      </c>
      <c r="P3995" s="10">
        <f t="shared" si="10"/>
        <v>38216.64583</v>
      </c>
      <c r="Q3995" s="13">
        <v>771.03</v>
      </c>
      <c r="R3995" s="18">
        <v>38216.0</v>
      </c>
    </row>
    <row r="3996">
      <c r="A3996" s="10">
        <f t="shared" si="8"/>
        <v>41978.66667</v>
      </c>
      <c r="B3996" s="2" t="str">
        <f t="shared" si="2"/>
        <v/>
      </c>
      <c r="C3996" s="2" t="str">
        <f t="shared" si="3"/>
        <v>SP500</v>
      </c>
      <c r="D3996" s="2">
        <f t="shared" si="4"/>
        <v>4780.76</v>
      </c>
      <c r="E3996" s="2">
        <f t="shared" si="5"/>
        <v>4780.76</v>
      </c>
      <c r="G3996" s="10">
        <f t="shared" si="9"/>
        <v>41978.64583</v>
      </c>
      <c r="H3996" s="6" t="str">
        <f t="shared" si="6"/>
        <v/>
      </c>
      <c r="I3996" s="2">
        <f t="shared" si="7"/>
        <v>1426.89</v>
      </c>
      <c r="M3996" s="10">
        <f>IFERROR(__xludf.DUMMYFUNCTION("""COMPUTED_VALUE"""),43775.66666666667)</f>
        <v>43775.66667</v>
      </c>
      <c r="N3996" s="2">
        <f>IFERROR(__xludf.DUMMYFUNCTION("""COMPUTED_VALUE"""),8410.63)</f>
        <v>8410.63</v>
      </c>
      <c r="P3996" s="10">
        <f t="shared" si="10"/>
        <v>38215.64583</v>
      </c>
      <c r="Q3996" s="13">
        <v>773.85</v>
      </c>
      <c r="R3996" s="18">
        <v>38215.0</v>
      </c>
    </row>
    <row r="3997">
      <c r="A3997" s="10">
        <f t="shared" si="8"/>
        <v>41979.66667</v>
      </c>
      <c r="B3997" s="2" t="str">
        <f t="shared" si="2"/>
        <v/>
      </c>
      <c r="C3997" s="2" t="str">
        <f t="shared" si="3"/>
        <v>SP500</v>
      </c>
      <c r="D3997" s="2" t="str">
        <f t="shared" si="4"/>
        <v/>
      </c>
      <c r="E3997" s="2">
        <f t="shared" si="5"/>
        <v>4780.76</v>
      </c>
      <c r="G3997" s="10">
        <f t="shared" si="9"/>
        <v>41979.64583</v>
      </c>
      <c r="H3997" s="6" t="str">
        <f t="shared" si="6"/>
        <v/>
      </c>
      <c r="I3997" s="2">
        <f t="shared" si="7"/>
        <v>1426.89</v>
      </c>
      <c r="M3997" s="10">
        <f>IFERROR(__xludf.DUMMYFUNCTION("""COMPUTED_VALUE"""),43776.66666666667)</f>
        <v>43776.66667</v>
      </c>
      <c r="N3997" s="2">
        <f>IFERROR(__xludf.DUMMYFUNCTION("""COMPUTED_VALUE"""),8434.52)</f>
        <v>8434.52</v>
      </c>
      <c r="P3997" s="10">
        <f t="shared" si="10"/>
        <v>38212.64583</v>
      </c>
      <c r="Q3997" s="13">
        <v>776.02</v>
      </c>
      <c r="R3997" s="18">
        <v>38212.0</v>
      </c>
    </row>
    <row r="3998">
      <c r="A3998" s="10">
        <f t="shared" si="8"/>
        <v>41980.66667</v>
      </c>
      <c r="B3998" s="2" t="str">
        <f t="shared" si="2"/>
        <v/>
      </c>
      <c r="C3998" s="2" t="str">
        <f t="shared" si="3"/>
        <v>SP500</v>
      </c>
      <c r="D3998" s="2" t="str">
        <f t="shared" si="4"/>
        <v/>
      </c>
      <c r="E3998" s="2">
        <f t="shared" si="5"/>
        <v>4780.76</v>
      </c>
      <c r="G3998" s="10">
        <f t="shared" si="9"/>
        <v>41980.64583</v>
      </c>
      <c r="H3998" s="6" t="str">
        <f t="shared" si="6"/>
        <v/>
      </c>
      <c r="I3998" s="2">
        <f t="shared" si="7"/>
        <v>1426.89</v>
      </c>
      <c r="M3998" s="10">
        <f>IFERROR(__xludf.DUMMYFUNCTION("""COMPUTED_VALUE"""),43777.66666666667)</f>
        <v>43777.66667</v>
      </c>
      <c r="N3998" s="2">
        <f>IFERROR(__xludf.DUMMYFUNCTION("""COMPUTED_VALUE"""),8475.31)</f>
        <v>8475.31</v>
      </c>
      <c r="P3998" s="10">
        <f t="shared" si="10"/>
        <v>38211.64583</v>
      </c>
      <c r="Q3998" s="13">
        <v>766.7</v>
      </c>
      <c r="R3998" s="18">
        <v>38211.0</v>
      </c>
    </row>
    <row r="3999">
      <c r="A3999" s="10">
        <f t="shared" si="8"/>
        <v>41981.66667</v>
      </c>
      <c r="B3999" s="2" t="str">
        <f t="shared" si="2"/>
        <v/>
      </c>
      <c r="C3999" s="2" t="str">
        <f t="shared" si="3"/>
        <v>SP500</v>
      </c>
      <c r="D3999" s="2">
        <f t="shared" si="4"/>
        <v>4740.69</v>
      </c>
      <c r="E3999" s="2">
        <f t="shared" si="5"/>
        <v>4740.69</v>
      </c>
      <c r="G3999" s="10">
        <f t="shared" si="9"/>
        <v>41981.64583</v>
      </c>
      <c r="H3999" s="6" t="str">
        <f t="shared" si="6"/>
        <v/>
      </c>
      <c r="I3999" s="2">
        <f t="shared" si="7"/>
        <v>1426.89</v>
      </c>
      <c r="M3999" s="10">
        <f>IFERROR(__xludf.DUMMYFUNCTION("""COMPUTED_VALUE"""),43780.66666666667)</f>
        <v>43780.66667</v>
      </c>
      <c r="N3999" s="2">
        <f>IFERROR(__xludf.DUMMYFUNCTION("""COMPUTED_VALUE"""),8464.28)</f>
        <v>8464.28</v>
      </c>
      <c r="P3999" s="10">
        <f t="shared" si="10"/>
        <v>38210.64583</v>
      </c>
      <c r="Q3999" s="13">
        <v>753.06</v>
      </c>
      <c r="R3999" s="18">
        <v>38210.0</v>
      </c>
    </row>
    <row r="4000">
      <c r="A4000" s="10">
        <f t="shared" si="8"/>
        <v>41982.66667</v>
      </c>
      <c r="B4000" s="2" t="str">
        <f t="shared" si="2"/>
        <v/>
      </c>
      <c r="C4000" s="2" t="str">
        <f t="shared" si="3"/>
        <v>SP500</v>
      </c>
      <c r="D4000" s="2">
        <f t="shared" si="4"/>
        <v>4766.47</v>
      </c>
      <c r="E4000" s="2">
        <f t="shared" si="5"/>
        <v>4766.47</v>
      </c>
      <c r="G4000" s="10">
        <f t="shared" si="9"/>
        <v>41982.64583</v>
      </c>
      <c r="H4000" s="6" t="str">
        <f t="shared" si="6"/>
        <v/>
      </c>
      <c r="I4000" s="2">
        <f t="shared" si="7"/>
        <v>1426.89</v>
      </c>
      <c r="M4000" s="10">
        <f>IFERROR(__xludf.DUMMYFUNCTION("""COMPUTED_VALUE"""),43781.66666666667)</f>
        <v>43781.66667</v>
      </c>
      <c r="N4000" s="2">
        <f>IFERROR(__xludf.DUMMYFUNCTION("""COMPUTED_VALUE"""),8486.09)</f>
        <v>8486.09</v>
      </c>
      <c r="P4000" s="10">
        <f t="shared" si="10"/>
        <v>38209.64583</v>
      </c>
      <c r="Q4000" s="13">
        <v>748.62</v>
      </c>
      <c r="R4000" s="18">
        <v>38209.0</v>
      </c>
    </row>
    <row r="4001">
      <c r="A4001" s="10">
        <f t="shared" si="8"/>
        <v>41983.66667</v>
      </c>
      <c r="B4001" s="2" t="str">
        <f t="shared" si="2"/>
        <v/>
      </c>
      <c r="C4001" s="2" t="str">
        <f t="shared" si="3"/>
        <v>SP500</v>
      </c>
      <c r="D4001" s="2">
        <f t="shared" si="4"/>
        <v>4684.03</v>
      </c>
      <c r="E4001" s="2">
        <f t="shared" si="5"/>
        <v>4684.03</v>
      </c>
      <c r="G4001" s="10">
        <f t="shared" si="9"/>
        <v>41983.64583</v>
      </c>
      <c r="H4001" s="6" t="str">
        <f t="shared" si="6"/>
        <v/>
      </c>
      <c r="I4001" s="2">
        <f t="shared" si="7"/>
        <v>1426.89</v>
      </c>
      <c r="M4001" s="10">
        <f>IFERROR(__xludf.DUMMYFUNCTION("""COMPUTED_VALUE"""),43782.66666666667)</f>
        <v>43782.66667</v>
      </c>
      <c r="N4001" s="2">
        <f>IFERROR(__xludf.DUMMYFUNCTION("""COMPUTED_VALUE"""),8482.1)</f>
        <v>8482.1</v>
      </c>
      <c r="P4001" s="10">
        <f t="shared" si="10"/>
        <v>38208.64583</v>
      </c>
      <c r="Q4001" s="13">
        <v>742.13</v>
      </c>
      <c r="R4001" s="18">
        <v>38208.0</v>
      </c>
    </row>
    <row r="4002">
      <c r="A4002" s="10">
        <f t="shared" si="8"/>
        <v>41984.66667</v>
      </c>
      <c r="B4002" s="2" t="str">
        <f t="shared" si="2"/>
        <v/>
      </c>
      <c r="C4002" s="2" t="str">
        <f t="shared" si="3"/>
        <v>SP500</v>
      </c>
      <c r="D4002" s="2">
        <f t="shared" si="4"/>
        <v>4708.16</v>
      </c>
      <c r="E4002" s="2">
        <f t="shared" si="5"/>
        <v>4708.16</v>
      </c>
      <c r="G4002" s="10">
        <f t="shared" si="9"/>
        <v>41984.64583</v>
      </c>
      <c r="H4002" s="6" t="str">
        <f t="shared" si="6"/>
        <v/>
      </c>
      <c r="I4002" s="2">
        <f t="shared" si="7"/>
        <v>1426.89</v>
      </c>
      <c r="M4002" s="10">
        <f>IFERROR(__xludf.DUMMYFUNCTION("""COMPUTED_VALUE"""),43783.66666666667)</f>
        <v>43783.66667</v>
      </c>
      <c r="N4002" s="2">
        <f>IFERROR(__xludf.DUMMYFUNCTION("""COMPUTED_VALUE"""),8479.02)</f>
        <v>8479.02</v>
      </c>
      <c r="P4002" s="10">
        <f t="shared" si="10"/>
        <v>38205.64583</v>
      </c>
      <c r="Q4002" s="13">
        <v>733.95</v>
      </c>
      <c r="R4002" s="18">
        <v>38205.0</v>
      </c>
    </row>
    <row r="4003">
      <c r="A4003" s="10">
        <f t="shared" si="8"/>
        <v>41985.66667</v>
      </c>
      <c r="B4003" s="2" t="str">
        <f t="shared" si="2"/>
        <v/>
      </c>
      <c r="C4003" s="2" t="str">
        <f t="shared" si="3"/>
        <v>SP500</v>
      </c>
      <c r="D4003" s="2">
        <f t="shared" si="4"/>
        <v>4653.6</v>
      </c>
      <c r="E4003" s="2">
        <f t="shared" si="5"/>
        <v>4653.6</v>
      </c>
      <c r="G4003" s="10">
        <f t="shared" si="9"/>
        <v>41985.64583</v>
      </c>
      <c r="H4003" s="6" t="str">
        <f t="shared" si="6"/>
        <v/>
      </c>
      <c r="I4003" s="2">
        <f t="shared" si="7"/>
        <v>1426.89</v>
      </c>
      <c r="M4003" s="10">
        <f>IFERROR(__xludf.DUMMYFUNCTION("""COMPUTED_VALUE"""),43784.66666666667)</f>
        <v>43784.66667</v>
      </c>
      <c r="N4003" s="2">
        <f>IFERROR(__xludf.DUMMYFUNCTION("""COMPUTED_VALUE"""),8540.83)</f>
        <v>8540.83</v>
      </c>
      <c r="P4003" s="10">
        <f t="shared" si="10"/>
        <v>38204.64583</v>
      </c>
      <c r="Q4003" s="13">
        <v>743.35</v>
      </c>
      <c r="R4003" s="18">
        <v>38204.0</v>
      </c>
    </row>
    <row r="4004">
      <c r="A4004" s="10">
        <f t="shared" si="8"/>
        <v>41986.66667</v>
      </c>
      <c r="B4004" s="2" t="str">
        <f t="shared" si="2"/>
        <v/>
      </c>
      <c r="C4004" s="2" t="str">
        <f t="shared" si="3"/>
        <v>SP500</v>
      </c>
      <c r="D4004" s="2" t="str">
        <f t="shared" si="4"/>
        <v/>
      </c>
      <c r="E4004" s="2">
        <f t="shared" si="5"/>
        <v>4653.6</v>
      </c>
      <c r="G4004" s="10">
        <f t="shared" si="9"/>
        <v>41986.64583</v>
      </c>
      <c r="H4004" s="6" t="str">
        <f t="shared" si="6"/>
        <v/>
      </c>
      <c r="I4004" s="2">
        <f t="shared" si="7"/>
        <v>1426.89</v>
      </c>
      <c r="M4004" s="10">
        <f>IFERROR(__xludf.DUMMYFUNCTION("""COMPUTED_VALUE"""),43787.66666666667)</f>
        <v>43787.66667</v>
      </c>
      <c r="N4004" s="2">
        <f>IFERROR(__xludf.DUMMYFUNCTION("""COMPUTED_VALUE"""),8549.94)</f>
        <v>8549.94</v>
      </c>
      <c r="P4004" s="10">
        <f t="shared" si="10"/>
        <v>38203.64583</v>
      </c>
      <c r="Q4004" s="13">
        <v>729.41</v>
      </c>
      <c r="R4004" s="18">
        <v>38203.0</v>
      </c>
    </row>
    <row r="4005">
      <c r="A4005" s="10">
        <f t="shared" si="8"/>
        <v>41987.66667</v>
      </c>
      <c r="B4005" s="2" t="str">
        <f t="shared" si="2"/>
        <v/>
      </c>
      <c r="C4005" s="2" t="str">
        <f t="shared" si="3"/>
        <v>SP500</v>
      </c>
      <c r="D4005" s="2" t="str">
        <f t="shared" si="4"/>
        <v/>
      </c>
      <c r="E4005" s="2">
        <f t="shared" si="5"/>
        <v>4653.6</v>
      </c>
      <c r="G4005" s="10">
        <f t="shared" si="9"/>
        <v>41987.64583</v>
      </c>
      <c r="H4005" s="6" t="str">
        <f t="shared" si="6"/>
        <v/>
      </c>
      <c r="I4005" s="2">
        <f t="shared" si="7"/>
        <v>1426.89</v>
      </c>
      <c r="M4005" s="10">
        <f>IFERROR(__xludf.DUMMYFUNCTION("""COMPUTED_VALUE"""),43788.66666666667)</f>
        <v>43788.66667</v>
      </c>
      <c r="N4005" s="2">
        <f>IFERROR(__xludf.DUMMYFUNCTION("""COMPUTED_VALUE"""),8570.66)</f>
        <v>8570.66</v>
      </c>
      <c r="P4005" s="10">
        <f t="shared" si="10"/>
        <v>38202.64583</v>
      </c>
      <c r="Q4005" s="13">
        <v>726.44</v>
      </c>
      <c r="R4005" s="18">
        <v>38202.0</v>
      </c>
    </row>
    <row r="4006">
      <c r="A4006" s="10">
        <f t="shared" si="8"/>
        <v>41988.66667</v>
      </c>
      <c r="B4006" s="2" t="str">
        <f t="shared" si="2"/>
        <v/>
      </c>
      <c r="C4006" s="2" t="str">
        <f t="shared" si="3"/>
        <v>SP500</v>
      </c>
      <c r="D4006" s="2">
        <f t="shared" si="4"/>
        <v>4605.16</v>
      </c>
      <c r="E4006" s="2">
        <f t="shared" si="5"/>
        <v>4605.16</v>
      </c>
      <c r="G4006" s="10">
        <f t="shared" si="9"/>
        <v>41988.64583</v>
      </c>
      <c r="H4006" s="6" t="str">
        <f t="shared" si="6"/>
        <v/>
      </c>
      <c r="I4006" s="2">
        <f t="shared" si="7"/>
        <v>1426.89</v>
      </c>
      <c r="M4006" s="10">
        <f>IFERROR(__xludf.DUMMYFUNCTION("""COMPUTED_VALUE"""),43789.66666666667)</f>
        <v>43789.66667</v>
      </c>
      <c r="N4006" s="2">
        <f>IFERROR(__xludf.DUMMYFUNCTION("""COMPUTED_VALUE"""),8526.73)</f>
        <v>8526.73</v>
      </c>
      <c r="P4006" s="10">
        <f t="shared" si="10"/>
        <v>38201.64583</v>
      </c>
      <c r="Q4006" s="13">
        <v>719.59</v>
      </c>
      <c r="R4006" s="18">
        <v>38201.0</v>
      </c>
    </row>
    <row r="4007">
      <c r="A4007" s="10">
        <f t="shared" si="8"/>
        <v>41989.66667</v>
      </c>
      <c r="B4007" s="2" t="str">
        <f t="shared" si="2"/>
        <v/>
      </c>
      <c r="C4007" s="2" t="str">
        <f t="shared" si="3"/>
        <v>SP500</v>
      </c>
      <c r="D4007" s="2">
        <f t="shared" si="4"/>
        <v>4547.83</v>
      </c>
      <c r="E4007" s="2">
        <f t="shared" si="5"/>
        <v>4547.83</v>
      </c>
      <c r="G4007" s="10">
        <f t="shared" si="9"/>
        <v>41989.64583</v>
      </c>
      <c r="H4007" s="6" t="str">
        <f t="shared" si="6"/>
        <v/>
      </c>
      <c r="I4007" s="2">
        <f t="shared" si="7"/>
        <v>1426.89</v>
      </c>
      <c r="M4007" s="10">
        <f>IFERROR(__xludf.DUMMYFUNCTION("""COMPUTED_VALUE"""),43790.66666666667)</f>
        <v>43790.66667</v>
      </c>
      <c r="N4007" s="2">
        <f>IFERROR(__xludf.DUMMYFUNCTION("""COMPUTED_VALUE"""),8506.21)</f>
        <v>8506.21</v>
      </c>
      <c r="P4007" s="10">
        <f t="shared" si="10"/>
        <v>38198.64583</v>
      </c>
      <c r="Q4007" s="13">
        <v>735.34</v>
      </c>
      <c r="R4007" s="18">
        <v>38198.0</v>
      </c>
    </row>
    <row r="4008">
      <c r="A4008" s="10">
        <f t="shared" si="8"/>
        <v>41990.66667</v>
      </c>
      <c r="B4008" s="2" t="str">
        <f t="shared" si="2"/>
        <v/>
      </c>
      <c r="C4008" s="2" t="str">
        <f t="shared" si="3"/>
        <v>SP500</v>
      </c>
      <c r="D4008" s="2">
        <f t="shared" si="4"/>
        <v>4644.31</v>
      </c>
      <c r="E4008" s="2">
        <f t="shared" si="5"/>
        <v>4644.31</v>
      </c>
      <c r="G4008" s="10">
        <f t="shared" si="9"/>
        <v>41990.64583</v>
      </c>
      <c r="H4008" s="6" t="str">
        <f t="shared" si="6"/>
        <v/>
      </c>
      <c r="I4008" s="2">
        <f t="shared" si="7"/>
        <v>1426.89</v>
      </c>
      <c r="M4008" s="10">
        <f>IFERROR(__xludf.DUMMYFUNCTION("""COMPUTED_VALUE"""),43791.66666666667)</f>
        <v>43791.66667</v>
      </c>
      <c r="N4008" s="2">
        <f>IFERROR(__xludf.DUMMYFUNCTION("""COMPUTED_VALUE"""),8519.89)</f>
        <v>8519.89</v>
      </c>
      <c r="P4008" s="10">
        <f t="shared" si="10"/>
        <v>38197.64583</v>
      </c>
      <c r="Q4008" s="13">
        <v>730.61</v>
      </c>
      <c r="R4008" s="18">
        <v>38197.0</v>
      </c>
    </row>
    <row r="4009">
      <c r="A4009" s="10">
        <f t="shared" si="8"/>
        <v>41991.66667</v>
      </c>
      <c r="B4009" s="2" t="str">
        <f t="shared" si="2"/>
        <v/>
      </c>
      <c r="C4009" s="2" t="str">
        <f t="shared" si="3"/>
        <v>SP500</v>
      </c>
      <c r="D4009" s="2">
        <f t="shared" si="4"/>
        <v>4748.4</v>
      </c>
      <c r="E4009" s="2">
        <f t="shared" si="5"/>
        <v>4748.4</v>
      </c>
      <c r="G4009" s="10">
        <f t="shared" si="9"/>
        <v>41991.64583</v>
      </c>
      <c r="H4009" s="6" t="str">
        <f t="shared" si="6"/>
        <v/>
      </c>
      <c r="I4009" s="2">
        <f t="shared" si="7"/>
        <v>1426.89</v>
      </c>
      <c r="M4009" s="10">
        <f>IFERROR(__xludf.DUMMYFUNCTION("""COMPUTED_VALUE"""),43794.66666666667)</f>
        <v>43794.66667</v>
      </c>
      <c r="N4009" s="2">
        <f>IFERROR(__xludf.DUMMYFUNCTION("""COMPUTED_VALUE"""),8632.49)</f>
        <v>8632.49</v>
      </c>
      <c r="P4009" s="10">
        <f t="shared" si="10"/>
        <v>38196.64583</v>
      </c>
      <c r="Q4009" s="13">
        <v>744.42</v>
      </c>
      <c r="R4009" s="18">
        <v>38196.0</v>
      </c>
    </row>
    <row r="4010">
      <c r="A4010" s="10">
        <f t="shared" si="8"/>
        <v>41992.66667</v>
      </c>
      <c r="B4010" s="2" t="str">
        <f t="shared" si="2"/>
        <v/>
      </c>
      <c r="C4010" s="2" t="str">
        <f t="shared" si="3"/>
        <v>SP500</v>
      </c>
      <c r="D4010" s="2">
        <f t="shared" si="4"/>
        <v>4765.38</v>
      </c>
      <c r="E4010" s="2">
        <f t="shared" si="5"/>
        <v>4765.38</v>
      </c>
      <c r="G4010" s="10">
        <f t="shared" si="9"/>
        <v>41992.64583</v>
      </c>
      <c r="H4010" s="6" t="str">
        <f t="shared" si="6"/>
        <v/>
      </c>
      <c r="I4010" s="2">
        <f t="shared" si="7"/>
        <v>1426.89</v>
      </c>
      <c r="M4010" s="10">
        <f>IFERROR(__xludf.DUMMYFUNCTION("""COMPUTED_VALUE"""),43795.66666666667)</f>
        <v>43795.66667</v>
      </c>
      <c r="N4010" s="2">
        <f>IFERROR(__xludf.DUMMYFUNCTION("""COMPUTED_VALUE"""),8647.93)</f>
        <v>8647.93</v>
      </c>
      <c r="P4010" s="10">
        <f t="shared" si="10"/>
        <v>38195.64583</v>
      </c>
      <c r="Q4010" s="13">
        <v>738.51</v>
      </c>
      <c r="R4010" s="18">
        <v>38195.0</v>
      </c>
    </row>
    <row r="4011">
      <c r="A4011" s="10">
        <f t="shared" si="8"/>
        <v>41993.66667</v>
      </c>
      <c r="B4011" s="2" t="str">
        <f t="shared" si="2"/>
        <v/>
      </c>
      <c r="C4011" s="2" t="str">
        <f t="shared" si="3"/>
        <v>SP500</v>
      </c>
      <c r="D4011" s="2" t="str">
        <f t="shared" si="4"/>
        <v/>
      </c>
      <c r="E4011" s="2">
        <f t="shared" si="5"/>
        <v>4765.38</v>
      </c>
      <c r="G4011" s="10">
        <f t="shared" si="9"/>
        <v>41993.64583</v>
      </c>
      <c r="H4011" s="6" t="str">
        <f t="shared" si="6"/>
        <v/>
      </c>
      <c r="I4011" s="2">
        <f t="shared" si="7"/>
        <v>1426.89</v>
      </c>
      <c r="M4011" s="10">
        <f>IFERROR(__xludf.DUMMYFUNCTION("""COMPUTED_VALUE"""),43796.66666666667)</f>
        <v>43796.66667</v>
      </c>
      <c r="N4011" s="2">
        <f>IFERROR(__xludf.DUMMYFUNCTION("""COMPUTED_VALUE"""),8705.17)</f>
        <v>8705.17</v>
      </c>
      <c r="P4011" s="10">
        <f t="shared" si="10"/>
        <v>38194.64583</v>
      </c>
      <c r="Q4011" s="13">
        <v>736.21</v>
      </c>
      <c r="R4011" s="18">
        <v>38194.0</v>
      </c>
    </row>
    <row r="4012">
      <c r="A4012" s="10">
        <f t="shared" si="8"/>
        <v>41994.66667</v>
      </c>
      <c r="B4012" s="2" t="str">
        <f t="shared" si="2"/>
        <v/>
      </c>
      <c r="C4012" s="2" t="str">
        <f t="shared" si="3"/>
        <v>SP500</v>
      </c>
      <c r="D4012" s="2" t="str">
        <f t="shared" si="4"/>
        <v/>
      </c>
      <c r="E4012" s="2">
        <f t="shared" si="5"/>
        <v>4765.38</v>
      </c>
      <c r="G4012" s="10">
        <f t="shared" si="9"/>
        <v>41994.64583</v>
      </c>
      <c r="H4012" s="6" t="str">
        <f t="shared" si="6"/>
        <v/>
      </c>
      <c r="I4012" s="2">
        <f t="shared" si="7"/>
        <v>1426.89</v>
      </c>
      <c r="M4012" s="10">
        <f>IFERROR(__xludf.DUMMYFUNCTION("""COMPUTED_VALUE"""),43798.54166666667)</f>
        <v>43798.54167</v>
      </c>
      <c r="N4012" s="2">
        <f>IFERROR(__xludf.DUMMYFUNCTION("""COMPUTED_VALUE"""),8665.47)</f>
        <v>8665.47</v>
      </c>
      <c r="P4012" s="10">
        <f t="shared" si="10"/>
        <v>38191.64583</v>
      </c>
      <c r="Q4012" s="13">
        <v>737.51</v>
      </c>
      <c r="R4012" s="18">
        <v>38191.0</v>
      </c>
    </row>
    <row r="4013">
      <c r="A4013" s="10">
        <f t="shared" si="8"/>
        <v>41995.66667</v>
      </c>
      <c r="B4013" s="2" t="str">
        <f t="shared" si="2"/>
        <v/>
      </c>
      <c r="C4013" s="2" t="str">
        <f t="shared" si="3"/>
        <v>SP500</v>
      </c>
      <c r="D4013" s="2">
        <f t="shared" si="4"/>
        <v>4781.42</v>
      </c>
      <c r="E4013" s="2">
        <f t="shared" si="5"/>
        <v>4781.42</v>
      </c>
      <c r="G4013" s="10">
        <f t="shared" si="9"/>
        <v>41995.64583</v>
      </c>
      <c r="H4013" s="6" t="str">
        <f t="shared" si="6"/>
        <v/>
      </c>
      <c r="I4013" s="2">
        <f t="shared" si="7"/>
        <v>1426.89</v>
      </c>
      <c r="M4013" s="10">
        <f>IFERROR(__xludf.DUMMYFUNCTION("""COMPUTED_VALUE"""),43801.66666666667)</f>
        <v>43801.66667</v>
      </c>
      <c r="N4013" s="2">
        <f>IFERROR(__xludf.DUMMYFUNCTION("""COMPUTED_VALUE"""),8567.99)</f>
        <v>8567.99</v>
      </c>
      <c r="P4013" s="10">
        <f t="shared" si="10"/>
        <v>38190.64583</v>
      </c>
      <c r="Q4013" s="13">
        <v>742.63</v>
      </c>
      <c r="R4013" s="18">
        <v>38190.0</v>
      </c>
    </row>
    <row r="4014">
      <c r="A4014" s="10">
        <f t="shared" si="8"/>
        <v>41996.66667</v>
      </c>
      <c r="B4014" s="2" t="str">
        <f t="shared" si="2"/>
        <v/>
      </c>
      <c r="C4014" s="2" t="str">
        <f t="shared" si="3"/>
        <v>SP500</v>
      </c>
      <c r="D4014" s="2">
        <f t="shared" si="4"/>
        <v>4765.42</v>
      </c>
      <c r="E4014" s="2">
        <f t="shared" si="5"/>
        <v>4765.42</v>
      </c>
      <c r="G4014" s="10">
        <f t="shared" si="9"/>
        <v>41996.64583</v>
      </c>
      <c r="H4014" s="6" t="str">
        <f t="shared" si="6"/>
        <v/>
      </c>
      <c r="I4014" s="2">
        <f t="shared" si="7"/>
        <v>1426.89</v>
      </c>
      <c r="M4014" s="10">
        <f>IFERROR(__xludf.DUMMYFUNCTION("""COMPUTED_VALUE"""),43802.66666666667)</f>
        <v>43802.66667</v>
      </c>
      <c r="N4014" s="2">
        <f>IFERROR(__xludf.DUMMYFUNCTION("""COMPUTED_VALUE"""),8520.64)</f>
        <v>8520.64</v>
      </c>
      <c r="P4014" s="10">
        <f t="shared" si="10"/>
        <v>38189.64583</v>
      </c>
      <c r="Q4014" s="13">
        <v>753.32</v>
      </c>
      <c r="R4014" s="18">
        <v>38189.0</v>
      </c>
    </row>
    <row r="4015">
      <c r="A4015" s="10">
        <f t="shared" si="8"/>
        <v>41997.66667</v>
      </c>
      <c r="B4015" s="2" t="str">
        <f t="shared" si="2"/>
        <v/>
      </c>
      <c r="C4015" s="2" t="str">
        <f t="shared" si="3"/>
        <v>SP500</v>
      </c>
      <c r="D4015" s="2">
        <f t="shared" si="4"/>
        <v>4773.47</v>
      </c>
      <c r="E4015" s="2">
        <f t="shared" si="5"/>
        <v>4773.47</v>
      </c>
      <c r="G4015" s="10">
        <f t="shared" si="9"/>
        <v>41997.64583</v>
      </c>
      <c r="H4015" s="6" t="str">
        <f t="shared" si="6"/>
        <v/>
      </c>
      <c r="I4015" s="2">
        <f t="shared" si="7"/>
        <v>1426.89</v>
      </c>
      <c r="M4015" s="10">
        <f>IFERROR(__xludf.DUMMYFUNCTION("""COMPUTED_VALUE"""),43803.66666666667)</f>
        <v>43803.66667</v>
      </c>
      <c r="N4015" s="2">
        <f>IFERROR(__xludf.DUMMYFUNCTION("""COMPUTED_VALUE"""),8566.67)</f>
        <v>8566.67</v>
      </c>
      <c r="P4015" s="10">
        <f t="shared" si="10"/>
        <v>38188.64583</v>
      </c>
      <c r="Q4015" s="13">
        <v>737.0</v>
      </c>
      <c r="R4015" s="18">
        <v>38188.0</v>
      </c>
    </row>
    <row r="4016">
      <c r="A4016" s="10">
        <f t="shared" si="8"/>
        <v>41998.66667</v>
      </c>
      <c r="B4016" s="2" t="str">
        <f t="shared" si="2"/>
        <v/>
      </c>
      <c r="C4016" s="2" t="str">
        <f t="shared" si="3"/>
        <v>SP500</v>
      </c>
      <c r="D4016" s="2" t="str">
        <f t="shared" si="4"/>
        <v/>
      </c>
      <c r="E4016" s="2">
        <f t="shared" si="5"/>
        <v>4773.47</v>
      </c>
      <c r="G4016" s="10">
        <f t="shared" si="9"/>
        <v>41998.64583</v>
      </c>
      <c r="H4016" s="6" t="str">
        <f t="shared" si="6"/>
        <v/>
      </c>
      <c r="I4016" s="2">
        <f t="shared" si="7"/>
        <v>1426.89</v>
      </c>
      <c r="M4016" s="10">
        <f>IFERROR(__xludf.DUMMYFUNCTION("""COMPUTED_VALUE"""),43804.66666666667)</f>
        <v>43804.66667</v>
      </c>
      <c r="N4016" s="2">
        <f>IFERROR(__xludf.DUMMYFUNCTION("""COMPUTED_VALUE"""),8570.7)</f>
        <v>8570.7</v>
      </c>
      <c r="P4016" s="10">
        <f t="shared" si="10"/>
        <v>38187.64583</v>
      </c>
      <c r="Q4016" s="13">
        <v>750.4</v>
      </c>
      <c r="R4016" s="18">
        <v>38187.0</v>
      </c>
    </row>
    <row r="4017">
      <c r="A4017" s="10">
        <f t="shared" si="8"/>
        <v>41999.66667</v>
      </c>
      <c r="B4017" s="2" t="str">
        <f t="shared" si="2"/>
        <v/>
      </c>
      <c r="C4017" s="2" t="str">
        <f t="shared" si="3"/>
        <v>SP500</v>
      </c>
      <c r="D4017" s="2">
        <f t="shared" si="4"/>
        <v>4806.86</v>
      </c>
      <c r="E4017" s="2">
        <f t="shared" si="5"/>
        <v>4806.86</v>
      </c>
      <c r="G4017" s="10">
        <f t="shared" si="9"/>
        <v>41999.64583</v>
      </c>
      <c r="H4017" s="6" t="str">
        <f t="shared" si="6"/>
        <v/>
      </c>
      <c r="I4017" s="2">
        <f t="shared" si="7"/>
        <v>1426.89</v>
      </c>
      <c r="M4017" s="10">
        <f>IFERROR(__xludf.DUMMYFUNCTION("""COMPUTED_VALUE"""),43805.66666666667)</f>
        <v>43805.66667</v>
      </c>
      <c r="N4017" s="2">
        <f>IFERROR(__xludf.DUMMYFUNCTION("""COMPUTED_VALUE"""),8656.53)</f>
        <v>8656.53</v>
      </c>
      <c r="P4017" s="10">
        <f t="shared" si="10"/>
        <v>38184.64583</v>
      </c>
      <c r="Q4017" s="13">
        <v>739.39</v>
      </c>
      <c r="R4017" s="18">
        <v>38184.0</v>
      </c>
    </row>
    <row r="4018">
      <c r="A4018" s="10">
        <f t="shared" si="8"/>
        <v>42000.66667</v>
      </c>
      <c r="B4018" s="2" t="str">
        <f t="shared" si="2"/>
        <v/>
      </c>
      <c r="C4018" s="2" t="str">
        <f t="shared" si="3"/>
        <v>SP500</v>
      </c>
      <c r="D4018" s="2" t="str">
        <f t="shared" si="4"/>
        <v/>
      </c>
      <c r="E4018" s="2">
        <f t="shared" si="5"/>
        <v>4806.86</v>
      </c>
      <c r="G4018" s="10">
        <f t="shared" si="9"/>
        <v>42000.64583</v>
      </c>
      <c r="H4018" s="6" t="str">
        <f t="shared" si="6"/>
        <v/>
      </c>
      <c r="I4018" s="2">
        <f t="shared" si="7"/>
        <v>1426.89</v>
      </c>
      <c r="M4018" s="10">
        <f>IFERROR(__xludf.DUMMYFUNCTION("""COMPUTED_VALUE"""),43808.66666666667)</f>
        <v>43808.66667</v>
      </c>
      <c r="N4018" s="2">
        <f>IFERROR(__xludf.DUMMYFUNCTION("""COMPUTED_VALUE"""),8621.83)</f>
        <v>8621.83</v>
      </c>
      <c r="P4018" s="10">
        <f t="shared" si="10"/>
        <v>38183.64583</v>
      </c>
      <c r="Q4018" s="13">
        <v>732.74</v>
      </c>
      <c r="R4018" s="18">
        <v>38183.0</v>
      </c>
    </row>
    <row r="4019">
      <c r="A4019" s="10">
        <f t="shared" si="8"/>
        <v>42001.66667</v>
      </c>
      <c r="B4019" s="2" t="str">
        <f t="shared" si="2"/>
        <v/>
      </c>
      <c r="C4019" s="2" t="str">
        <f t="shared" si="3"/>
        <v>SP500</v>
      </c>
      <c r="D4019" s="2" t="str">
        <f t="shared" si="4"/>
        <v/>
      </c>
      <c r="E4019" s="2">
        <f t="shared" si="5"/>
        <v>4806.86</v>
      </c>
      <c r="G4019" s="10">
        <f t="shared" si="9"/>
        <v>42001.64583</v>
      </c>
      <c r="H4019" s="6" t="str">
        <f t="shared" si="6"/>
        <v/>
      </c>
      <c r="I4019" s="2">
        <f t="shared" si="7"/>
        <v>1426.89</v>
      </c>
      <c r="M4019" s="10">
        <f>IFERROR(__xludf.DUMMYFUNCTION("""COMPUTED_VALUE"""),43809.66666666667)</f>
        <v>43809.66667</v>
      </c>
      <c r="N4019" s="2">
        <f>IFERROR(__xludf.DUMMYFUNCTION("""COMPUTED_VALUE"""),8616.18)</f>
        <v>8616.18</v>
      </c>
      <c r="P4019" s="10">
        <f t="shared" si="10"/>
        <v>38182.64583</v>
      </c>
      <c r="Q4019" s="13">
        <v>736.57</v>
      </c>
      <c r="R4019" s="18">
        <v>38182.0</v>
      </c>
    </row>
    <row r="4020">
      <c r="A4020" s="10">
        <f t="shared" si="8"/>
        <v>42002.66667</v>
      </c>
      <c r="B4020" s="2" t="str">
        <f t="shared" si="2"/>
        <v/>
      </c>
      <c r="C4020" s="2" t="str">
        <f t="shared" si="3"/>
        <v>SP500</v>
      </c>
      <c r="D4020" s="2">
        <f t="shared" si="4"/>
        <v>4806.91</v>
      </c>
      <c r="E4020" s="2">
        <f t="shared" si="5"/>
        <v>4806.91</v>
      </c>
      <c r="G4020" s="10">
        <f t="shared" si="9"/>
        <v>42002.64583</v>
      </c>
      <c r="H4020" s="6" t="str">
        <f t="shared" si="6"/>
        <v/>
      </c>
      <c r="I4020" s="2">
        <f t="shared" si="7"/>
        <v>1426.89</v>
      </c>
      <c r="M4020" s="10">
        <f>IFERROR(__xludf.DUMMYFUNCTION("""COMPUTED_VALUE"""),43810.66666666667)</f>
        <v>43810.66667</v>
      </c>
      <c r="N4020" s="2">
        <f>IFERROR(__xludf.DUMMYFUNCTION("""COMPUTED_VALUE"""),8654.05)</f>
        <v>8654.05</v>
      </c>
      <c r="P4020" s="10">
        <f t="shared" si="10"/>
        <v>38181.64583</v>
      </c>
      <c r="Q4020" s="13">
        <v>750.95</v>
      </c>
      <c r="R4020" s="18">
        <v>38181.0</v>
      </c>
    </row>
    <row r="4021">
      <c r="A4021" s="10">
        <f t="shared" si="8"/>
        <v>42003.66667</v>
      </c>
      <c r="B4021" s="2" t="str">
        <f t="shared" si="2"/>
        <v/>
      </c>
      <c r="C4021" s="2" t="str">
        <f t="shared" si="3"/>
        <v>SP500</v>
      </c>
      <c r="D4021" s="2">
        <f t="shared" si="4"/>
        <v>4777.44</v>
      </c>
      <c r="E4021" s="2">
        <f t="shared" si="5"/>
        <v>4777.44</v>
      </c>
      <c r="G4021" s="10">
        <f t="shared" si="9"/>
        <v>42003.64583</v>
      </c>
      <c r="H4021" s="6" t="str">
        <f t="shared" si="6"/>
        <v/>
      </c>
      <c r="I4021" s="2">
        <f t="shared" si="7"/>
        <v>1426.89</v>
      </c>
      <c r="M4021" s="10">
        <f>IFERROR(__xludf.DUMMYFUNCTION("""COMPUTED_VALUE"""),43811.66666666667)</f>
        <v>43811.66667</v>
      </c>
      <c r="N4021" s="2">
        <f>IFERROR(__xludf.DUMMYFUNCTION("""COMPUTED_VALUE"""),8717.32)</f>
        <v>8717.32</v>
      </c>
      <c r="P4021" s="10">
        <f t="shared" si="10"/>
        <v>38180.64583</v>
      </c>
      <c r="Q4021" s="13">
        <v>746.27</v>
      </c>
      <c r="R4021" s="18">
        <v>38180.0</v>
      </c>
    </row>
    <row r="4022">
      <c r="A4022" s="10">
        <f t="shared" si="8"/>
        <v>42004.66667</v>
      </c>
      <c r="B4022" s="2" t="str">
        <f t="shared" si="2"/>
        <v/>
      </c>
      <c r="C4022" s="2" t="str">
        <f t="shared" si="3"/>
        <v>SP500</v>
      </c>
      <c r="D4022" s="2">
        <f t="shared" si="4"/>
        <v>4736.05</v>
      </c>
      <c r="E4022" s="2">
        <f t="shared" si="5"/>
        <v>4736.05</v>
      </c>
      <c r="G4022" s="10">
        <f t="shared" si="9"/>
        <v>42004.64583</v>
      </c>
      <c r="H4022" s="6" t="str">
        <f t="shared" si="6"/>
        <v/>
      </c>
      <c r="I4022" s="2">
        <f t="shared" si="7"/>
        <v>1426.89</v>
      </c>
      <c r="M4022" s="10">
        <f>IFERROR(__xludf.DUMMYFUNCTION("""COMPUTED_VALUE"""),43812.66666666667)</f>
        <v>43812.66667</v>
      </c>
      <c r="N4022" s="2">
        <f>IFERROR(__xludf.DUMMYFUNCTION("""COMPUTED_VALUE"""),8734.88)</f>
        <v>8734.88</v>
      </c>
      <c r="P4022" s="10">
        <f t="shared" si="10"/>
        <v>38177.64583</v>
      </c>
      <c r="Q4022" s="13">
        <v>747.46</v>
      </c>
      <c r="R4022" s="18">
        <v>38177.0</v>
      </c>
    </row>
    <row r="4023">
      <c r="A4023" s="10">
        <f t="shared" si="8"/>
        <v>42005.66667</v>
      </c>
      <c r="B4023" s="2" t="str">
        <f t="shared" si="2"/>
        <v/>
      </c>
      <c r="C4023" s="2" t="str">
        <f t="shared" si="3"/>
        <v>SP500</v>
      </c>
      <c r="D4023" s="2" t="str">
        <f t="shared" si="4"/>
        <v/>
      </c>
      <c r="E4023" s="2">
        <f t="shared" si="5"/>
        <v>4736.05</v>
      </c>
      <c r="G4023" s="10">
        <f t="shared" si="9"/>
        <v>42005.64583</v>
      </c>
      <c r="H4023" s="6" t="str">
        <f t="shared" si="6"/>
        <v/>
      </c>
      <c r="I4023" s="2">
        <f t="shared" si="7"/>
        <v>1426.89</v>
      </c>
      <c r="M4023" s="10">
        <f>IFERROR(__xludf.DUMMYFUNCTION("""COMPUTED_VALUE"""),43815.66666666667)</f>
        <v>43815.66667</v>
      </c>
      <c r="N4023" s="2">
        <f>IFERROR(__xludf.DUMMYFUNCTION("""COMPUTED_VALUE"""),8814.23)</f>
        <v>8814.23</v>
      </c>
      <c r="P4023" s="10">
        <f t="shared" si="10"/>
        <v>38176.64583</v>
      </c>
      <c r="Q4023" s="13">
        <v>743.64</v>
      </c>
      <c r="R4023" s="18">
        <v>38176.0</v>
      </c>
    </row>
    <row r="4024">
      <c r="A4024" s="10">
        <f t="shared" si="8"/>
        <v>42006.66667</v>
      </c>
      <c r="B4024" s="2" t="str">
        <f t="shared" si="2"/>
        <v/>
      </c>
      <c r="C4024" s="2" t="str">
        <f t="shared" si="3"/>
        <v>SP500</v>
      </c>
      <c r="D4024" s="2">
        <f t="shared" si="4"/>
        <v>4726.81</v>
      </c>
      <c r="E4024" s="2">
        <f t="shared" si="5"/>
        <v>4726.81</v>
      </c>
      <c r="G4024" s="10">
        <f t="shared" si="9"/>
        <v>42006.64583</v>
      </c>
      <c r="H4024" s="6" t="str">
        <f t="shared" si="6"/>
        <v/>
      </c>
      <c r="I4024" s="2">
        <f t="shared" si="7"/>
        <v>1426.89</v>
      </c>
      <c r="M4024" s="10">
        <f>IFERROR(__xludf.DUMMYFUNCTION("""COMPUTED_VALUE"""),43816.66666666667)</f>
        <v>43816.66667</v>
      </c>
      <c r="N4024" s="2">
        <f>IFERROR(__xludf.DUMMYFUNCTION("""COMPUTED_VALUE"""),8823.36)</f>
        <v>8823.36</v>
      </c>
      <c r="P4024" s="10">
        <f t="shared" si="10"/>
        <v>38175.64583</v>
      </c>
      <c r="Q4024" s="13">
        <v>761.88</v>
      </c>
      <c r="R4024" s="18">
        <v>38175.0</v>
      </c>
    </row>
    <row r="4025">
      <c r="A4025" s="10">
        <f t="shared" si="8"/>
        <v>42007.66667</v>
      </c>
      <c r="B4025" s="2" t="str">
        <f t="shared" si="2"/>
        <v/>
      </c>
      <c r="C4025" s="2" t="str">
        <f t="shared" si="3"/>
        <v>SP500</v>
      </c>
      <c r="D4025" s="2" t="str">
        <f t="shared" si="4"/>
        <v/>
      </c>
      <c r="E4025" s="2">
        <f t="shared" si="5"/>
        <v>4726.81</v>
      </c>
      <c r="G4025" s="10">
        <f t="shared" si="9"/>
        <v>42007.64583</v>
      </c>
      <c r="H4025" s="6" t="str">
        <f t="shared" si="6"/>
        <v/>
      </c>
      <c r="I4025" s="2">
        <f t="shared" si="7"/>
        <v>1426.89</v>
      </c>
      <c r="M4025" s="10">
        <f>IFERROR(__xludf.DUMMYFUNCTION("""COMPUTED_VALUE"""),43817.66666666667)</f>
        <v>43817.66667</v>
      </c>
      <c r="N4025" s="2">
        <f>IFERROR(__xludf.DUMMYFUNCTION("""COMPUTED_VALUE"""),8827.74)</f>
        <v>8827.74</v>
      </c>
      <c r="P4025" s="10">
        <f t="shared" si="10"/>
        <v>38174.64583</v>
      </c>
      <c r="Q4025" s="13">
        <v>758.47</v>
      </c>
      <c r="R4025" s="18">
        <v>38174.0</v>
      </c>
    </row>
    <row r="4026">
      <c r="A4026" s="10">
        <f t="shared" si="8"/>
        <v>42008.66667</v>
      </c>
      <c r="B4026" s="2" t="str">
        <f t="shared" si="2"/>
        <v/>
      </c>
      <c r="C4026" s="2" t="str">
        <f t="shared" si="3"/>
        <v>SP500</v>
      </c>
      <c r="D4026" s="2" t="str">
        <f t="shared" si="4"/>
        <v/>
      </c>
      <c r="E4026" s="2">
        <f t="shared" si="5"/>
        <v>4726.81</v>
      </c>
      <c r="G4026" s="10">
        <f t="shared" si="9"/>
        <v>42008.64583</v>
      </c>
      <c r="H4026" s="6" t="str">
        <f t="shared" si="6"/>
        <v/>
      </c>
      <c r="I4026" s="2">
        <f t="shared" si="7"/>
        <v>1426.89</v>
      </c>
      <c r="M4026" s="10">
        <f>IFERROR(__xludf.DUMMYFUNCTION("""COMPUTED_VALUE"""),43818.66666666667)</f>
        <v>43818.66667</v>
      </c>
      <c r="N4026" s="2">
        <f>IFERROR(__xludf.DUMMYFUNCTION("""COMPUTED_VALUE"""),8887.22)</f>
        <v>8887.22</v>
      </c>
      <c r="P4026" s="10">
        <f t="shared" si="10"/>
        <v>38173.64583</v>
      </c>
      <c r="Q4026" s="13">
        <v>756.72</v>
      </c>
      <c r="R4026" s="18">
        <v>38173.0</v>
      </c>
    </row>
    <row r="4027">
      <c r="A4027" s="10">
        <f t="shared" si="8"/>
        <v>42009.66667</v>
      </c>
      <c r="B4027" s="2" t="str">
        <f t="shared" si="2"/>
        <v/>
      </c>
      <c r="C4027" s="2" t="str">
        <f t="shared" si="3"/>
        <v>SP500</v>
      </c>
      <c r="D4027" s="2">
        <f t="shared" si="4"/>
        <v>4652.57</v>
      </c>
      <c r="E4027" s="2">
        <f t="shared" si="5"/>
        <v>4652.57</v>
      </c>
      <c r="G4027" s="10">
        <f t="shared" si="9"/>
        <v>42009.64583</v>
      </c>
      <c r="H4027" s="6" t="str">
        <f t="shared" si="6"/>
        <v/>
      </c>
      <c r="I4027" s="2">
        <f t="shared" si="7"/>
        <v>1426.89</v>
      </c>
      <c r="M4027" s="10">
        <f>IFERROR(__xludf.DUMMYFUNCTION("""COMPUTED_VALUE"""),43819.66666666667)</f>
        <v>43819.66667</v>
      </c>
      <c r="N4027" s="2">
        <f>IFERROR(__xludf.DUMMYFUNCTION("""COMPUTED_VALUE"""),8924.96)</f>
        <v>8924.96</v>
      </c>
      <c r="P4027" s="10">
        <f t="shared" si="10"/>
        <v>38170.64583</v>
      </c>
      <c r="Q4027" s="13">
        <v>755.42</v>
      </c>
      <c r="R4027" s="18">
        <v>38170.0</v>
      </c>
    </row>
    <row r="4028">
      <c r="A4028" s="10">
        <f t="shared" si="8"/>
        <v>42010.66667</v>
      </c>
      <c r="B4028" s="2" t="str">
        <f t="shared" si="2"/>
        <v/>
      </c>
      <c r="C4028" s="2" t="str">
        <f t="shared" si="3"/>
        <v>SP500</v>
      </c>
      <c r="D4028" s="2">
        <f t="shared" si="4"/>
        <v>4592.74</v>
      </c>
      <c r="E4028" s="2">
        <f t="shared" si="5"/>
        <v>4592.74</v>
      </c>
      <c r="G4028" s="10">
        <f t="shared" si="9"/>
        <v>42010.64583</v>
      </c>
      <c r="H4028" s="6" t="str">
        <f t="shared" si="6"/>
        <v/>
      </c>
      <c r="I4028" s="2">
        <f t="shared" si="7"/>
        <v>1426.89</v>
      </c>
      <c r="M4028" s="10">
        <f>IFERROR(__xludf.DUMMYFUNCTION("""COMPUTED_VALUE"""),43822.66666666667)</f>
        <v>43822.66667</v>
      </c>
      <c r="N4028" s="2">
        <f>IFERROR(__xludf.DUMMYFUNCTION("""COMPUTED_VALUE"""),8945.65)</f>
        <v>8945.65</v>
      </c>
      <c r="P4028" s="10">
        <f t="shared" si="10"/>
        <v>38169.64583</v>
      </c>
      <c r="Q4028" s="13">
        <v>778.03</v>
      </c>
      <c r="R4028" s="18">
        <v>38169.0</v>
      </c>
    </row>
    <row r="4029">
      <c r="A4029" s="10">
        <f t="shared" si="8"/>
        <v>42011.66667</v>
      </c>
      <c r="B4029" s="2" t="str">
        <f t="shared" si="2"/>
        <v/>
      </c>
      <c r="C4029" s="2" t="str">
        <f t="shared" si="3"/>
        <v>SP500</v>
      </c>
      <c r="D4029" s="2">
        <f t="shared" si="4"/>
        <v>4650.47</v>
      </c>
      <c r="E4029" s="2">
        <f t="shared" si="5"/>
        <v>4650.47</v>
      </c>
      <c r="G4029" s="10">
        <f t="shared" si="9"/>
        <v>42011.64583</v>
      </c>
      <c r="H4029" s="6" t="str">
        <f t="shared" si="6"/>
        <v/>
      </c>
      <c r="I4029" s="2">
        <f t="shared" si="7"/>
        <v>1426.89</v>
      </c>
      <c r="M4029" s="10">
        <f>IFERROR(__xludf.DUMMYFUNCTION("""COMPUTED_VALUE"""),43823.54166666667)</f>
        <v>43823.54167</v>
      </c>
      <c r="N4029" s="2">
        <f>IFERROR(__xludf.DUMMYFUNCTION("""COMPUTED_VALUE"""),8952.88)</f>
        <v>8952.88</v>
      </c>
      <c r="P4029" s="10">
        <f t="shared" si="10"/>
        <v>38168.64583</v>
      </c>
      <c r="Q4029" s="13">
        <v>785.79</v>
      </c>
      <c r="R4029" s="18">
        <v>38168.0</v>
      </c>
    </row>
    <row r="4030">
      <c r="A4030" s="10">
        <f t="shared" si="8"/>
        <v>42012.66667</v>
      </c>
      <c r="B4030" s="2" t="str">
        <f t="shared" si="2"/>
        <v/>
      </c>
      <c r="C4030" s="2" t="str">
        <f t="shared" si="3"/>
        <v>SP500</v>
      </c>
      <c r="D4030" s="2">
        <f t="shared" si="4"/>
        <v>4736.19</v>
      </c>
      <c r="E4030" s="2">
        <f t="shared" si="5"/>
        <v>4736.19</v>
      </c>
      <c r="G4030" s="10">
        <f t="shared" si="9"/>
        <v>42012.64583</v>
      </c>
      <c r="H4030" s="6" t="str">
        <f t="shared" si="6"/>
        <v/>
      </c>
      <c r="I4030" s="2">
        <f t="shared" si="7"/>
        <v>1426.89</v>
      </c>
      <c r="M4030" s="10">
        <f>IFERROR(__xludf.DUMMYFUNCTION("""COMPUTED_VALUE"""),43825.66666666667)</f>
        <v>43825.66667</v>
      </c>
      <c r="N4030" s="2">
        <f>IFERROR(__xludf.DUMMYFUNCTION("""COMPUTED_VALUE"""),9022.39)</f>
        <v>9022.39</v>
      </c>
      <c r="P4030" s="10">
        <f t="shared" si="10"/>
        <v>38167.64583</v>
      </c>
      <c r="Q4030" s="13">
        <v>778.72</v>
      </c>
      <c r="R4030" s="18">
        <v>38167.0</v>
      </c>
    </row>
    <row r="4031">
      <c r="A4031" s="10">
        <f t="shared" si="8"/>
        <v>42013.66667</v>
      </c>
      <c r="B4031" s="2" t="str">
        <f t="shared" si="2"/>
        <v/>
      </c>
      <c r="C4031" s="2" t="str">
        <f t="shared" si="3"/>
        <v>SP500</v>
      </c>
      <c r="D4031" s="2">
        <f t="shared" si="4"/>
        <v>4704.07</v>
      </c>
      <c r="E4031" s="2">
        <f t="shared" si="5"/>
        <v>4704.07</v>
      </c>
      <c r="G4031" s="10">
        <f t="shared" si="9"/>
        <v>42013.64583</v>
      </c>
      <c r="H4031" s="6" t="str">
        <f t="shared" si="6"/>
        <v/>
      </c>
      <c r="I4031" s="2">
        <f t="shared" si="7"/>
        <v>1426.89</v>
      </c>
      <c r="M4031" s="10">
        <f>IFERROR(__xludf.DUMMYFUNCTION("""COMPUTED_VALUE"""),43826.66666666667)</f>
        <v>43826.66667</v>
      </c>
      <c r="N4031" s="2">
        <f>IFERROR(__xludf.DUMMYFUNCTION("""COMPUTED_VALUE"""),9006.62)</f>
        <v>9006.62</v>
      </c>
      <c r="P4031" s="10">
        <f t="shared" si="10"/>
        <v>38166.64583</v>
      </c>
      <c r="Q4031" s="13">
        <v>770.95</v>
      </c>
      <c r="R4031" s="18">
        <v>38166.0</v>
      </c>
    </row>
    <row r="4032">
      <c r="A4032" s="10">
        <f t="shared" si="8"/>
        <v>42014.66667</v>
      </c>
      <c r="B4032" s="2" t="str">
        <f t="shared" si="2"/>
        <v/>
      </c>
      <c r="C4032" s="2" t="str">
        <f t="shared" si="3"/>
        <v>SP500</v>
      </c>
      <c r="D4032" s="2" t="str">
        <f t="shared" si="4"/>
        <v/>
      </c>
      <c r="E4032" s="2">
        <f t="shared" si="5"/>
        <v>4704.07</v>
      </c>
      <c r="G4032" s="10">
        <f t="shared" si="9"/>
        <v>42014.64583</v>
      </c>
      <c r="H4032" s="6" t="str">
        <f t="shared" si="6"/>
        <v/>
      </c>
      <c r="I4032" s="2">
        <f t="shared" si="7"/>
        <v>1426.89</v>
      </c>
      <c r="M4032" s="10">
        <f>IFERROR(__xludf.DUMMYFUNCTION("""COMPUTED_VALUE"""),43829.66666666667)</f>
        <v>43829.66667</v>
      </c>
      <c r="N4032" s="2">
        <f>IFERROR(__xludf.DUMMYFUNCTION("""COMPUTED_VALUE"""),8945.99)</f>
        <v>8945.99</v>
      </c>
      <c r="P4032" s="10">
        <f t="shared" si="10"/>
        <v>38163.64583</v>
      </c>
      <c r="Q4032" s="13">
        <v>779.03</v>
      </c>
      <c r="R4032" s="18">
        <v>38163.0</v>
      </c>
    </row>
    <row r="4033">
      <c r="A4033" s="10">
        <f t="shared" si="8"/>
        <v>42015.66667</v>
      </c>
      <c r="B4033" s="2" t="str">
        <f t="shared" si="2"/>
        <v/>
      </c>
      <c r="C4033" s="2" t="str">
        <f t="shared" si="3"/>
        <v>SP500</v>
      </c>
      <c r="D4033" s="2" t="str">
        <f t="shared" si="4"/>
        <v/>
      </c>
      <c r="E4033" s="2">
        <f t="shared" si="5"/>
        <v>4704.07</v>
      </c>
      <c r="G4033" s="10">
        <f t="shared" si="9"/>
        <v>42015.64583</v>
      </c>
      <c r="H4033" s="6" t="str">
        <f t="shared" si="6"/>
        <v/>
      </c>
      <c r="I4033" s="2">
        <f t="shared" si="7"/>
        <v>1426.89</v>
      </c>
      <c r="M4033" s="10">
        <f>IFERROR(__xludf.DUMMYFUNCTION("""COMPUTED_VALUE"""),43830.66666666667)</f>
        <v>43830.66667</v>
      </c>
      <c r="N4033" s="2">
        <f>IFERROR(__xludf.DUMMYFUNCTION("""COMPUTED_VALUE"""),8972.6)</f>
        <v>8972.6</v>
      </c>
      <c r="P4033" s="10">
        <f t="shared" si="10"/>
        <v>38162.64583</v>
      </c>
      <c r="Q4033" s="13">
        <v>763.13</v>
      </c>
      <c r="R4033" s="18">
        <v>38162.0</v>
      </c>
    </row>
    <row r="4034">
      <c r="A4034" s="10">
        <f t="shared" si="8"/>
        <v>42016.66667</v>
      </c>
      <c r="B4034" s="2" t="str">
        <f t="shared" si="2"/>
        <v/>
      </c>
      <c r="C4034" s="2" t="str">
        <f t="shared" si="3"/>
        <v>SP500</v>
      </c>
      <c r="D4034" s="2">
        <f t="shared" si="4"/>
        <v>4664.71</v>
      </c>
      <c r="E4034" s="2">
        <f t="shared" si="5"/>
        <v>4664.71</v>
      </c>
      <c r="G4034" s="10">
        <f t="shared" si="9"/>
        <v>42016.64583</v>
      </c>
      <c r="H4034" s="6" t="str">
        <f t="shared" si="6"/>
        <v/>
      </c>
      <c r="I4034" s="2">
        <f t="shared" si="7"/>
        <v>1426.89</v>
      </c>
      <c r="M4034" s="10">
        <f>IFERROR(__xludf.DUMMYFUNCTION("""COMPUTED_VALUE"""),43832.66666666667)</f>
        <v>43832.66667</v>
      </c>
      <c r="N4034" s="2">
        <f>IFERROR(__xludf.DUMMYFUNCTION("""COMPUTED_VALUE"""),9092.19)</f>
        <v>9092.19</v>
      </c>
      <c r="P4034" s="10">
        <f t="shared" si="10"/>
        <v>38161.64583</v>
      </c>
      <c r="Q4034" s="13">
        <v>738.93</v>
      </c>
      <c r="R4034" s="18">
        <v>38161.0</v>
      </c>
    </row>
    <row r="4035">
      <c r="A4035" s="10">
        <f t="shared" si="8"/>
        <v>42017.66667</v>
      </c>
      <c r="B4035" s="2" t="str">
        <f t="shared" si="2"/>
        <v/>
      </c>
      <c r="C4035" s="2" t="str">
        <f t="shared" si="3"/>
        <v>SP500</v>
      </c>
      <c r="D4035" s="2">
        <f t="shared" si="4"/>
        <v>4661.5</v>
      </c>
      <c r="E4035" s="2">
        <f t="shared" si="5"/>
        <v>4661.5</v>
      </c>
      <c r="G4035" s="10">
        <f t="shared" si="9"/>
        <v>42017.64583</v>
      </c>
      <c r="H4035" s="6" t="str">
        <f t="shared" si="6"/>
        <v/>
      </c>
      <c r="I4035" s="2">
        <f t="shared" si="7"/>
        <v>1426.89</v>
      </c>
      <c r="M4035" s="10">
        <f>IFERROR(__xludf.DUMMYFUNCTION("""COMPUTED_VALUE"""),43833.66666666667)</f>
        <v>43833.66667</v>
      </c>
      <c r="N4035" s="2">
        <f>IFERROR(__xludf.DUMMYFUNCTION("""COMPUTED_VALUE"""),9020.77)</f>
        <v>9020.77</v>
      </c>
      <c r="P4035" s="10">
        <f t="shared" si="10"/>
        <v>38160.64583</v>
      </c>
      <c r="Q4035" s="13">
        <v>746.48</v>
      </c>
      <c r="R4035" s="18">
        <v>38160.0</v>
      </c>
    </row>
    <row r="4036">
      <c r="A4036" s="10">
        <f t="shared" si="8"/>
        <v>42018.66667</v>
      </c>
      <c r="B4036" s="2" t="str">
        <f t="shared" si="2"/>
        <v/>
      </c>
      <c r="C4036" s="2" t="str">
        <f t="shared" si="3"/>
        <v>SP500</v>
      </c>
      <c r="D4036" s="2">
        <f t="shared" si="4"/>
        <v>4639.32</v>
      </c>
      <c r="E4036" s="2">
        <f t="shared" si="5"/>
        <v>4639.32</v>
      </c>
      <c r="G4036" s="10">
        <f t="shared" si="9"/>
        <v>42018.64583</v>
      </c>
      <c r="H4036" s="6" t="str">
        <f t="shared" si="6"/>
        <v/>
      </c>
      <c r="I4036" s="2">
        <f t="shared" si="7"/>
        <v>1426.89</v>
      </c>
      <c r="M4036" s="10">
        <f>IFERROR(__xludf.DUMMYFUNCTION("""COMPUTED_VALUE"""),43836.66666666667)</f>
        <v>43836.66667</v>
      </c>
      <c r="N4036" s="2">
        <f>IFERROR(__xludf.DUMMYFUNCTION("""COMPUTED_VALUE"""),9071.47)</f>
        <v>9071.47</v>
      </c>
      <c r="P4036" s="10">
        <f t="shared" si="10"/>
        <v>38159.64583</v>
      </c>
      <c r="Q4036" s="13">
        <v>749.3</v>
      </c>
      <c r="R4036" s="18">
        <v>38159.0</v>
      </c>
    </row>
    <row r="4037">
      <c r="A4037" s="10">
        <f t="shared" si="8"/>
        <v>42019.66667</v>
      </c>
      <c r="B4037" s="2" t="str">
        <f t="shared" si="2"/>
        <v/>
      </c>
      <c r="C4037" s="2" t="str">
        <f t="shared" si="3"/>
        <v>SP500</v>
      </c>
      <c r="D4037" s="2">
        <f t="shared" si="4"/>
        <v>4570.82</v>
      </c>
      <c r="E4037" s="2">
        <f t="shared" si="5"/>
        <v>4570.82</v>
      </c>
      <c r="G4037" s="10">
        <f t="shared" si="9"/>
        <v>42019.64583</v>
      </c>
      <c r="H4037" s="6" t="str">
        <f t="shared" si="6"/>
        <v/>
      </c>
      <c r="I4037" s="2">
        <f t="shared" si="7"/>
        <v>1426.89</v>
      </c>
      <c r="M4037" s="10">
        <f>IFERROR(__xludf.DUMMYFUNCTION("""COMPUTED_VALUE"""),43837.66666666667)</f>
        <v>43837.66667</v>
      </c>
      <c r="N4037" s="2">
        <f>IFERROR(__xludf.DUMMYFUNCTION("""COMPUTED_VALUE"""),9068.58)</f>
        <v>9068.58</v>
      </c>
      <c r="P4037" s="10">
        <f t="shared" si="10"/>
        <v>38156.64583</v>
      </c>
      <c r="Q4037" s="13">
        <v>741.73</v>
      </c>
      <c r="R4037" s="18">
        <v>38156.0</v>
      </c>
    </row>
    <row r="4038">
      <c r="A4038" s="10">
        <f t="shared" si="8"/>
        <v>42020.66667</v>
      </c>
      <c r="B4038" s="2" t="str">
        <f t="shared" si="2"/>
        <v/>
      </c>
      <c r="C4038" s="2" t="str">
        <f t="shared" si="3"/>
        <v>SP500</v>
      </c>
      <c r="D4038" s="2">
        <f t="shared" si="4"/>
        <v>4634.38</v>
      </c>
      <c r="E4038" s="2">
        <f t="shared" si="5"/>
        <v>4634.38</v>
      </c>
      <c r="G4038" s="10">
        <f t="shared" si="9"/>
        <v>42020.64583</v>
      </c>
      <c r="H4038" s="6" t="str">
        <f t="shared" si="6"/>
        <v/>
      </c>
      <c r="I4038" s="2">
        <f t="shared" si="7"/>
        <v>1426.89</v>
      </c>
      <c r="M4038" s="10">
        <f>IFERROR(__xludf.DUMMYFUNCTION("""COMPUTED_VALUE"""),43838.66666666667)</f>
        <v>43838.66667</v>
      </c>
      <c r="N4038" s="2">
        <f>IFERROR(__xludf.DUMMYFUNCTION("""COMPUTED_VALUE"""),9129.24)</f>
        <v>9129.24</v>
      </c>
      <c r="P4038" s="10">
        <f t="shared" si="10"/>
        <v>38155.64583</v>
      </c>
      <c r="Q4038" s="13">
        <v>760.09</v>
      </c>
      <c r="R4038" s="18">
        <v>38155.0</v>
      </c>
    </row>
    <row r="4039">
      <c r="A4039" s="10">
        <f t="shared" si="8"/>
        <v>42021.66667</v>
      </c>
      <c r="B4039" s="2" t="str">
        <f t="shared" si="2"/>
        <v/>
      </c>
      <c r="C4039" s="2" t="str">
        <f t="shared" si="3"/>
        <v>SP500</v>
      </c>
      <c r="D4039" s="2" t="str">
        <f t="shared" si="4"/>
        <v/>
      </c>
      <c r="E4039" s="2">
        <f t="shared" si="5"/>
        <v>4634.38</v>
      </c>
      <c r="G4039" s="10">
        <f t="shared" si="9"/>
        <v>42021.64583</v>
      </c>
      <c r="H4039" s="6" t="str">
        <f t="shared" si="6"/>
        <v/>
      </c>
      <c r="I4039" s="2">
        <f t="shared" si="7"/>
        <v>1426.89</v>
      </c>
      <c r="M4039" s="10">
        <f>IFERROR(__xludf.DUMMYFUNCTION("""COMPUTED_VALUE"""),43839.66666666667)</f>
        <v>43839.66667</v>
      </c>
      <c r="N4039" s="2">
        <f>IFERROR(__xludf.DUMMYFUNCTION("""COMPUTED_VALUE"""),9203.43)</f>
        <v>9203.43</v>
      </c>
      <c r="P4039" s="10">
        <f t="shared" si="10"/>
        <v>38154.64583</v>
      </c>
      <c r="Q4039" s="13">
        <v>752.34</v>
      </c>
      <c r="R4039" s="18">
        <v>38154.0</v>
      </c>
    </row>
    <row r="4040">
      <c r="A4040" s="10">
        <f t="shared" si="8"/>
        <v>42022.66667</v>
      </c>
      <c r="B4040" s="2" t="str">
        <f t="shared" si="2"/>
        <v/>
      </c>
      <c r="C4040" s="2" t="str">
        <f t="shared" si="3"/>
        <v>SP500</v>
      </c>
      <c r="D4040" s="2" t="str">
        <f t="shared" si="4"/>
        <v/>
      </c>
      <c r="E4040" s="2">
        <f t="shared" si="5"/>
        <v>4634.38</v>
      </c>
      <c r="G4040" s="10">
        <f t="shared" si="9"/>
        <v>42022.64583</v>
      </c>
      <c r="H4040" s="6" t="str">
        <f t="shared" si="6"/>
        <v/>
      </c>
      <c r="I4040" s="2">
        <f t="shared" si="7"/>
        <v>1426.89</v>
      </c>
      <c r="M4040" s="10">
        <f>IFERROR(__xludf.DUMMYFUNCTION("""COMPUTED_VALUE"""),43840.66666666667)</f>
        <v>43840.66667</v>
      </c>
      <c r="N4040" s="2">
        <f>IFERROR(__xludf.DUMMYFUNCTION("""COMPUTED_VALUE"""),9178.86)</f>
        <v>9178.86</v>
      </c>
      <c r="P4040" s="10">
        <f t="shared" si="10"/>
        <v>38153.64583</v>
      </c>
      <c r="Q4040" s="13">
        <v>752.1</v>
      </c>
      <c r="R4040" s="18">
        <v>38153.0</v>
      </c>
    </row>
    <row r="4041">
      <c r="A4041" s="10">
        <f t="shared" si="8"/>
        <v>42023.66667</v>
      </c>
      <c r="B4041" s="2" t="str">
        <f t="shared" si="2"/>
        <v/>
      </c>
      <c r="C4041" s="2" t="str">
        <f t="shared" si="3"/>
        <v>SP500</v>
      </c>
      <c r="D4041" s="2" t="str">
        <f t="shared" si="4"/>
        <v/>
      </c>
      <c r="E4041" s="2">
        <f t="shared" si="5"/>
        <v>4634.38</v>
      </c>
      <c r="G4041" s="10">
        <f t="shared" si="9"/>
        <v>42023.64583</v>
      </c>
      <c r="H4041" s="6" t="str">
        <f t="shared" si="6"/>
        <v/>
      </c>
      <c r="I4041" s="2">
        <f t="shared" si="7"/>
        <v>1426.89</v>
      </c>
      <c r="M4041" s="10">
        <f>IFERROR(__xludf.DUMMYFUNCTION("""COMPUTED_VALUE"""),43843.66666666667)</f>
        <v>43843.66667</v>
      </c>
      <c r="N4041" s="2">
        <f>IFERROR(__xludf.DUMMYFUNCTION("""COMPUTED_VALUE"""),9273.93)</f>
        <v>9273.93</v>
      </c>
      <c r="P4041" s="10">
        <f t="shared" si="10"/>
        <v>38152.64583</v>
      </c>
      <c r="Q4041" s="13">
        <v>738.79</v>
      </c>
      <c r="R4041" s="18">
        <v>38152.0</v>
      </c>
    </row>
    <row r="4042">
      <c r="A4042" s="10">
        <f t="shared" si="8"/>
        <v>42024.66667</v>
      </c>
      <c r="B4042" s="2" t="str">
        <f t="shared" si="2"/>
        <v/>
      </c>
      <c r="C4042" s="2" t="str">
        <f t="shared" si="3"/>
        <v>SP500</v>
      </c>
      <c r="D4042" s="2">
        <f t="shared" si="4"/>
        <v>4654.85</v>
      </c>
      <c r="E4042" s="2">
        <f t="shared" si="5"/>
        <v>4654.85</v>
      </c>
      <c r="G4042" s="10">
        <f t="shared" si="9"/>
        <v>42024.64583</v>
      </c>
      <c r="H4042" s="6" t="str">
        <f t="shared" si="6"/>
        <v/>
      </c>
      <c r="I4042" s="2">
        <f t="shared" si="7"/>
        <v>1426.89</v>
      </c>
      <c r="M4042" s="10">
        <f>IFERROR(__xludf.DUMMYFUNCTION("""COMPUTED_VALUE"""),43844.66666666667)</f>
        <v>43844.66667</v>
      </c>
      <c r="N4042" s="2">
        <f>IFERROR(__xludf.DUMMYFUNCTION("""COMPUTED_VALUE"""),9251.33)</f>
        <v>9251.33</v>
      </c>
      <c r="P4042" s="10">
        <f t="shared" si="10"/>
        <v>38149.64583</v>
      </c>
      <c r="Q4042" s="13">
        <v>751.53</v>
      </c>
      <c r="R4042" s="18">
        <v>38149.0</v>
      </c>
    </row>
    <row r="4043">
      <c r="A4043" s="10">
        <f t="shared" si="8"/>
        <v>42025.66667</v>
      </c>
      <c r="B4043" s="2" t="str">
        <f t="shared" si="2"/>
        <v/>
      </c>
      <c r="C4043" s="2" t="str">
        <f t="shared" si="3"/>
        <v>SP500</v>
      </c>
      <c r="D4043" s="2">
        <f t="shared" si="4"/>
        <v>4667.42</v>
      </c>
      <c r="E4043" s="2">
        <f t="shared" si="5"/>
        <v>4667.42</v>
      </c>
      <c r="G4043" s="10">
        <f t="shared" si="9"/>
        <v>42025.64583</v>
      </c>
      <c r="H4043" s="6" t="str">
        <f t="shared" si="6"/>
        <v/>
      </c>
      <c r="I4043" s="2">
        <f t="shared" si="7"/>
        <v>1426.89</v>
      </c>
      <c r="M4043" s="10">
        <f>IFERROR(__xludf.DUMMYFUNCTION("""COMPUTED_VALUE"""),43845.66666666667)</f>
        <v>43845.66667</v>
      </c>
      <c r="N4043" s="2">
        <f>IFERROR(__xludf.DUMMYFUNCTION("""COMPUTED_VALUE"""),9258.7)</f>
        <v>9258.7</v>
      </c>
      <c r="P4043" s="10">
        <f t="shared" si="10"/>
        <v>38148.64583</v>
      </c>
      <c r="Q4043" s="13">
        <v>782.3</v>
      </c>
      <c r="R4043" s="18">
        <v>38148.0</v>
      </c>
    </row>
    <row r="4044">
      <c r="A4044" s="10">
        <f t="shared" si="8"/>
        <v>42026.66667</v>
      </c>
      <c r="B4044" s="2" t="str">
        <f t="shared" si="2"/>
        <v/>
      </c>
      <c r="C4044" s="2" t="str">
        <f t="shared" si="3"/>
        <v>SP500</v>
      </c>
      <c r="D4044" s="2">
        <f t="shared" si="4"/>
        <v>4750.4</v>
      </c>
      <c r="E4044" s="2">
        <f t="shared" si="5"/>
        <v>4750.4</v>
      </c>
      <c r="G4044" s="10">
        <f t="shared" si="9"/>
        <v>42026.64583</v>
      </c>
      <c r="H4044" s="6" t="str">
        <f t="shared" si="6"/>
        <v/>
      </c>
      <c r="I4044" s="2">
        <f t="shared" si="7"/>
        <v>1426.89</v>
      </c>
      <c r="M4044" s="10">
        <f>IFERROR(__xludf.DUMMYFUNCTION("""COMPUTED_VALUE"""),43846.66666666667)</f>
        <v>43846.66667</v>
      </c>
      <c r="N4044" s="2">
        <f>IFERROR(__xludf.DUMMYFUNCTION("""COMPUTED_VALUE"""),9357.13)</f>
        <v>9357.13</v>
      </c>
      <c r="P4044" s="10">
        <f t="shared" si="10"/>
        <v>38147.64583</v>
      </c>
      <c r="Q4044" s="13">
        <v>794.53</v>
      </c>
      <c r="R4044" s="18">
        <v>38147.0</v>
      </c>
    </row>
    <row r="4045">
      <c r="A4045" s="10">
        <f t="shared" si="8"/>
        <v>42027.66667</v>
      </c>
      <c r="B4045" s="2" t="str">
        <f t="shared" si="2"/>
        <v/>
      </c>
      <c r="C4045" s="2" t="str">
        <f t="shared" si="3"/>
        <v>SP500</v>
      </c>
      <c r="D4045" s="2">
        <f t="shared" si="4"/>
        <v>4757.88</v>
      </c>
      <c r="E4045" s="2">
        <f t="shared" si="5"/>
        <v>4757.88</v>
      </c>
      <c r="G4045" s="10">
        <f t="shared" si="9"/>
        <v>42027.64583</v>
      </c>
      <c r="H4045" s="6" t="str">
        <f t="shared" si="6"/>
        <v/>
      </c>
      <c r="I4045" s="2">
        <f t="shared" si="7"/>
        <v>1426.89</v>
      </c>
      <c r="M4045" s="10">
        <f>IFERROR(__xludf.DUMMYFUNCTION("""COMPUTED_VALUE"""),43847.66666666667)</f>
        <v>43847.66667</v>
      </c>
      <c r="N4045" s="2">
        <f>IFERROR(__xludf.DUMMYFUNCTION("""COMPUTED_VALUE"""),9388.94)</f>
        <v>9388.94</v>
      </c>
      <c r="P4045" s="10">
        <f t="shared" si="10"/>
        <v>38146.64583</v>
      </c>
      <c r="Q4045" s="13">
        <v>809.31</v>
      </c>
      <c r="R4045" s="18">
        <v>38146.0</v>
      </c>
    </row>
    <row r="4046">
      <c r="A4046" s="10">
        <f t="shared" si="8"/>
        <v>42028.66667</v>
      </c>
      <c r="B4046" s="2" t="str">
        <f t="shared" si="2"/>
        <v/>
      </c>
      <c r="C4046" s="2" t="str">
        <f t="shared" si="3"/>
        <v>SP500</v>
      </c>
      <c r="D4046" s="2" t="str">
        <f t="shared" si="4"/>
        <v/>
      </c>
      <c r="E4046" s="2">
        <f t="shared" si="5"/>
        <v>4757.88</v>
      </c>
      <c r="G4046" s="10">
        <f t="shared" si="9"/>
        <v>42028.64583</v>
      </c>
      <c r="H4046" s="6" t="str">
        <f t="shared" si="6"/>
        <v/>
      </c>
      <c r="I4046" s="2">
        <f t="shared" si="7"/>
        <v>1426.89</v>
      </c>
      <c r="M4046" s="10">
        <f>IFERROR(__xludf.DUMMYFUNCTION("""COMPUTED_VALUE"""),43851.66666666667)</f>
        <v>43851.66667</v>
      </c>
      <c r="N4046" s="2">
        <f>IFERROR(__xludf.DUMMYFUNCTION("""COMPUTED_VALUE"""),9370.81)</f>
        <v>9370.81</v>
      </c>
      <c r="P4046" s="10">
        <f t="shared" si="10"/>
        <v>38145.64583</v>
      </c>
      <c r="Q4046" s="13">
        <v>809.45</v>
      </c>
      <c r="R4046" s="18">
        <v>38145.0</v>
      </c>
    </row>
    <row r="4047">
      <c r="A4047" s="10">
        <f t="shared" si="8"/>
        <v>42029.66667</v>
      </c>
      <c r="B4047" s="2" t="str">
        <f t="shared" si="2"/>
        <v/>
      </c>
      <c r="C4047" s="2" t="str">
        <f t="shared" si="3"/>
        <v>SP500</v>
      </c>
      <c r="D4047" s="2" t="str">
        <f t="shared" si="4"/>
        <v/>
      </c>
      <c r="E4047" s="2">
        <f t="shared" si="5"/>
        <v>4757.88</v>
      </c>
      <c r="G4047" s="10">
        <f t="shared" si="9"/>
        <v>42029.64583</v>
      </c>
      <c r="H4047" s="6" t="str">
        <f t="shared" si="6"/>
        <v/>
      </c>
      <c r="I4047" s="2">
        <f t="shared" si="7"/>
        <v>1426.89</v>
      </c>
      <c r="M4047" s="10">
        <f>IFERROR(__xludf.DUMMYFUNCTION("""COMPUTED_VALUE"""),43852.66666666667)</f>
        <v>43852.66667</v>
      </c>
      <c r="N4047" s="2">
        <f>IFERROR(__xludf.DUMMYFUNCTION("""COMPUTED_VALUE"""),9383.77)</f>
        <v>9383.77</v>
      </c>
      <c r="P4047" s="10">
        <f t="shared" si="10"/>
        <v>38142.64583</v>
      </c>
      <c r="Q4047" s="13">
        <v>780.74</v>
      </c>
      <c r="R4047" s="18">
        <v>38142.0</v>
      </c>
    </row>
    <row r="4048">
      <c r="A4048" s="10">
        <f t="shared" si="8"/>
        <v>42030.66667</v>
      </c>
      <c r="B4048" s="2" t="str">
        <f t="shared" si="2"/>
        <v/>
      </c>
      <c r="C4048" s="2" t="str">
        <f t="shared" si="3"/>
        <v>SP500</v>
      </c>
      <c r="D4048" s="2">
        <f t="shared" si="4"/>
        <v>4771.76</v>
      </c>
      <c r="E4048" s="2">
        <f t="shared" si="5"/>
        <v>4771.76</v>
      </c>
      <c r="G4048" s="10">
        <f t="shared" si="9"/>
        <v>42030.64583</v>
      </c>
      <c r="H4048" s="6" t="str">
        <f t="shared" si="6"/>
        <v/>
      </c>
      <c r="I4048" s="2">
        <f t="shared" si="7"/>
        <v>1426.89</v>
      </c>
      <c r="M4048" s="10">
        <f>IFERROR(__xludf.DUMMYFUNCTION("""COMPUTED_VALUE"""),43853.66666666667)</f>
        <v>43853.66667</v>
      </c>
      <c r="N4048" s="2">
        <f>IFERROR(__xludf.DUMMYFUNCTION("""COMPUTED_VALUE"""),9402.48)</f>
        <v>9402.48</v>
      </c>
      <c r="P4048" s="10">
        <f t="shared" si="10"/>
        <v>38141.64583</v>
      </c>
      <c r="Q4048" s="13">
        <v>770.06</v>
      </c>
      <c r="R4048" s="18">
        <v>38141.0</v>
      </c>
    </row>
    <row r="4049">
      <c r="A4049" s="10">
        <f t="shared" si="8"/>
        <v>42031.66667</v>
      </c>
      <c r="B4049" s="2" t="str">
        <f t="shared" si="2"/>
        <v/>
      </c>
      <c r="C4049" s="2" t="str">
        <f t="shared" si="3"/>
        <v>SP500</v>
      </c>
      <c r="D4049" s="2">
        <f t="shared" si="4"/>
        <v>4681.5</v>
      </c>
      <c r="E4049" s="2">
        <f t="shared" si="5"/>
        <v>4681.5</v>
      </c>
      <c r="G4049" s="10">
        <f t="shared" si="9"/>
        <v>42031.64583</v>
      </c>
      <c r="H4049" s="6" t="str">
        <f t="shared" si="6"/>
        <v/>
      </c>
      <c r="I4049" s="2">
        <f t="shared" si="7"/>
        <v>1426.89</v>
      </c>
      <c r="M4049" s="10">
        <f>IFERROR(__xludf.DUMMYFUNCTION("""COMPUTED_VALUE"""),43854.66666666667)</f>
        <v>43854.66667</v>
      </c>
      <c r="N4049" s="2">
        <f>IFERROR(__xludf.DUMMYFUNCTION("""COMPUTED_VALUE"""),9314.91)</f>
        <v>9314.91</v>
      </c>
      <c r="P4049" s="10">
        <f t="shared" si="10"/>
        <v>38140.64583</v>
      </c>
      <c r="Q4049" s="13">
        <v>804.39</v>
      </c>
      <c r="R4049" s="18">
        <v>38140.0</v>
      </c>
    </row>
    <row r="4050">
      <c r="A4050" s="10">
        <f t="shared" si="8"/>
        <v>42032.66667</v>
      </c>
      <c r="B4050" s="2" t="str">
        <f t="shared" si="2"/>
        <v/>
      </c>
      <c r="C4050" s="2" t="str">
        <f t="shared" si="3"/>
        <v>SP500</v>
      </c>
      <c r="D4050" s="2">
        <f t="shared" si="4"/>
        <v>4637.99</v>
      </c>
      <c r="E4050" s="2">
        <f t="shared" si="5"/>
        <v>4637.99</v>
      </c>
      <c r="G4050" s="10">
        <f t="shared" si="9"/>
        <v>42032.64583</v>
      </c>
      <c r="H4050" s="6" t="str">
        <f t="shared" si="6"/>
        <v/>
      </c>
      <c r="I4050" s="2">
        <f t="shared" si="7"/>
        <v>1426.89</v>
      </c>
      <c r="M4050" s="10">
        <f>IFERROR(__xludf.DUMMYFUNCTION("""COMPUTED_VALUE"""),43857.66666666667)</f>
        <v>43857.66667</v>
      </c>
      <c r="N4050" s="2">
        <f>IFERROR(__xludf.DUMMYFUNCTION("""COMPUTED_VALUE"""),9139.31)</f>
        <v>9139.31</v>
      </c>
      <c r="P4050" s="10">
        <f t="shared" si="10"/>
        <v>38139.64583</v>
      </c>
      <c r="Q4050" s="13">
        <v>815.77</v>
      </c>
      <c r="R4050" s="18">
        <v>38139.0</v>
      </c>
    </row>
    <row r="4051">
      <c r="A4051" s="10">
        <f t="shared" si="8"/>
        <v>42033.66667</v>
      </c>
      <c r="B4051" s="2" t="str">
        <f t="shared" si="2"/>
        <v/>
      </c>
      <c r="C4051" s="2" t="str">
        <f t="shared" si="3"/>
        <v>SP500</v>
      </c>
      <c r="D4051" s="2">
        <f t="shared" si="4"/>
        <v>4683.41</v>
      </c>
      <c r="E4051" s="2">
        <f t="shared" si="5"/>
        <v>4683.41</v>
      </c>
      <c r="G4051" s="10">
        <f t="shared" si="9"/>
        <v>42033.64583</v>
      </c>
      <c r="H4051" s="6" t="str">
        <f t="shared" si="6"/>
        <v/>
      </c>
      <c r="I4051" s="2">
        <f t="shared" si="7"/>
        <v>1426.89</v>
      </c>
      <c r="M4051" s="10">
        <f>IFERROR(__xludf.DUMMYFUNCTION("""COMPUTED_VALUE"""),43858.66666666667)</f>
        <v>43858.66667</v>
      </c>
      <c r="N4051" s="2">
        <f>IFERROR(__xludf.DUMMYFUNCTION("""COMPUTED_VALUE"""),9269.68)</f>
        <v>9269.68</v>
      </c>
      <c r="P4051" s="10">
        <f t="shared" si="10"/>
        <v>38138.64583</v>
      </c>
      <c r="Q4051" s="13">
        <v>803.84</v>
      </c>
      <c r="R4051" s="18">
        <v>38138.0</v>
      </c>
    </row>
    <row r="4052">
      <c r="A4052" s="10">
        <f t="shared" si="8"/>
        <v>42034.66667</v>
      </c>
      <c r="B4052" s="2" t="str">
        <f t="shared" si="2"/>
        <v/>
      </c>
      <c r="C4052" s="2" t="str">
        <f t="shared" si="3"/>
        <v>SP500</v>
      </c>
      <c r="D4052" s="2">
        <f t="shared" si="4"/>
        <v>4635.24</v>
      </c>
      <c r="E4052" s="2">
        <f t="shared" si="5"/>
        <v>4635.24</v>
      </c>
      <c r="G4052" s="10">
        <f t="shared" si="9"/>
        <v>42034.64583</v>
      </c>
      <c r="H4052" s="6" t="str">
        <f t="shared" si="6"/>
        <v/>
      </c>
      <c r="I4052" s="2">
        <f t="shared" si="7"/>
        <v>1426.89</v>
      </c>
      <c r="M4052" s="10">
        <f>IFERROR(__xludf.DUMMYFUNCTION("""COMPUTED_VALUE"""),43859.66666666667)</f>
        <v>43859.66667</v>
      </c>
      <c r="N4052" s="2">
        <f>IFERROR(__xludf.DUMMYFUNCTION("""COMPUTED_VALUE"""),9275.16)</f>
        <v>9275.16</v>
      </c>
      <c r="P4052" s="10">
        <f t="shared" si="10"/>
        <v>38135.64583</v>
      </c>
      <c r="Q4052" s="13">
        <v>816.51</v>
      </c>
      <c r="R4052" s="18">
        <v>38135.0</v>
      </c>
    </row>
    <row r="4053">
      <c r="A4053" s="10">
        <f t="shared" si="8"/>
        <v>42035.66667</v>
      </c>
      <c r="B4053" s="2" t="str">
        <f t="shared" si="2"/>
        <v/>
      </c>
      <c r="C4053" s="2" t="str">
        <f t="shared" si="3"/>
        <v>SP500</v>
      </c>
      <c r="D4053" s="2" t="str">
        <f t="shared" si="4"/>
        <v/>
      </c>
      <c r="E4053" s="2">
        <f t="shared" si="5"/>
        <v>4635.24</v>
      </c>
      <c r="G4053" s="10">
        <f t="shared" si="9"/>
        <v>42035.64583</v>
      </c>
      <c r="H4053" s="6" t="str">
        <f t="shared" si="6"/>
        <v/>
      </c>
      <c r="I4053" s="2">
        <f t="shared" si="7"/>
        <v>1426.89</v>
      </c>
      <c r="M4053" s="10">
        <f>IFERROR(__xludf.DUMMYFUNCTION("""COMPUTED_VALUE"""),43860.66666666667)</f>
        <v>43860.66667</v>
      </c>
      <c r="N4053" s="2">
        <f>IFERROR(__xludf.DUMMYFUNCTION("""COMPUTED_VALUE"""),9298.93)</f>
        <v>9298.93</v>
      </c>
      <c r="P4053" s="10">
        <f t="shared" si="10"/>
        <v>38134.64583</v>
      </c>
      <c r="Q4053" s="13">
        <v>802.46</v>
      </c>
      <c r="R4053" s="18">
        <v>38134.0</v>
      </c>
    </row>
    <row r="4054">
      <c r="A4054" s="10">
        <f t="shared" si="8"/>
        <v>42036.66667</v>
      </c>
      <c r="B4054" s="2" t="str">
        <f t="shared" si="2"/>
        <v/>
      </c>
      <c r="C4054" s="2" t="str">
        <f t="shared" si="3"/>
        <v>SP500</v>
      </c>
      <c r="D4054" s="2" t="str">
        <f t="shared" si="4"/>
        <v/>
      </c>
      <c r="E4054" s="2">
        <f t="shared" si="5"/>
        <v>4635.24</v>
      </c>
      <c r="G4054" s="10">
        <f t="shared" si="9"/>
        <v>42036.64583</v>
      </c>
      <c r="H4054" s="6" t="str">
        <f t="shared" si="6"/>
        <v/>
      </c>
      <c r="I4054" s="2">
        <f t="shared" si="7"/>
        <v>1426.89</v>
      </c>
      <c r="M4054" s="10">
        <f>IFERROR(__xludf.DUMMYFUNCTION("""COMPUTED_VALUE"""),43861.66666666667)</f>
        <v>43861.66667</v>
      </c>
      <c r="N4054" s="2">
        <f>IFERROR(__xludf.DUMMYFUNCTION("""COMPUTED_VALUE"""),9150.94)</f>
        <v>9150.94</v>
      </c>
      <c r="P4054" s="10">
        <f t="shared" si="10"/>
        <v>38132.64583</v>
      </c>
      <c r="Q4054" s="13">
        <v>784.06</v>
      </c>
      <c r="R4054" s="18">
        <v>38132.0</v>
      </c>
    </row>
    <row r="4055">
      <c r="A4055" s="10">
        <f t="shared" si="8"/>
        <v>42037.66667</v>
      </c>
      <c r="B4055" s="2" t="str">
        <f t="shared" si="2"/>
        <v/>
      </c>
      <c r="C4055" s="2" t="str">
        <f t="shared" si="3"/>
        <v>SP500</v>
      </c>
      <c r="D4055" s="2">
        <f t="shared" si="4"/>
        <v>4676.69</v>
      </c>
      <c r="E4055" s="2">
        <f t="shared" si="5"/>
        <v>4676.69</v>
      </c>
      <c r="G4055" s="10">
        <f t="shared" si="9"/>
        <v>42037.64583</v>
      </c>
      <c r="H4055" s="6" t="str">
        <f t="shared" si="6"/>
        <v/>
      </c>
      <c r="I4055" s="2">
        <f t="shared" si="7"/>
        <v>1426.89</v>
      </c>
      <c r="M4055" s="10">
        <f>IFERROR(__xludf.DUMMYFUNCTION("""COMPUTED_VALUE"""),43864.66666666667)</f>
        <v>43864.66667</v>
      </c>
      <c r="N4055" s="2">
        <f>IFERROR(__xludf.DUMMYFUNCTION("""COMPUTED_VALUE"""),9273.4)</f>
        <v>9273.4</v>
      </c>
      <c r="P4055" s="10">
        <f t="shared" si="10"/>
        <v>38131.64583</v>
      </c>
      <c r="Q4055" s="13">
        <v>799.64</v>
      </c>
      <c r="R4055" s="18">
        <v>38131.0</v>
      </c>
    </row>
    <row r="4056">
      <c r="A4056" s="10">
        <f t="shared" si="8"/>
        <v>42038.66667</v>
      </c>
      <c r="B4056" s="2" t="str">
        <f t="shared" si="2"/>
        <v/>
      </c>
      <c r="C4056" s="2" t="str">
        <f t="shared" si="3"/>
        <v>SP500</v>
      </c>
      <c r="D4056" s="2">
        <f t="shared" si="4"/>
        <v>4727.74</v>
      </c>
      <c r="E4056" s="2">
        <f t="shared" si="5"/>
        <v>4727.74</v>
      </c>
      <c r="G4056" s="10">
        <f t="shared" si="9"/>
        <v>42038.64583</v>
      </c>
      <c r="H4056" s="6" t="str">
        <f t="shared" si="6"/>
        <v/>
      </c>
      <c r="I4056" s="2">
        <f t="shared" si="7"/>
        <v>1426.89</v>
      </c>
      <c r="M4056" s="10">
        <f>IFERROR(__xludf.DUMMYFUNCTION("""COMPUTED_VALUE"""),43865.66666666667)</f>
        <v>43865.66667</v>
      </c>
      <c r="N4056" s="2">
        <f>IFERROR(__xludf.DUMMYFUNCTION("""COMPUTED_VALUE"""),9467.97)</f>
        <v>9467.97</v>
      </c>
      <c r="P4056" s="10">
        <f t="shared" si="10"/>
        <v>38128.64583</v>
      </c>
      <c r="Q4056" s="13">
        <v>786.36</v>
      </c>
      <c r="R4056" s="18">
        <v>38128.0</v>
      </c>
    </row>
    <row r="4057">
      <c r="A4057" s="10">
        <f t="shared" si="8"/>
        <v>42039.66667</v>
      </c>
      <c r="B4057" s="2" t="str">
        <f t="shared" si="2"/>
        <v/>
      </c>
      <c r="C4057" s="2" t="str">
        <f t="shared" si="3"/>
        <v>SP500</v>
      </c>
      <c r="D4057" s="2">
        <f t="shared" si="4"/>
        <v>4716.7</v>
      </c>
      <c r="E4057" s="2">
        <f t="shared" si="5"/>
        <v>4716.7</v>
      </c>
      <c r="G4057" s="10">
        <f t="shared" si="9"/>
        <v>42039.64583</v>
      </c>
      <c r="H4057" s="6" t="str">
        <f t="shared" si="6"/>
        <v/>
      </c>
      <c r="I4057" s="2">
        <f t="shared" si="7"/>
        <v>1426.89</v>
      </c>
      <c r="M4057" s="10">
        <f>IFERROR(__xludf.DUMMYFUNCTION("""COMPUTED_VALUE"""),43866.66666666667)</f>
        <v>43866.66667</v>
      </c>
      <c r="N4057" s="2">
        <f>IFERROR(__xludf.DUMMYFUNCTION("""COMPUTED_VALUE"""),9508.68)</f>
        <v>9508.68</v>
      </c>
      <c r="P4057" s="10">
        <f t="shared" si="10"/>
        <v>38127.64583</v>
      </c>
      <c r="Q4057" s="13">
        <v>767.79</v>
      </c>
      <c r="R4057" s="18">
        <v>38127.0</v>
      </c>
    </row>
    <row r="4058">
      <c r="A4058" s="10">
        <f t="shared" si="8"/>
        <v>42040.66667</v>
      </c>
      <c r="B4058" s="2" t="str">
        <f t="shared" si="2"/>
        <v/>
      </c>
      <c r="C4058" s="2" t="str">
        <f t="shared" si="3"/>
        <v>SP500</v>
      </c>
      <c r="D4058" s="2">
        <f t="shared" si="4"/>
        <v>4765.1</v>
      </c>
      <c r="E4058" s="2">
        <f t="shared" si="5"/>
        <v>4765.1</v>
      </c>
      <c r="G4058" s="10">
        <f t="shared" si="9"/>
        <v>42040.64583</v>
      </c>
      <c r="H4058" s="6" t="str">
        <f t="shared" si="6"/>
        <v/>
      </c>
      <c r="I4058" s="2">
        <f t="shared" si="7"/>
        <v>1426.89</v>
      </c>
      <c r="M4058" s="10">
        <f>IFERROR(__xludf.DUMMYFUNCTION("""COMPUTED_VALUE"""),43867.66666666667)</f>
        <v>43867.66667</v>
      </c>
      <c r="N4058" s="2">
        <f>IFERROR(__xludf.DUMMYFUNCTION("""COMPUTED_VALUE"""),9572.15)</f>
        <v>9572.15</v>
      </c>
      <c r="P4058" s="10">
        <f t="shared" si="10"/>
        <v>38126.64583</v>
      </c>
      <c r="Q4058" s="13">
        <v>777.95</v>
      </c>
      <c r="R4058" s="18">
        <v>38126.0</v>
      </c>
    </row>
    <row r="4059">
      <c r="A4059" s="10">
        <f t="shared" si="8"/>
        <v>42041.66667</v>
      </c>
      <c r="B4059" s="2" t="str">
        <f t="shared" si="2"/>
        <v/>
      </c>
      <c r="C4059" s="2" t="str">
        <f t="shared" si="3"/>
        <v>SP500</v>
      </c>
      <c r="D4059" s="2">
        <f t="shared" si="4"/>
        <v>4744.4</v>
      </c>
      <c r="E4059" s="2">
        <f t="shared" si="5"/>
        <v>4744.4</v>
      </c>
      <c r="G4059" s="10">
        <f t="shared" si="9"/>
        <v>42041.64583</v>
      </c>
      <c r="H4059" s="6" t="str">
        <f t="shared" si="6"/>
        <v/>
      </c>
      <c r="I4059" s="2">
        <f t="shared" si="7"/>
        <v>1426.89</v>
      </c>
      <c r="M4059" s="10">
        <f>IFERROR(__xludf.DUMMYFUNCTION("""COMPUTED_VALUE"""),43868.66666666667)</f>
        <v>43868.66667</v>
      </c>
      <c r="N4059" s="2">
        <f>IFERROR(__xludf.DUMMYFUNCTION("""COMPUTED_VALUE"""),9520.51)</f>
        <v>9520.51</v>
      </c>
      <c r="P4059" s="10">
        <f t="shared" si="10"/>
        <v>38125.64583</v>
      </c>
      <c r="Q4059" s="13">
        <v>741.99</v>
      </c>
      <c r="R4059" s="18">
        <v>38125.0</v>
      </c>
    </row>
    <row r="4060">
      <c r="A4060" s="10">
        <f t="shared" si="8"/>
        <v>42042.66667</v>
      </c>
      <c r="B4060" s="2" t="str">
        <f t="shared" si="2"/>
        <v/>
      </c>
      <c r="C4060" s="2" t="str">
        <f t="shared" si="3"/>
        <v>SP500</v>
      </c>
      <c r="D4060" s="2" t="str">
        <f t="shared" si="4"/>
        <v/>
      </c>
      <c r="E4060" s="2">
        <f t="shared" si="5"/>
        <v>4744.4</v>
      </c>
      <c r="G4060" s="10">
        <f t="shared" si="9"/>
        <v>42042.64583</v>
      </c>
      <c r="H4060" s="6" t="str">
        <f t="shared" si="6"/>
        <v/>
      </c>
      <c r="I4060" s="2">
        <f t="shared" si="7"/>
        <v>1426.89</v>
      </c>
      <c r="M4060" s="10">
        <f>IFERROR(__xludf.DUMMYFUNCTION("""COMPUTED_VALUE"""),43871.66666666667)</f>
        <v>43871.66667</v>
      </c>
      <c r="N4060" s="2">
        <f>IFERROR(__xludf.DUMMYFUNCTION("""COMPUTED_VALUE"""),9628.39)</f>
        <v>9628.39</v>
      </c>
      <c r="P4060" s="10">
        <f t="shared" si="10"/>
        <v>38124.64583</v>
      </c>
      <c r="Q4060" s="13">
        <v>728.98</v>
      </c>
      <c r="R4060" s="18">
        <v>38124.0</v>
      </c>
    </row>
    <row r="4061">
      <c r="A4061" s="10">
        <f t="shared" si="8"/>
        <v>42043.66667</v>
      </c>
      <c r="B4061" s="2" t="str">
        <f t="shared" si="2"/>
        <v/>
      </c>
      <c r="C4061" s="2" t="str">
        <f t="shared" si="3"/>
        <v>SP500</v>
      </c>
      <c r="D4061" s="2" t="str">
        <f t="shared" si="4"/>
        <v/>
      </c>
      <c r="E4061" s="2">
        <f t="shared" si="5"/>
        <v>4744.4</v>
      </c>
      <c r="G4061" s="10">
        <f t="shared" si="9"/>
        <v>42043.64583</v>
      </c>
      <c r="H4061" s="6" t="str">
        <f t="shared" si="6"/>
        <v/>
      </c>
      <c r="I4061" s="2">
        <f t="shared" si="7"/>
        <v>1426.89</v>
      </c>
      <c r="M4061" s="10">
        <f>IFERROR(__xludf.DUMMYFUNCTION("""COMPUTED_VALUE"""),43872.66666666667)</f>
        <v>43872.66667</v>
      </c>
      <c r="N4061" s="2">
        <f>IFERROR(__xludf.DUMMYFUNCTION("""COMPUTED_VALUE"""),9638.94)</f>
        <v>9638.94</v>
      </c>
      <c r="P4061" s="10">
        <f t="shared" si="10"/>
        <v>38121.64583</v>
      </c>
      <c r="Q4061" s="13">
        <v>768.46</v>
      </c>
      <c r="R4061" s="18">
        <v>38121.0</v>
      </c>
    </row>
    <row r="4062">
      <c r="A4062" s="10">
        <f t="shared" si="8"/>
        <v>42044.66667</v>
      </c>
      <c r="B4062" s="2" t="str">
        <f t="shared" si="2"/>
        <v/>
      </c>
      <c r="C4062" s="2" t="str">
        <f t="shared" si="3"/>
        <v>SP500</v>
      </c>
      <c r="D4062" s="2">
        <f t="shared" si="4"/>
        <v>4726.01</v>
      </c>
      <c r="E4062" s="2">
        <f t="shared" si="5"/>
        <v>4726.01</v>
      </c>
      <c r="G4062" s="10">
        <f t="shared" si="9"/>
        <v>42044.64583</v>
      </c>
      <c r="H4062" s="6" t="str">
        <f t="shared" si="6"/>
        <v/>
      </c>
      <c r="I4062" s="2">
        <f t="shared" si="7"/>
        <v>1426.89</v>
      </c>
      <c r="M4062" s="10">
        <f>IFERROR(__xludf.DUMMYFUNCTION("""COMPUTED_VALUE"""),43873.66666666667)</f>
        <v>43873.66667</v>
      </c>
      <c r="N4062" s="2">
        <f>IFERROR(__xludf.DUMMYFUNCTION("""COMPUTED_VALUE"""),9725.96)</f>
        <v>9725.96</v>
      </c>
      <c r="P4062" s="10">
        <f t="shared" si="10"/>
        <v>38120.64583</v>
      </c>
      <c r="Q4062" s="13">
        <v>790.13</v>
      </c>
      <c r="R4062" s="18">
        <v>38120.0</v>
      </c>
    </row>
    <row r="4063">
      <c r="A4063" s="10">
        <f t="shared" si="8"/>
        <v>42045.66667</v>
      </c>
      <c r="B4063" s="2" t="str">
        <f t="shared" si="2"/>
        <v/>
      </c>
      <c r="C4063" s="2" t="str">
        <f t="shared" si="3"/>
        <v>SP500</v>
      </c>
      <c r="D4063" s="2">
        <f t="shared" si="4"/>
        <v>4787.64</v>
      </c>
      <c r="E4063" s="2">
        <f t="shared" si="5"/>
        <v>4787.64</v>
      </c>
      <c r="G4063" s="10">
        <f t="shared" si="9"/>
        <v>42045.64583</v>
      </c>
      <c r="H4063" s="6" t="str">
        <f t="shared" si="6"/>
        <v/>
      </c>
      <c r="I4063" s="2">
        <f t="shared" si="7"/>
        <v>1426.89</v>
      </c>
      <c r="M4063" s="10">
        <f>IFERROR(__xludf.DUMMYFUNCTION("""COMPUTED_VALUE"""),43874.66666666667)</f>
        <v>43874.66667</v>
      </c>
      <c r="N4063" s="2">
        <f>IFERROR(__xludf.DUMMYFUNCTION("""COMPUTED_VALUE"""),9711.97)</f>
        <v>9711.97</v>
      </c>
      <c r="P4063" s="10">
        <f t="shared" si="10"/>
        <v>38119.64583</v>
      </c>
      <c r="Q4063" s="13">
        <v>817.09</v>
      </c>
      <c r="R4063" s="18">
        <v>38119.0</v>
      </c>
    </row>
    <row r="4064">
      <c r="A4064" s="10">
        <f t="shared" si="8"/>
        <v>42046.66667</v>
      </c>
      <c r="B4064" s="2" t="str">
        <f t="shared" si="2"/>
        <v/>
      </c>
      <c r="C4064" s="2" t="str">
        <f t="shared" si="3"/>
        <v>SP500</v>
      </c>
      <c r="D4064" s="2">
        <f t="shared" si="4"/>
        <v>4801.18</v>
      </c>
      <c r="E4064" s="2">
        <f t="shared" si="5"/>
        <v>4801.18</v>
      </c>
      <c r="G4064" s="10">
        <f t="shared" si="9"/>
        <v>42046.64583</v>
      </c>
      <c r="H4064" s="6" t="str">
        <f t="shared" si="6"/>
        <v/>
      </c>
      <c r="I4064" s="2">
        <f t="shared" si="7"/>
        <v>1426.89</v>
      </c>
      <c r="M4064" s="10">
        <f>IFERROR(__xludf.DUMMYFUNCTION("""COMPUTED_VALUE"""),43875.66666666667)</f>
        <v>43875.66667</v>
      </c>
      <c r="N4064" s="2">
        <f>IFERROR(__xludf.DUMMYFUNCTION("""COMPUTED_VALUE"""),9731.18)</f>
        <v>9731.18</v>
      </c>
      <c r="P4064" s="10">
        <f t="shared" si="10"/>
        <v>38118.64583</v>
      </c>
      <c r="Q4064" s="13">
        <v>791.02</v>
      </c>
      <c r="R4064" s="18">
        <v>38118.0</v>
      </c>
    </row>
    <row r="4065">
      <c r="A4065" s="10">
        <f t="shared" si="8"/>
        <v>42047.66667</v>
      </c>
      <c r="B4065" s="2" t="str">
        <f t="shared" si="2"/>
        <v/>
      </c>
      <c r="C4065" s="2" t="str">
        <f t="shared" si="3"/>
        <v>SP500</v>
      </c>
      <c r="D4065" s="2">
        <f t="shared" si="4"/>
        <v>4857.61</v>
      </c>
      <c r="E4065" s="2">
        <f t="shared" si="5"/>
        <v>4857.61</v>
      </c>
      <c r="G4065" s="10">
        <f t="shared" si="9"/>
        <v>42047.64583</v>
      </c>
      <c r="H4065" s="6" t="str">
        <f t="shared" si="6"/>
        <v/>
      </c>
      <c r="I4065" s="2">
        <f t="shared" si="7"/>
        <v>1426.89</v>
      </c>
      <c r="M4065" s="10">
        <f>IFERROR(__xludf.DUMMYFUNCTION("""COMPUTED_VALUE"""),43879.66666666667)</f>
        <v>43879.66667</v>
      </c>
      <c r="N4065" s="2">
        <f>IFERROR(__xludf.DUMMYFUNCTION("""COMPUTED_VALUE"""),9732.74)</f>
        <v>9732.74</v>
      </c>
      <c r="P4065" s="10">
        <f t="shared" si="10"/>
        <v>38117.64583</v>
      </c>
      <c r="Q4065" s="13">
        <v>790.68</v>
      </c>
      <c r="R4065" s="18">
        <v>38117.0</v>
      </c>
    </row>
    <row r="4066">
      <c r="A4066" s="10">
        <f t="shared" si="8"/>
        <v>42048.66667</v>
      </c>
      <c r="B4066" s="2" t="str">
        <f t="shared" si="2"/>
        <v/>
      </c>
      <c r="C4066" s="2" t="str">
        <f t="shared" si="3"/>
        <v>SP500</v>
      </c>
      <c r="D4066" s="2">
        <f t="shared" si="4"/>
        <v>4893.84</v>
      </c>
      <c r="E4066" s="2">
        <f t="shared" si="5"/>
        <v>4893.84</v>
      </c>
      <c r="G4066" s="10">
        <f t="shared" si="9"/>
        <v>42048.64583</v>
      </c>
      <c r="H4066" s="6" t="str">
        <f t="shared" si="6"/>
        <v/>
      </c>
      <c r="I4066" s="2">
        <f t="shared" si="7"/>
        <v>1426.89</v>
      </c>
      <c r="M4066" s="10">
        <f>IFERROR(__xludf.DUMMYFUNCTION("""COMPUTED_VALUE"""),43880.66666666667)</f>
        <v>43880.66667</v>
      </c>
      <c r="N4066" s="2">
        <f>IFERROR(__xludf.DUMMYFUNCTION("""COMPUTED_VALUE"""),9817.18)</f>
        <v>9817.18</v>
      </c>
      <c r="P4066" s="10">
        <f t="shared" si="10"/>
        <v>38114.64583</v>
      </c>
      <c r="Q4066" s="13">
        <v>838.74</v>
      </c>
      <c r="R4066" s="18">
        <v>38114.0</v>
      </c>
    </row>
    <row r="4067">
      <c r="A4067" s="10">
        <f t="shared" si="8"/>
        <v>42049.66667</v>
      </c>
      <c r="B4067" s="2" t="str">
        <f t="shared" si="2"/>
        <v/>
      </c>
      <c r="C4067" s="2" t="str">
        <f t="shared" si="3"/>
        <v>SP500</v>
      </c>
      <c r="D4067" s="2" t="str">
        <f t="shared" si="4"/>
        <v/>
      </c>
      <c r="E4067" s="2">
        <f t="shared" si="5"/>
        <v>4893.84</v>
      </c>
      <c r="G4067" s="10">
        <f t="shared" si="9"/>
        <v>42049.64583</v>
      </c>
      <c r="H4067" s="6" t="str">
        <f t="shared" si="6"/>
        <v/>
      </c>
      <c r="I4067" s="2">
        <f t="shared" si="7"/>
        <v>1426.89</v>
      </c>
      <c r="M4067" s="10">
        <f>IFERROR(__xludf.DUMMYFUNCTION("""COMPUTED_VALUE"""),43881.66666666667)</f>
        <v>43881.66667</v>
      </c>
      <c r="N4067" s="2">
        <f>IFERROR(__xludf.DUMMYFUNCTION("""COMPUTED_VALUE"""),9750.97)</f>
        <v>9750.97</v>
      </c>
      <c r="P4067" s="10">
        <f t="shared" si="10"/>
        <v>38113.64583</v>
      </c>
      <c r="Q4067" s="13">
        <v>837.68</v>
      </c>
      <c r="R4067" s="18">
        <v>38113.0</v>
      </c>
    </row>
    <row r="4068">
      <c r="A4068" s="10">
        <f t="shared" si="8"/>
        <v>42050.66667</v>
      </c>
      <c r="B4068" s="2" t="str">
        <f t="shared" si="2"/>
        <v/>
      </c>
      <c r="C4068" s="2" t="str">
        <f t="shared" si="3"/>
        <v>SP500</v>
      </c>
      <c r="D4068" s="2" t="str">
        <f t="shared" si="4"/>
        <v/>
      </c>
      <c r="E4068" s="2">
        <f t="shared" si="5"/>
        <v>4893.84</v>
      </c>
      <c r="G4068" s="10">
        <f t="shared" si="9"/>
        <v>42050.64583</v>
      </c>
      <c r="H4068" s="6" t="str">
        <f t="shared" si="6"/>
        <v/>
      </c>
      <c r="I4068" s="2">
        <f t="shared" si="7"/>
        <v>1426.89</v>
      </c>
      <c r="M4068" s="10">
        <f>IFERROR(__xludf.DUMMYFUNCTION("""COMPUTED_VALUE"""),43882.66666666667)</f>
        <v>43882.66667</v>
      </c>
      <c r="N4068" s="2">
        <f>IFERROR(__xludf.DUMMYFUNCTION("""COMPUTED_VALUE"""),9576.59)</f>
        <v>9576.59</v>
      </c>
      <c r="P4068" s="10">
        <f t="shared" si="10"/>
        <v>38111.64583</v>
      </c>
      <c r="Q4068" s="13">
        <v>867.48</v>
      </c>
      <c r="R4068" s="18">
        <v>38111.0</v>
      </c>
    </row>
    <row r="4069">
      <c r="A4069" s="10">
        <f t="shared" si="8"/>
        <v>42051.66667</v>
      </c>
      <c r="B4069" s="2" t="str">
        <f t="shared" si="2"/>
        <v/>
      </c>
      <c r="C4069" s="2" t="str">
        <f t="shared" si="3"/>
        <v>SP500</v>
      </c>
      <c r="D4069" s="2" t="str">
        <f t="shared" si="4"/>
        <v/>
      </c>
      <c r="E4069" s="2">
        <f t="shared" si="5"/>
        <v>4893.84</v>
      </c>
      <c r="G4069" s="10">
        <f t="shared" si="9"/>
        <v>42051.64583</v>
      </c>
      <c r="H4069" s="6" t="str">
        <f t="shared" si="6"/>
        <v/>
      </c>
      <c r="I4069" s="2">
        <f t="shared" si="7"/>
        <v>1426.89</v>
      </c>
      <c r="M4069" s="10">
        <f>IFERROR(__xludf.DUMMYFUNCTION("""COMPUTED_VALUE"""),43885.66666666667)</f>
        <v>43885.66667</v>
      </c>
      <c r="N4069" s="2">
        <f>IFERROR(__xludf.DUMMYFUNCTION("""COMPUTED_VALUE"""),9221.28)</f>
        <v>9221.28</v>
      </c>
      <c r="P4069" s="10">
        <f t="shared" si="10"/>
        <v>38110.64583</v>
      </c>
      <c r="Q4069" s="13">
        <v>866.11</v>
      </c>
      <c r="R4069" s="18">
        <v>38110.0</v>
      </c>
    </row>
    <row r="4070">
      <c r="A4070" s="10">
        <f t="shared" si="8"/>
        <v>42052.66667</v>
      </c>
      <c r="B4070" s="2" t="str">
        <f t="shared" si="2"/>
        <v/>
      </c>
      <c r="C4070" s="2" t="str">
        <f t="shared" si="3"/>
        <v>SP500</v>
      </c>
      <c r="D4070" s="2">
        <f t="shared" si="4"/>
        <v>4899.27</v>
      </c>
      <c r="E4070" s="2">
        <f t="shared" si="5"/>
        <v>4899.27</v>
      </c>
      <c r="G4070" s="10">
        <f t="shared" si="9"/>
        <v>42052.64583</v>
      </c>
      <c r="H4070" s="6" t="str">
        <f t="shared" si="6"/>
        <v/>
      </c>
      <c r="I4070" s="2">
        <f t="shared" si="7"/>
        <v>1426.89</v>
      </c>
      <c r="M4070" s="10">
        <f>IFERROR(__xludf.DUMMYFUNCTION("""COMPUTED_VALUE"""),43886.66666666667)</f>
        <v>43886.66667</v>
      </c>
      <c r="N4070" s="2">
        <f>IFERROR(__xludf.DUMMYFUNCTION("""COMPUTED_VALUE"""),8965.61)</f>
        <v>8965.61</v>
      </c>
      <c r="P4070" s="10">
        <f t="shared" si="10"/>
        <v>38107.64583</v>
      </c>
      <c r="Q4070" s="13">
        <v>862.84</v>
      </c>
      <c r="R4070" s="18">
        <v>38107.0</v>
      </c>
    </row>
    <row r="4071">
      <c r="A4071" s="10">
        <f t="shared" si="8"/>
        <v>42053.66667</v>
      </c>
      <c r="B4071" s="2" t="str">
        <f t="shared" si="2"/>
        <v/>
      </c>
      <c r="C4071" s="2" t="str">
        <f t="shared" si="3"/>
        <v>SP500</v>
      </c>
      <c r="D4071" s="2">
        <f t="shared" si="4"/>
        <v>4906.36</v>
      </c>
      <c r="E4071" s="2">
        <f t="shared" si="5"/>
        <v>4906.36</v>
      </c>
      <c r="G4071" s="10">
        <f t="shared" si="9"/>
        <v>42053.64583</v>
      </c>
      <c r="H4071" s="6" t="str">
        <f t="shared" si="6"/>
        <v/>
      </c>
      <c r="I4071" s="2">
        <f t="shared" si="7"/>
        <v>1426.89</v>
      </c>
      <c r="M4071" s="10">
        <f>IFERROR(__xludf.DUMMYFUNCTION("""COMPUTED_VALUE"""),43887.66666666667)</f>
        <v>43887.66667</v>
      </c>
      <c r="N4071" s="2">
        <f>IFERROR(__xludf.DUMMYFUNCTION("""COMPUTED_VALUE"""),8980.78)</f>
        <v>8980.78</v>
      </c>
      <c r="P4071" s="10">
        <f t="shared" si="10"/>
        <v>38106.64583</v>
      </c>
      <c r="Q4071" s="13">
        <v>875.41</v>
      </c>
      <c r="R4071" s="18">
        <v>38106.0</v>
      </c>
    </row>
    <row r="4072">
      <c r="A4072" s="10">
        <f t="shared" si="8"/>
        <v>42054.66667</v>
      </c>
      <c r="B4072" s="2" t="str">
        <f t="shared" si="2"/>
        <v/>
      </c>
      <c r="C4072" s="2" t="str">
        <f t="shared" si="3"/>
        <v>SP500</v>
      </c>
      <c r="D4072" s="2">
        <f t="shared" si="4"/>
        <v>4924.7</v>
      </c>
      <c r="E4072" s="2">
        <f t="shared" si="5"/>
        <v>4924.7</v>
      </c>
      <c r="G4072" s="10">
        <f t="shared" si="9"/>
        <v>42054.64583</v>
      </c>
      <c r="H4072" s="6" t="str">
        <f t="shared" si="6"/>
        <v/>
      </c>
      <c r="I4072" s="2">
        <f t="shared" si="7"/>
        <v>1426.89</v>
      </c>
      <c r="M4072" s="10">
        <f>IFERROR(__xludf.DUMMYFUNCTION("""COMPUTED_VALUE"""),43888.66666666667)</f>
        <v>43888.66667</v>
      </c>
      <c r="N4072" s="2">
        <f>IFERROR(__xludf.DUMMYFUNCTION("""COMPUTED_VALUE"""),8566.48)</f>
        <v>8566.48</v>
      </c>
      <c r="P4072" s="10">
        <f t="shared" si="10"/>
        <v>38105.64583</v>
      </c>
      <c r="Q4072" s="13">
        <v>901.83</v>
      </c>
      <c r="R4072" s="18">
        <v>38105.0</v>
      </c>
    </row>
    <row r="4073">
      <c r="A4073" s="10">
        <f t="shared" si="8"/>
        <v>42055.66667</v>
      </c>
      <c r="B4073" s="2" t="str">
        <f t="shared" si="2"/>
        <v/>
      </c>
      <c r="C4073" s="2" t="str">
        <f t="shared" si="3"/>
        <v>SP500</v>
      </c>
      <c r="D4073" s="2">
        <f t="shared" si="4"/>
        <v>4955.97</v>
      </c>
      <c r="E4073" s="2">
        <f t="shared" si="5"/>
        <v>4955.97</v>
      </c>
      <c r="G4073" s="10">
        <f t="shared" si="9"/>
        <v>42055.64583</v>
      </c>
      <c r="H4073" s="6" t="str">
        <f t="shared" si="6"/>
        <v/>
      </c>
      <c r="I4073" s="2">
        <f t="shared" si="7"/>
        <v>1426.89</v>
      </c>
      <c r="M4073" s="10">
        <f>IFERROR(__xludf.DUMMYFUNCTION("""COMPUTED_VALUE"""),43889.66666666667)</f>
        <v>43889.66667</v>
      </c>
      <c r="N4073" s="2">
        <f>IFERROR(__xludf.DUMMYFUNCTION("""COMPUTED_VALUE"""),8567.37)</f>
        <v>8567.37</v>
      </c>
      <c r="P4073" s="10">
        <f t="shared" si="10"/>
        <v>38104.64583</v>
      </c>
      <c r="Q4073" s="13">
        <v>915.47</v>
      </c>
      <c r="R4073" s="18">
        <v>38104.0</v>
      </c>
    </row>
    <row r="4074">
      <c r="A4074" s="10">
        <f t="shared" si="8"/>
        <v>42056.66667</v>
      </c>
      <c r="B4074" s="2" t="str">
        <f t="shared" si="2"/>
        <v/>
      </c>
      <c r="C4074" s="2" t="str">
        <f t="shared" si="3"/>
        <v>SP500</v>
      </c>
      <c r="D4074" s="2" t="str">
        <f t="shared" si="4"/>
        <v/>
      </c>
      <c r="E4074" s="2">
        <f t="shared" si="5"/>
        <v>4955.97</v>
      </c>
      <c r="G4074" s="10">
        <f t="shared" si="9"/>
        <v>42056.64583</v>
      </c>
      <c r="H4074" s="6" t="str">
        <f t="shared" si="6"/>
        <v/>
      </c>
      <c r="I4074" s="2">
        <f t="shared" si="7"/>
        <v>1426.89</v>
      </c>
      <c r="M4074" s="10">
        <f>IFERROR(__xludf.DUMMYFUNCTION("""COMPUTED_VALUE"""),43892.66666666667)</f>
        <v>43892.66667</v>
      </c>
      <c r="N4074" s="2">
        <f>IFERROR(__xludf.DUMMYFUNCTION("""COMPUTED_VALUE"""),8952.17)</f>
        <v>8952.17</v>
      </c>
      <c r="P4074" s="10">
        <f t="shared" si="10"/>
        <v>38103.64583</v>
      </c>
      <c r="Q4074" s="13">
        <v>919.74</v>
      </c>
      <c r="R4074" s="18">
        <v>38103.0</v>
      </c>
    </row>
    <row r="4075">
      <c r="A4075" s="10">
        <f t="shared" si="8"/>
        <v>42057.66667</v>
      </c>
      <c r="B4075" s="2" t="str">
        <f t="shared" si="2"/>
        <v/>
      </c>
      <c r="C4075" s="2" t="str">
        <f t="shared" si="3"/>
        <v>SP500</v>
      </c>
      <c r="D4075" s="2" t="str">
        <f t="shared" si="4"/>
        <v/>
      </c>
      <c r="E4075" s="2">
        <f t="shared" si="5"/>
        <v>4955.97</v>
      </c>
      <c r="G4075" s="10">
        <f t="shared" si="9"/>
        <v>42057.64583</v>
      </c>
      <c r="H4075" s="6" t="str">
        <f t="shared" si="6"/>
        <v/>
      </c>
      <c r="I4075" s="2">
        <f t="shared" si="7"/>
        <v>1426.89</v>
      </c>
      <c r="M4075" s="10">
        <f>IFERROR(__xludf.DUMMYFUNCTION("""COMPUTED_VALUE"""),43893.66666666667)</f>
        <v>43893.66667</v>
      </c>
      <c r="N4075" s="2">
        <f>IFERROR(__xludf.DUMMYFUNCTION("""COMPUTED_VALUE"""),8684.09)</f>
        <v>8684.09</v>
      </c>
      <c r="P4075" s="10">
        <f t="shared" si="10"/>
        <v>38100.64583</v>
      </c>
      <c r="Q4075" s="13">
        <v>936.06</v>
      </c>
      <c r="R4075" s="18">
        <v>38100.0</v>
      </c>
    </row>
    <row r="4076">
      <c r="A4076" s="10">
        <f t="shared" si="8"/>
        <v>42058.66667</v>
      </c>
      <c r="B4076" s="2" t="str">
        <f t="shared" si="2"/>
        <v/>
      </c>
      <c r="C4076" s="2" t="str">
        <f t="shared" si="3"/>
        <v>SP500</v>
      </c>
      <c r="D4076" s="2">
        <f t="shared" si="4"/>
        <v>4960.97</v>
      </c>
      <c r="E4076" s="2">
        <f t="shared" si="5"/>
        <v>4960.97</v>
      </c>
      <c r="G4076" s="10">
        <f t="shared" si="9"/>
        <v>42058.64583</v>
      </c>
      <c r="H4076" s="6" t="str">
        <f t="shared" si="6"/>
        <v/>
      </c>
      <c r="I4076" s="2">
        <f t="shared" si="7"/>
        <v>1426.89</v>
      </c>
      <c r="M4076" s="10">
        <f>IFERROR(__xludf.DUMMYFUNCTION("""COMPUTED_VALUE"""),43894.66666666667)</f>
        <v>43894.66667</v>
      </c>
      <c r="N4076" s="2">
        <f>IFERROR(__xludf.DUMMYFUNCTION("""COMPUTED_VALUE"""),9018.09)</f>
        <v>9018.09</v>
      </c>
      <c r="P4076" s="10">
        <f t="shared" si="10"/>
        <v>38099.64583</v>
      </c>
      <c r="Q4076" s="13">
        <v>924.01</v>
      </c>
      <c r="R4076" s="18">
        <v>38099.0</v>
      </c>
    </row>
    <row r="4077">
      <c r="A4077" s="10">
        <f t="shared" si="8"/>
        <v>42059.66667</v>
      </c>
      <c r="B4077" s="2" t="str">
        <f t="shared" si="2"/>
        <v/>
      </c>
      <c r="C4077" s="2" t="str">
        <f t="shared" si="3"/>
        <v>SP500</v>
      </c>
      <c r="D4077" s="2">
        <f t="shared" si="4"/>
        <v>4968.12</v>
      </c>
      <c r="E4077" s="2">
        <f t="shared" si="5"/>
        <v>4968.12</v>
      </c>
      <c r="G4077" s="10">
        <f t="shared" si="9"/>
        <v>42059.64583</v>
      </c>
      <c r="H4077" s="6" t="str">
        <f t="shared" si="6"/>
        <v/>
      </c>
      <c r="I4077" s="2">
        <f t="shared" si="7"/>
        <v>1426.89</v>
      </c>
      <c r="M4077" s="10">
        <f>IFERROR(__xludf.DUMMYFUNCTION("""COMPUTED_VALUE"""),43895.66666666667)</f>
        <v>43895.66667</v>
      </c>
      <c r="N4077" s="2">
        <f>IFERROR(__xludf.DUMMYFUNCTION("""COMPUTED_VALUE"""),8738.59)</f>
        <v>8738.59</v>
      </c>
      <c r="P4077" s="10">
        <f t="shared" si="10"/>
        <v>38098.64583</v>
      </c>
      <c r="Q4077" s="13">
        <v>929.95</v>
      </c>
      <c r="R4077" s="18">
        <v>38098.0</v>
      </c>
    </row>
    <row r="4078">
      <c r="A4078" s="10">
        <f t="shared" si="8"/>
        <v>42060.66667</v>
      </c>
      <c r="B4078" s="2" t="str">
        <f t="shared" si="2"/>
        <v/>
      </c>
      <c r="C4078" s="2" t="str">
        <f t="shared" si="3"/>
        <v>SP500</v>
      </c>
      <c r="D4078" s="2">
        <f t="shared" si="4"/>
        <v>4967.14</v>
      </c>
      <c r="E4078" s="2">
        <f t="shared" si="5"/>
        <v>4967.14</v>
      </c>
      <c r="G4078" s="10">
        <f t="shared" si="9"/>
        <v>42060.64583</v>
      </c>
      <c r="H4078" s="6" t="str">
        <f t="shared" si="6"/>
        <v/>
      </c>
      <c r="I4078" s="2">
        <f t="shared" si="7"/>
        <v>1426.89</v>
      </c>
      <c r="M4078" s="10">
        <f>IFERROR(__xludf.DUMMYFUNCTION("""COMPUTED_VALUE"""),43896.66666666667)</f>
        <v>43896.66667</v>
      </c>
      <c r="N4078" s="2">
        <f>IFERROR(__xludf.DUMMYFUNCTION("""COMPUTED_VALUE"""),8575.62)</f>
        <v>8575.62</v>
      </c>
      <c r="P4078" s="10">
        <f t="shared" si="10"/>
        <v>38097.64583</v>
      </c>
      <c r="Q4078" s="13">
        <v>918.9</v>
      </c>
      <c r="R4078" s="18">
        <v>38097.0</v>
      </c>
    </row>
    <row r="4079">
      <c r="A4079" s="10">
        <f t="shared" si="8"/>
        <v>42061.66667</v>
      </c>
      <c r="B4079" s="2" t="str">
        <f t="shared" si="2"/>
        <v/>
      </c>
      <c r="C4079" s="2" t="str">
        <f t="shared" si="3"/>
        <v>SP500</v>
      </c>
      <c r="D4079" s="2">
        <f t="shared" si="4"/>
        <v>4987.89</v>
      </c>
      <c r="E4079" s="2">
        <f t="shared" si="5"/>
        <v>4987.89</v>
      </c>
      <c r="G4079" s="10">
        <f t="shared" si="9"/>
        <v>42061.64583</v>
      </c>
      <c r="H4079" s="6" t="str">
        <f t="shared" si="6"/>
        <v/>
      </c>
      <c r="I4079" s="2">
        <f t="shared" si="7"/>
        <v>1426.89</v>
      </c>
      <c r="M4079" s="10">
        <f>IFERROR(__xludf.DUMMYFUNCTION("""COMPUTED_VALUE"""),43899.66666666667)</f>
        <v>43899.66667</v>
      </c>
      <c r="N4079" s="2">
        <f>IFERROR(__xludf.DUMMYFUNCTION("""COMPUTED_VALUE"""),7950.68)</f>
        <v>7950.68</v>
      </c>
      <c r="P4079" s="10">
        <f t="shared" si="10"/>
        <v>38096.64583</v>
      </c>
      <c r="Q4079" s="13">
        <v>902.1</v>
      </c>
      <c r="R4079" s="18">
        <v>38096.0</v>
      </c>
    </row>
    <row r="4080">
      <c r="A4080" s="10">
        <f t="shared" si="8"/>
        <v>42062.66667</v>
      </c>
      <c r="B4080" s="2" t="str">
        <f t="shared" si="2"/>
        <v/>
      </c>
      <c r="C4080" s="2" t="str">
        <f t="shared" si="3"/>
        <v>SP500</v>
      </c>
      <c r="D4080" s="2">
        <f t="shared" si="4"/>
        <v>4963.53</v>
      </c>
      <c r="E4080" s="2">
        <f t="shared" si="5"/>
        <v>4963.53</v>
      </c>
      <c r="G4080" s="10">
        <f t="shared" si="9"/>
        <v>42062.64583</v>
      </c>
      <c r="H4080" s="6" t="str">
        <f t="shared" si="6"/>
        <v/>
      </c>
      <c r="I4080" s="2">
        <f t="shared" si="7"/>
        <v>1426.89</v>
      </c>
      <c r="M4080" s="10">
        <f>IFERROR(__xludf.DUMMYFUNCTION("""COMPUTED_VALUE"""),43900.66666666667)</f>
        <v>43900.66667</v>
      </c>
      <c r="N4080" s="2">
        <f>IFERROR(__xludf.DUMMYFUNCTION("""COMPUTED_VALUE"""),8344.25)</f>
        <v>8344.25</v>
      </c>
      <c r="P4080" s="10">
        <f t="shared" si="10"/>
        <v>38093.64583</v>
      </c>
      <c r="Q4080" s="13">
        <v>898.88</v>
      </c>
      <c r="R4080" s="18">
        <v>38093.0</v>
      </c>
    </row>
    <row r="4081">
      <c r="A4081" s="10">
        <f t="shared" si="8"/>
        <v>42063.66667</v>
      </c>
      <c r="B4081" s="2" t="str">
        <f t="shared" si="2"/>
        <v/>
      </c>
      <c r="C4081" s="2" t="str">
        <f t="shared" si="3"/>
        <v>SP500</v>
      </c>
      <c r="D4081" s="2" t="str">
        <f t="shared" si="4"/>
        <v/>
      </c>
      <c r="E4081" s="2">
        <f t="shared" si="5"/>
        <v>4963.53</v>
      </c>
      <c r="G4081" s="10">
        <f t="shared" si="9"/>
        <v>42063.64583</v>
      </c>
      <c r="H4081" s="6" t="str">
        <f t="shared" si="6"/>
        <v/>
      </c>
      <c r="I4081" s="2">
        <f t="shared" si="7"/>
        <v>1426.89</v>
      </c>
      <c r="M4081" s="10">
        <f>IFERROR(__xludf.DUMMYFUNCTION("""COMPUTED_VALUE"""),43901.66666666667)</f>
        <v>43901.66667</v>
      </c>
      <c r="N4081" s="2">
        <f>IFERROR(__xludf.DUMMYFUNCTION("""COMPUTED_VALUE"""),7952.05)</f>
        <v>7952.05</v>
      </c>
      <c r="P4081" s="10">
        <f t="shared" si="10"/>
        <v>38091.64583</v>
      </c>
      <c r="Q4081" s="13">
        <v>916.31</v>
      </c>
      <c r="R4081" s="18">
        <v>38091.0</v>
      </c>
    </row>
    <row r="4082">
      <c r="A4082" s="10">
        <f t="shared" si="8"/>
        <v>42064.66667</v>
      </c>
      <c r="B4082" s="2" t="str">
        <f t="shared" si="2"/>
        <v/>
      </c>
      <c r="C4082" s="2" t="str">
        <f t="shared" si="3"/>
        <v>SP500</v>
      </c>
      <c r="D4082" s="2" t="str">
        <f t="shared" si="4"/>
        <v/>
      </c>
      <c r="E4082" s="2">
        <f t="shared" si="5"/>
        <v>4963.53</v>
      </c>
      <c r="G4082" s="10">
        <f t="shared" si="9"/>
        <v>42064.64583</v>
      </c>
      <c r="H4082" s="6" t="str">
        <f t="shared" si="6"/>
        <v/>
      </c>
      <c r="I4082" s="2">
        <f t="shared" si="7"/>
        <v>1426.89</v>
      </c>
      <c r="M4082" s="10">
        <f>IFERROR(__xludf.DUMMYFUNCTION("""COMPUTED_VALUE"""),43902.66666666667)</f>
        <v>43902.66667</v>
      </c>
      <c r="N4082" s="2">
        <f>IFERROR(__xludf.DUMMYFUNCTION("""COMPUTED_VALUE"""),7201.8)</f>
        <v>7201.8</v>
      </c>
      <c r="P4082" s="10">
        <f t="shared" si="10"/>
        <v>38090.64583</v>
      </c>
      <c r="Q4082" s="13">
        <v>917.63</v>
      </c>
      <c r="R4082" s="18">
        <v>38090.0</v>
      </c>
    </row>
    <row r="4083">
      <c r="A4083" s="10">
        <f t="shared" si="8"/>
        <v>42065.66667</v>
      </c>
      <c r="B4083" s="2" t="str">
        <f t="shared" si="2"/>
        <v/>
      </c>
      <c r="C4083" s="2" t="str">
        <f t="shared" si="3"/>
        <v>SP500</v>
      </c>
      <c r="D4083" s="2">
        <f t="shared" si="4"/>
        <v>5008.1</v>
      </c>
      <c r="E4083" s="2">
        <f t="shared" si="5"/>
        <v>5008.1</v>
      </c>
      <c r="G4083" s="10">
        <f t="shared" si="9"/>
        <v>42065.64583</v>
      </c>
      <c r="H4083" s="6" t="str">
        <f t="shared" si="6"/>
        <v/>
      </c>
      <c r="I4083" s="2">
        <f t="shared" si="7"/>
        <v>1426.89</v>
      </c>
      <c r="M4083" s="10">
        <f>IFERROR(__xludf.DUMMYFUNCTION("""COMPUTED_VALUE"""),43903.66666666667)</f>
        <v>43903.66667</v>
      </c>
      <c r="N4083" s="2">
        <f>IFERROR(__xludf.DUMMYFUNCTION("""COMPUTED_VALUE"""),7874.88)</f>
        <v>7874.88</v>
      </c>
      <c r="P4083" s="10">
        <f t="shared" si="10"/>
        <v>38089.64583</v>
      </c>
      <c r="Q4083" s="13">
        <v>918.86</v>
      </c>
      <c r="R4083" s="18">
        <v>38089.0</v>
      </c>
    </row>
    <row r="4084">
      <c r="A4084" s="10">
        <f t="shared" si="8"/>
        <v>42066.66667</v>
      </c>
      <c r="B4084" s="2" t="str">
        <f t="shared" si="2"/>
        <v/>
      </c>
      <c r="C4084" s="2" t="str">
        <f t="shared" si="3"/>
        <v>SP500</v>
      </c>
      <c r="D4084" s="2">
        <f t="shared" si="4"/>
        <v>4979.9</v>
      </c>
      <c r="E4084" s="2">
        <f t="shared" si="5"/>
        <v>4979.9</v>
      </c>
      <c r="G4084" s="10">
        <f t="shared" si="9"/>
        <v>42066.64583</v>
      </c>
      <c r="H4084" s="6" t="str">
        <f t="shared" si="6"/>
        <v/>
      </c>
      <c r="I4084" s="2">
        <f t="shared" si="7"/>
        <v>1426.89</v>
      </c>
      <c r="M4084" s="10">
        <f>IFERROR(__xludf.DUMMYFUNCTION("""COMPUTED_VALUE"""),43906.66666666667)</f>
        <v>43906.66667</v>
      </c>
      <c r="N4084" s="2">
        <f>IFERROR(__xludf.DUMMYFUNCTION("""COMPUTED_VALUE"""),6904.59)</f>
        <v>6904.59</v>
      </c>
      <c r="P4084" s="10">
        <f t="shared" si="10"/>
        <v>38086.64583</v>
      </c>
      <c r="Q4084" s="13">
        <v>905.44</v>
      </c>
      <c r="R4084" s="18">
        <v>38086.0</v>
      </c>
    </row>
    <row r="4085">
      <c r="A4085" s="10">
        <f t="shared" si="8"/>
        <v>42067.66667</v>
      </c>
      <c r="B4085" s="2" t="str">
        <f t="shared" si="2"/>
        <v/>
      </c>
      <c r="C4085" s="2" t="str">
        <f t="shared" si="3"/>
        <v>SP500</v>
      </c>
      <c r="D4085" s="2">
        <f t="shared" si="4"/>
        <v>4967.14</v>
      </c>
      <c r="E4085" s="2">
        <f t="shared" si="5"/>
        <v>4967.14</v>
      </c>
      <c r="G4085" s="10">
        <f t="shared" si="9"/>
        <v>42067.64583</v>
      </c>
      <c r="H4085" s="6" t="str">
        <f t="shared" si="6"/>
        <v/>
      </c>
      <c r="I4085" s="2">
        <f t="shared" si="7"/>
        <v>1426.89</v>
      </c>
      <c r="M4085" s="10">
        <f>IFERROR(__xludf.DUMMYFUNCTION("""COMPUTED_VALUE"""),43907.66666666667)</f>
        <v>43907.66667</v>
      </c>
      <c r="N4085" s="2">
        <f>IFERROR(__xludf.DUMMYFUNCTION("""COMPUTED_VALUE"""),7334.78)</f>
        <v>7334.78</v>
      </c>
      <c r="P4085" s="10">
        <f t="shared" si="10"/>
        <v>38085.64583</v>
      </c>
      <c r="Q4085" s="13">
        <v>916.86</v>
      </c>
      <c r="R4085" s="18">
        <v>38085.0</v>
      </c>
    </row>
    <row r="4086">
      <c r="A4086" s="10">
        <f t="shared" si="8"/>
        <v>42068.66667</v>
      </c>
      <c r="B4086" s="2" t="str">
        <f t="shared" si="2"/>
        <v/>
      </c>
      <c r="C4086" s="2" t="str">
        <f t="shared" si="3"/>
        <v>SP500</v>
      </c>
      <c r="D4086" s="2">
        <f t="shared" si="4"/>
        <v>4982.81</v>
      </c>
      <c r="E4086" s="2">
        <f t="shared" si="5"/>
        <v>4982.81</v>
      </c>
      <c r="G4086" s="10">
        <f t="shared" si="9"/>
        <v>42068.64583</v>
      </c>
      <c r="H4086" s="6" t="str">
        <f t="shared" si="6"/>
        <v/>
      </c>
      <c r="I4086" s="2">
        <f t="shared" si="7"/>
        <v>1426.89</v>
      </c>
      <c r="M4086" s="10">
        <f>IFERROR(__xludf.DUMMYFUNCTION("""COMPUTED_VALUE"""),43908.66666666667)</f>
        <v>43908.66667</v>
      </c>
      <c r="N4086" s="2">
        <f>IFERROR(__xludf.DUMMYFUNCTION("""COMPUTED_VALUE"""),6989.84)</f>
        <v>6989.84</v>
      </c>
      <c r="P4086" s="10">
        <f t="shared" si="10"/>
        <v>38084.64583</v>
      </c>
      <c r="Q4086" s="13">
        <v>909.93</v>
      </c>
      <c r="R4086" s="18">
        <v>38084.0</v>
      </c>
    </row>
    <row r="4087">
      <c r="A4087" s="10">
        <f t="shared" si="8"/>
        <v>42069.66667</v>
      </c>
      <c r="B4087" s="2" t="str">
        <f t="shared" si="2"/>
        <v/>
      </c>
      <c r="C4087" s="2" t="str">
        <f t="shared" si="3"/>
        <v>SP500</v>
      </c>
      <c r="D4087" s="2">
        <f t="shared" si="4"/>
        <v>4927.37</v>
      </c>
      <c r="E4087" s="2">
        <f t="shared" si="5"/>
        <v>4927.37</v>
      </c>
      <c r="G4087" s="10">
        <f t="shared" si="9"/>
        <v>42069.64583</v>
      </c>
      <c r="H4087" s="6" t="str">
        <f t="shared" si="6"/>
        <v/>
      </c>
      <c r="I4087" s="2">
        <f t="shared" si="7"/>
        <v>1426.89</v>
      </c>
      <c r="M4087" s="10">
        <f>IFERROR(__xludf.DUMMYFUNCTION("""COMPUTED_VALUE"""),43909.66666666667)</f>
        <v>43909.66667</v>
      </c>
      <c r="N4087" s="2">
        <f>IFERROR(__xludf.DUMMYFUNCTION("""COMPUTED_VALUE"""),7150.58)</f>
        <v>7150.58</v>
      </c>
      <c r="P4087" s="10">
        <f t="shared" si="10"/>
        <v>38083.64583</v>
      </c>
      <c r="Q4087" s="13">
        <v>906.19</v>
      </c>
      <c r="R4087" s="18">
        <v>38083.0</v>
      </c>
    </row>
    <row r="4088">
      <c r="A4088" s="10">
        <f t="shared" si="8"/>
        <v>42070.66667</v>
      </c>
      <c r="B4088" s="2" t="str">
        <f t="shared" si="2"/>
        <v/>
      </c>
      <c r="C4088" s="2" t="str">
        <f t="shared" si="3"/>
        <v>SP500</v>
      </c>
      <c r="D4088" s="2" t="str">
        <f t="shared" si="4"/>
        <v/>
      </c>
      <c r="E4088" s="2">
        <f t="shared" si="5"/>
        <v>4927.37</v>
      </c>
      <c r="G4088" s="10">
        <f t="shared" si="9"/>
        <v>42070.64583</v>
      </c>
      <c r="H4088" s="6" t="str">
        <f t="shared" si="6"/>
        <v/>
      </c>
      <c r="I4088" s="2">
        <f t="shared" si="7"/>
        <v>1426.89</v>
      </c>
      <c r="M4088" s="10">
        <f>IFERROR(__xludf.DUMMYFUNCTION("""COMPUTED_VALUE"""),43910.66666666667)</f>
        <v>43910.66667</v>
      </c>
      <c r="N4088" s="2">
        <f>IFERROR(__xludf.DUMMYFUNCTION("""COMPUTED_VALUE"""),6879.52)</f>
        <v>6879.52</v>
      </c>
      <c r="P4088" s="10">
        <f t="shared" si="10"/>
        <v>38079.64583</v>
      </c>
      <c r="Q4088" s="13">
        <v>883.69</v>
      </c>
      <c r="R4088" s="18">
        <v>38079.0</v>
      </c>
    </row>
    <row r="4089">
      <c r="A4089" s="10">
        <f t="shared" si="8"/>
        <v>42071.66667</v>
      </c>
      <c r="B4089" s="2" t="str">
        <f t="shared" si="2"/>
        <v/>
      </c>
      <c r="C4089" s="2" t="str">
        <f t="shared" si="3"/>
        <v>SP500</v>
      </c>
      <c r="D4089" s="2" t="str">
        <f t="shared" si="4"/>
        <v/>
      </c>
      <c r="E4089" s="2">
        <f t="shared" si="5"/>
        <v>4927.37</v>
      </c>
      <c r="G4089" s="10">
        <f t="shared" si="9"/>
        <v>42071.64583</v>
      </c>
      <c r="H4089" s="6" t="str">
        <f t="shared" si="6"/>
        <v/>
      </c>
      <c r="I4089" s="2">
        <f t="shared" si="7"/>
        <v>1426.89</v>
      </c>
      <c r="M4089" s="10">
        <f>IFERROR(__xludf.DUMMYFUNCTION("""COMPUTED_VALUE"""),43913.66666666667)</f>
        <v>43913.66667</v>
      </c>
      <c r="N4089" s="2">
        <f>IFERROR(__xludf.DUMMYFUNCTION("""COMPUTED_VALUE"""),6860.67)</f>
        <v>6860.67</v>
      </c>
      <c r="P4089" s="10">
        <f t="shared" si="10"/>
        <v>38078.64583</v>
      </c>
      <c r="Q4089" s="13">
        <v>882.75</v>
      </c>
      <c r="R4089" s="18">
        <v>38078.0</v>
      </c>
    </row>
    <row r="4090">
      <c r="A4090" s="10">
        <f t="shared" si="8"/>
        <v>42072.66667</v>
      </c>
      <c r="B4090" s="2" t="str">
        <f t="shared" si="2"/>
        <v/>
      </c>
      <c r="C4090" s="2" t="str">
        <f t="shared" si="3"/>
        <v>SP500</v>
      </c>
      <c r="D4090" s="2">
        <f t="shared" si="4"/>
        <v>4942.44</v>
      </c>
      <c r="E4090" s="2">
        <f t="shared" si="5"/>
        <v>4942.44</v>
      </c>
      <c r="G4090" s="10">
        <f t="shared" si="9"/>
        <v>42072.64583</v>
      </c>
      <c r="H4090" s="6" t="str">
        <f t="shared" si="6"/>
        <v/>
      </c>
      <c r="I4090" s="2">
        <f t="shared" si="7"/>
        <v>1426.89</v>
      </c>
      <c r="M4090" s="10">
        <f>IFERROR(__xludf.DUMMYFUNCTION("""COMPUTED_VALUE"""),43914.66666666667)</f>
        <v>43914.66667</v>
      </c>
      <c r="N4090" s="2">
        <f>IFERROR(__xludf.DUMMYFUNCTION("""COMPUTED_VALUE"""),7417.86)</f>
        <v>7417.86</v>
      </c>
      <c r="P4090" s="10">
        <f t="shared" si="10"/>
        <v>38077.64583</v>
      </c>
      <c r="Q4090" s="13">
        <v>880.5</v>
      </c>
      <c r="R4090" s="18">
        <v>38077.0</v>
      </c>
    </row>
    <row r="4091">
      <c r="A4091" s="10">
        <f t="shared" si="8"/>
        <v>42073.66667</v>
      </c>
      <c r="B4091" s="2" t="str">
        <f t="shared" si="2"/>
        <v/>
      </c>
      <c r="C4091" s="2" t="str">
        <f t="shared" si="3"/>
        <v>SP500</v>
      </c>
      <c r="D4091" s="2">
        <f t="shared" si="4"/>
        <v>4859.79</v>
      </c>
      <c r="E4091" s="2">
        <f t="shared" si="5"/>
        <v>4859.79</v>
      </c>
      <c r="G4091" s="10">
        <f t="shared" si="9"/>
        <v>42073.64583</v>
      </c>
      <c r="H4091" s="6" t="str">
        <f t="shared" si="6"/>
        <v/>
      </c>
      <c r="I4091" s="2">
        <f t="shared" si="7"/>
        <v>1426.89</v>
      </c>
      <c r="M4091" s="10">
        <f>IFERROR(__xludf.DUMMYFUNCTION("""COMPUTED_VALUE"""),43915.66666666667)</f>
        <v>43915.66667</v>
      </c>
      <c r="N4091" s="2">
        <f>IFERROR(__xludf.DUMMYFUNCTION("""COMPUTED_VALUE"""),7384.3)</f>
        <v>7384.3</v>
      </c>
      <c r="P4091" s="10">
        <f t="shared" si="10"/>
        <v>38076.64583</v>
      </c>
      <c r="Q4091" s="13">
        <v>873.46</v>
      </c>
      <c r="R4091" s="18">
        <v>38076.0</v>
      </c>
    </row>
    <row r="4092">
      <c r="A4092" s="10">
        <f t="shared" si="8"/>
        <v>42074.66667</v>
      </c>
      <c r="B4092" s="2" t="str">
        <f t="shared" si="2"/>
        <v/>
      </c>
      <c r="C4092" s="2" t="str">
        <f t="shared" si="3"/>
        <v>SP500</v>
      </c>
      <c r="D4092" s="2">
        <f t="shared" si="4"/>
        <v>4849.94</v>
      </c>
      <c r="E4092" s="2">
        <f t="shared" si="5"/>
        <v>4849.94</v>
      </c>
      <c r="G4092" s="10">
        <f t="shared" si="9"/>
        <v>42074.64583</v>
      </c>
      <c r="H4092" s="6" t="str">
        <f t="shared" si="6"/>
        <v/>
      </c>
      <c r="I4092" s="2">
        <f t="shared" si="7"/>
        <v>1426.89</v>
      </c>
      <c r="M4092" s="10">
        <f>IFERROR(__xludf.DUMMYFUNCTION("""COMPUTED_VALUE"""),43916.66666666667)</f>
        <v>43916.66667</v>
      </c>
      <c r="N4092" s="2">
        <f>IFERROR(__xludf.DUMMYFUNCTION("""COMPUTED_VALUE"""),7797.54)</f>
        <v>7797.54</v>
      </c>
      <c r="P4092" s="10">
        <f t="shared" si="10"/>
        <v>38075.64583</v>
      </c>
      <c r="Q4092" s="13">
        <v>874.67</v>
      </c>
      <c r="R4092" s="18">
        <v>38075.0</v>
      </c>
    </row>
    <row r="4093">
      <c r="A4093" s="10">
        <f t="shared" si="8"/>
        <v>42075.66667</v>
      </c>
      <c r="B4093" s="2" t="str">
        <f t="shared" si="2"/>
        <v/>
      </c>
      <c r="C4093" s="2" t="str">
        <f t="shared" si="3"/>
        <v>SP500</v>
      </c>
      <c r="D4093" s="2">
        <f t="shared" si="4"/>
        <v>4893.29</v>
      </c>
      <c r="E4093" s="2">
        <f t="shared" si="5"/>
        <v>4893.29</v>
      </c>
      <c r="G4093" s="10">
        <f t="shared" si="9"/>
        <v>42075.64583</v>
      </c>
      <c r="H4093" s="6" t="str">
        <f t="shared" si="6"/>
        <v/>
      </c>
      <c r="I4093" s="2">
        <f t="shared" si="7"/>
        <v>1426.89</v>
      </c>
      <c r="M4093" s="10">
        <f>IFERROR(__xludf.DUMMYFUNCTION("""COMPUTED_VALUE"""),43917.66666666667)</f>
        <v>43917.66667</v>
      </c>
      <c r="N4093" s="2">
        <f>IFERROR(__xludf.DUMMYFUNCTION("""COMPUTED_VALUE"""),7502.38)</f>
        <v>7502.38</v>
      </c>
      <c r="P4093" s="10">
        <f t="shared" si="10"/>
        <v>38072.64583</v>
      </c>
      <c r="Q4093" s="13">
        <v>863.95</v>
      </c>
      <c r="R4093" s="18">
        <v>38072.0</v>
      </c>
    </row>
    <row r="4094">
      <c r="A4094" s="10">
        <f t="shared" si="8"/>
        <v>42076.66667</v>
      </c>
      <c r="B4094" s="2" t="str">
        <f t="shared" si="2"/>
        <v/>
      </c>
      <c r="C4094" s="2" t="str">
        <f t="shared" si="3"/>
        <v>SP500</v>
      </c>
      <c r="D4094" s="2">
        <f t="shared" si="4"/>
        <v>4871.76</v>
      </c>
      <c r="E4094" s="2">
        <f t="shared" si="5"/>
        <v>4871.76</v>
      </c>
      <c r="G4094" s="10">
        <f t="shared" si="9"/>
        <v>42076.64583</v>
      </c>
      <c r="H4094" s="6" t="str">
        <f t="shared" si="6"/>
        <v/>
      </c>
      <c r="I4094" s="2">
        <f t="shared" si="7"/>
        <v>1426.89</v>
      </c>
      <c r="M4094" s="10">
        <f>IFERROR(__xludf.DUMMYFUNCTION("""COMPUTED_VALUE"""),43920.66666666667)</f>
        <v>43920.66667</v>
      </c>
      <c r="N4094" s="2">
        <f>IFERROR(__xludf.DUMMYFUNCTION("""COMPUTED_VALUE"""),7774.15)</f>
        <v>7774.15</v>
      </c>
      <c r="P4094" s="10">
        <f t="shared" si="10"/>
        <v>38071.64583</v>
      </c>
      <c r="Q4094" s="13">
        <v>853.38</v>
      </c>
      <c r="R4094" s="18">
        <v>38071.0</v>
      </c>
    </row>
    <row r="4095">
      <c r="A4095" s="10">
        <f t="shared" si="8"/>
        <v>42077.66667</v>
      </c>
      <c r="B4095" s="2" t="str">
        <f t="shared" si="2"/>
        <v/>
      </c>
      <c r="C4095" s="2" t="str">
        <f t="shared" si="3"/>
        <v>SP500</v>
      </c>
      <c r="D4095" s="2" t="str">
        <f t="shared" si="4"/>
        <v/>
      </c>
      <c r="E4095" s="2">
        <f t="shared" si="5"/>
        <v>4871.76</v>
      </c>
      <c r="G4095" s="10">
        <f t="shared" si="9"/>
        <v>42077.64583</v>
      </c>
      <c r="H4095" s="6" t="str">
        <f t="shared" si="6"/>
        <v/>
      </c>
      <c r="I4095" s="2">
        <f t="shared" si="7"/>
        <v>1426.89</v>
      </c>
      <c r="M4095" s="10">
        <f>IFERROR(__xludf.DUMMYFUNCTION("""COMPUTED_VALUE"""),43921.66666666667)</f>
        <v>43921.66667</v>
      </c>
      <c r="N4095" s="2">
        <f>IFERROR(__xludf.DUMMYFUNCTION("""COMPUTED_VALUE"""),7700.1)</f>
        <v>7700.1</v>
      </c>
      <c r="P4095" s="10">
        <f t="shared" si="10"/>
        <v>38070.64583</v>
      </c>
      <c r="Q4095" s="13">
        <v>861.72</v>
      </c>
      <c r="R4095" s="18">
        <v>38070.0</v>
      </c>
    </row>
    <row r="4096">
      <c r="A4096" s="10">
        <f t="shared" si="8"/>
        <v>42078.66667</v>
      </c>
      <c r="B4096" s="2" t="str">
        <f t="shared" si="2"/>
        <v/>
      </c>
      <c r="C4096" s="2" t="str">
        <f t="shared" si="3"/>
        <v>SP500</v>
      </c>
      <c r="D4096" s="2" t="str">
        <f t="shared" si="4"/>
        <v/>
      </c>
      <c r="E4096" s="2">
        <f t="shared" si="5"/>
        <v>4871.76</v>
      </c>
      <c r="G4096" s="10">
        <f t="shared" si="9"/>
        <v>42078.64583</v>
      </c>
      <c r="H4096" s="6" t="str">
        <f t="shared" si="6"/>
        <v/>
      </c>
      <c r="I4096" s="2">
        <f t="shared" si="7"/>
        <v>1426.89</v>
      </c>
      <c r="M4096" s="10">
        <f>IFERROR(__xludf.DUMMYFUNCTION("""COMPUTED_VALUE"""),43922.66666666667)</f>
        <v>43922.66667</v>
      </c>
      <c r="N4096" s="2">
        <f>IFERROR(__xludf.DUMMYFUNCTION("""COMPUTED_VALUE"""),7360.58)</f>
        <v>7360.58</v>
      </c>
      <c r="P4096" s="10">
        <f t="shared" si="10"/>
        <v>38069.64583</v>
      </c>
      <c r="Q4096" s="13">
        <v>866.17</v>
      </c>
      <c r="R4096" s="18">
        <v>38069.0</v>
      </c>
    </row>
    <row r="4097">
      <c r="A4097" s="10">
        <f t="shared" si="8"/>
        <v>42079.66667</v>
      </c>
      <c r="B4097" s="2" t="str">
        <f t="shared" si="2"/>
        <v/>
      </c>
      <c r="C4097" s="2" t="str">
        <f t="shared" si="3"/>
        <v>SP500</v>
      </c>
      <c r="D4097" s="2">
        <f t="shared" si="4"/>
        <v>4929.51</v>
      </c>
      <c r="E4097" s="2">
        <f t="shared" si="5"/>
        <v>4929.51</v>
      </c>
      <c r="G4097" s="10">
        <f t="shared" si="9"/>
        <v>42079.64583</v>
      </c>
      <c r="H4097" s="6" t="str">
        <f t="shared" si="6"/>
        <v/>
      </c>
      <c r="I4097" s="2">
        <f t="shared" si="7"/>
        <v>1426.89</v>
      </c>
      <c r="M4097" s="10">
        <f>IFERROR(__xludf.DUMMYFUNCTION("""COMPUTED_VALUE"""),43923.66666666667)</f>
        <v>43923.66667</v>
      </c>
      <c r="N4097" s="2">
        <f>IFERROR(__xludf.DUMMYFUNCTION("""COMPUTED_VALUE"""),7487.31)</f>
        <v>7487.31</v>
      </c>
      <c r="P4097" s="10">
        <f t="shared" si="10"/>
        <v>38068.64583</v>
      </c>
      <c r="Q4097" s="13">
        <v>863.69</v>
      </c>
      <c r="R4097" s="18">
        <v>38068.0</v>
      </c>
    </row>
    <row r="4098">
      <c r="A4098" s="10">
        <f t="shared" si="8"/>
        <v>42080.66667</v>
      </c>
      <c r="B4098" s="2" t="str">
        <f t="shared" si="2"/>
        <v/>
      </c>
      <c r="C4098" s="2" t="str">
        <f t="shared" si="3"/>
        <v>SP500</v>
      </c>
      <c r="D4098" s="2">
        <f t="shared" si="4"/>
        <v>4937.43</v>
      </c>
      <c r="E4098" s="2">
        <f t="shared" si="5"/>
        <v>4937.43</v>
      </c>
      <c r="G4098" s="10">
        <f t="shared" si="9"/>
        <v>42080.64583</v>
      </c>
      <c r="H4098" s="6" t="str">
        <f t="shared" si="6"/>
        <v/>
      </c>
      <c r="I4098" s="2">
        <f t="shared" si="7"/>
        <v>1426.89</v>
      </c>
      <c r="M4098" s="10">
        <f>IFERROR(__xludf.DUMMYFUNCTION("""COMPUTED_VALUE"""),43924.66666666667)</f>
        <v>43924.66667</v>
      </c>
      <c r="N4098" s="2">
        <f>IFERROR(__xludf.DUMMYFUNCTION("""COMPUTED_VALUE"""),7373.08)</f>
        <v>7373.08</v>
      </c>
      <c r="P4098" s="10">
        <f t="shared" si="10"/>
        <v>38065.64583</v>
      </c>
      <c r="Q4098" s="13">
        <v>883.33</v>
      </c>
      <c r="R4098" s="18">
        <v>38065.0</v>
      </c>
    </row>
    <row r="4099">
      <c r="A4099" s="10">
        <f t="shared" si="8"/>
        <v>42081.66667</v>
      </c>
      <c r="B4099" s="2" t="str">
        <f t="shared" si="2"/>
        <v/>
      </c>
      <c r="C4099" s="2" t="str">
        <f t="shared" si="3"/>
        <v>SP500</v>
      </c>
      <c r="D4099" s="2">
        <f t="shared" si="4"/>
        <v>4982.83</v>
      </c>
      <c r="E4099" s="2">
        <f t="shared" si="5"/>
        <v>4982.83</v>
      </c>
      <c r="G4099" s="10">
        <f t="shared" si="9"/>
        <v>42081.64583</v>
      </c>
      <c r="H4099" s="6" t="str">
        <f t="shared" si="6"/>
        <v/>
      </c>
      <c r="I4099" s="2">
        <f t="shared" si="7"/>
        <v>1426.89</v>
      </c>
      <c r="M4099" s="10">
        <f>IFERROR(__xludf.DUMMYFUNCTION("""COMPUTED_VALUE"""),43927.66666666667)</f>
        <v>43927.66667</v>
      </c>
      <c r="N4099" s="2">
        <f>IFERROR(__xludf.DUMMYFUNCTION("""COMPUTED_VALUE"""),7913.24)</f>
        <v>7913.24</v>
      </c>
      <c r="P4099" s="10">
        <f t="shared" si="10"/>
        <v>38064.64583</v>
      </c>
      <c r="Q4099" s="13">
        <v>872.82</v>
      </c>
      <c r="R4099" s="18">
        <v>38064.0</v>
      </c>
    </row>
    <row r="4100">
      <c r="A4100" s="10">
        <f t="shared" si="8"/>
        <v>42082.66667</v>
      </c>
      <c r="B4100" s="2" t="str">
        <f t="shared" si="2"/>
        <v/>
      </c>
      <c r="C4100" s="2" t="str">
        <f t="shared" si="3"/>
        <v>SP500</v>
      </c>
      <c r="D4100" s="2">
        <f t="shared" si="4"/>
        <v>4992.38</v>
      </c>
      <c r="E4100" s="2">
        <f t="shared" si="5"/>
        <v>4992.38</v>
      </c>
      <c r="G4100" s="10">
        <f t="shared" si="9"/>
        <v>42082.64583</v>
      </c>
      <c r="H4100" s="6" t="str">
        <f t="shared" si="6"/>
        <v/>
      </c>
      <c r="I4100" s="2">
        <f t="shared" si="7"/>
        <v>1426.89</v>
      </c>
      <c r="M4100" s="10">
        <f>IFERROR(__xludf.DUMMYFUNCTION("""COMPUTED_VALUE"""),43928.66666666667)</f>
        <v>43928.66667</v>
      </c>
      <c r="N4100" s="2">
        <f>IFERROR(__xludf.DUMMYFUNCTION("""COMPUTED_VALUE"""),7887.26)</f>
        <v>7887.26</v>
      </c>
      <c r="P4100" s="10">
        <f t="shared" si="10"/>
        <v>38063.64583</v>
      </c>
      <c r="Q4100" s="13">
        <v>872.38</v>
      </c>
      <c r="R4100" s="18">
        <v>38063.0</v>
      </c>
    </row>
    <row r="4101">
      <c r="A4101" s="10">
        <f t="shared" si="8"/>
        <v>42083.66667</v>
      </c>
      <c r="B4101" s="2" t="str">
        <f t="shared" si="2"/>
        <v/>
      </c>
      <c r="C4101" s="2" t="str">
        <f t="shared" si="3"/>
        <v>SP500</v>
      </c>
      <c r="D4101" s="2">
        <f t="shared" si="4"/>
        <v>5026.42</v>
      </c>
      <c r="E4101" s="2">
        <f t="shared" si="5"/>
        <v>5026.42</v>
      </c>
      <c r="G4101" s="10">
        <f t="shared" si="9"/>
        <v>42083.64583</v>
      </c>
      <c r="H4101" s="6" t="str">
        <f t="shared" si="6"/>
        <v/>
      </c>
      <c r="I4101" s="2">
        <f t="shared" si="7"/>
        <v>1426.89</v>
      </c>
      <c r="M4101" s="10">
        <f>IFERROR(__xludf.DUMMYFUNCTION("""COMPUTED_VALUE"""),43929.66666666667)</f>
        <v>43929.66667</v>
      </c>
      <c r="N4101" s="2">
        <f>IFERROR(__xludf.DUMMYFUNCTION("""COMPUTED_VALUE"""),8090.9)</f>
        <v>8090.9</v>
      </c>
      <c r="P4101" s="10">
        <f t="shared" si="10"/>
        <v>38062.64583</v>
      </c>
      <c r="Q4101" s="13">
        <v>850.13</v>
      </c>
      <c r="R4101" s="18">
        <v>38062.0</v>
      </c>
    </row>
    <row r="4102">
      <c r="A4102" s="10">
        <f t="shared" si="8"/>
        <v>42084.66667</v>
      </c>
      <c r="B4102" s="2" t="str">
        <f t="shared" si="2"/>
        <v/>
      </c>
      <c r="C4102" s="2" t="str">
        <f t="shared" si="3"/>
        <v>SP500</v>
      </c>
      <c r="D4102" s="2" t="str">
        <f t="shared" si="4"/>
        <v/>
      </c>
      <c r="E4102" s="2">
        <f t="shared" si="5"/>
        <v>5026.42</v>
      </c>
      <c r="G4102" s="10">
        <f t="shared" si="9"/>
        <v>42084.64583</v>
      </c>
      <c r="H4102" s="6" t="str">
        <f t="shared" si="6"/>
        <v/>
      </c>
      <c r="I4102" s="2">
        <f t="shared" si="7"/>
        <v>1426.89</v>
      </c>
      <c r="M4102" s="10">
        <f>IFERROR(__xludf.DUMMYFUNCTION("""COMPUTED_VALUE"""),43930.66666666667)</f>
        <v>43930.66667</v>
      </c>
      <c r="N4102" s="2">
        <f>IFERROR(__xludf.DUMMYFUNCTION("""COMPUTED_VALUE"""),8153.58)</f>
        <v>8153.58</v>
      </c>
      <c r="P4102" s="10">
        <f t="shared" si="10"/>
        <v>38061.64583</v>
      </c>
      <c r="Q4102" s="13">
        <v>852.26</v>
      </c>
      <c r="R4102" s="18">
        <v>38061.0</v>
      </c>
    </row>
    <row r="4103">
      <c r="A4103" s="10">
        <f t="shared" si="8"/>
        <v>42085.66667</v>
      </c>
      <c r="B4103" s="2" t="str">
        <f t="shared" si="2"/>
        <v/>
      </c>
      <c r="C4103" s="2" t="str">
        <f t="shared" si="3"/>
        <v>SP500</v>
      </c>
      <c r="D4103" s="2" t="str">
        <f t="shared" si="4"/>
        <v/>
      </c>
      <c r="E4103" s="2">
        <f t="shared" si="5"/>
        <v>5026.42</v>
      </c>
      <c r="G4103" s="10">
        <f t="shared" si="9"/>
        <v>42085.64583</v>
      </c>
      <c r="H4103" s="6" t="str">
        <f t="shared" si="6"/>
        <v/>
      </c>
      <c r="I4103" s="2">
        <f t="shared" si="7"/>
        <v>1426.89</v>
      </c>
      <c r="M4103" s="10">
        <f>IFERROR(__xludf.DUMMYFUNCTION("""COMPUTED_VALUE"""),43934.66666666667)</f>
        <v>43934.66667</v>
      </c>
      <c r="N4103" s="2">
        <f>IFERROR(__xludf.DUMMYFUNCTION("""COMPUTED_VALUE"""),8192.42)</f>
        <v>8192.42</v>
      </c>
      <c r="P4103" s="10">
        <f t="shared" si="10"/>
        <v>38058.64583</v>
      </c>
      <c r="Q4103" s="13">
        <v>848.8</v>
      </c>
      <c r="R4103" s="18">
        <v>38058.0</v>
      </c>
    </row>
    <row r="4104">
      <c r="A4104" s="10">
        <f t="shared" si="8"/>
        <v>42086.66667</v>
      </c>
      <c r="B4104" s="2" t="str">
        <f t="shared" si="2"/>
        <v/>
      </c>
      <c r="C4104" s="2" t="str">
        <f t="shared" si="3"/>
        <v>SP500</v>
      </c>
      <c r="D4104" s="2">
        <f t="shared" si="4"/>
        <v>5010.97</v>
      </c>
      <c r="E4104" s="2">
        <f t="shared" si="5"/>
        <v>5010.97</v>
      </c>
      <c r="G4104" s="10">
        <f t="shared" si="9"/>
        <v>42086.64583</v>
      </c>
      <c r="H4104" s="6" t="str">
        <f t="shared" si="6"/>
        <v/>
      </c>
      <c r="I4104" s="2">
        <f t="shared" si="7"/>
        <v>1426.89</v>
      </c>
      <c r="M4104" s="10">
        <f>IFERROR(__xludf.DUMMYFUNCTION("""COMPUTED_VALUE"""),43935.66666666667)</f>
        <v>43935.66667</v>
      </c>
      <c r="N4104" s="2">
        <f>IFERROR(__xludf.DUMMYFUNCTION("""COMPUTED_VALUE"""),8515.74)</f>
        <v>8515.74</v>
      </c>
      <c r="P4104" s="10">
        <f t="shared" si="10"/>
        <v>38057.64583</v>
      </c>
      <c r="Q4104" s="13">
        <v>869.93</v>
      </c>
      <c r="R4104" s="18">
        <v>38057.0</v>
      </c>
    </row>
    <row r="4105">
      <c r="A4105" s="10">
        <f t="shared" si="8"/>
        <v>42087.66667</v>
      </c>
      <c r="B4105" s="2" t="str">
        <f t="shared" si="2"/>
        <v/>
      </c>
      <c r="C4105" s="2" t="str">
        <f t="shared" si="3"/>
        <v>SP500</v>
      </c>
      <c r="D4105" s="2">
        <f t="shared" si="4"/>
        <v>4994.73</v>
      </c>
      <c r="E4105" s="2">
        <f t="shared" si="5"/>
        <v>4994.73</v>
      </c>
      <c r="G4105" s="10">
        <f t="shared" si="9"/>
        <v>42087.64583</v>
      </c>
      <c r="H4105" s="6" t="str">
        <f t="shared" si="6"/>
        <v/>
      </c>
      <c r="I4105" s="2">
        <f t="shared" si="7"/>
        <v>1426.89</v>
      </c>
      <c r="M4105" s="10">
        <f>IFERROR(__xludf.DUMMYFUNCTION("""COMPUTED_VALUE"""),43936.66666666667)</f>
        <v>43936.66667</v>
      </c>
      <c r="N4105" s="2">
        <f>IFERROR(__xludf.DUMMYFUNCTION("""COMPUTED_VALUE"""),8393.18)</f>
        <v>8393.18</v>
      </c>
      <c r="P4105" s="10">
        <f t="shared" si="10"/>
        <v>38056.64583</v>
      </c>
      <c r="Q4105" s="13">
        <v>876.02</v>
      </c>
      <c r="R4105" s="18">
        <v>38056.0</v>
      </c>
    </row>
    <row r="4106">
      <c r="A4106" s="10">
        <f t="shared" si="8"/>
        <v>42088.66667</v>
      </c>
      <c r="B4106" s="2" t="str">
        <f t="shared" si="2"/>
        <v/>
      </c>
      <c r="C4106" s="2" t="str">
        <f t="shared" si="3"/>
        <v>SP500</v>
      </c>
      <c r="D4106" s="2">
        <f t="shared" si="4"/>
        <v>4876.52</v>
      </c>
      <c r="E4106" s="2">
        <f t="shared" si="5"/>
        <v>4876.52</v>
      </c>
      <c r="G4106" s="10">
        <f t="shared" si="9"/>
        <v>42088.64583</v>
      </c>
      <c r="H4106" s="6" t="str">
        <f t="shared" si="6"/>
        <v/>
      </c>
      <c r="I4106" s="2">
        <f t="shared" si="7"/>
        <v>1426.89</v>
      </c>
      <c r="M4106" s="10">
        <f>IFERROR(__xludf.DUMMYFUNCTION("""COMPUTED_VALUE"""),43937.66666666667)</f>
        <v>43937.66667</v>
      </c>
      <c r="N4106" s="2">
        <f>IFERROR(__xludf.DUMMYFUNCTION("""COMPUTED_VALUE"""),8532.36)</f>
        <v>8532.36</v>
      </c>
      <c r="P4106" s="10">
        <f t="shared" si="10"/>
        <v>38055.64583</v>
      </c>
      <c r="Q4106" s="13">
        <v>891.58</v>
      </c>
      <c r="R4106" s="18">
        <v>38055.0</v>
      </c>
    </row>
    <row r="4107">
      <c r="A4107" s="10">
        <f t="shared" si="8"/>
        <v>42089.66667</v>
      </c>
      <c r="B4107" s="2" t="str">
        <f t="shared" si="2"/>
        <v/>
      </c>
      <c r="C4107" s="2" t="str">
        <f t="shared" si="3"/>
        <v>SP500</v>
      </c>
      <c r="D4107" s="2">
        <f t="shared" si="4"/>
        <v>4863.36</v>
      </c>
      <c r="E4107" s="2">
        <f t="shared" si="5"/>
        <v>4863.36</v>
      </c>
      <c r="G4107" s="10">
        <f t="shared" si="9"/>
        <v>42089.64583</v>
      </c>
      <c r="H4107" s="6" t="str">
        <f t="shared" si="6"/>
        <v/>
      </c>
      <c r="I4107" s="2">
        <f t="shared" si="7"/>
        <v>1426.89</v>
      </c>
      <c r="M4107" s="10">
        <f>IFERROR(__xludf.DUMMYFUNCTION("""COMPUTED_VALUE"""),43938.66666666667)</f>
        <v>43938.66667</v>
      </c>
      <c r="N4107" s="2">
        <f>IFERROR(__xludf.DUMMYFUNCTION("""COMPUTED_VALUE"""),8650.14)</f>
        <v>8650.14</v>
      </c>
      <c r="P4107" s="10">
        <f t="shared" si="10"/>
        <v>38054.64583</v>
      </c>
      <c r="Q4107" s="13">
        <v>900.1</v>
      </c>
      <c r="R4107" s="18">
        <v>38054.0</v>
      </c>
    </row>
    <row r="4108">
      <c r="A4108" s="10">
        <f t="shared" si="8"/>
        <v>42090.66667</v>
      </c>
      <c r="B4108" s="2" t="str">
        <f t="shared" si="2"/>
        <v/>
      </c>
      <c r="C4108" s="2" t="str">
        <f t="shared" si="3"/>
        <v>SP500</v>
      </c>
      <c r="D4108" s="2">
        <f t="shared" si="4"/>
        <v>4891.22</v>
      </c>
      <c r="E4108" s="2">
        <f t="shared" si="5"/>
        <v>4891.22</v>
      </c>
      <c r="G4108" s="10">
        <f t="shared" si="9"/>
        <v>42090.64583</v>
      </c>
      <c r="H4108" s="6" t="str">
        <f t="shared" si="6"/>
        <v/>
      </c>
      <c r="I4108" s="2">
        <f t="shared" si="7"/>
        <v>1426.89</v>
      </c>
      <c r="M4108" s="10">
        <f>IFERROR(__xludf.DUMMYFUNCTION("""COMPUTED_VALUE"""),43941.66666666667)</f>
        <v>43941.66667</v>
      </c>
      <c r="N4108" s="2">
        <f>IFERROR(__xludf.DUMMYFUNCTION("""COMPUTED_VALUE"""),8560.73)</f>
        <v>8560.73</v>
      </c>
      <c r="P4108" s="10">
        <f t="shared" si="10"/>
        <v>38051.64583</v>
      </c>
      <c r="Q4108" s="13">
        <v>905.38</v>
      </c>
      <c r="R4108" s="18">
        <v>38051.0</v>
      </c>
    </row>
    <row r="4109">
      <c r="A4109" s="10">
        <f t="shared" si="8"/>
        <v>42091.66667</v>
      </c>
      <c r="B4109" s="2" t="str">
        <f t="shared" si="2"/>
        <v/>
      </c>
      <c r="C4109" s="2" t="str">
        <f t="shared" si="3"/>
        <v>SP500</v>
      </c>
      <c r="D4109" s="2" t="str">
        <f t="shared" si="4"/>
        <v/>
      </c>
      <c r="E4109" s="2">
        <f t="shared" si="5"/>
        <v>4891.22</v>
      </c>
      <c r="G4109" s="10">
        <f t="shared" si="9"/>
        <v>42091.64583</v>
      </c>
      <c r="H4109" s="6" t="str">
        <f t="shared" si="6"/>
        <v/>
      </c>
      <c r="I4109" s="2">
        <f t="shared" si="7"/>
        <v>1426.89</v>
      </c>
      <c r="M4109" s="10">
        <f>IFERROR(__xludf.DUMMYFUNCTION("""COMPUTED_VALUE"""),43942.66666666667)</f>
        <v>43942.66667</v>
      </c>
      <c r="N4109" s="2">
        <f>IFERROR(__xludf.DUMMYFUNCTION("""COMPUTED_VALUE"""),8263.23)</f>
        <v>8263.23</v>
      </c>
      <c r="P4109" s="10">
        <f t="shared" si="10"/>
        <v>38050.64583</v>
      </c>
      <c r="Q4109" s="13">
        <v>907.43</v>
      </c>
      <c r="R4109" s="18">
        <v>38050.0</v>
      </c>
    </row>
    <row r="4110">
      <c r="A4110" s="10">
        <f t="shared" si="8"/>
        <v>42092.66667</v>
      </c>
      <c r="B4110" s="2" t="str">
        <f t="shared" si="2"/>
        <v/>
      </c>
      <c r="C4110" s="2" t="str">
        <f t="shared" si="3"/>
        <v>SP500</v>
      </c>
      <c r="D4110" s="2" t="str">
        <f t="shared" si="4"/>
        <v/>
      </c>
      <c r="E4110" s="2">
        <f t="shared" si="5"/>
        <v>4891.22</v>
      </c>
      <c r="G4110" s="10">
        <f t="shared" si="9"/>
        <v>42092.64583</v>
      </c>
      <c r="H4110" s="6" t="str">
        <f t="shared" si="6"/>
        <v/>
      </c>
      <c r="I4110" s="2">
        <f t="shared" si="7"/>
        <v>1426.89</v>
      </c>
      <c r="M4110" s="10">
        <f>IFERROR(__xludf.DUMMYFUNCTION("""COMPUTED_VALUE"""),43943.66666666667)</f>
        <v>43943.66667</v>
      </c>
      <c r="N4110" s="2">
        <f>IFERROR(__xludf.DUMMYFUNCTION("""COMPUTED_VALUE"""),8495.38)</f>
        <v>8495.38</v>
      </c>
      <c r="P4110" s="10">
        <f t="shared" si="10"/>
        <v>38049.64583</v>
      </c>
      <c r="Q4110" s="13">
        <v>895.81</v>
      </c>
      <c r="R4110" s="18">
        <v>38049.0</v>
      </c>
    </row>
    <row r="4111">
      <c r="A4111" s="10">
        <f t="shared" si="8"/>
        <v>42093.66667</v>
      </c>
      <c r="B4111" s="2" t="str">
        <f t="shared" si="2"/>
        <v/>
      </c>
      <c r="C4111" s="2" t="str">
        <f t="shared" si="3"/>
        <v>SP500</v>
      </c>
      <c r="D4111" s="2">
        <f t="shared" si="4"/>
        <v>4947.44</v>
      </c>
      <c r="E4111" s="2">
        <f t="shared" si="5"/>
        <v>4947.44</v>
      </c>
      <c r="G4111" s="10">
        <f t="shared" si="9"/>
        <v>42093.64583</v>
      </c>
      <c r="H4111" s="6" t="str">
        <f t="shared" si="6"/>
        <v/>
      </c>
      <c r="I4111" s="2">
        <f t="shared" si="7"/>
        <v>1426.89</v>
      </c>
      <c r="M4111" s="10">
        <f>IFERROR(__xludf.DUMMYFUNCTION("""COMPUTED_VALUE"""),43944.66666666667)</f>
        <v>43944.66667</v>
      </c>
      <c r="N4111" s="2">
        <f>IFERROR(__xludf.DUMMYFUNCTION("""COMPUTED_VALUE"""),8494.75)</f>
        <v>8494.75</v>
      </c>
      <c r="P4111" s="10">
        <f t="shared" si="10"/>
        <v>38048.64583</v>
      </c>
      <c r="Q4111" s="13">
        <v>899.21</v>
      </c>
      <c r="R4111" s="18">
        <v>38048.0</v>
      </c>
    </row>
    <row r="4112">
      <c r="A4112" s="10">
        <f t="shared" si="8"/>
        <v>42094.66667</v>
      </c>
      <c r="B4112" s="2" t="str">
        <f t="shared" si="2"/>
        <v/>
      </c>
      <c r="C4112" s="2" t="str">
        <f t="shared" si="3"/>
        <v>SP500</v>
      </c>
      <c r="D4112" s="2">
        <f t="shared" si="4"/>
        <v>4900.88</v>
      </c>
      <c r="E4112" s="2">
        <f t="shared" si="5"/>
        <v>4900.88</v>
      </c>
      <c r="G4112" s="10">
        <f t="shared" si="9"/>
        <v>42094.64583</v>
      </c>
      <c r="H4112" s="6" t="str">
        <f t="shared" si="6"/>
        <v/>
      </c>
      <c r="I4112" s="2">
        <f t="shared" si="7"/>
        <v>1426.89</v>
      </c>
      <c r="M4112" s="10">
        <f>IFERROR(__xludf.DUMMYFUNCTION("""COMPUTED_VALUE"""),43945.66666666667)</f>
        <v>43945.66667</v>
      </c>
      <c r="N4112" s="2">
        <f>IFERROR(__xludf.DUMMYFUNCTION("""COMPUTED_VALUE"""),8634.52)</f>
        <v>8634.52</v>
      </c>
      <c r="P4112" s="10">
        <f t="shared" si="10"/>
        <v>38044.64583</v>
      </c>
      <c r="Q4112" s="13">
        <v>883.42</v>
      </c>
      <c r="R4112" s="18">
        <v>38044.0</v>
      </c>
    </row>
    <row r="4113">
      <c r="A4113" s="10">
        <f t="shared" si="8"/>
        <v>42095.66667</v>
      </c>
      <c r="B4113" s="2" t="str">
        <f t="shared" si="2"/>
        <v/>
      </c>
      <c r="C4113" s="2" t="str">
        <f t="shared" si="3"/>
        <v>SP500</v>
      </c>
      <c r="D4113" s="2">
        <f t="shared" si="4"/>
        <v>4880.23</v>
      </c>
      <c r="E4113" s="2">
        <f t="shared" si="5"/>
        <v>4880.23</v>
      </c>
      <c r="G4113" s="10">
        <f t="shared" si="9"/>
        <v>42095.64583</v>
      </c>
      <c r="H4113" s="6" t="str">
        <f t="shared" si="6"/>
        <v/>
      </c>
      <c r="I4113" s="2">
        <f t="shared" si="7"/>
        <v>1426.89</v>
      </c>
      <c r="M4113" s="10">
        <f>IFERROR(__xludf.DUMMYFUNCTION("""COMPUTED_VALUE"""),43948.66666666667)</f>
        <v>43948.66667</v>
      </c>
      <c r="N4113" s="2">
        <f>IFERROR(__xludf.DUMMYFUNCTION("""COMPUTED_VALUE"""),8730.16)</f>
        <v>8730.16</v>
      </c>
      <c r="P4113" s="10">
        <f t="shared" si="10"/>
        <v>38043.64583</v>
      </c>
      <c r="Q4113" s="13">
        <v>864.86</v>
      </c>
      <c r="R4113" s="18">
        <v>38043.0</v>
      </c>
    </row>
    <row r="4114">
      <c r="A4114" s="10">
        <f t="shared" si="8"/>
        <v>42096.66667</v>
      </c>
      <c r="B4114" s="2" t="str">
        <f t="shared" si="2"/>
        <v/>
      </c>
      <c r="C4114" s="2" t="str">
        <f t="shared" si="3"/>
        <v>SP500</v>
      </c>
      <c r="D4114" s="2">
        <f t="shared" si="4"/>
        <v>4886.94</v>
      </c>
      <c r="E4114" s="2">
        <f t="shared" si="5"/>
        <v>4886.94</v>
      </c>
      <c r="G4114" s="10">
        <f t="shared" si="9"/>
        <v>42096.64583</v>
      </c>
      <c r="H4114" s="6" t="str">
        <f t="shared" si="6"/>
        <v/>
      </c>
      <c r="I4114" s="2">
        <f t="shared" si="7"/>
        <v>1426.89</v>
      </c>
      <c r="M4114" s="10">
        <f>IFERROR(__xludf.DUMMYFUNCTION("""COMPUTED_VALUE"""),43949.66666666667)</f>
        <v>43949.66667</v>
      </c>
      <c r="N4114" s="2">
        <f>IFERROR(__xludf.DUMMYFUNCTION("""COMPUTED_VALUE"""),8607.73)</f>
        <v>8607.73</v>
      </c>
      <c r="P4114" s="10">
        <f t="shared" si="10"/>
        <v>38042.64583</v>
      </c>
      <c r="Q4114" s="13">
        <v>866.87</v>
      </c>
      <c r="R4114" s="18">
        <v>38042.0</v>
      </c>
    </row>
    <row r="4115">
      <c r="A4115" s="10">
        <f t="shared" si="8"/>
        <v>42097.66667</v>
      </c>
      <c r="B4115" s="2" t="str">
        <f t="shared" si="2"/>
        <v/>
      </c>
      <c r="C4115" s="2" t="str">
        <f t="shared" si="3"/>
        <v>SP500</v>
      </c>
      <c r="D4115" s="2" t="str">
        <f t="shared" si="4"/>
        <v/>
      </c>
      <c r="E4115" s="2">
        <f t="shared" si="5"/>
        <v>4886.94</v>
      </c>
      <c r="G4115" s="10">
        <f t="shared" si="9"/>
        <v>42097.64583</v>
      </c>
      <c r="H4115" s="6" t="str">
        <f t="shared" si="6"/>
        <v/>
      </c>
      <c r="I4115" s="2">
        <f t="shared" si="7"/>
        <v>1426.89</v>
      </c>
      <c r="M4115" s="10">
        <f>IFERROR(__xludf.DUMMYFUNCTION("""COMPUTED_VALUE"""),43950.66666666667)</f>
        <v>43950.66667</v>
      </c>
      <c r="N4115" s="2">
        <f>IFERROR(__xludf.DUMMYFUNCTION("""COMPUTED_VALUE"""),8914.71)</f>
        <v>8914.71</v>
      </c>
      <c r="P4115" s="10">
        <f t="shared" si="10"/>
        <v>38041.64583</v>
      </c>
      <c r="Q4115" s="13">
        <v>864.59</v>
      </c>
      <c r="R4115" s="18">
        <v>38041.0</v>
      </c>
    </row>
    <row r="4116">
      <c r="A4116" s="10">
        <f t="shared" si="8"/>
        <v>42098.66667</v>
      </c>
      <c r="B4116" s="2" t="str">
        <f t="shared" si="2"/>
        <v/>
      </c>
      <c r="C4116" s="2" t="str">
        <f t="shared" si="3"/>
        <v>SP500</v>
      </c>
      <c r="D4116" s="2" t="str">
        <f t="shared" si="4"/>
        <v/>
      </c>
      <c r="E4116" s="2">
        <f t="shared" si="5"/>
        <v>4886.94</v>
      </c>
      <c r="G4116" s="10">
        <f t="shared" si="9"/>
        <v>42098.64583</v>
      </c>
      <c r="H4116" s="6" t="str">
        <f t="shared" si="6"/>
        <v/>
      </c>
      <c r="I4116" s="2">
        <f t="shared" si="7"/>
        <v>1426.89</v>
      </c>
      <c r="M4116" s="10">
        <f>IFERROR(__xludf.DUMMYFUNCTION("""COMPUTED_VALUE"""),43951.66666666667)</f>
        <v>43951.66667</v>
      </c>
      <c r="N4116" s="2">
        <f>IFERROR(__xludf.DUMMYFUNCTION("""COMPUTED_VALUE"""),8889.55)</f>
        <v>8889.55</v>
      </c>
      <c r="P4116" s="10">
        <f t="shared" si="10"/>
        <v>38040.64583</v>
      </c>
      <c r="Q4116" s="13">
        <v>877.52</v>
      </c>
      <c r="R4116" s="18">
        <v>38040.0</v>
      </c>
    </row>
    <row r="4117">
      <c r="A4117" s="10">
        <f t="shared" si="8"/>
        <v>42099.66667</v>
      </c>
      <c r="B4117" s="2" t="str">
        <f t="shared" si="2"/>
        <v/>
      </c>
      <c r="C4117" s="2" t="str">
        <f t="shared" si="3"/>
        <v>SP500</v>
      </c>
      <c r="D4117" s="2" t="str">
        <f t="shared" si="4"/>
        <v/>
      </c>
      <c r="E4117" s="2">
        <f t="shared" si="5"/>
        <v>4886.94</v>
      </c>
      <c r="G4117" s="10">
        <f t="shared" si="9"/>
        <v>42099.64583</v>
      </c>
      <c r="H4117" s="6" t="str">
        <f t="shared" si="6"/>
        <v/>
      </c>
      <c r="I4117" s="2">
        <f t="shared" si="7"/>
        <v>1426.89</v>
      </c>
      <c r="M4117" s="10">
        <f>IFERROR(__xludf.DUMMYFUNCTION("""COMPUTED_VALUE"""),43952.66666666667)</f>
        <v>43952.66667</v>
      </c>
      <c r="N4117" s="2">
        <f>IFERROR(__xludf.DUMMYFUNCTION("""COMPUTED_VALUE"""),8604.95)</f>
        <v>8604.95</v>
      </c>
      <c r="P4117" s="10">
        <f t="shared" si="10"/>
        <v>38037.64583</v>
      </c>
      <c r="Q4117" s="13">
        <v>877.49</v>
      </c>
      <c r="R4117" s="18">
        <v>38037.0</v>
      </c>
    </row>
    <row r="4118">
      <c r="A4118" s="10">
        <f t="shared" si="8"/>
        <v>42100.66667</v>
      </c>
      <c r="B4118" s="2" t="str">
        <f t="shared" si="2"/>
        <v/>
      </c>
      <c r="C4118" s="2" t="str">
        <f t="shared" si="3"/>
        <v>SP500</v>
      </c>
      <c r="D4118" s="2">
        <f t="shared" si="4"/>
        <v>4917.32</v>
      </c>
      <c r="E4118" s="2">
        <f t="shared" si="5"/>
        <v>4917.32</v>
      </c>
      <c r="G4118" s="10">
        <f t="shared" si="9"/>
        <v>42100.64583</v>
      </c>
      <c r="H4118" s="6" t="str">
        <f t="shared" si="6"/>
        <v/>
      </c>
      <c r="I4118" s="2">
        <f t="shared" si="7"/>
        <v>1426.89</v>
      </c>
      <c r="M4118" s="10">
        <f>IFERROR(__xludf.DUMMYFUNCTION("""COMPUTED_VALUE"""),43955.66666666667)</f>
        <v>43955.66667</v>
      </c>
      <c r="N4118" s="2">
        <f>IFERROR(__xludf.DUMMYFUNCTION("""COMPUTED_VALUE"""),8710.72)</f>
        <v>8710.72</v>
      </c>
      <c r="P4118" s="10">
        <f t="shared" si="10"/>
        <v>38036.64583</v>
      </c>
      <c r="Q4118" s="13">
        <v>881.65</v>
      </c>
      <c r="R4118" s="18">
        <v>38036.0</v>
      </c>
    </row>
    <row r="4119">
      <c r="A4119" s="10">
        <f t="shared" si="8"/>
        <v>42101.66667</v>
      </c>
      <c r="B4119" s="2" t="str">
        <f t="shared" si="2"/>
        <v/>
      </c>
      <c r="C4119" s="2" t="str">
        <f t="shared" si="3"/>
        <v>SP500</v>
      </c>
      <c r="D4119" s="2">
        <f t="shared" si="4"/>
        <v>4910.23</v>
      </c>
      <c r="E4119" s="2">
        <f t="shared" si="5"/>
        <v>4910.23</v>
      </c>
      <c r="G4119" s="10">
        <f t="shared" si="9"/>
        <v>42101.64583</v>
      </c>
      <c r="H4119" s="6" t="str">
        <f t="shared" si="6"/>
        <v/>
      </c>
      <c r="I4119" s="2">
        <f t="shared" si="7"/>
        <v>1426.89</v>
      </c>
      <c r="M4119" s="10">
        <f>IFERROR(__xludf.DUMMYFUNCTION("""COMPUTED_VALUE"""),43956.66666666667)</f>
        <v>43956.66667</v>
      </c>
      <c r="N4119" s="2">
        <f>IFERROR(__xludf.DUMMYFUNCTION("""COMPUTED_VALUE"""),8809.12)</f>
        <v>8809.12</v>
      </c>
      <c r="P4119" s="10">
        <f t="shared" si="10"/>
        <v>38035.64583</v>
      </c>
      <c r="Q4119" s="13">
        <v>877.1</v>
      </c>
      <c r="R4119" s="18">
        <v>38035.0</v>
      </c>
    </row>
    <row r="4120">
      <c r="A4120" s="10">
        <f t="shared" si="8"/>
        <v>42102.66667</v>
      </c>
      <c r="B4120" s="2" t="str">
        <f t="shared" si="2"/>
        <v/>
      </c>
      <c r="C4120" s="2" t="str">
        <f t="shared" si="3"/>
        <v>SP500</v>
      </c>
      <c r="D4120" s="2">
        <f t="shared" si="4"/>
        <v>4950.82</v>
      </c>
      <c r="E4120" s="2">
        <f t="shared" si="5"/>
        <v>4950.82</v>
      </c>
      <c r="G4120" s="10">
        <f t="shared" si="9"/>
        <v>42102.64583</v>
      </c>
      <c r="H4120" s="6" t="str">
        <f t="shared" si="6"/>
        <v/>
      </c>
      <c r="I4120" s="2">
        <f t="shared" si="7"/>
        <v>1426.89</v>
      </c>
      <c r="M4120" s="10">
        <f>IFERROR(__xludf.DUMMYFUNCTION("""COMPUTED_VALUE"""),43957.66666666667)</f>
        <v>43957.66667</v>
      </c>
      <c r="N4120" s="2">
        <f>IFERROR(__xludf.DUMMYFUNCTION("""COMPUTED_VALUE"""),8854.39)</f>
        <v>8854.39</v>
      </c>
      <c r="P4120" s="10">
        <f t="shared" si="10"/>
        <v>38034.64583</v>
      </c>
      <c r="Q4120" s="13">
        <v>884.8</v>
      </c>
      <c r="R4120" s="18">
        <v>38034.0</v>
      </c>
    </row>
    <row r="4121">
      <c r="A4121" s="10">
        <f t="shared" si="8"/>
        <v>42103.66667</v>
      </c>
      <c r="B4121" s="2" t="str">
        <f t="shared" si="2"/>
        <v/>
      </c>
      <c r="C4121" s="2" t="str">
        <f t="shared" si="3"/>
        <v>SP500</v>
      </c>
      <c r="D4121" s="2">
        <f t="shared" si="4"/>
        <v>4974.56</v>
      </c>
      <c r="E4121" s="2">
        <f t="shared" si="5"/>
        <v>4974.56</v>
      </c>
      <c r="G4121" s="10">
        <f t="shared" si="9"/>
        <v>42103.64583</v>
      </c>
      <c r="H4121" s="6" t="str">
        <f t="shared" si="6"/>
        <v/>
      </c>
      <c r="I4121" s="2">
        <f t="shared" si="7"/>
        <v>1426.89</v>
      </c>
      <c r="M4121" s="10">
        <f>IFERROR(__xludf.DUMMYFUNCTION("""COMPUTED_VALUE"""),43958.66666666667)</f>
        <v>43958.66667</v>
      </c>
      <c r="N4121" s="2">
        <f>IFERROR(__xludf.DUMMYFUNCTION("""COMPUTED_VALUE"""),8979.66)</f>
        <v>8979.66</v>
      </c>
      <c r="P4121" s="10">
        <f t="shared" si="10"/>
        <v>38033.64583</v>
      </c>
      <c r="Q4121" s="13">
        <v>881.28</v>
      </c>
      <c r="R4121" s="18">
        <v>38033.0</v>
      </c>
    </row>
    <row r="4122">
      <c r="A4122" s="10">
        <f t="shared" si="8"/>
        <v>42104.66667</v>
      </c>
      <c r="B4122" s="2" t="str">
        <f t="shared" si="2"/>
        <v/>
      </c>
      <c r="C4122" s="2" t="str">
        <f t="shared" si="3"/>
        <v>SP500</v>
      </c>
      <c r="D4122" s="2">
        <f t="shared" si="4"/>
        <v>4995.98</v>
      </c>
      <c r="E4122" s="2">
        <f t="shared" si="5"/>
        <v>4995.98</v>
      </c>
      <c r="G4122" s="10">
        <f t="shared" si="9"/>
        <v>42104.64583</v>
      </c>
      <c r="H4122" s="6" t="str">
        <f t="shared" si="6"/>
        <v/>
      </c>
      <c r="I4122" s="2">
        <f t="shared" si="7"/>
        <v>1426.89</v>
      </c>
      <c r="M4122" s="10">
        <f>IFERROR(__xludf.DUMMYFUNCTION("""COMPUTED_VALUE"""),43959.66666666667)</f>
        <v>43959.66667</v>
      </c>
      <c r="N4122" s="2">
        <f>IFERROR(__xludf.DUMMYFUNCTION("""COMPUTED_VALUE"""),9121.32)</f>
        <v>9121.32</v>
      </c>
      <c r="P4122" s="10">
        <f t="shared" si="10"/>
        <v>38030.64583</v>
      </c>
      <c r="Q4122" s="13">
        <v>882.18</v>
      </c>
      <c r="R4122" s="18">
        <v>38030.0</v>
      </c>
    </row>
    <row r="4123">
      <c r="A4123" s="10">
        <f t="shared" si="8"/>
        <v>42105.66667</v>
      </c>
      <c r="B4123" s="2" t="str">
        <f t="shared" si="2"/>
        <v/>
      </c>
      <c r="C4123" s="2" t="str">
        <f t="shared" si="3"/>
        <v>SP500</v>
      </c>
      <c r="D4123" s="2" t="str">
        <f t="shared" si="4"/>
        <v/>
      </c>
      <c r="E4123" s="2">
        <f t="shared" si="5"/>
        <v>4995.98</v>
      </c>
      <c r="G4123" s="10">
        <f t="shared" si="9"/>
        <v>42105.64583</v>
      </c>
      <c r="H4123" s="6" t="str">
        <f t="shared" si="6"/>
        <v/>
      </c>
      <c r="I4123" s="2">
        <f t="shared" si="7"/>
        <v>1426.89</v>
      </c>
      <c r="M4123" s="10">
        <f>IFERROR(__xludf.DUMMYFUNCTION("""COMPUTED_VALUE"""),43962.66666666667)</f>
        <v>43962.66667</v>
      </c>
      <c r="N4123" s="2">
        <f>IFERROR(__xludf.DUMMYFUNCTION("""COMPUTED_VALUE"""),9192.34)</f>
        <v>9192.34</v>
      </c>
      <c r="P4123" s="10">
        <f t="shared" si="10"/>
        <v>38029.64583</v>
      </c>
      <c r="Q4123" s="13">
        <v>877.95</v>
      </c>
      <c r="R4123" s="18">
        <v>38029.0</v>
      </c>
    </row>
    <row r="4124">
      <c r="A4124" s="10">
        <f t="shared" si="8"/>
        <v>42106.66667</v>
      </c>
      <c r="B4124" s="2" t="str">
        <f t="shared" si="2"/>
        <v/>
      </c>
      <c r="C4124" s="2" t="str">
        <f t="shared" si="3"/>
        <v>SP500</v>
      </c>
      <c r="D4124" s="2" t="str">
        <f t="shared" si="4"/>
        <v/>
      </c>
      <c r="E4124" s="2">
        <f t="shared" si="5"/>
        <v>4995.98</v>
      </c>
      <c r="G4124" s="10">
        <f t="shared" si="9"/>
        <v>42106.64583</v>
      </c>
      <c r="H4124" s="6" t="str">
        <f t="shared" si="6"/>
        <v/>
      </c>
      <c r="I4124" s="2">
        <f t="shared" si="7"/>
        <v>1426.89</v>
      </c>
      <c r="M4124" s="10">
        <f>IFERROR(__xludf.DUMMYFUNCTION("""COMPUTED_VALUE"""),43963.66666666667)</f>
        <v>43963.66667</v>
      </c>
      <c r="N4124" s="2">
        <f>IFERROR(__xludf.DUMMYFUNCTION("""COMPUTED_VALUE"""),9002.55)</f>
        <v>9002.55</v>
      </c>
      <c r="P4124" s="10">
        <f t="shared" si="10"/>
        <v>38028.64583</v>
      </c>
      <c r="Q4124" s="13">
        <v>876.34</v>
      </c>
      <c r="R4124" s="18">
        <v>38028.0</v>
      </c>
    </row>
    <row r="4125">
      <c r="A4125" s="10">
        <f t="shared" si="8"/>
        <v>42107.66667</v>
      </c>
      <c r="B4125" s="2" t="str">
        <f t="shared" si="2"/>
        <v/>
      </c>
      <c r="C4125" s="2" t="str">
        <f t="shared" si="3"/>
        <v>SP500</v>
      </c>
      <c r="D4125" s="2">
        <f t="shared" si="4"/>
        <v>4988.25</v>
      </c>
      <c r="E4125" s="2">
        <f t="shared" si="5"/>
        <v>4988.25</v>
      </c>
      <c r="G4125" s="10">
        <f t="shared" si="9"/>
        <v>42107.64583</v>
      </c>
      <c r="H4125" s="6" t="str">
        <f t="shared" si="6"/>
        <v/>
      </c>
      <c r="I4125" s="2">
        <f t="shared" si="7"/>
        <v>1426.89</v>
      </c>
      <c r="M4125" s="10">
        <f>IFERROR(__xludf.DUMMYFUNCTION("""COMPUTED_VALUE"""),43964.66666666667)</f>
        <v>43964.66667</v>
      </c>
      <c r="N4125" s="2">
        <f>IFERROR(__xludf.DUMMYFUNCTION("""COMPUTED_VALUE"""),8863.17)</f>
        <v>8863.17</v>
      </c>
      <c r="P4125" s="10">
        <f t="shared" si="10"/>
        <v>38027.64583</v>
      </c>
      <c r="Q4125" s="13">
        <v>866.8</v>
      </c>
      <c r="R4125" s="18">
        <v>38027.0</v>
      </c>
    </row>
    <row r="4126">
      <c r="A4126" s="10">
        <f t="shared" si="8"/>
        <v>42108.66667</v>
      </c>
      <c r="B4126" s="2" t="str">
        <f t="shared" si="2"/>
        <v/>
      </c>
      <c r="C4126" s="2" t="str">
        <f t="shared" si="3"/>
        <v>SP500</v>
      </c>
      <c r="D4126" s="2">
        <f t="shared" si="4"/>
        <v>4977.29</v>
      </c>
      <c r="E4126" s="2">
        <f t="shared" si="5"/>
        <v>4977.29</v>
      </c>
      <c r="G4126" s="10">
        <f t="shared" si="9"/>
        <v>42108.64583</v>
      </c>
      <c r="H4126" s="6" t="str">
        <f t="shared" si="6"/>
        <v/>
      </c>
      <c r="I4126" s="2">
        <f t="shared" si="7"/>
        <v>1426.89</v>
      </c>
      <c r="M4126" s="10">
        <f>IFERROR(__xludf.DUMMYFUNCTION("""COMPUTED_VALUE"""),43965.66666666667)</f>
        <v>43965.66667</v>
      </c>
      <c r="N4126" s="2">
        <f>IFERROR(__xludf.DUMMYFUNCTION("""COMPUTED_VALUE"""),8943.72)</f>
        <v>8943.72</v>
      </c>
      <c r="P4126" s="10">
        <f t="shared" si="10"/>
        <v>38026.64583</v>
      </c>
      <c r="Q4126" s="13">
        <v>864.77</v>
      </c>
      <c r="R4126" s="18">
        <v>38026.0</v>
      </c>
    </row>
    <row r="4127">
      <c r="A4127" s="10">
        <f t="shared" si="8"/>
        <v>42109.66667</v>
      </c>
      <c r="B4127" s="2" t="str">
        <f t="shared" si="2"/>
        <v/>
      </c>
      <c r="C4127" s="2" t="str">
        <f t="shared" si="3"/>
        <v>SP500</v>
      </c>
      <c r="D4127" s="2">
        <f t="shared" si="4"/>
        <v>5011.02</v>
      </c>
      <c r="E4127" s="2">
        <f t="shared" si="5"/>
        <v>5011.02</v>
      </c>
      <c r="G4127" s="10">
        <f t="shared" si="9"/>
        <v>42109.64583</v>
      </c>
      <c r="H4127" s="6" t="str">
        <f t="shared" si="6"/>
        <v/>
      </c>
      <c r="I4127" s="2">
        <f t="shared" si="7"/>
        <v>1426.89</v>
      </c>
      <c r="M4127" s="10">
        <f>IFERROR(__xludf.DUMMYFUNCTION("""COMPUTED_VALUE"""),43966.66666666667)</f>
        <v>43966.66667</v>
      </c>
      <c r="N4127" s="2">
        <f>IFERROR(__xludf.DUMMYFUNCTION("""COMPUTED_VALUE"""),9014.56)</f>
        <v>9014.56</v>
      </c>
      <c r="P4127" s="10">
        <f t="shared" si="10"/>
        <v>38023.64583</v>
      </c>
      <c r="Q4127" s="13">
        <v>850.23</v>
      </c>
      <c r="R4127" s="18">
        <v>38023.0</v>
      </c>
    </row>
    <row r="4128">
      <c r="A4128" s="10">
        <f t="shared" si="8"/>
        <v>42110.66667</v>
      </c>
      <c r="B4128" s="2" t="str">
        <f t="shared" si="2"/>
        <v/>
      </c>
      <c r="C4128" s="2" t="str">
        <f t="shared" si="3"/>
        <v>SP500</v>
      </c>
      <c r="D4128" s="2">
        <f t="shared" si="4"/>
        <v>5007.79</v>
      </c>
      <c r="E4128" s="2">
        <f t="shared" si="5"/>
        <v>5007.79</v>
      </c>
      <c r="G4128" s="10">
        <f t="shared" si="9"/>
        <v>42110.64583</v>
      </c>
      <c r="H4128" s="6" t="str">
        <f t="shared" si="6"/>
        <v/>
      </c>
      <c r="I4128" s="2">
        <f t="shared" si="7"/>
        <v>1426.89</v>
      </c>
      <c r="M4128" s="10">
        <f>IFERROR(__xludf.DUMMYFUNCTION("""COMPUTED_VALUE"""),43969.66666666667)</f>
        <v>43969.66667</v>
      </c>
      <c r="N4128" s="2">
        <f>IFERROR(__xludf.DUMMYFUNCTION("""COMPUTED_VALUE"""),9234.83)</f>
        <v>9234.83</v>
      </c>
      <c r="P4128" s="10">
        <f t="shared" si="10"/>
        <v>38022.64583</v>
      </c>
      <c r="Q4128" s="13">
        <v>840.92</v>
      </c>
      <c r="R4128" s="18">
        <v>38022.0</v>
      </c>
    </row>
    <row r="4129">
      <c r="A4129" s="10">
        <f t="shared" si="8"/>
        <v>42111.66667</v>
      </c>
      <c r="B4129" s="2" t="str">
        <f t="shared" si="2"/>
        <v/>
      </c>
      <c r="C4129" s="2" t="str">
        <f t="shared" si="3"/>
        <v>SP500</v>
      </c>
      <c r="D4129" s="2">
        <f t="shared" si="4"/>
        <v>4931.81</v>
      </c>
      <c r="E4129" s="2">
        <f t="shared" si="5"/>
        <v>4931.81</v>
      </c>
      <c r="G4129" s="10">
        <f t="shared" si="9"/>
        <v>42111.64583</v>
      </c>
      <c r="H4129" s="6" t="str">
        <f t="shared" si="6"/>
        <v/>
      </c>
      <c r="I4129" s="2">
        <f t="shared" si="7"/>
        <v>1426.89</v>
      </c>
      <c r="M4129" s="10">
        <f>IFERROR(__xludf.DUMMYFUNCTION("""COMPUTED_VALUE"""),43970.66666666667)</f>
        <v>43970.66667</v>
      </c>
      <c r="N4129" s="2">
        <f>IFERROR(__xludf.DUMMYFUNCTION("""COMPUTED_VALUE"""),9185.1)</f>
        <v>9185.1</v>
      </c>
      <c r="P4129" s="10">
        <f t="shared" si="10"/>
        <v>38021.64583</v>
      </c>
      <c r="Q4129" s="13">
        <v>835.5</v>
      </c>
      <c r="R4129" s="18">
        <v>38021.0</v>
      </c>
    </row>
    <row r="4130">
      <c r="A4130" s="10">
        <f t="shared" si="8"/>
        <v>42112.66667</v>
      </c>
      <c r="B4130" s="2" t="str">
        <f t="shared" si="2"/>
        <v/>
      </c>
      <c r="C4130" s="2" t="str">
        <f t="shared" si="3"/>
        <v>SP500</v>
      </c>
      <c r="D4130" s="2" t="str">
        <f t="shared" si="4"/>
        <v/>
      </c>
      <c r="E4130" s="2">
        <f t="shared" si="5"/>
        <v>4931.81</v>
      </c>
      <c r="G4130" s="10">
        <f t="shared" si="9"/>
        <v>42112.64583</v>
      </c>
      <c r="H4130" s="6" t="str">
        <f t="shared" si="6"/>
        <v/>
      </c>
      <c r="I4130" s="2">
        <f t="shared" si="7"/>
        <v>1426.89</v>
      </c>
      <c r="M4130" s="10">
        <f>IFERROR(__xludf.DUMMYFUNCTION("""COMPUTED_VALUE"""),43971.66666666667)</f>
        <v>43971.66667</v>
      </c>
      <c r="N4130" s="2">
        <f>IFERROR(__xludf.DUMMYFUNCTION("""COMPUTED_VALUE"""),9375.78)</f>
        <v>9375.78</v>
      </c>
      <c r="P4130" s="10">
        <f t="shared" si="10"/>
        <v>38020.64583</v>
      </c>
      <c r="Q4130" s="13">
        <v>839.87</v>
      </c>
      <c r="R4130" s="18">
        <v>38020.0</v>
      </c>
    </row>
    <row r="4131">
      <c r="A4131" s="10">
        <f t="shared" si="8"/>
        <v>42113.66667</v>
      </c>
      <c r="B4131" s="2" t="str">
        <f t="shared" si="2"/>
        <v/>
      </c>
      <c r="C4131" s="2" t="str">
        <f t="shared" si="3"/>
        <v>SP500</v>
      </c>
      <c r="D4131" s="2" t="str">
        <f t="shared" si="4"/>
        <v/>
      </c>
      <c r="E4131" s="2">
        <f t="shared" si="5"/>
        <v>4931.81</v>
      </c>
      <c r="G4131" s="10">
        <f t="shared" si="9"/>
        <v>42113.64583</v>
      </c>
      <c r="H4131" s="6" t="str">
        <f t="shared" si="6"/>
        <v/>
      </c>
      <c r="I4131" s="2">
        <f t="shared" si="7"/>
        <v>1426.89</v>
      </c>
      <c r="M4131" s="10">
        <f>IFERROR(__xludf.DUMMYFUNCTION("""COMPUTED_VALUE"""),43972.66666666667)</f>
        <v>43972.66667</v>
      </c>
      <c r="N4131" s="2">
        <f>IFERROR(__xludf.DUMMYFUNCTION("""COMPUTED_VALUE"""),9284.88)</f>
        <v>9284.88</v>
      </c>
      <c r="P4131" s="10">
        <f t="shared" si="10"/>
        <v>38019.64583</v>
      </c>
      <c r="Q4131" s="13">
        <v>854.89</v>
      </c>
      <c r="R4131" s="18">
        <v>38019.0</v>
      </c>
    </row>
    <row r="4132">
      <c r="A4132" s="10">
        <f t="shared" si="8"/>
        <v>42114.66667</v>
      </c>
      <c r="B4132" s="2" t="str">
        <f t="shared" si="2"/>
        <v/>
      </c>
      <c r="C4132" s="2" t="str">
        <f t="shared" si="3"/>
        <v>SP500</v>
      </c>
      <c r="D4132" s="2">
        <f t="shared" si="4"/>
        <v>4994.6</v>
      </c>
      <c r="E4132" s="2">
        <f t="shared" si="5"/>
        <v>4994.6</v>
      </c>
      <c r="G4132" s="10">
        <f t="shared" si="9"/>
        <v>42114.64583</v>
      </c>
      <c r="H4132" s="6" t="str">
        <f t="shared" si="6"/>
        <v/>
      </c>
      <c r="I4132" s="2">
        <f t="shared" si="7"/>
        <v>1426.89</v>
      </c>
      <c r="M4132" s="10">
        <f>IFERROR(__xludf.DUMMYFUNCTION("""COMPUTED_VALUE"""),43973.66666666667)</f>
        <v>43973.66667</v>
      </c>
      <c r="N4132" s="2">
        <f>IFERROR(__xludf.DUMMYFUNCTION("""COMPUTED_VALUE"""),9324.59)</f>
        <v>9324.59</v>
      </c>
      <c r="P4132" s="10">
        <f t="shared" si="10"/>
        <v>38016.64583</v>
      </c>
      <c r="Q4132" s="13">
        <v>848.5</v>
      </c>
      <c r="R4132" s="18">
        <v>38016.0</v>
      </c>
    </row>
    <row r="4133">
      <c r="A4133" s="10">
        <f t="shared" si="8"/>
        <v>42115.66667</v>
      </c>
      <c r="B4133" s="2" t="str">
        <f t="shared" si="2"/>
        <v/>
      </c>
      <c r="C4133" s="2" t="str">
        <f t="shared" si="3"/>
        <v>SP500</v>
      </c>
      <c r="D4133" s="2">
        <f t="shared" si="4"/>
        <v>5014.1</v>
      </c>
      <c r="E4133" s="2">
        <f t="shared" si="5"/>
        <v>5014.1</v>
      </c>
      <c r="G4133" s="10">
        <f t="shared" si="9"/>
        <v>42115.64583</v>
      </c>
      <c r="H4133" s="6" t="str">
        <f t="shared" si="6"/>
        <v/>
      </c>
      <c r="I4133" s="2">
        <f t="shared" si="7"/>
        <v>1426.89</v>
      </c>
      <c r="M4133" s="10">
        <f>IFERROR(__xludf.DUMMYFUNCTION("""COMPUTED_VALUE"""),43977.66666666667)</f>
        <v>43977.66667</v>
      </c>
      <c r="N4133" s="2">
        <f>IFERROR(__xludf.DUMMYFUNCTION("""COMPUTED_VALUE"""),9340.22)</f>
        <v>9340.22</v>
      </c>
      <c r="P4133" s="10">
        <f t="shared" si="10"/>
        <v>38015.64583</v>
      </c>
      <c r="Q4133" s="13">
        <v>853.47</v>
      </c>
      <c r="R4133" s="18">
        <v>38015.0</v>
      </c>
    </row>
    <row r="4134">
      <c r="A4134" s="10">
        <f t="shared" si="8"/>
        <v>42116.66667</v>
      </c>
      <c r="B4134" s="2" t="str">
        <f t="shared" si="2"/>
        <v/>
      </c>
      <c r="C4134" s="2" t="str">
        <f t="shared" si="3"/>
        <v>SP500</v>
      </c>
      <c r="D4134" s="2">
        <f t="shared" si="4"/>
        <v>5035.17</v>
      </c>
      <c r="E4134" s="2">
        <f t="shared" si="5"/>
        <v>5035.17</v>
      </c>
      <c r="G4134" s="10">
        <f t="shared" si="9"/>
        <v>42116.64583</v>
      </c>
      <c r="H4134" s="6" t="str">
        <f t="shared" si="6"/>
        <v/>
      </c>
      <c r="I4134" s="2">
        <f t="shared" si="7"/>
        <v>1426.89</v>
      </c>
      <c r="M4134" s="10">
        <f>IFERROR(__xludf.DUMMYFUNCTION("""COMPUTED_VALUE"""),43978.66666666667)</f>
        <v>43978.66667</v>
      </c>
      <c r="N4134" s="2">
        <f>IFERROR(__xludf.DUMMYFUNCTION("""COMPUTED_VALUE"""),9412.36)</f>
        <v>9412.36</v>
      </c>
      <c r="P4134" s="10">
        <f t="shared" si="10"/>
        <v>38014.64583</v>
      </c>
      <c r="Q4134" s="13">
        <v>859.59</v>
      </c>
      <c r="R4134" s="18">
        <v>38014.0</v>
      </c>
    </row>
    <row r="4135">
      <c r="A4135" s="10">
        <f t="shared" si="8"/>
        <v>42117.66667</v>
      </c>
      <c r="B4135" s="2" t="str">
        <f t="shared" si="2"/>
        <v/>
      </c>
      <c r="C4135" s="2" t="str">
        <f t="shared" si="3"/>
        <v>SP500</v>
      </c>
      <c r="D4135" s="2">
        <f t="shared" si="4"/>
        <v>5056.06</v>
      </c>
      <c r="E4135" s="2">
        <f t="shared" si="5"/>
        <v>5056.06</v>
      </c>
      <c r="G4135" s="10">
        <f t="shared" si="9"/>
        <v>42117.64583</v>
      </c>
      <c r="H4135" s="6" t="str">
        <f t="shared" si="6"/>
        <v/>
      </c>
      <c r="I4135" s="2">
        <f t="shared" si="7"/>
        <v>1426.89</v>
      </c>
      <c r="M4135" s="10">
        <f>IFERROR(__xludf.DUMMYFUNCTION("""COMPUTED_VALUE"""),43979.66666666667)</f>
        <v>43979.66667</v>
      </c>
      <c r="N4135" s="2">
        <f>IFERROR(__xludf.DUMMYFUNCTION("""COMPUTED_VALUE"""),9368.99)</f>
        <v>9368.99</v>
      </c>
      <c r="P4135" s="10">
        <f t="shared" si="10"/>
        <v>38013.64583</v>
      </c>
      <c r="Q4135" s="13">
        <v>863.03</v>
      </c>
      <c r="R4135" s="18">
        <v>38013.0</v>
      </c>
    </row>
    <row r="4136">
      <c r="A4136" s="10">
        <f t="shared" si="8"/>
        <v>42118.66667</v>
      </c>
      <c r="B4136" s="2" t="str">
        <f t="shared" si="2"/>
        <v/>
      </c>
      <c r="C4136" s="2" t="str">
        <f t="shared" si="3"/>
        <v>SP500</v>
      </c>
      <c r="D4136" s="2">
        <f t="shared" si="4"/>
        <v>5092.08</v>
      </c>
      <c r="E4136" s="2">
        <f t="shared" si="5"/>
        <v>5092.08</v>
      </c>
      <c r="G4136" s="10">
        <f t="shared" si="9"/>
        <v>42118.64583</v>
      </c>
      <c r="H4136" s="6" t="str">
        <f t="shared" si="6"/>
        <v/>
      </c>
      <c r="I4136" s="2">
        <f t="shared" si="7"/>
        <v>1426.89</v>
      </c>
      <c r="M4136" s="10">
        <f>IFERROR(__xludf.DUMMYFUNCTION("""COMPUTED_VALUE"""),43980.66666666667)</f>
        <v>43980.66667</v>
      </c>
      <c r="N4136" s="2">
        <f>IFERROR(__xludf.DUMMYFUNCTION("""COMPUTED_VALUE"""),9489.87)</f>
        <v>9489.87</v>
      </c>
      <c r="P4136" s="10">
        <f t="shared" si="10"/>
        <v>38012.64583</v>
      </c>
      <c r="Q4136" s="13">
        <v>869.04</v>
      </c>
      <c r="R4136" s="18">
        <v>38012.0</v>
      </c>
    </row>
    <row r="4137">
      <c r="A4137" s="10">
        <f t="shared" si="8"/>
        <v>42119.66667</v>
      </c>
      <c r="B4137" s="2" t="str">
        <f t="shared" si="2"/>
        <v/>
      </c>
      <c r="C4137" s="2" t="str">
        <f t="shared" si="3"/>
        <v>SP500</v>
      </c>
      <c r="D4137" s="2" t="str">
        <f t="shared" si="4"/>
        <v/>
      </c>
      <c r="E4137" s="2">
        <f t="shared" si="5"/>
        <v>5092.08</v>
      </c>
      <c r="G4137" s="10">
        <f t="shared" si="9"/>
        <v>42119.64583</v>
      </c>
      <c r="H4137" s="6" t="str">
        <f t="shared" si="6"/>
        <v/>
      </c>
      <c r="I4137" s="2">
        <f t="shared" si="7"/>
        <v>1426.89</v>
      </c>
      <c r="M4137" s="10">
        <f>IFERROR(__xludf.DUMMYFUNCTION("""COMPUTED_VALUE"""),43983.66666666667)</f>
        <v>43983.66667</v>
      </c>
      <c r="N4137" s="2">
        <f>IFERROR(__xludf.DUMMYFUNCTION("""COMPUTED_VALUE"""),9552.05)</f>
        <v>9552.05</v>
      </c>
      <c r="P4137" s="10">
        <f t="shared" si="10"/>
        <v>38006.64583</v>
      </c>
      <c r="Q4137" s="13">
        <v>861.37</v>
      </c>
      <c r="R4137" s="18">
        <v>38006.0</v>
      </c>
    </row>
    <row r="4138">
      <c r="A4138" s="10">
        <f t="shared" si="8"/>
        <v>42120.66667</v>
      </c>
      <c r="B4138" s="2" t="str">
        <f t="shared" si="2"/>
        <v/>
      </c>
      <c r="C4138" s="2" t="str">
        <f t="shared" si="3"/>
        <v>SP500</v>
      </c>
      <c r="D4138" s="2" t="str">
        <f t="shared" si="4"/>
        <v/>
      </c>
      <c r="E4138" s="2">
        <f t="shared" si="5"/>
        <v>5092.08</v>
      </c>
      <c r="G4138" s="10">
        <f t="shared" si="9"/>
        <v>42120.64583</v>
      </c>
      <c r="H4138" s="6" t="str">
        <f t="shared" si="6"/>
        <v/>
      </c>
      <c r="I4138" s="2">
        <f t="shared" si="7"/>
        <v>1426.89</v>
      </c>
      <c r="M4138" s="10">
        <f>IFERROR(__xludf.DUMMYFUNCTION("""COMPUTED_VALUE"""),43984.66666666667)</f>
        <v>43984.66667</v>
      </c>
      <c r="N4138" s="2">
        <f>IFERROR(__xludf.DUMMYFUNCTION("""COMPUTED_VALUE"""),9608.38)</f>
        <v>9608.38</v>
      </c>
      <c r="P4138" s="10">
        <f t="shared" si="10"/>
        <v>38005.64583</v>
      </c>
      <c r="Q4138" s="13">
        <v>856.8</v>
      </c>
      <c r="R4138" s="18">
        <v>38005.0</v>
      </c>
    </row>
    <row r="4139">
      <c r="A4139" s="10">
        <f t="shared" si="8"/>
        <v>42121.66667</v>
      </c>
      <c r="B4139" s="2" t="str">
        <f t="shared" si="2"/>
        <v/>
      </c>
      <c r="C4139" s="2" t="str">
        <f t="shared" si="3"/>
        <v>SP500</v>
      </c>
      <c r="D4139" s="2">
        <f t="shared" si="4"/>
        <v>5060.25</v>
      </c>
      <c r="E4139" s="2">
        <f t="shared" si="5"/>
        <v>5060.25</v>
      </c>
      <c r="G4139" s="10">
        <f t="shared" si="9"/>
        <v>42121.64583</v>
      </c>
      <c r="H4139" s="6" t="str">
        <f t="shared" si="6"/>
        <v/>
      </c>
      <c r="I4139" s="2">
        <f t="shared" si="7"/>
        <v>1426.89</v>
      </c>
      <c r="M4139" s="10">
        <f>IFERROR(__xludf.DUMMYFUNCTION("""COMPUTED_VALUE"""),43985.66666666667)</f>
        <v>43985.66667</v>
      </c>
      <c r="N4139" s="2">
        <f>IFERROR(__xludf.DUMMYFUNCTION("""COMPUTED_VALUE"""),9682.91)</f>
        <v>9682.91</v>
      </c>
      <c r="P4139" s="10">
        <f t="shared" si="10"/>
        <v>38002.64583</v>
      </c>
      <c r="Q4139" s="13">
        <v>847.95</v>
      </c>
      <c r="R4139" s="18">
        <v>38002.0</v>
      </c>
    </row>
    <row r="4140">
      <c r="A4140" s="10">
        <f t="shared" si="8"/>
        <v>42122.66667</v>
      </c>
      <c r="B4140" s="2" t="str">
        <f t="shared" si="2"/>
        <v/>
      </c>
      <c r="C4140" s="2" t="str">
        <f t="shared" si="3"/>
        <v>SP500</v>
      </c>
      <c r="D4140" s="2">
        <f t="shared" si="4"/>
        <v>5055.42</v>
      </c>
      <c r="E4140" s="2">
        <f t="shared" si="5"/>
        <v>5055.42</v>
      </c>
      <c r="G4140" s="10">
        <f t="shared" si="9"/>
        <v>42122.64583</v>
      </c>
      <c r="H4140" s="6" t="str">
        <f t="shared" si="6"/>
        <v/>
      </c>
      <c r="I4140" s="2">
        <f t="shared" si="7"/>
        <v>1426.89</v>
      </c>
      <c r="M4140" s="10">
        <f>IFERROR(__xludf.DUMMYFUNCTION("""COMPUTED_VALUE"""),43986.66666666667)</f>
        <v>43986.66667</v>
      </c>
      <c r="N4140" s="2">
        <f>IFERROR(__xludf.DUMMYFUNCTION("""COMPUTED_VALUE"""),9615.81)</f>
        <v>9615.81</v>
      </c>
      <c r="P4140" s="10">
        <f t="shared" si="10"/>
        <v>38001.64583</v>
      </c>
      <c r="Q4140" s="13">
        <v>845.66</v>
      </c>
      <c r="R4140" s="18">
        <v>38001.0</v>
      </c>
    </row>
    <row r="4141">
      <c r="A4141" s="10">
        <f t="shared" si="8"/>
        <v>42123.66667</v>
      </c>
      <c r="B4141" s="2" t="str">
        <f t="shared" si="2"/>
        <v/>
      </c>
      <c r="C4141" s="2" t="str">
        <f t="shared" si="3"/>
        <v>SP500</v>
      </c>
      <c r="D4141" s="2">
        <f t="shared" si="4"/>
        <v>5023.64</v>
      </c>
      <c r="E4141" s="2">
        <f t="shared" si="5"/>
        <v>5023.64</v>
      </c>
      <c r="G4141" s="10">
        <f t="shared" si="9"/>
        <v>42123.64583</v>
      </c>
      <c r="H4141" s="6" t="str">
        <f t="shared" si="6"/>
        <v/>
      </c>
      <c r="I4141" s="2">
        <f t="shared" si="7"/>
        <v>1426.89</v>
      </c>
      <c r="M4141" s="10">
        <f>IFERROR(__xludf.DUMMYFUNCTION("""COMPUTED_VALUE"""),43987.66666666667)</f>
        <v>43987.66667</v>
      </c>
      <c r="N4141" s="2">
        <f>IFERROR(__xludf.DUMMYFUNCTION("""COMPUTED_VALUE"""),9814.08)</f>
        <v>9814.08</v>
      </c>
      <c r="P4141" s="10">
        <f t="shared" si="10"/>
        <v>38000.64583</v>
      </c>
      <c r="Q4141" s="13">
        <v>849.62</v>
      </c>
      <c r="R4141" s="18">
        <v>38000.0</v>
      </c>
    </row>
    <row r="4142">
      <c r="A4142" s="10">
        <f t="shared" si="8"/>
        <v>42124.66667</v>
      </c>
      <c r="B4142" s="2" t="str">
        <f t="shared" si="2"/>
        <v/>
      </c>
      <c r="C4142" s="2" t="str">
        <f t="shared" si="3"/>
        <v>SP500</v>
      </c>
      <c r="D4142" s="2">
        <f t="shared" si="4"/>
        <v>4941.42</v>
      </c>
      <c r="E4142" s="2">
        <f t="shared" si="5"/>
        <v>4941.42</v>
      </c>
      <c r="G4142" s="10">
        <f t="shared" si="9"/>
        <v>42124.64583</v>
      </c>
      <c r="H4142" s="6" t="str">
        <f t="shared" si="6"/>
        <v/>
      </c>
      <c r="I4142" s="2">
        <f t="shared" si="7"/>
        <v>1426.89</v>
      </c>
      <c r="M4142" s="10">
        <f>IFERROR(__xludf.DUMMYFUNCTION("""COMPUTED_VALUE"""),43990.66666666667)</f>
        <v>43990.66667</v>
      </c>
      <c r="N4142" s="2">
        <f>IFERROR(__xludf.DUMMYFUNCTION("""COMPUTED_VALUE"""),9924.75)</f>
        <v>9924.75</v>
      </c>
      <c r="P4142" s="10">
        <f t="shared" si="10"/>
        <v>37999.64583</v>
      </c>
      <c r="Q4142" s="13">
        <v>848.43</v>
      </c>
      <c r="R4142" s="18">
        <v>37999.0</v>
      </c>
    </row>
    <row r="4143">
      <c r="A4143" s="10">
        <f t="shared" si="8"/>
        <v>42125.66667</v>
      </c>
      <c r="B4143" s="2" t="str">
        <f t="shared" si="2"/>
        <v/>
      </c>
      <c r="C4143" s="2" t="str">
        <f t="shared" si="3"/>
        <v>SP500</v>
      </c>
      <c r="D4143" s="2">
        <f t="shared" si="4"/>
        <v>5005.39</v>
      </c>
      <c r="E4143" s="2">
        <f t="shared" si="5"/>
        <v>5005.39</v>
      </c>
      <c r="G4143" s="10">
        <f t="shared" si="9"/>
        <v>42125.64583</v>
      </c>
      <c r="H4143" s="6" t="str">
        <f t="shared" si="6"/>
        <v/>
      </c>
      <c r="I4143" s="2">
        <f t="shared" si="7"/>
        <v>1426.89</v>
      </c>
      <c r="M4143" s="10">
        <f>IFERROR(__xludf.DUMMYFUNCTION("""COMPUTED_VALUE"""),43991.66666666667)</f>
        <v>43991.66667</v>
      </c>
      <c r="N4143" s="2">
        <f>IFERROR(__xludf.DUMMYFUNCTION("""COMPUTED_VALUE"""),9953.75)</f>
        <v>9953.75</v>
      </c>
      <c r="P4143" s="10">
        <f t="shared" si="10"/>
        <v>37998.64583</v>
      </c>
      <c r="Q4143" s="13">
        <v>850.79</v>
      </c>
      <c r="R4143" s="18">
        <v>37998.0</v>
      </c>
    </row>
    <row r="4144">
      <c r="A4144" s="10">
        <f t="shared" si="8"/>
        <v>42126.66667</v>
      </c>
      <c r="B4144" s="2" t="str">
        <f t="shared" si="2"/>
        <v/>
      </c>
      <c r="C4144" s="2" t="str">
        <f t="shared" si="3"/>
        <v>SP500</v>
      </c>
      <c r="D4144" s="2" t="str">
        <f t="shared" si="4"/>
        <v/>
      </c>
      <c r="E4144" s="2">
        <f t="shared" si="5"/>
        <v>5005.39</v>
      </c>
      <c r="G4144" s="10">
        <f t="shared" si="9"/>
        <v>42126.64583</v>
      </c>
      <c r="H4144" s="6" t="str">
        <f t="shared" si="6"/>
        <v/>
      </c>
      <c r="I4144" s="2">
        <f t="shared" si="7"/>
        <v>1426.89</v>
      </c>
      <c r="M4144" s="10">
        <f>IFERROR(__xludf.DUMMYFUNCTION("""COMPUTED_VALUE"""),43992.66666666667)</f>
        <v>43992.66667</v>
      </c>
      <c r="N4144" s="2">
        <f>IFERROR(__xludf.DUMMYFUNCTION("""COMPUTED_VALUE"""),10020.35)</f>
        <v>10020.35</v>
      </c>
      <c r="P4144" s="10">
        <f t="shared" si="10"/>
        <v>37995.64583</v>
      </c>
      <c r="Q4144" s="13">
        <v>845.27</v>
      </c>
      <c r="R4144" s="18">
        <v>37995.0</v>
      </c>
    </row>
    <row r="4145">
      <c r="A4145" s="10">
        <f t="shared" si="8"/>
        <v>42127.66667</v>
      </c>
      <c r="B4145" s="2" t="str">
        <f t="shared" si="2"/>
        <v/>
      </c>
      <c r="C4145" s="2" t="str">
        <f t="shared" si="3"/>
        <v>SP500</v>
      </c>
      <c r="D4145" s="2" t="str">
        <f t="shared" si="4"/>
        <v/>
      </c>
      <c r="E4145" s="2">
        <f t="shared" si="5"/>
        <v>5005.39</v>
      </c>
      <c r="G4145" s="10">
        <f t="shared" si="9"/>
        <v>42127.64583</v>
      </c>
      <c r="H4145" s="6" t="str">
        <f t="shared" si="6"/>
        <v/>
      </c>
      <c r="I4145" s="2">
        <f t="shared" si="7"/>
        <v>1426.89</v>
      </c>
      <c r="M4145" s="10">
        <f>IFERROR(__xludf.DUMMYFUNCTION("""COMPUTED_VALUE"""),43993.66666666667)</f>
        <v>43993.66667</v>
      </c>
      <c r="N4145" s="2">
        <f>IFERROR(__xludf.DUMMYFUNCTION("""COMPUTED_VALUE"""),9492.73)</f>
        <v>9492.73</v>
      </c>
      <c r="P4145" s="10">
        <f t="shared" si="10"/>
        <v>37994.64583</v>
      </c>
      <c r="Q4145" s="13">
        <v>824.15</v>
      </c>
      <c r="R4145" s="18">
        <v>37994.0</v>
      </c>
    </row>
    <row r="4146">
      <c r="A4146" s="10">
        <f t="shared" si="8"/>
        <v>42128.66667</v>
      </c>
      <c r="B4146" s="2" t="str">
        <f t="shared" si="2"/>
        <v/>
      </c>
      <c r="C4146" s="2" t="str">
        <f t="shared" si="3"/>
        <v>SP500</v>
      </c>
      <c r="D4146" s="2">
        <f t="shared" si="4"/>
        <v>5016.93</v>
      </c>
      <c r="E4146" s="2">
        <f t="shared" si="5"/>
        <v>5016.93</v>
      </c>
      <c r="G4146" s="10">
        <f t="shared" si="9"/>
        <v>42128.64583</v>
      </c>
      <c r="H4146" s="6" t="str">
        <f t="shared" si="6"/>
        <v/>
      </c>
      <c r="I4146" s="2">
        <f t="shared" si="7"/>
        <v>1426.89</v>
      </c>
      <c r="M4146" s="10">
        <f>IFERROR(__xludf.DUMMYFUNCTION("""COMPUTED_VALUE"""),43994.66666666667)</f>
        <v>43994.66667</v>
      </c>
      <c r="N4146" s="2">
        <f>IFERROR(__xludf.DUMMYFUNCTION("""COMPUTED_VALUE"""),9588.81)</f>
        <v>9588.81</v>
      </c>
      <c r="P4146" s="10">
        <f t="shared" si="10"/>
        <v>37993.64583</v>
      </c>
      <c r="Q4146" s="13">
        <v>827.07</v>
      </c>
      <c r="R4146" s="18">
        <v>37993.0</v>
      </c>
    </row>
    <row r="4147">
      <c r="A4147" s="10">
        <f t="shared" si="8"/>
        <v>42129.66667</v>
      </c>
      <c r="B4147" s="2" t="str">
        <f t="shared" si="2"/>
        <v/>
      </c>
      <c r="C4147" s="2" t="str">
        <f t="shared" si="3"/>
        <v>SP500</v>
      </c>
      <c r="D4147" s="2">
        <f t="shared" si="4"/>
        <v>4939.33</v>
      </c>
      <c r="E4147" s="2">
        <f t="shared" si="5"/>
        <v>4939.33</v>
      </c>
      <c r="G4147" s="10">
        <f t="shared" si="9"/>
        <v>42129.64583</v>
      </c>
      <c r="H4147" s="6" t="str">
        <f t="shared" si="6"/>
        <v/>
      </c>
      <c r="I4147" s="2">
        <f t="shared" si="7"/>
        <v>1426.89</v>
      </c>
      <c r="M4147" s="10">
        <f>IFERROR(__xludf.DUMMYFUNCTION("""COMPUTED_VALUE"""),43997.66666666667)</f>
        <v>43997.66667</v>
      </c>
      <c r="N4147" s="2">
        <f>IFERROR(__xludf.DUMMYFUNCTION("""COMPUTED_VALUE"""),9726.02)</f>
        <v>9726.02</v>
      </c>
      <c r="P4147" s="10">
        <f t="shared" si="10"/>
        <v>37992.64583</v>
      </c>
      <c r="Q4147" s="13">
        <v>823.43</v>
      </c>
      <c r="R4147" s="18">
        <v>37992.0</v>
      </c>
    </row>
    <row r="4148">
      <c r="A4148" s="10">
        <f t="shared" si="8"/>
        <v>42130.66667</v>
      </c>
      <c r="B4148" s="2" t="str">
        <f t="shared" si="2"/>
        <v/>
      </c>
      <c r="C4148" s="2" t="str">
        <f t="shared" si="3"/>
        <v>SP500</v>
      </c>
      <c r="D4148" s="2">
        <f t="shared" si="4"/>
        <v>4919.64</v>
      </c>
      <c r="E4148" s="2">
        <f t="shared" si="5"/>
        <v>4919.64</v>
      </c>
      <c r="G4148" s="10">
        <f t="shared" si="9"/>
        <v>42130.64583</v>
      </c>
      <c r="H4148" s="6" t="str">
        <f t="shared" si="6"/>
        <v/>
      </c>
      <c r="I4148" s="2">
        <f t="shared" si="7"/>
        <v>1426.89</v>
      </c>
      <c r="M4148" s="10">
        <f>IFERROR(__xludf.DUMMYFUNCTION("""COMPUTED_VALUE"""),43998.66666666667)</f>
        <v>43998.66667</v>
      </c>
      <c r="N4148" s="2">
        <f>IFERROR(__xludf.DUMMYFUNCTION("""COMPUTED_VALUE"""),9895.87)</f>
        <v>9895.87</v>
      </c>
      <c r="P4148" s="10">
        <f t="shared" si="10"/>
        <v>37991.64583</v>
      </c>
      <c r="Q4148" s="13">
        <v>824.1</v>
      </c>
      <c r="R4148" s="18">
        <v>37991.0</v>
      </c>
    </row>
    <row r="4149">
      <c r="A4149" s="10">
        <f t="shared" si="8"/>
        <v>42131.66667</v>
      </c>
      <c r="B4149" s="2" t="str">
        <f t="shared" si="2"/>
        <v/>
      </c>
      <c r="C4149" s="2" t="str">
        <f t="shared" si="3"/>
        <v>SP500</v>
      </c>
      <c r="D4149" s="2">
        <f t="shared" si="4"/>
        <v>4945.54</v>
      </c>
      <c r="E4149" s="2">
        <f t="shared" si="5"/>
        <v>4945.54</v>
      </c>
      <c r="G4149" s="10">
        <f t="shared" si="9"/>
        <v>42131.64583</v>
      </c>
      <c r="H4149" s="6" t="str">
        <f t="shared" si="6"/>
        <v/>
      </c>
      <c r="I4149" s="2">
        <f t="shared" si="7"/>
        <v>1426.89</v>
      </c>
      <c r="M4149" s="10">
        <f>IFERROR(__xludf.DUMMYFUNCTION("""COMPUTED_VALUE"""),43999.66666666667)</f>
        <v>43999.66667</v>
      </c>
      <c r="N4149" s="2">
        <f>IFERROR(__xludf.DUMMYFUNCTION("""COMPUTED_VALUE"""),9910.53)</f>
        <v>9910.53</v>
      </c>
      <c r="P4149" s="10">
        <f t="shared" si="10"/>
        <v>37988.64583</v>
      </c>
      <c r="Q4149" s="13">
        <v>821.26</v>
      </c>
      <c r="R4149" s="18">
        <v>37988.0</v>
      </c>
    </row>
    <row r="4150">
      <c r="A4150" s="10">
        <f t="shared" si="8"/>
        <v>42132.66667</v>
      </c>
      <c r="B4150" s="2" t="str">
        <f t="shared" si="2"/>
        <v/>
      </c>
      <c r="C4150" s="2" t="str">
        <f t="shared" si="3"/>
        <v>SP500</v>
      </c>
      <c r="D4150" s="2">
        <f t="shared" si="4"/>
        <v>5003.55</v>
      </c>
      <c r="E4150" s="2">
        <f t="shared" si="5"/>
        <v>5003.55</v>
      </c>
      <c r="G4150" s="10">
        <f t="shared" si="9"/>
        <v>42132.64583</v>
      </c>
      <c r="H4150" s="6" t="str">
        <f t="shared" si="6"/>
        <v/>
      </c>
      <c r="I4150" s="2">
        <f t="shared" si="7"/>
        <v>1426.89</v>
      </c>
      <c r="M4150" s="10">
        <f>IFERROR(__xludf.DUMMYFUNCTION("""COMPUTED_VALUE"""),44000.66666666667)</f>
        <v>44000.66667</v>
      </c>
      <c r="N4150" s="2">
        <f>IFERROR(__xludf.DUMMYFUNCTION("""COMPUTED_VALUE"""),9943.05)</f>
        <v>9943.05</v>
      </c>
      <c r="P4150" s="10">
        <f t="shared" si="10"/>
        <v>39694.64583</v>
      </c>
      <c r="Q4150" s="14">
        <v>1426.89</v>
      </c>
      <c r="R4150" s="19">
        <v>39694.0</v>
      </c>
    </row>
    <row r="4151">
      <c r="A4151" s="10">
        <f t="shared" si="8"/>
        <v>42133.66667</v>
      </c>
      <c r="B4151" s="2" t="str">
        <f t="shared" si="2"/>
        <v/>
      </c>
      <c r="C4151" s="2" t="str">
        <f t="shared" si="3"/>
        <v>SP500</v>
      </c>
      <c r="D4151" s="2" t="str">
        <f t="shared" si="4"/>
        <v/>
      </c>
      <c r="E4151" s="2">
        <f t="shared" si="5"/>
        <v>5003.55</v>
      </c>
      <c r="G4151" s="10">
        <f t="shared" si="9"/>
        <v>42133.64583</v>
      </c>
      <c r="H4151" s="6" t="str">
        <f t="shared" si="6"/>
        <v/>
      </c>
      <c r="I4151" s="2">
        <f t="shared" si="7"/>
        <v>1426.89</v>
      </c>
      <c r="M4151" s="10">
        <f>IFERROR(__xludf.DUMMYFUNCTION("""COMPUTED_VALUE"""),44001.66666666667)</f>
        <v>44001.66667</v>
      </c>
      <c r="N4151" s="2">
        <f>IFERROR(__xludf.DUMMYFUNCTION("""COMPUTED_VALUE"""),9946.12)</f>
        <v>9946.12</v>
      </c>
      <c r="P4151" s="10">
        <f t="shared" si="10"/>
        <v>39693.64583</v>
      </c>
      <c r="Q4151" s="15">
        <v>1407.14</v>
      </c>
      <c r="R4151" s="18">
        <v>39693.0</v>
      </c>
    </row>
    <row r="4152">
      <c r="A4152" s="10">
        <f t="shared" si="8"/>
        <v>42134.66667</v>
      </c>
      <c r="B4152" s="2" t="str">
        <f t="shared" si="2"/>
        <v/>
      </c>
      <c r="C4152" s="2" t="str">
        <f t="shared" si="3"/>
        <v>SP500</v>
      </c>
      <c r="D4152" s="2" t="str">
        <f t="shared" si="4"/>
        <v/>
      </c>
      <c r="E4152" s="2">
        <f t="shared" si="5"/>
        <v>5003.55</v>
      </c>
      <c r="G4152" s="10">
        <f t="shared" si="9"/>
        <v>42134.64583</v>
      </c>
      <c r="H4152" s="6" t="str">
        <f t="shared" si="6"/>
        <v/>
      </c>
      <c r="I4152" s="2">
        <f t="shared" si="7"/>
        <v>1426.89</v>
      </c>
      <c r="M4152" s="10">
        <f>IFERROR(__xludf.DUMMYFUNCTION("""COMPUTED_VALUE"""),44004.66666666667)</f>
        <v>44004.66667</v>
      </c>
      <c r="N4152" s="2">
        <f>IFERROR(__xludf.DUMMYFUNCTION("""COMPUTED_VALUE"""),10056.48)</f>
        <v>10056.48</v>
      </c>
      <c r="P4152" s="10">
        <f t="shared" si="10"/>
        <v>39692.64583</v>
      </c>
      <c r="Q4152" s="15">
        <v>1414.43</v>
      </c>
      <c r="R4152" s="18">
        <v>39692.0</v>
      </c>
    </row>
    <row r="4153">
      <c r="A4153" s="10">
        <f t="shared" si="8"/>
        <v>42135.66667</v>
      </c>
      <c r="B4153" s="2" t="str">
        <f t="shared" si="2"/>
        <v/>
      </c>
      <c r="C4153" s="2" t="str">
        <f t="shared" si="3"/>
        <v>SP500</v>
      </c>
      <c r="D4153" s="2">
        <f t="shared" si="4"/>
        <v>4993.57</v>
      </c>
      <c r="E4153" s="2">
        <f t="shared" si="5"/>
        <v>4993.57</v>
      </c>
      <c r="G4153" s="10">
        <f t="shared" si="9"/>
        <v>42135.64583</v>
      </c>
      <c r="H4153" s="6" t="str">
        <f t="shared" si="6"/>
        <v/>
      </c>
      <c r="I4153" s="2">
        <f t="shared" si="7"/>
        <v>1426.89</v>
      </c>
      <c r="M4153" s="10">
        <f>IFERROR(__xludf.DUMMYFUNCTION("""COMPUTED_VALUE"""),44005.66666666667)</f>
        <v>44005.66667</v>
      </c>
      <c r="N4153" s="2">
        <f>IFERROR(__xludf.DUMMYFUNCTION("""COMPUTED_VALUE"""),10131.37)</f>
        <v>10131.37</v>
      </c>
      <c r="P4153" s="10">
        <f t="shared" si="10"/>
        <v>39689.64583</v>
      </c>
      <c r="Q4153" s="15">
        <v>1474.24</v>
      </c>
      <c r="R4153" s="18">
        <v>39689.0</v>
      </c>
    </row>
    <row r="4154">
      <c r="A4154" s="10">
        <f t="shared" si="8"/>
        <v>42136.66667</v>
      </c>
      <c r="B4154" s="2" t="str">
        <f t="shared" si="2"/>
        <v/>
      </c>
      <c r="C4154" s="2" t="str">
        <f t="shared" si="3"/>
        <v>SP500</v>
      </c>
      <c r="D4154" s="2">
        <f t="shared" si="4"/>
        <v>4976.19</v>
      </c>
      <c r="E4154" s="2">
        <f t="shared" si="5"/>
        <v>4976.19</v>
      </c>
      <c r="G4154" s="10">
        <f t="shared" si="9"/>
        <v>42136.64583</v>
      </c>
      <c r="H4154" s="6" t="str">
        <f t="shared" si="6"/>
        <v/>
      </c>
      <c r="I4154" s="2">
        <f t="shared" si="7"/>
        <v>1426.89</v>
      </c>
      <c r="M4154" s="10">
        <f>IFERROR(__xludf.DUMMYFUNCTION("""COMPUTED_VALUE"""),44006.66666666667)</f>
        <v>44006.66667</v>
      </c>
      <c r="N4154" s="2">
        <f>IFERROR(__xludf.DUMMYFUNCTION("""COMPUTED_VALUE"""),9909.17)</f>
        <v>9909.17</v>
      </c>
      <c r="P4154" s="10">
        <f t="shared" si="10"/>
        <v>39688.64583</v>
      </c>
      <c r="Q4154" s="15">
        <v>1474.15</v>
      </c>
      <c r="R4154" s="18">
        <v>39688.0</v>
      </c>
    </row>
    <row r="4155">
      <c r="A4155" s="10">
        <f t="shared" si="8"/>
        <v>42137.66667</v>
      </c>
      <c r="B4155" s="2" t="str">
        <f t="shared" si="2"/>
        <v/>
      </c>
      <c r="C4155" s="2" t="str">
        <f t="shared" si="3"/>
        <v>SP500</v>
      </c>
      <c r="D4155" s="2">
        <f t="shared" si="4"/>
        <v>4981.69</v>
      </c>
      <c r="E4155" s="2">
        <f t="shared" si="5"/>
        <v>4981.69</v>
      </c>
      <c r="G4155" s="10">
        <f t="shared" si="9"/>
        <v>42137.64583</v>
      </c>
      <c r="H4155" s="6" t="str">
        <f t="shared" si="6"/>
        <v/>
      </c>
      <c r="I4155" s="2">
        <f t="shared" si="7"/>
        <v>1426.89</v>
      </c>
      <c r="M4155" s="10">
        <f>IFERROR(__xludf.DUMMYFUNCTION("""COMPUTED_VALUE"""),44007.66666666667)</f>
        <v>44007.66667</v>
      </c>
      <c r="N4155" s="2">
        <f>IFERROR(__xludf.DUMMYFUNCTION("""COMPUTED_VALUE"""),10017.0)</f>
        <v>10017</v>
      </c>
      <c r="P4155" s="10">
        <f t="shared" si="10"/>
        <v>39687.64583</v>
      </c>
      <c r="Q4155" s="15">
        <v>1493.92</v>
      </c>
      <c r="R4155" s="18">
        <v>39687.0</v>
      </c>
    </row>
    <row r="4156">
      <c r="A4156" s="10">
        <f t="shared" si="8"/>
        <v>42138.66667</v>
      </c>
      <c r="B4156" s="2" t="str">
        <f t="shared" si="2"/>
        <v/>
      </c>
      <c r="C4156" s="2" t="str">
        <f t="shared" si="3"/>
        <v>SP500</v>
      </c>
      <c r="D4156" s="2">
        <f t="shared" si="4"/>
        <v>5050.8</v>
      </c>
      <c r="E4156" s="2">
        <f t="shared" si="5"/>
        <v>5050.8</v>
      </c>
      <c r="G4156" s="10">
        <f t="shared" si="9"/>
        <v>42138.64583</v>
      </c>
      <c r="H4156" s="6" t="str">
        <f t="shared" si="6"/>
        <v/>
      </c>
      <c r="I4156" s="2">
        <f t="shared" si="7"/>
        <v>1426.89</v>
      </c>
      <c r="M4156" s="10">
        <f>IFERROR(__xludf.DUMMYFUNCTION("""COMPUTED_VALUE"""),44008.66666666667)</f>
        <v>44008.66667</v>
      </c>
      <c r="N4156" s="2">
        <f>IFERROR(__xludf.DUMMYFUNCTION("""COMPUTED_VALUE"""),9757.22)</f>
        <v>9757.22</v>
      </c>
      <c r="P4156" s="10">
        <f t="shared" si="10"/>
        <v>39686.64583</v>
      </c>
      <c r="Q4156" s="15">
        <v>1490.25</v>
      </c>
      <c r="R4156" s="18">
        <v>39686.0</v>
      </c>
    </row>
    <row r="4157">
      <c r="A4157" s="10">
        <f t="shared" si="8"/>
        <v>42139.66667</v>
      </c>
      <c r="B4157" s="2" t="str">
        <f t="shared" si="2"/>
        <v/>
      </c>
      <c r="C4157" s="2" t="str">
        <f t="shared" si="3"/>
        <v>SP500</v>
      </c>
      <c r="D4157" s="2">
        <f t="shared" si="4"/>
        <v>5048.29</v>
      </c>
      <c r="E4157" s="2">
        <f t="shared" si="5"/>
        <v>5048.29</v>
      </c>
      <c r="G4157" s="10">
        <f t="shared" si="9"/>
        <v>42139.64583</v>
      </c>
      <c r="H4157" s="6" t="str">
        <f t="shared" si="6"/>
        <v/>
      </c>
      <c r="I4157" s="2">
        <f t="shared" si="7"/>
        <v>1426.89</v>
      </c>
      <c r="M4157" s="10">
        <f>IFERROR(__xludf.DUMMYFUNCTION("""COMPUTED_VALUE"""),44011.66666666667)</f>
        <v>44011.66667</v>
      </c>
      <c r="N4157" s="2">
        <f>IFERROR(__xludf.DUMMYFUNCTION("""COMPUTED_VALUE"""),9874.15)</f>
        <v>9874.15</v>
      </c>
      <c r="P4157" s="10">
        <f t="shared" si="10"/>
        <v>39685.64583</v>
      </c>
      <c r="Q4157" s="15">
        <v>1502.11</v>
      </c>
      <c r="R4157" s="18">
        <v>39685.0</v>
      </c>
    </row>
    <row r="4158">
      <c r="A4158" s="10">
        <f t="shared" si="8"/>
        <v>42140.66667</v>
      </c>
      <c r="B4158" s="2" t="str">
        <f t="shared" si="2"/>
        <v/>
      </c>
      <c r="C4158" s="2" t="str">
        <f t="shared" si="3"/>
        <v>SP500</v>
      </c>
      <c r="D4158" s="2" t="str">
        <f t="shared" si="4"/>
        <v/>
      </c>
      <c r="E4158" s="2">
        <f t="shared" si="5"/>
        <v>5048.29</v>
      </c>
      <c r="G4158" s="10">
        <f t="shared" si="9"/>
        <v>42140.64583</v>
      </c>
      <c r="H4158" s="6" t="str">
        <f t="shared" si="6"/>
        <v/>
      </c>
      <c r="I4158" s="2">
        <f t="shared" si="7"/>
        <v>1426.89</v>
      </c>
      <c r="M4158" s="10">
        <f>IFERROR(__xludf.DUMMYFUNCTION("""COMPUTED_VALUE"""),44012.66666666667)</f>
        <v>44012.66667</v>
      </c>
      <c r="N4158" s="2">
        <f>IFERROR(__xludf.DUMMYFUNCTION("""COMPUTED_VALUE"""),10058.77)</f>
        <v>10058.77</v>
      </c>
      <c r="P4158" s="10">
        <f t="shared" si="10"/>
        <v>39682.64583</v>
      </c>
      <c r="Q4158" s="15">
        <v>1496.91</v>
      </c>
      <c r="R4158" s="18">
        <v>39682.0</v>
      </c>
    </row>
    <row r="4159">
      <c r="A4159" s="10">
        <f t="shared" si="8"/>
        <v>42141.66667</v>
      </c>
      <c r="B4159" s="2" t="str">
        <f t="shared" si="2"/>
        <v/>
      </c>
      <c r="C4159" s="2" t="str">
        <f t="shared" si="3"/>
        <v>SP500</v>
      </c>
      <c r="D4159" s="2" t="str">
        <f t="shared" si="4"/>
        <v/>
      </c>
      <c r="E4159" s="2">
        <f t="shared" si="5"/>
        <v>5048.29</v>
      </c>
      <c r="G4159" s="10">
        <f t="shared" si="9"/>
        <v>42141.64583</v>
      </c>
      <c r="H4159" s="6" t="str">
        <f t="shared" si="6"/>
        <v/>
      </c>
      <c r="I4159" s="2">
        <f t="shared" si="7"/>
        <v>1426.89</v>
      </c>
      <c r="M4159" s="10">
        <f>IFERROR(__xludf.DUMMYFUNCTION("""COMPUTED_VALUE"""),44013.66666666667)</f>
        <v>44013.66667</v>
      </c>
      <c r="N4159" s="2">
        <f>IFERROR(__xludf.DUMMYFUNCTION("""COMPUTED_VALUE"""),10154.63)</f>
        <v>10154.63</v>
      </c>
      <c r="P4159" s="10">
        <f t="shared" si="10"/>
        <v>39681.64583</v>
      </c>
      <c r="Q4159" s="15">
        <v>1512.59</v>
      </c>
      <c r="R4159" s="18">
        <v>39681.0</v>
      </c>
    </row>
    <row r="4160">
      <c r="A4160" s="10">
        <f t="shared" si="8"/>
        <v>42142.66667</v>
      </c>
      <c r="B4160" s="2" t="str">
        <f t="shared" si="2"/>
        <v/>
      </c>
      <c r="C4160" s="2" t="str">
        <f t="shared" si="3"/>
        <v>SP500</v>
      </c>
      <c r="D4160" s="2">
        <f t="shared" si="4"/>
        <v>5078.44</v>
      </c>
      <c r="E4160" s="2">
        <f t="shared" si="5"/>
        <v>5078.44</v>
      </c>
      <c r="G4160" s="10">
        <f t="shared" si="9"/>
        <v>42142.64583</v>
      </c>
      <c r="H4160" s="6" t="str">
        <f t="shared" si="6"/>
        <v/>
      </c>
      <c r="I4160" s="2">
        <f t="shared" si="7"/>
        <v>1426.89</v>
      </c>
      <c r="M4160" s="10">
        <f>IFERROR(__xludf.DUMMYFUNCTION("""COMPUTED_VALUE"""),44014.66666666667)</f>
        <v>44014.66667</v>
      </c>
      <c r="N4160" s="2">
        <f>IFERROR(__xludf.DUMMYFUNCTION("""COMPUTED_VALUE"""),10207.63)</f>
        <v>10207.63</v>
      </c>
      <c r="P4160" s="10">
        <f t="shared" si="10"/>
        <v>39680.64583</v>
      </c>
      <c r="Q4160" s="15">
        <v>1540.71</v>
      </c>
      <c r="R4160" s="18">
        <v>39680.0</v>
      </c>
    </row>
    <row r="4161">
      <c r="A4161" s="10">
        <f t="shared" si="8"/>
        <v>42143.66667</v>
      </c>
      <c r="B4161" s="2" t="str">
        <f t="shared" si="2"/>
        <v/>
      </c>
      <c r="C4161" s="2" t="str">
        <f t="shared" si="3"/>
        <v>SP500</v>
      </c>
      <c r="D4161" s="2">
        <f t="shared" si="4"/>
        <v>5070.03</v>
      </c>
      <c r="E4161" s="2">
        <f t="shared" si="5"/>
        <v>5070.03</v>
      </c>
      <c r="G4161" s="10">
        <f t="shared" si="9"/>
        <v>42143.64583</v>
      </c>
      <c r="H4161" s="6" t="str">
        <f t="shared" si="6"/>
        <v/>
      </c>
      <c r="I4161" s="2">
        <f t="shared" si="7"/>
        <v>1426.89</v>
      </c>
      <c r="M4161" s="10">
        <f>IFERROR(__xludf.DUMMYFUNCTION("""COMPUTED_VALUE"""),44018.66666666667)</f>
        <v>44018.66667</v>
      </c>
      <c r="N4161" s="2">
        <f>IFERROR(__xludf.DUMMYFUNCTION("""COMPUTED_VALUE"""),10433.65)</f>
        <v>10433.65</v>
      </c>
      <c r="P4161" s="10">
        <f t="shared" si="10"/>
        <v>39679.64583</v>
      </c>
      <c r="Q4161" s="15">
        <v>1541.41</v>
      </c>
      <c r="R4161" s="18">
        <v>39679.0</v>
      </c>
    </row>
    <row r="4162">
      <c r="A4162" s="10">
        <f t="shared" si="8"/>
        <v>42144.66667</v>
      </c>
      <c r="B4162" s="2" t="str">
        <f t="shared" si="2"/>
        <v/>
      </c>
      <c r="C4162" s="2" t="str">
        <f t="shared" si="3"/>
        <v>SP500</v>
      </c>
      <c r="D4162" s="2">
        <f t="shared" si="4"/>
        <v>5071.74</v>
      </c>
      <c r="E4162" s="2">
        <f t="shared" si="5"/>
        <v>5071.74</v>
      </c>
      <c r="G4162" s="10">
        <f t="shared" si="9"/>
        <v>42144.64583</v>
      </c>
      <c r="H4162" s="6" t="str">
        <f t="shared" si="6"/>
        <v/>
      </c>
      <c r="I4162" s="2">
        <f t="shared" si="7"/>
        <v>1426.89</v>
      </c>
      <c r="M4162" s="10">
        <f>IFERROR(__xludf.DUMMYFUNCTION("""COMPUTED_VALUE"""),44019.66666666667)</f>
        <v>44019.66667</v>
      </c>
      <c r="N4162" s="2">
        <f>IFERROR(__xludf.DUMMYFUNCTION("""COMPUTED_VALUE"""),10343.89)</f>
        <v>10343.89</v>
      </c>
      <c r="P4162" s="10">
        <f t="shared" si="10"/>
        <v>39678.64583</v>
      </c>
      <c r="Q4162" s="15">
        <v>1567.71</v>
      </c>
      <c r="R4162" s="18">
        <v>39678.0</v>
      </c>
    </row>
    <row r="4163">
      <c r="A4163" s="10">
        <f t="shared" si="8"/>
        <v>42145.66667</v>
      </c>
      <c r="B4163" s="2" t="str">
        <f t="shared" si="2"/>
        <v/>
      </c>
      <c r="C4163" s="2" t="str">
        <f t="shared" si="3"/>
        <v>SP500</v>
      </c>
      <c r="D4163" s="2">
        <f t="shared" si="4"/>
        <v>5090.79</v>
      </c>
      <c r="E4163" s="2">
        <f t="shared" si="5"/>
        <v>5090.79</v>
      </c>
      <c r="G4163" s="10">
        <f t="shared" si="9"/>
        <v>42145.64583</v>
      </c>
      <c r="H4163" s="6" t="str">
        <f t="shared" si="6"/>
        <v/>
      </c>
      <c r="I4163" s="2">
        <f t="shared" si="7"/>
        <v>1426.89</v>
      </c>
      <c r="M4163" s="10">
        <f>IFERROR(__xludf.DUMMYFUNCTION("""COMPUTED_VALUE"""),44020.66666666667)</f>
        <v>44020.66667</v>
      </c>
      <c r="N4163" s="2">
        <f>IFERROR(__xludf.DUMMYFUNCTION("""COMPUTED_VALUE"""),10492.5)</f>
        <v>10492.5</v>
      </c>
      <c r="P4163" s="10">
        <f t="shared" si="10"/>
        <v>39674.64583</v>
      </c>
      <c r="Q4163" s="15">
        <v>1572.19</v>
      </c>
      <c r="R4163" s="18">
        <v>39674.0</v>
      </c>
    </row>
    <row r="4164">
      <c r="A4164" s="10">
        <f t="shared" si="8"/>
        <v>42146.66667</v>
      </c>
      <c r="B4164" s="2" t="str">
        <f t="shared" si="2"/>
        <v/>
      </c>
      <c r="C4164" s="2" t="str">
        <f t="shared" si="3"/>
        <v>SP500</v>
      </c>
      <c r="D4164" s="2">
        <f t="shared" si="4"/>
        <v>5089.36</v>
      </c>
      <c r="E4164" s="2">
        <f t="shared" si="5"/>
        <v>5089.36</v>
      </c>
      <c r="G4164" s="10">
        <f t="shared" si="9"/>
        <v>42146.64583</v>
      </c>
      <c r="H4164" s="6" t="str">
        <f t="shared" si="6"/>
        <v/>
      </c>
      <c r="I4164" s="2">
        <f t="shared" si="7"/>
        <v>1426.89</v>
      </c>
      <c r="M4164" s="10">
        <f>IFERROR(__xludf.DUMMYFUNCTION("""COMPUTED_VALUE"""),44021.66666666667)</f>
        <v>44021.66667</v>
      </c>
      <c r="N4164" s="2">
        <f>IFERROR(__xludf.DUMMYFUNCTION("""COMPUTED_VALUE"""),10547.75)</f>
        <v>10547.75</v>
      </c>
      <c r="P4164" s="10">
        <f t="shared" si="10"/>
        <v>39673.64583</v>
      </c>
      <c r="Q4164" s="15">
        <v>1562.72</v>
      </c>
      <c r="R4164" s="18">
        <v>39673.0</v>
      </c>
    </row>
    <row r="4165">
      <c r="A4165" s="10">
        <f t="shared" si="8"/>
        <v>42147.66667</v>
      </c>
      <c r="B4165" s="2" t="str">
        <f t="shared" si="2"/>
        <v/>
      </c>
      <c r="C4165" s="2" t="str">
        <f t="shared" si="3"/>
        <v>SP500</v>
      </c>
      <c r="D4165" s="2" t="str">
        <f t="shared" si="4"/>
        <v/>
      </c>
      <c r="E4165" s="2">
        <f t="shared" si="5"/>
        <v>5089.36</v>
      </c>
      <c r="G4165" s="10">
        <f t="shared" si="9"/>
        <v>42147.64583</v>
      </c>
      <c r="H4165" s="6" t="str">
        <f t="shared" si="6"/>
        <v/>
      </c>
      <c r="I4165" s="2">
        <f t="shared" si="7"/>
        <v>1426.89</v>
      </c>
      <c r="M4165" s="10">
        <f>IFERROR(__xludf.DUMMYFUNCTION("""COMPUTED_VALUE"""),44022.66666666667)</f>
        <v>44022.66667</v>
      </c>
      <c r="N4165" s="2">
        <f>IFERROR(__xludf.DUMMYFUNCTION("""COMPUTED_VALUE"""),10617.44)</f>
        <v>10617.44</v>
      </c>
      <c r="P4165" s="10">
        <f t="shared" si="10"/>
        <v>39672.64583</v>
      </c>
      <c r="Q4165" s="15">
        <v>1577.12</v>
      </c>
      <c r="R4165" s="18">
        <v>39672.0</v>
      </c>
    </row>
    <row r="4166">
      <c r="A4166" s="10">
        <f t="shared" si="8"/>
        <v>42148.66667</v>
      </c>
      <c r="B4166" s="2" t="str">
        <f t="shared" si="2"/>
        <v/>
      </c>
      <c r="C4166" s="2" t="str">
        <f t="shared" si="3"/>
        <v>SP500</v>
      </c>
      <c r="D4166" s="2" t="str">
        <f t="shared" si="4"/>
        <v/>
      </c>
      <c r="E4166" s="2">
        <f t="shared" si="5"/>
        <v>5089.36</v>
      </c>
      <c r="G4166" s="10">
        <f t="shared" si="9"/>
        <v>42148.64583</v>
      </c>
      <c r="H4166" s="6" t="str">
        <f t="shared" si="6"/>
        <v/>
      </c>
      <c r="I4166" s="2">
        <f t="shared" si="7"/>
        <v>1426.89</v>
      </c>
      <c r="M4166" s="10">
        <f>IFERROR(__xludf.DUMMYFUNCTION("""COMPUTED_VALUE"""),44025.66666666667)</f>
        <v>44025.66667</v>
      </c>
      <c r="N4166" s="2">
        <f>IFERROR(__xludf.DUMMYFUNCTION("""COMPUTED_VALUE"""),10390.84)</f>
        <v>10390.84</v>
      </c>
      <c r="P4166" s="10">
        <f t="shared" si="10"/>
        <v>39671.64583</v>
      </c>
      <c r="Q4166" s="15">
        <v>1581.09</v>
      </c>
      <c r="R4166" s="18">
        <v>39671.0</v>
      </c>
    </row>
    <row r="4167">
      <c r="A4167" s="10">
        <f t="shared" si="8"/>
        <v>42149.66667</v>
      </c>
      <c r="B4167" s="2" t="str">
        <f t="shared" si="2"/>
        <v/>
      </c>
      <c r="C4167" s="2" t="str">
        <f t="shared" si="3"/>
        <v>SP500</v>
      </c>
      <c r="D4167" s="2" t="str">
        <f t="shared" si="4"/>
        <v/>
      </c>
      <c r="E4167" s="2">
        <f t="shared" si="5"/>
        <v>5089.36</v>
      </c>
      <c r="G4167" s="10">
        <f t="shared" si="9"/>
        <v>42149.64583</v>
      </c>
      <c r="H4167" s="6" t="str">
        <f t="shared" si="6"/>
        <v/>
      </c>
      <c r="I4167" s="2">
        <f t="shared" si="7"/>
        <v>1426.89</v>
      </c>
      <c r="M4167" s="10">
        <f>IFERROR(__xludf.DUMMYFUNCTION("""COMPUTED_VALUE"""),44026.66666666667)</f>
        <v>44026.66667</v>
      </c>
      <c r="N4167" s="2">
        <f>IFERROR(__xludf.DUMMYFUNCTION("""COMPUTED_VALUE"""),10488.58)</f>
        <v>10488.58</v>
      </c>
      <c r="P4167" s="10">
        <f t="shared" si="10"/>
        <v>39668.64583</v>
      </c>
      <c r="Q4167" s="15">
        <v>1568.72</v>
      </c>
      <c r="R4167" s="18">
        <v>39668.0</v>
      </c>
    </row>
    <row r="4168">
      <c r="A4168" s="10">
        <f t="shared" si="8"/>
        <v>42150.66667</v>
      </c>
      <c r="B4168" s="2" t="str">
        <f t="shared" si="2"/>
        <v/>
      </c>
      <c r="C4168" s="2" t="str">
        <f t="shared" si="3"/>
        <v>SP500</v>
      </c>
      <c r="D4168" s="2">
        <f t="shared" si="4"/>
        <v>5032.75</v>
      </c>
      <c r="E4168" s="2">
        <f t="shared" si="5"/>
        <v>5032.75</v>
      </c>
      <c r="G4168" s="10">
        <f t="shared" si="9"/>
        <v>42150.64583</v>
      </c>
      <c r="H4168" s="6" t="str">
        <f t="shared" si="6"/>
        <v/>
      </c>
      <c r="I4168" s="2">
        <f t="shared" si="7"/>
        <v>1426.89</v>
      </c>
      <c r="M4168" s="10">
        <f>IFERROR(__xludf.DUMMYFUNCTION("""COMPUTED_VALUE"""),44027.66666666667)</f>
        <v>44027.66667</v>
      </c>
      <c r="N4168" s="2">
        <f>IFERROR(__xludf.DUMMYFUNCTION("""COMPUTED_VALUE"""),10550.49)</f>
        <v>10550.49</v>
      </c>
      <c r="P4168" s="10">
        <f t="shared" si="10"/>
        <v>39667.64583</v>
      </c>
      <c r="Q4168" s="15">
        <v>1564.0</v>
      </c>
      <c r="R4168" s="18">
        <v>39667.0</v>
      </c>
    </row>
    <row r="4169">
      <c r="A4169" s="10">
        <f t="shared" si="8"/>
        <v>42151.66667</v>
      </c>
      <c r="B4169" s="2" t="str">
        <f t="shared" si="2"/>
        <v/>
      </c>
      <c r="C4169" s="2" t="str">
        <f t="shared" si="3"/>
        <v>SP500</v>
      </c>
      <c r="D4169" s="2">
        <f t="shared" si="4"/>
        <v>5106.59</v>
      </c>
      <c r="E4169" s="2">
        <f t="shared" si="5"/>
        <v>5106.59</v>
      </c>
      <c r="G4169" s="10">
        <f t="shared" si="9"/>
        <v>42151.64583</v>
      </c>
      <c r="H4169" s="6" t="str">
        <f t="shared" si="6"/>
        <v/>
      </c>
      <c r="I4169" s="2">
        <f t="shared" si="7"/>
        <v>1426.89</v>
      </c>
      <c r="M4169" s="10">
        <f>IFERROR(__xludf.DUMMYFUNCTION("""COMPUTED_VALUE"""),44028.66666666667)</f>
        <v>44028.66667</v>
      </c>
      <c r="N4169" s="2">
        <f>IFERROR(__xludf.DUMMYFUNCTION("""COMPUTED_VALUE"""),10473.83)</f>
        <v>10473.83</v>
      </c>
      <c r="P4169" s="10">
        <f t="shared" si="10"/>
        <v>39666.64583</v>
      </c>
      <c r="Q4169" s="15">
        <v>1578.71</v>
      </c>
      <c r="R4169" s="18">
        <v>39666.0</v>
      </c>
    </row>
    <row r="4170">
      <c r="A4170" s="10">
        <f t="shared" si="8"/>
        <v>42152.66667</v>
      </c>
      <c r="B4170" s="2" t="str">
        <f t="shared" si="2"/>
        <v/>
      </c>
      <c r="C4170" s="2" t="str">
        <f t="shared" si="3"/>
        <v>SP500</v>
      </c>
      <c r="D4170" s="2">
        <f t="shared" si="4"/>
        <v>5097.98</v>
      </c>
      <c r="E4170" s="2">
        <f t="shared" si="5"/>
        <v>5097.98</v>
      </c>
      <c r="G4170" s="10">
        <f t="shared" si="9"/>
        <v>42152.64583</v>
      </c>
      <c r="H4170" s="6" t="str">
        <f t="shared" si="6"/>
        <v/>
      </c>
      <c r="I4170" s="2">
        <f t="shared" si="7"/>
        <v>1426.89</v>
      </c>
      <c r="M4170" s="10">
        <f>IFERROR(__xludf.DUMMYFUNCTION("""COMPUTED_VALUE"""),44029.66666666667)</f>
        <v>44029.66667</v>
      </c>
      <c r="N4170" s="2">
        <f>IFERROR(__xludf.DUMMYFUNCTION("""COMPUTED_VALUE"""),10503.19)</f>
        <v>10503.19</v>
      </c>
      <c r="P4170" s="10">
        <f t="shared" si="10"/>
        <v>39665.64583</v>
      </c>
      <c r="Q4170" s="15">
        <v>1535.54</v>
      </c>
      <c r="R4170" s="18">
        <v>39665.0</v>
      </c>
    </row>
    <row r="4171">
      <c r="A4171" s="10">
        <f t="shared" si="8"/>
        <v>42153.66667</v>
      </c>
      <c r="B4171" s="2" t="str">
        <f t="shared" si="2"/>
        <v/>
      </c>
      <c r="C4171" s="2" t="str">
        <f t="shared" si="3"/>
        <v>SP500</v>
      </c>
      <c r="D4171" s="2">
        <f t="shared" si="4"/>
        <v>5070.03</v>
      </c>
      <c r="E4171" s="2">
        <f t="shared" si="5"/>
        <v>5070.03</v>
      </c>
      <c r="G4171" s="10">
        <f t="shared" si="9"/>
        <v>42153.64583</v>
      </c>
      <c r="H4171" s="6" t="str">
        <f t="shared" si="6"/>
        <v/>
      </c>
      <c r="I4171" s="2">
        <f t="shared" si="7"/>
        <v>1426.89</v>
      </c>
      <c r="M4171" s="10">
        <f>IFERROR(__xludf.DUMMYFUNCTION("""COMPUTED_VALUE"""),44032.66666666667)</f>
        <v>44032.66667</v>
      </c>
      <c r="N4171" s="2">
        <f>IFERROR(__xludf.DUMMYFUNCTION("""COMPUTED_VALUE"""),10767.09)</f>
        <v>10767.09</v>
      </c>
      <c r="P4171" s="10">
        <f t="shared" si="10"/>
        <v>39664.64583</v>
      </c>
      <c r="Q4171" s="15">
        <v>1543.05</v>
      </c>
      <c r="R4171" s="18">
        <v>39664.0</v>
      </c>
    </row>
    <row r="4172">
      <c r="A4172" s="10">
        <f t="shared" si="8"/>
        <v>42154.66667</v>
      </c>
      <c r="B4172" s="2" t="str">
        <f t="shared" si="2"/>
        <v/>
      </c>
      <c r="C4172" s="2" t="str">
        <f t="shared" si="3"/>
        <v>SP500</v>
      </c>
      <c r="D4172" s="2" t="str">
        <f t="shared" si="4"/>
        <v/>
      </c>
      <c r="E4172" s="2">
        <f t="shared" si="5"/>
        <v>5070.03</v>
      </c>
      <c r="G4172" s="10">
        <f t="shared" si="9"/>
        <v>42154.64583</v>
      </c>
      <c r="H4172" s="6" t="str">
        <f t="shared" si="6"/>
        <v/>
      </c>
      <c r="I4172" s="2">
        <f t="shared" si="7"/>
        <v>1426.89</v>
      </c>
      <c r="M4172" s="10">
        <f>IFERROR(__xludf.DUMMYFUNCTION("""COMPUTED_VALUE"""),44033.66666666667)</f>
        <v>44033.66667</v>
      </c>
      <c r="N4172" s="2">
        <f>IFERROR(__xludf.DUMMYFUNCTION("""COMPUTED_VALUE"""),10680.36)</f>
        <v>10680.36</v>
      </c>
      <c r="P4172" s="10">
        <f t="shared" si="10"/>
        <v>39661.64583</v>
      </c>
      <c r="Q4172" s="15">
        <v>1573.77</v>
      </c>
      <c r="R4172" s="18">
        <v>39661.0</v>
      </c>
    </row>
    <row r="4173">
      <c r="A4173" s="10">
        <f t="shared" si="8"/>
        <v>42155.66667</v>
      </c>
      <c r="B4173" s="2" t="str">
        <f t="shared" si="2"/>
        <v/>
      </c>
      <c r="C4173" s="2" t="str">
        <f t="shared" si="3"/>
        <v>SP500</v>
      </c>
      <c r="D4173" s="2" t="str">
        <f t="shared" si="4"/>
        <v/>
      </c>
      <c r="E4173" s="2">
        <f t="shared" si="5"/>
        <v>5070.03</v>
      </c>
      <c r="G4173" s="10">
        <f t="shared" si="9"/>
        <v>42155.64583</v>
      </c>
      <c r="H4173" s="6" t="str">
        <f t="shared" si="6"/>
        <v/>
      </c>
      <c r="I4173" s="2">
        <f t="shared" si="7"/>
        <v>1426.89</v>
      </c>
      <c r="M4173" s="10">
        <f>IFERROR(__xludf.DUMMYFUNCTION("""COMPUTED_VALUE"""),44034.66666666667)</f>
        <v>44034.66667</v>
      </c>
      <c r="N4173" s="2">
        <f>IFERROR(__xludf.DUMMYFUNCTION("""COMPUTED_VALUE"""),10706.13)</f>
        <v>10706.13</v>
      </c>
      <c r="P4173" s="10">
        <f t="shared" si="10"/>
        <v>39660.64583</v>
      </c>
      <c r="Q4173" s="15">
        <v>1594.67</v>
      </c>
      <c r="R4173" s="18">
        <v>39660.0</v>
      </c>
    </row>
    <row r="4174">
      <c r="A4174" s="10">
        <f t="shared" si="8"/>
        <v>42156.66667</v>
      </c>
      <c r="B4174" s="2" t="str">
        <f t="shared" si="2"/>
        <v/>
      </c>
      <c r="C4174" s="2" t="str">
        <f t="shared" si="3"/>
        <v>SP500</v>
      </c>
      <c r="D4174" s="2">
        <f t="shared" si="4"/>
        <v>5082.93</v>
      </c>
      <c r="E4174" s="2">
        <f t="shared" si="5"/>
        <v>5082.93</v>
      </c>
      <c r="G4174" s="10">
        <f t="shared" si="9"/>
        <v>42156.64583</v>
      </c>
      <c r="H4174" s="6" t="str">
        <f t="shared" si="6"/>
        <v/>
      </c>
      <c r="I4174" s="2">
        <f t="shared" si="7"/>
        <v>1426.89</v>
      </c>
      <c r="M4174" s="10">
        <f>IFERROR(__xludf.DUMMYFUNCTION("""COMPUTED_VALUE"""),44035.66666666667)</f>
        <v>44035.66667</v>
      </c>
      <c r="N4174" s="2">
        <f>IFERROR(__xludf.DUMMYFUNCTION("""COMPUTED_VALUE"""),10461.42)</f>
        <v>10461.42</v>
      </c>
      <c r="P4174" s="10">
        <f t="shared" si="10"/>
        <v>39659.64583</v>
      </c>
      <c r="Q4174" s="15">
        <v>1577.7</v>
      </c>
      <c r="R4174" s="18">
        <v>39659.0</v>
      </c>
    </row>
    <row r="4175">
      <c r="A4175" s="10">
        <f t="shared" si="8"/>
        <v>42157.66667</v>
      </c>
      <c r="B4175" s="2" t="str">
        <f t="shared" si="2"/>
        <v/>
      </c>
      <c r="C4175" s="2" t="str">
        <f t="shared" si="3"/>
        <v>SP500</v>
      </c>
      <c r="D4175" s="2">
        <f t="shared" si="4"/>
        <v>5076.52</v>
      </c>
      <c r="E4175" s="2">
        <f t="shared" si="5"/>
        <v>5076.52</v>
      </c>
      <c r="G4175" s="10">
        <f t="shared" si="9"/>
        <v>42157.64583</v>
      </c>
      <c r="H4175" s="6" t="str">
        <f t="shared" si="6"/>
        <v/>
      </c>
      <c r="I4175" s="2">
        <f t="shared" si="7"/>
        <v>1426.89</v>
      </c>
      <c r="M4175" s="10">
        <f>IFERROR(__xludf.DUMMYFUNCTION("""COMPUTED_VALUE"""),44036.66666666667)</f>
        <v>44036.66667</v>
      </c>
      <c r="N4175" s="2">
        <f>IFERROR(__xludf.DUMMYFUNCTION("""COMPUTED_VALUE"""),10363.18)</f>
        <v>10363.18</v>
      </c>
      <c r="P4175" s="10">
        <f t="shared" si="10"/>
        <v>39658.64583</v>
      </c>
      <c r="Q4175" s="15">
        <v>1567.2</v>
      </c>
      <c r="R4175" s="18">
        <v>39658.0</v>
      </c>
    </row>
    <row r="4176">
      <c r="A4176" s="10">
        <f t="shared" si="8"/>
        <v>42158.66667</v>
      </c>
      <c r="B4176" s="2" t="str">
        <f t="shared" si="2"/>
        <v/>
      </c>
      <c r="C4176" s="2" t="str">
        <f t="shared" si="3"/>
        <v>SP500</v>
      </c>
      <c r="D4176" s="2">
        <f t="shared" si="4"/>
        <v>5099.23</v>
      </c>
      <c r="E4176" s="2">
        <f t="shared" si="5"/>
        <v>5099.23</v>
      </c>
      <c r="G4176" s="10">
        <f t="shared" si="9"/>
        <v>42158.64583</v>
      </c>
      <c r="H4176" s="6" t="str">
        <f t="shared" si="6"/>
        <v/>
      </c>
      <c r="I4176" s="2">
        <f t="shared" si="7"/>
        <v>1426.89</v>
      </c>
      <c r="M4176" s="10">
        <f>IFERROR(__xludf.DUMMYFUNCTION("""COMPUTED_VALUE"""),44039.66666666667)</f>
        <v>44039.66667</v>
      </c>
      <c r="N4176" s="2">
        <f>IFERROR(__xludf.DUMMYFUNCTION("""COMPUTED_VALUE"""),10536.27)</f>
        <v>10536.27</v>
      </c>
      <c r="P4176" s="10">
        <f t="shared" si="10"/>
        <v>39657.64583</v>
      </c>
      <c r="Q4176" s="15">
        <v>1598.29</v>
      </c>
      <c r="R4176" s="18">
        <v>39657.0</v>
      </c>
    </row>
    <row r="4177">
      <c r="A4177" s="10">
        <f t="shared" si="8"/>
        <v>42159.66667</v>
      </c>
      <c r="B4177" s="2" t="str">
        <f t="shared" si="2"/>
        <v/>
      </c>
      <c r="C4177" s="2" t="str">
        <f t="shared" si="3"/>
        <v>SP500</v>
      </c>
      <c r="D4177" s="2">
        <f t="shared" si="4"/>
        <v>5059.12</v>
      </c>
      <c r="E4177" s="2">
        <f t="shared" si="5"/>
        <v>5059.12</v>
      </c>
      <c r="G4177" s="10">
        <f t="shared" si="9"/>
        <v>42159.64583</v>
      </c>
      <c r="H4177" s="6" t="str">
        <f t="shared" si="6"/>
        <v/>
      </c>
      <c r="I4177" s="2">
        <f t="shared" si="7"/>
        <v>1426.89</v>
      </c>
      <c r="M4177" s="10">
        <f>IFERROR(__xludf.DUMMYFUNCTION("""COMPUTED_VALUE"""),44040.66666666667)</f>
        <v>44040.66667</v>
      </c>
      <c r="N4177" s="2">
        <f>IFERROR(__xludf.DUMMYFUNCTION("""COMPUTED_VALUE"""),10402.09)</f>
        <v>10402.09</v>
      </c>
      <c r="P4177" s="10">
        <f t="shared" si="10"/>
        <v>39654.64583</v>
      </c>
      <c r="Q4177" s="15">
        <v>1597.93</v>
      </c>
      <c r="R4177" s="18">
        <v>39654.0</v>
      </c>
    </row>
    <row r="4178">
      <c r="A4178" s="10">
        <f t="shared" si="8"/>
        <v>42160.66667</v>
      </c>
      <c r="B4178" s="2" t="str">
        <f t="shared" si="2"/>
        <v/>
      </c>
      <c r="C4178" s="2" t="str">
        <f t="shared" si="3"/>
        <v>SP500</v>
      </c>
      <c r="D4178" s="2">
        <f t="shared" si="4"/>
        <v>5068.46</v>
      </c>
      <c r="E4178" s="2">
        <f t="shared" si="5"/>
        <v>5068.46</v>
      </c>
      <c r="G4178" s="10">
        <f t="shared" si="9"/>
        <v>42160.64583</v>
      </c>
      <c r="H4178" s="6" t="str">
        <f t="shared" si="6"/>
        <v/>
      </c>
      <c r="I4178" s="2">
        <f t="shared" si="7"/>
        <v>1426.89</v>
      </c>
      <c r="M4178" s="10">
        <f>IFERROR(__xludf.DUMMYFUNCTION("""COMPUTED_VALUE"""),44041.66666666667)</f>
        <v>44041.66667</v>
      </c>
      <c r="N4178" s="2">
        <f>IFERROR(__xludf.DUMMYFUNCTION("""COMPUTED_VALUE"""),10542.94)</f>
        <v>10542.94</v>
      </c>
      <c r="P4178" s="10">
        <f t="shared" si="10"/>
        <v>39653.64583</v>
      </c>
      <c r="Q4178" s="15">
        <v>1626.14</v>
      </c>
      <c r="R4178" s="18">
        <v>39653.0</v>
      </c>
    </row>
    <row r="4179">
      <c r="A4179" s="10">
        <f t="shared" si="8"/>
        <v>42161.66667</v>
      </c>
      <c r="B4179" s="2" t="str">
        <f t="shared" si="2"/>
        <v/>
      </c>
      <c r="C4179" s="2" t="str">
        <f t="shared" si="3"/>
        <v>SP500</v>
      </c>
      <c r="D4179" s="2" t="str">
        <f t="shared" si="4"/>
        <v/>
      </c>
      <c r="E4179" s="2">
        <f t="shared" si="5"/>
        <v>5068.46</v>
      </c>
      <c r="G4179" s="10">
        <f t="shared" si="9"/>
        <v>42161.64583</v>
      </c>
      <c r="H4179" s="6" t="str">
        <f t="shared" si="6"/>
        <v/>
      </c>
      <c r="I4179" s="2">
        <f t="shared" si="7"/>
        <v>1426.89</v>
      </c>
      <c r="M4179" s="10">
        <f>IFERROR(__xludf.DUMMYFUNCTION("""COMPUTED_VALUE"""),44042.66666666667)</f>
        <v>44042.66667</v>
      </c>
      <c r="N4179" s="2">
        <f>IFERROR(__xludf.DUMMYFUNCTION("""COMPUTED_VALUE"""),10587.81)</f>
        <v>10587.81</v>
      </c>
      <c r="P4179" s="10">
        <f t="shared" si="10"/>
        <v>39652.64583</v>
      </c>
      <c r="Q4179" s="15">
        <v>1591.76</v>
      </c>
      <c r="R4179" s="18">
        <v>39652.0</v>
      </c>
    </row>
    <row r="4180">
      <c r="A4180" s="10">
        <f t="shared" si="8"/>
        <v>42162.66667</v>
      </c>
      <c r="B4180" s="2" t="str">
        <f t="shared" si="2"/>
        <v/>
      </c>
      <c r="C4180" s="2" t="str">
        <f t="shared" si="3"/>
        <v>SP500</v>
      </c>
      <c r="D4180" s="2" t="str">
        <f t="shared" si="4"/>
        <v/>
      </c>
      <c r="E4180" s="2">
        <f t="shared" si="5"/>
        <v>5068.46</v>
      </c>
      <c r="G4180" s="10">
        <f t="shared" si="9"/>
        <v>42162.64583</v>
      </c>
      <c r="H4180" s="6" t="str">
        <f t="shared" si="6"/>
        <v/>
      </c>
      <c r="I4180" s="2">
        <f t="shared" si="7"/>
        <v>1426.89</v>
      </c>
      <c r="M4180" s="10">
        <f>IFERROR(__xludf.DUMMYFUNCTION("""COMPUTED_VALUE"""),44043.66666666667)</f>
        <v>44043.66667</v>
      </c>
      <c r="N4180" s="2">
        <f>IFERROR(__xludf.DUMMYFUNCTION("""COMPUTED_VALUE"""),10745.28)</f>
        <v>10745.28</v>
      </c>
      <c r="P4180" s="10">
        <f t="shared" si="10"/>
        <v>39651.64583</v>
      </c>
      <c r="Q4180" s="15">
        <v>1561.23</v>
      </c>
      <c r="R4180" s="18">
        <v>39651.0</v>
      </c>
    </row>
    <row r="4181">
      <c r="A4181" s="10">
        <f t="shared" si="8"/>
        <v>42163.66667</v>
      </c>
      <c r="B4181" s="2" t="str">
        <f t="shared" si="2"/>
        <v/>
      </c>
      <c r="C4181" s="2" t="str">
        <f t="shared" si="3"/>
        <v>SP500</v>
      </c>
      <c r="D4181" s="2">
        <f t="shared" si="4"/>
        <v>5021.63</v>
      </c>
      <c r="E4181" s="2">
        <f t="shared" si="5"/>
        <v>5021.63</v>
      </c>
      <c r="G4181" s="10">
        <f t="shared" si="9"/>
        <v>42163.64583</v>
      </c>
      <c r="H4181" s="6" t="str">
        <f t="shared" si="6"/>
        <v/>
      </c>
      <c r="I4181" s="2">
        <f t="shared" si="7"/>
        <v>1426.89</v>
      </c>
      <c r="M4181" s="10">
        <f>IFERROR(__xludf.DUMMYFUNCTION("""COMPUTED_VALUE"""),44046.66666666667)</f>
        <v>44046.66667</v>
      </c>
      <c r="N4181" s="2">
        <f>IFERROR(__xludf.DUMMYFUNCTION("""COMPUTED_VALUE"""),10902.8)</f>
        <v>10902.8</v>
      </c>
      <c r="P4181" s="10">
        <f t="shared" si="10"/>
        <v>39650.64583</v>
      </c>
      <c r="Q4181" s="15">
        <v>1562.92</v>
      </c>
      <c r="R4181" s="18">
        <v>39650.0</v>
      </c>
    </row>
    <row r="4182">
      <c r="A4182" s="10">
        <f t="shared" si="8"/>
        <v>42164.66667</v>
      </c>
      <c r="B4182" s="2" t="str">
        <f t="shared" si="2"/>
        <v/>
      </c>
      <c r="C4182" s="2" t="str">
        <f t="shared" si="3"/>
        <v>SP500</v>
      </c>
      <c r="D4182" s="2">
        <f t="shared" si="4"/>
        <v>5013.87</v>
      </c>
      <c r="E4182" s="2">
        <f t="shared" si="5"/>
        <v>5013.87</v>
      </c>
      <c r="G4182" s="10">
        <f t="shared" si="9"/>
        <v>42164.64583</v>
      </c>
      <c r="H4182" s="6" t="str">
        <f t="shared" si="6"/>
        <v/>
      </c>
      <c r="I4182" s="2">
        <f t="shared" si="7"/>
        <v>1426.89</v>
      </c>
      <c r="M4182" s="10">
        <f>IFERROR(__xludf.DUMMYFUNCTION("""COMPUTED_VALUE"""),44047.66666666667)</f>
        <v>44047.66667</v>
      </c>
      <c r="N4182" s="2">
        <f>IFERROR(__xludf.DUMMYFUNCTION("""COMPUTED_VALUE"""),10941.17)</f>
        <v>10941.17</v>
      </c>
      <c r="P4182" s="10">
        <f t="shared" si="10"/>
        <v>39647.64583</v>
      </c>
      <c r="Q4182" s="15">
        <v>1509.99</v>
      </c>
      <c r="R4182" s="18">
        <v>39647.0</v>
      </c>
    </row>
    <row r="4183">
      <c r="A4183" s="10">
        <f t="shared" si="8"/>
        <v>42165.66667</v>
      </c>
      <c r="B4183" s="2" t="str">
        <f t="shared" si="2"/>
        <v/>
      </c>
      <c r="C4183" s="2" t="str">
        <f t="shared" si="3"/>
        <v>SP500</v>
      </c>
      <c r="D4183" s="2">
        <f t="shared" si="4"/>
        <v>5076.69</v>
      </c>
      <c r="E4183" s="2">
        <f t="shared" si="5"/>
        <v>5076.69</v>
      </c>
      <c r="G4183" s="10">
        <f t="shared" si="9"/>
        <v>42165.64583</v>
      </c>
      <c r="H4183" s="6" t="str">
        <f t="shared" si="6"/>
        <v/>
      </c>
      <c r="I4183" s="2">
        <f t="shared" si="7"/>
        <v>1426.89</v>
      </c>
      <c r="M4183" s="10">
        <f>IFERROR(__xludf.DUMMYFUNCTION("""COMPUTED_VALUE"""),44048.66666666667)</f>
        <v>44048.66667</v>
      </c>
      <c r="N4183" s="2">
        <f>IFERROR(__xludf.DUMMYFUNCTION("""COMPUTED_VALUE"""),10998.4)</f>
        <v>10998.4</v>
      </c>
      <c r="P4183" s="10">
        <f t="shared" si="10"/>
        <v>39646.64583</v>
      </c>
      <c r="Q4183" s="15">
        <v>1525.56</v>
      </c>
      <c r="R4183" s="18">
        <v>39646.0</v>
      </c>
    </row>
    <row r="4184">
      <c r="A4184" s="10">
        <f t="shared" si="8"/>
        <v>42166.66667</v>
      </c>
      <c r="B4184" s="2" t="str">
        <f t="shared" si="2"/>
        <v/>
      </c>
      <c r="C4184" s="2" t="str">
        <f t="shared" si="3"/>
        <v>SP500</v>
      </c>
      <c r="D4184" s="2">
        <f t="shared" si="4"/>
        <v>5082.51</v>
      </c>
      <c r="E4184" s="2">
        <f t="shared" si="5"/>
        <v>5082.51</v>
      </c>
      <c r="G4184" s="10">
        <f t="shared" si="9"/>
        <v>42166.64583</v>
      </c>
      <c r="H4184" s="6" t="str">
        <f t="shared" si="6"/>
        <v/>
      </c>
      <c r="I4184" s="2">
        <f t="shared" si="7"/>
        <v>1426.89</v>
      </c>
      <c r="M4184" s="10">
        <f>IFERROR(__xludf.DUMMYFUNCTION("""COMPUTED_VALUE"""),44049.66666666667)</f>
        <v>44049.66667</v>
      </c>
      <c r="N4184" s="2">
        <f>IFERROR(__xludf.DUMMYFUNCTION("""COMPUTED_VALUE"""),11108.07)</f>
        <v>11108.07</v>
      </c>
      <c r="P4184" s="10">
        <f t="shared" si="10"/>
        <v>39645.64583</v>
      </c>
      <c r="Q4184" s="15">
        <v>1507.4</v>
      </c>
      <c r="R4184" s="18">
        <v>39645.0</v>
      </c>
    </row>
    <row r="4185">
      <c r="A4185" s="10">
        <f t="shared" si="8"/>
        <v>42167.66667</v>
      </c>
      <c r="B4185" s="2" t="str">
        <f t="shared" si="2"/>
        <v/>
      </c>
      <c r="C4185" s="2" t="str">
        <f t="shared" si="3"/>
        <v>SP500</v>
      </c>
      <c r="D4185" s="2">
        <f t="shared" si="4"/>
        <v>5051.1</v>
      </c>
      <c r="E4185" s="2">
        <f t="shared" si="5"/>
        <v>5051.1</v>
      </c>
      <c r="G4185" s="10">
        <f t="shared" si="9"/>
        <v>42167.64583</v>
      </c>
      <c r="H4185" s="6" t="str">
        <f t="shared" si="6"/>
        <v/>
      </c>
      <c r="I4185" s="2">
        <f t="shared" si="7"/>
        <v>1426.89</v>
      </c>
      <c r="M4185" s="10">
        <f>IFERROR(__xludf.DUMMYFUNCTION("""COMPUTED_VALUE"""),44050.66666666667)</f>
        <v>44050.66667</v>
      </c>
      <c r="N4185" s="2">
        <f>IFERROR(__xludf.DUMMYFUNCTION("""COMPUTED_VALUE"""),11010.98)</f>
        <v>11010.98</v>
      </c>
      <c r="P4185" s="10">
        <f t="shared" si="10"/>
        <v>39644.64583</v>
      </c>
      <c r="Q4185" s="15">
        <v>1509.33</v>
      </c>
      <c r="R4185" s="18">
        <v>39644.0</v>
      </c>
    </row>
    <row r="4186">
      <c r="A4186" s="10">
        <f t="shared" si="8"/>
        <v>42168.66667</v>
      </c>
      <c r="B4186" s="2" t="str">
        <f t="shared" si="2"/>
        <v/>
      </c>
      <c r="C4186" s="2" t="str">
        <f t="shared" si="3"/>
        <v>SP500</v>
      </c>
      <c r="D4186" s="2" t="str">
        <f t="shared" si="4"/>
        <v/>
      </c>
      <c r="E4186" s="2">
        <f t="shared" si="5"/>
        <v>5051.1</v>
      </c>
      <c r="G4186" s="10">
        <f t="shared" si="9"/>
        <v>42168.64583</v>
      </c>
      <c r="H4186" s="6" t="str">
        <f t="shared" si="6"/>
        <v/>
      </c>
      <c r="I4186" s="2">
        <f t="shared" si="7"/>
        <v>1426.89</v>
      </c>
      <c r="M4186" s="10">
        <f>IFERROR(__xludf.DUMMYFUNCTION("""COMPUTED_VALUE"""),44053.66666666667)</f>
        <v>44053.66667</v>
      </c>
      <c r="N4186" s="2">
        <f>IFERROR(__xludf.DUMMYFUNCTION("""COMPUTED_VALUE"""),10968.36)</f>
        <v>10968.36</v>
      </c>
      <c r="P4186" s="10">
        <f t="shared" si="10"/>
        <v>39643.64583</v>
      </c>
      <c r="Q4186" s="15">
        <v>1558.62</v>
      </c>
      <c r="R4186" s="18">
        <v>39643.0</v>
      </c>
    </row>
    <row r="4187">
      <c r="A4187" s="10">
        <f t="shared" si="8"/>
        <v>42169.66667</v>
      </c>
      <c r="B4187" s="2" t="str">
        <f t="shared" si="2"/>
        <v/>
      </c>
      <c r="C4187" s="2" t="str">
        <f t="shared" si="3"/>
        <v>SP500</v>
      </c>
      <c r="D4187" s="2" t="str">
        <f t="shared" si="4"/>
        <v/>
      </c>
      <c r="E4187" s="2">
        <f t="shared" si="5"/>
        <v>5051.1</v>
      </c>
      <c r="G4187" s="10">
        <f t="shared" si="9"/>
        <v>42169.64583</v>
      </c>
      <c r="H4187" s="6" t="str">
        <f t="shared" si="6"/>
        <v/>
      </c>
      <c r="I4187" s="2">
        <f t="shared" si="7"/>
        <v>1426.89</v>
      </c>
      <c r="M4187" s="10">
        <f>IFERROR(__xludf.DUMMYFUNCTION("""COMPUTED_VALUE"""),44054.66666666667)</f>
        <v>44054.66667</v>
      </c>
      <c r="N4187" s="2">
        <f>IFERROR(__xludf.DUMMYFUNCTION("""COMPUTED_VALUE"""),10782.82)</f>
        <v>10782.82</v>
      </c>
      <c r="P4187" s="10">
        <f t="shared" si="10"/>
        <v>39640.64583</v>
      </c>
      <c r="Q4187" s="15">
        <v>1567.51</v>
      </c>
      <c r="R4187" s="18">
        <v>39640.0</v>
      </c>
    </row>
    <row r="4188">
      <c r="A4188" s="10">
        <f t="shared" si="8"/>
        <v>42170.66667</v>
      </c>
      <c r="B4188" s="2" t="str">
        <f t="shared" si="2"/>
        <v/>
      </c>
      <c r="C4188" s="2" t="str">
        <f t="shared" si="3"/>
        <v>SP500</v>
      </c>
      <c r="D4188" s="2">
        <f t="shared" si="4"/>
        <v>5029.97</v>
      </c>
      <c r="E4188" s="2">
        <f t="shared" si="5"/>
        <v>5029.97</v>
      </c>
      <c r="G4188" s="10">
        <f t="shared" si="9"/>
        <v>42170.64583</v>
      </c>
      <c r="H4188" s="6" t="str">
        <f t="shared" si="6"/>
        <v/>
      </c>
      <c r="I4188" s="2">
        <f t="shared" si="7"/>
        <v>1426.89</v>
      </c>
      <c r="M4188" s="10">
        <f>IFERROR(__xludf.DUMMYFUNCTION("""COMPUTED_VALUE"""),44055.66666666667)</f>
        <v>44055.66667</v>
      </c>
      <c r="N4188" s="2">
        <f>IFERROR(__xludf.DUMMYFUNCTION("""COMPUTED_VALUE"""),11012.24)</f>
        <v>11012.24</v>
      </c>
      <c r="P4188" s="10">
        <f t="shared" si="10"/>
        <v>39639.64583</v>
      </c>
      <c r="Q4188" s="15">
        <v>1537.43</v>
      </c>
      <c r="R4188" s="18">
        <v>39639.0</v>
      </c>
    </row>
    <row r="4189">
      <c r="A4189" s="10">
        <f t="shared" si="8"/>
        <v>42171.66667</v>
      </c>
      <c r="B4189" s="2" t="str">
        <f t="shared" si="2"/>
        <v/>
      </c>
      <c r="C4189" s="2" t="str">
        <f t="shared" si="3"/>
        <v>SP500</v>
      </c>
      <c r="D4189" s="2">
        <f t="shared" si="4"/>
        <v>5055.55</v>
      </c>
      <c r="E4189" s="2">
        <f t="shared" si="5"/>
        <v>5055.55</v>
      </c>
      <c r="G4189" s="10">
        <f t="shared" si="9"/>
        <v>42171.64583</v>
      </c>
      <c r="H4189" s="6" t="str">
        <f t="shared" si="6"/>
        <v/>
      </c>
      <c r="I4189" s="2">
        <f t="shared" si="7"/>
        <v>1426.89</v>
      </c>
      <c r="M4189" s="10">
        <f>IFERROR(__xludf.DUMMYFUNCTION("""COMPUTED_VALUE"""),44056.66666666667)</f>
        <v>44056.66667</v>
      </c>
      <c r="N4189" s="2">
        <f>IFERROR(__xludf.DUMMYFUNCTION("""COMPUTED_VALUE"""),11042.5)</f>
        <v>11042.5</v>
      </c>
      <c r="P4189" s="10">
        <f t="shared" si="10"/>
        <v>39638.64583</v>
      </c>
      <c r="Q4189" s="15">
        <v>1519.38</v>
      </c>
      <c r="R4189" s="18">
        <v>39638.0</v>
      </c>
    </row>
    <row r="4190">
      <c r="A4190" s="10">
        <f t="shared" si="8"/>
        <v>42172.66667</v>
      </c>
      <c r="B4190" s="2" t="str">
        <f t="shared" si="2"/>
        <v/>
      </c>
      <c r="C4190" s="2" t="str">
        <f t="shared" si="3"/>
        <v>SP500</v>
      </c>
      <c r="D4190" s="2">
        <f t="shared" si="4"/>
        <v>5064.88</v>
      </c>
      <c r="E4190" s="2">
        <f t="shared" si="5"/>
        <v>5064.88</v>
      </c>
      <c r="G4190" s="10">
        <f t="shared" si="9"/>
        <v>42172.64583</v>
      </c>
      <c r="H4190" s="6" t="str">
        <f t="shared" si="6"/>
        <v/>
      </c>
      <c r="I4190" s="2">
        <f t="shared" si="7"/>
        <v>1426.89</v>
      </c>
      <c r="M4190" s="10">
        <f>IFERROR(__xludf.DUMMYFUNCTION("""COMPUTED_VALUE"""),44057.66666666667)</f>
        <v>44057.66667</v>
      </c>
      <c r="N4190" s="2">
        <f>IFERROR(__xludf.DUMMYFUNCTION("""COMPUTED_VALUE"""),11019.3)</f>
        <v>11019.3</v>
      </c>
      <c r="P4190" s="10">
        <f t="shared" si="10"/>
        <v>39637.64583</v>
      </c>
      <c r="Q4190" s="15">
        <v>1533.47</v>
      </c>
      <c r="R4190" s="18">
        <v>39637.0</v>
      </c>
    </row>
    <row r="4191">
      <c r="A4191" s="10">
        <f t="shared" si="8"/>
        <v>42173.66667</v>
      </c>
      <c r="B4191" s="2" t="str">
        <f t="shared" si="2"/>
        <v/>
      </c>
      <c r="C4191" s="2" t="str">
        <f t="shared" si="3"/>
        <v>SP500</v>
      </c>
      <c r="D4191" s="2">
        <f t="shared" si="4"/>
        <v>5132.95</v>
      </c>
      <c r="E4191" s="2">
        <f t="shared" si="5"/>
        <v>5132.95</v>
      </c>
      <c r="G4191" s="10">
        <f t="shared" si="9"/>
        <v>42173.64583</v>
      </c>
      <c r="H4191" s="6" t="str">
        <f t="shared" si="6"/>
        <v/>
      </c>
      <c r="I4191" s="2">
        <f t="shared" si="7"/>
        <v>1426.89</v>
      </c>
      <c r="M4191" s="10">
        <f>IFERROR(__xludf.DUMMYFUNCTION("""COMPUTED_VALUE"""),44060.66666666667)</f>
        <v>44060.66667</v>
      </c>
      <c r="N4191" s="2">
        <f>IFERROR(__xludf.DUMMYFUNCTION("""COMPUTED_VALUE"""),11129.73)</f>
        <v>11129.73</v>
      </c>
      <c r="P4191" s="10">
        <f t="shared" si="10"/>
        <v>39636.64583</v>
      </c>
      <c r="Q4191" s="15">
        <v>1579.72</v>
      </c>
      <c r="R4191" s="18">
        <v>39636.0</v>
      </c>
    </row>
    <row r="4192">
      <c r="A4192" s="10">
        <f t="shared" si="8"/>
        <v>42174.66667</v>
      </c>
      <c r="B4192" s="2" t="str">
        <f t="shared" si="2"/>
        <v/>
      </c>
      <c r="C4192" s="2" t="str">
        <f t="shared" si="3"/>
        <v>SP500</v>
      </c>
      <c r="D4192" s="2">
        <f t="shared" si="4"/>
        <v>5117</v>
      </c>
      <c r="E4192" s="2">
        <f t="shared" si="5"/>
        <v>5117</v>
      </c>
      <c r="G4192" s="10">
        <f t="shared" si="9"/>
        <v>42174.64583</v>
      </c>
      <c r="H4192" s="6" t="str">
        <f t="shared" si="6"/>
        <v/>
      </c>
      <c r="I4192" s="2">
        <f t="shared" si="7"/>
        <v>1426.89</v>
      </c>
      <c r="M4192" s="10">
        <f>IFERROR(__xludf.DUMMYFUNCTION("""COMPUTED_VALUE"""),44061.66666666667)</f>
        <v>44061.66667</v>
      </c>
      <c r="N4192" s="2">
        <f>IFERROR(__xludf.DUMMYFUNCTION("""COMPUTED_VALUE"""),11210.84)</f>
        <v>11210.84</v>
      </c>
      <c r="P4192" s="10">
        <f t="shared" si="10"/>
        <v>39633.64583</v>
      </c>
      <c r="Q4192" s="15">
        <v>1577.94</v>
      </c>
      <c r="R4192" s="18">
        <v>39633.0</v>
      </c>
    </row>
    <row r="4193">
      <c r="A4193" s="10">
        <f t="shared" si="8"/>
        <v>42175.66667</v>
      </c>
      <c r="B4193" s="2" t="str">
        <f t="shared" si="2"/>
        <v/>
      </c>
      <c r="C4193" s="2" t="str">
        <f t="shared" si="3"/>
        <v>SP500</v>
      </c>
      <c r="D4193" s="2" t="str">
        <f t="shared" si="4"/>
        <v/>
      </c>
      <c r="E4193" s="2">
        <f t="shared" si="5"/>
        <v>5117</v>
      </c>
      <c r="G4193" s="10">
        <f t="shared" si="9"/>
        <v>42175.64583</v>
      </c>
      <c r="H4193" s="6" t="str">
        <f t="shared" si="6"/>
        <v/>
      </c>
      <c r="I4193" s="2">
        <f t="shared" si="7"/>
        <v>1426.89</v>
      </c>
      <c r="M4193" s="10">
        <f>IFERROR(__xludf.DUMMYFUNCTION("""COMPUTED_VALUE"""),44062.66666666667)</f>
        <v>44062.66667</v>
      </c>
      <c r="N4193" s="2">
        <f>IFERROR(__xludf.DUMMYFUNCTION("""COMPUTED_VALUE"""),11146.46)</f>
        <v>11146.46</v>
      </c>
      <c r="P4193" s="10">
        <f t="shared" si="10"/>
        <v>39632.64583</v>
      </c>
      <c r="Q4193" s="15">
        <v>1606.54</v>
      </c>
      <c r="R4193" s="18">
        <v>39632.0</v>
      </c>
    </row>
    <row r="4194">
      <c r="A4194" s="10">
        <f t="shared" si="8"/>
        <v>42176.66667</v>
      </c>
      <c r="B4194" s="2" t="str">
        <f t="shared" si="2"/>
        <v/>
      </c>
      <c r="C4194" s="2" t="str">
        <f t="shared" si="3"/>
        <v>SP500</v>
      </c>
      <c r="D4194" s="2" t="str">
        <f t="shared" si="4"/>
        <v/>
      </c>
      <c r="E4194" s="2">
        <f t="shared" si="5"/>
        <v>5117</v>
      </c>
      <c r="G4194" s="10">
        <f t="shared" si="9"/>
        <v>42176.64583</v>
      </c>
      <c r="H4194" s="6" t="str">
        <f t="shared" si="6"/>
        <v/>
      </c>
      <c r="I4194" s="2">
        <f t="shared" si="7"/>
        <v>1426.89</v>
      </c>
      <c r="M4194" s="10">
        <f>IFERROR(__xludf.DUMMYFUNCTION("""COMPUTED_VALUE"""),44063.66666666667)</f>
        <v>44063.66667</v>
      </c>
      <c r="N4194" s="2">
        <f>IFERROR(__xludf.DUMMYFUNCTION("""COMPUTED_VALUE"""),11264.95)</f>
        <v>11264.95</v>
      </c>
      <c r="P4194" s="10">
        <f t="shared" si="10"/>
        <v>39631.64583</v>
      </c>
      <c r="Q4194" s="15">
        <v>1623.6</v>
      </c>
      <c r="R4194" s="18">
        <v>39631.0</v>
      </c>
    </row>
    <row r="4195">
      <c r="A4195" s="10">
        <f t="shared" si="8"/>
        <v>42177.66667</v>
      </c>
      <c r="B4195" s="2" t="str">
        <f t="shared" si="2"/>
        <v/>
      </c>
      <c r="C4195" s="2" t="str">
        <f t="shared" si="3"/>
        <v>SP500</v>
      </c>
      <c r="D4195" s="2">
        <f t="shared" si="4"/>
        <v>5153.97</v>
      </c>
      <c r="E4195" s="2">
        <f t="shared" si="5"/>
        <v>5153.97</v>
      </c>
      <c r="G4195" s="10">
        <f t="shared" si="9"/>
        <v>42177.64583</v>
      </c>
      <c r="H4195" s="6" t="str">
        <f t="shared" si="6"/>
        <v/>
      </c>
      <c r="I4195" s="2">
        <f t="shared" si="7"/>
        <v>1426.89</v>
      </c>
      <c r="M4195" s="10">
        <f>IFERROR(__xludf.DUMMYFUNCTION("""COMPUTED_VALUE"""),44064.66666666667)</f>
        <v>44064.66667</v>
      </c>
      <c r="N4195" s="2">
        <f>IFERROR(__xludf.DUMMYFUNCTION("""COMPUTED_VALUE"""),11311.8)</f>
        <v>11311.8</v>
      </c>
      <c r="P4195" s="10">
        <f t="shared" si="10"/>
        <v>39630.64583</v>
      </c>
      <c r="Q4195" s="15">
        <v>1666.46</v>
      </c>
      <c r="R4195" s="18">
        <v>39630.0</v>
      </c>
    </row>
    <row r="4196">
      <c r="A4196" s="10">
        <f t="shared" si="8"/>
        <v>42178.66667</v>
      </c>
      <c r="B4196" s="2" t="str">
        <f t="shared" si="2"/>
        <v/>
      </c>
      <c r="C4196" s="2" t="str">
        <f t="shared" si="3"/>
        <v>SP500</v>
      </c>
      <c r="D4196" s="2">
        <f t="shared" si="4"/>
        <v>5160.09</v>
      </c>
      <c r="E4196" s="2">
        <f t="shared" si="5"/>
        <v>5160.09</v>
      </c>
      <c r="G4196" s="10">
        <f t="shared" si="9"/>
        <v>42178.64583</v>
      </c>
      <c r="H4196" s="6" t="str">
        <f t="shared" si="6"/>
        <v/>
      </c>
      <c r="I4196" s="2">
        <f t="shared" si="7"/>
        <v>1426.89</v>
      </c>
      <c r="M4196" s="10">
        <f>IFERROR(__xludf.DUMMYFUNCTION("""COMPUTED_VALUE"""),44067.66666666667)</f>
        <v>44067.66667</v>
      </c>
      <c r="N4196" s="2">
        <f>IFERROR(__xludf.DUMMYFUNCTION("""COMPUTED_VALUE"""),11379.72)</f>
        <v>11379.72</v>
      </c>
      <c r="P4196" s="10">
        <f t="shared" si="10"/>
        <v>39629.64583</v>
      </c>
      <c r="Q4196" s="15">
        <v>1674.92</v>
      </c>
      <c r="R4196" s="18">
        <v>39629.0</v>
      </c>
    </row>
    <row r="4197">
      <c r="A4197" s="10">
        <f t="shared" si="8"/>
        <v>42179.66667</v>
      </c>
      <c r="B4197" s="2" t="str">
        <f t="shared" si="2"/>
        <v/>
      </c>
      <c r="C4197" s="2" t="str">
        <f t="shared" si="3"/>
        <v>SP500</v>
      </c>
      <c r="D4197" s="2">
        <f t="shared" si="4"/>
        <v>5122.41</v>
      </c>
      <c r="E4197" s="2">
        <f t="shared" si="5"/>
        <v>5122.41</v>
      </c>
      <c r="G4197" s="10">
        <f t="shared" si="9"/>
        <v>42179.64583</v>
      </c>
      <c r="H4197" s="6" t="str">
        <f t="shared" si="6"/>
        <v/>
      </c>
      <c r="I4197" s="2">
        <f t="shared" si="7"/>
        <v>1426.89</v>
      </c>
      <c r="M4197" s="10">
        <f>IFERROR(__xludf.DUMMYFUNCTION("""COMPUTED_VALUE"""),44068.66666666667)</f>
        <v>44068.66667</v>
      </c>
      <c r="N4197" s="2">
        <f>IFERROR(__xludf.DUMMYFUNCTION("""COMPUTED_VALUE"""),11466.47)</f>
        <v>11466.47</v>
      </c>
      <c r="P4197" s="10">
        <f t="shared" si="10"/>
        <v>39626.64583</v>
      </c>
      <c r="Q4197" s="15">
        <v>1684.45</v>
      </c>
      <c r="R4197" s="18">
        <v>39626.0</v>
      </c>
    </row>
    <row r="4198">
      <c r="A4198" s="10">
        <f t="shared" si="8"/>
        <v>42180.66667</v>
      </c>
      <c r="B4198" s="2" t="str">
        <f t="shared" si="2"/>
        <v/>
      </c>
      <c r="C4198" s="2" t="str">
        <f t="shared" si="3"/>
        <v>SP500</v>
      </c>
      <c r="D4198" s="2">
        <f t="shared" si="4"/>
        <v>5112.19</v>
      </c>
      <c r="E4198" s="2">
        <f t="shared" si="5"/>
        <v>5112.19</v>
      </c>
      <c r="G4198" s="10">
        <f t="shared" si="9"/>
        <v>42180.64583</v>
      </c>
      <c r="H4198" s="6" t="str">
        <f t="shared" si="6"/>
        <v/>
      </c>
      <c r="I4198" s="2">
        <f t="shared" si="7"/>
        <v>1426.89</v>
      </c>
      <c r="M4198" s="10">
        <f>IFERROR(__xludf.DUMMYFUNCTION("""COMPUTED_VALUE"""),44069.66666666667)</f>
        <v>44069.66667</v>
      </c>
      <c r="N4198" s="2">
        <f>IFERROR(__xludf.DUMMYFUNCTION("""COMPUTED_VALUE"""),11665.06)</f>
        <v>11665.06</v>
      </c>
      <c r="P4198" s="10">
        <f t="shared" si="10"/>
        <v>39625.64583</v>
      </c>
      <c r="Q4198" s="15">
        <v>1717.66</v>
      </c>
      <c r="R4198" s="18">
        <v>39625.0</v>
      </c>
    </row>
    <row r="4199">
      <c r="A4199" s="10">
        <f t="shared" si="8"/>
        <v>42181.66667</v>
      </c>
      <c r="B4199" s="2" t="str">
        <f t="shared" si="2"/>
        <v/>
      </c>
      <c r="C4199" s="2" t="str">
        <f t="shared" si="3"/>
        <v>SP500</v>
      </c>
      <c r="D4199" s="2">
        <f t="shared" si="4"/>
        <v>5080.51</v>
      </c>
      <c r="E4199" s="2">
        <f t="shared" si="5"/>
        <v>5080.51</v>
      </c>
      <c r="G4199" s="10">
        <f t="shared" si="9"/>
        <v>42181.64583</v>
      </c>
      <c r="H4199" s="6" t="str">
        <f t="shared" si="6"/>
        <v/>
      </c>
      <c r="I4199" s="2">
        <f t="shared" si="7"/>
        <v>1426.89</v>
      </c>
      <c r="M4199" s="10">
        <f>IFERROR(__xludf.DUMMYFUNCTION("""COMPUTED_VALUE"""),44070.66666666667)</f>
        <v>44070.66667</v>
      </c>
      <c r="N4199" s="2">
        <f>IFERROR(__xludf.DUMMYFUNCTION("""COMPUTED_VALUE"""),11625.34)</f>
        <v>11625.34</v>
      </c>
      <c r="P4199" s="10">
        <f t="shared" si="10"/>
        <v>39624.64583</v>
      </c>
      <c r="Q4199" s="15">
        <v>1717.79</v>
      </c>
      <c r="R4199" s="18">
        <v>39624.0</v>
      </c>
    </row>
    <row r="4200">
      <c r="A4200" s="10">
        <f t="shared" si="8"/>
        <v>42182.66667</v>
      </c>
      <c r="B4200" s="2" t="str">
        <f t="shared" si="2"/>
        <v/>
      </c>
      <c r="C4200" s="2" t="str">
        <f t="shared" si="3"/>
        <v>SP500</v>
      </c>
      <c r="D4200" s="2" t="str">
        <f t="shared" si="4"/>
        <v/>
      </c>
      <c r="E4200" s="2">
        <f t="shared" si="5"/>
        <v>5080.51</v>
      </c>
      <c r="G4200" s="10">
        <f t="shared" si="9"/>
        <v>42182.64583</v>
      </c>
      <c r="H4200" s="6" t="str">
        <f t="shared" si="6"/>
        <v/>
      </c>
      <c r="I4200" s="2">
        <f t="shared" si="7"/>
        <v>1426.89</v>
      </c>
      <c r="M4200" s="10">
        <f>IFERROR(__xludf.DUMMYFUNCTION("""COMPUTED_VALUE"""),44071.66666666667)</f>
        <v>44071.66667</v>
      </c>
      <c r="N4200" s="2">
        <f>IFERROR(__xludf.DUMMYFUNCTION("""COMPUTED_VALUE"""),11695.63)</f>
        <v>11695.63</v>
      </c>
      <c r="P4200" s="10">
        <f t="shared" si="10"/>
        <v>39623.64583</v>
      </c>
      <c r="Q4200" s="15">
        <v>1710.84</v>
      </c>
      <c r="R4200" s="18">
        <v>39623.0</v>
      </c>
    </row>
    <row r="4201">
      <c r="A4201" s="10">
        <f t="shared" si="8"/>
        <v>42183.66667</v>
      </c>
      <c r="B4201" s="2" t="str">
        <f t="shared" si="2"/>
        <v/>
      </c>
      <c r="C4201" s="2" t="str">
        <f t="shared" si="3"/>
        <v>SP500</v>
      </c>
      <c r="D4201" s="2" t="str">
        <f t="shared" si="4"/>
        <v/>
      </c>
      <c r="E4201" s="2">
        <f t="shared" si="5"/>
        <v>5080.51</v>
      </c>
      <c r="G4201" s="10">
        <f t="shared" si="9"/>
        <v>42183.64583</v>
      </c>
      <c r="H4201" s="6" t="str">
        <f t="shared" si="6"/>
        <v/>
      </c>
      <c r="I4201" s="2">
        <f t="shared" si="7"/>
        <v>1426.89</v>
      </c>
      <c r="M4201" s="10">
        <f>IFERROR(__xludf.DUMMYFUNCTION("""COMPUTED_VALUE"""),44074.66666666667)</f>
        <v>44074.66667</v>
      </c>
      <c r="N4201" s="2">
        <f>IFERROR(__xludf.DUMMYFUNCTION("""COMPUTED_VALUE"""),11775.46)</f>
        <v>11775.46</v>
      </c>
      <c r="P4201" s="10">
        <f t="shared" si="10"/>
        <v>39622.64583</v>
      </c>
      <c r="Q4201" s="15">
        <v>1715.59</v>
      </c>
      <c r="R4201" s="18">
        <v>39622.0</v>
      </c>
    </row>
    <row r="4202">
      <c r="A4202" s="10">
        <f t="shared" si="8"/>
        <v>42184.66667</v>
      </c>
      <c r="B4202" s="2" t="str">
        <f t="shared" si="2"/>
        <v/>
      </c>
      <c r="C4202" s="2" t="str">
        <f t="shared" si="3"/>
        <v>SP500</v>
      </c>
      <c r="D4202" s="2">
        <f t="shared" si="4"/>
        <v>4958.47</v>
      </c>
      <c r="E4202" s="2">
        <f t="shared" si="5"/>
        <v>4958.47</v>
      </c>
      <c r="G4202" s="10">
        <f t="shared" si="9"/>
        <v>42184.64583</v>
      </c>
      <c r="H4202" s="6" t="str">
        <f t="shared" si="6"/>
        <v/>
      </c>
      <c r="I4202" s="2">
        <f t="shared" si="7"/>
        <v>1426.89</v>
      </c>
      <c r="M4202" s="10">
        <f>IFERROR(__xludf.DUMMYFUNCTION("""COMPUTED_VALUE"""),44075.66666666667)</f>
        <v>44075.66667</v>
      </c>
      <c r="N4202" s="2">
        <f>IFERROR(__xludf.DUMMYFUNCTION("""COMPUTED_VALUE"""),11939.67)</f>
        <v>11939.67</v>
      </c>
      <c r="P4202" s="10">
        <f t="shared" si="10"/>
        <v>39619.64583</v>
      </c>
      <c r="Q4202" s="15">
        <v>1731.0</v>
      </c>
      <c r="R4202" s="18">
        <v>39619.0</v>
      </c>
    </row>
    <row r="4203">
      <c r="A4203" s="10">
        <f t="shared" si="8"/>
        <v>42185.66667</v>
      </c>
      <c r="B4203" s="2" t="str">
        <f t="shared" si="2"/>
        <v/>
      </c>
      <c r="C4203" s="2" t="str">
        <f t="shared" si="3"/>
        <v>SP500</v>
      </c>
      <c r="D4203" s="2">
        <f t="shared" si="4"/>
        <v>4986.87</v>
      </c>
      <c r="E4203" s="2">
        <f t="shared" si="5"/>
        <v>4986.87</v>
      </c>
      <c r="G4203" s="10">
        <f t="shared" si="9"/>
        <v>42185.64583</v>
      </c>
      <c r="H4203" s="6" t="str">
        <f t="shared" si="6"/>
        <v/>
      </c>
      <c r="I4203" s="2">
        <f t="shared" si="7"/>
        <v>1426.89</v>
      </c>
      <c r="M4203" s="10">
        <f>IFERROR(__xludf.DUMMYFUNCTION("""COMPUTED_VALUE"""),44076.66666666667)</f>
        <v>44076.66667</v>
      </c>
      <c r="N4203" s="2">
        <f>IFERROR(__xludf.DUMMYFUNCTION("""COMPUTED_VALUE"""),12056.44)</f>
        <v>12056.44</v>
      </c>
      <c r="P4203" s="10">
        <f t="shared" si="10"/>
        <v>39618.64583</v>
      </c>
      <c r="Q4203" s="15">
        <v>1740.72</v>
      </c>
      <c r="R4203" s="18">
        <v>39618.0</v>
      </c>
    </row>
    <row r="4204">
      <c r="A4204" s="10">
        <f t="shared" si="8"/>
        <v>42186.66667</v>
      </c>
      <c r="B4204" s="2" t="str">
        <f t="shared" si="2"/>
        <v/>
      </c>
      <c r="C4204" s="2" t="str">
        <f t="shared" si="3"/>
        <v>SP500</v>
      </c>
      <c r="D4204" s="2">
        <f t="shared" si="4"/>
        <v>5013.12</v>
      </c>
      <c r="E4204" s="2">
        <f t="shared" si="5"/>
        <v>5013.12</v>
      </c>
      <c r="G4204" s="10">
        <f t="shared" si="9"/>
        <v>42186.64583</v>
      </c>
      <c r="H4204" s="6" t="str">
        <f t="shared" si="6"/>
        <v/>
      </c>
      <c r="I4204" s="2">
        <f t="shared" si="7"/>
        <v>1426.89</v>
      </c>
      <c r="M4204" s="10">
        <f>IFERROR(__xludf.DUMMYFUNCTION("""COMPUTED_VALUE"""),44077.66666666667)</f>
        <v>44077.66667</v>
      </c>
      <c r="N4204" s="2">
        <f>IFERROR(__xludf.DUMMYFUNCTION("""COMPUTED_VALUE"""),11458.1)</f>
        <v>11458.1</v>
      </c>
      <c r="P4204" s="10">
        <f t="shared" si="10"/>
        <v>39617.64583</v>
      </c>
      <c r="Q4204" s="15">
        <v>1774.13</v>
      </c>
      <c r="R4204" s="18">
        <v>39617.0</v>
      </c>
    </row>
    <row r="4205">
      <c r="A4205" s="10">
        <f t="shared" si="8"/>
        <v>42187.66667</v>
      </c>
      <c r="B4205" s="2" t="str">
        <f t="shared" si="2"/>
        <v/>
      </c>
      <c r="C4205" s="2" t="str">
        <f t="shared" si="3"/>
        <v>SP500</v>
      </c>
      <c r="D4205" s="2">
        <f t="shared" si="4"/>
        <v>5009.21</v>
      </c>
      <c r="E4205" s="2">
        <f t="shared" si="5"/>
        <v>5009.21</v>
      </c>
      <c r="G4205" s="10">
        <f t="shared" si="9"/>
        <v>42187.64583</v>
      </c>
      <c r="H4205" s="6" t="str">
        <f t="shared" si="6"/>
        <v/>
      </c>
      <c r="I4205" s="2">
        <f t="shared" si="7"/>
        <v>1426.89</v>
      </c>
      <c r="M4205" s="10">
        <f>IFERROR(__xludf.DUMMYFUNCTION("""COMPUTED_VALUE"""),44078.66666666667)</f>
        <v>44078.66667</v>
      </c>
      <c r="N4205" s="2">
        <f>IFERROR(__xludf.DUMMYFUNCTION("""COMPUTED_VALUE"""),11313.13)</f>
        <v>11313.13</v>
      </c>
      <c r="P4205" s="10">
        <f t="shared" si="10"/>
        <v>39616.64583</v>
      </c>
      <c r="Q4205" s="15">
        <v>1750.71</v>
      </c>
      <c r="R4205" s="18">
        <v>39616.0</v>
      </c>
    </row>
    <row r="4206">
      <c r="A4206" s="10">
        <f t="shared" si="8"/>
        <v>42188.66667</v>
      </c>
      <c r="B4206" s="2" t="str">
        <f t="shared" si="2"/>
        <v/>
      </c>
      <c r="C4206" s="2" t="str">
        <f t="shared" si="3"/>
        <v>SP500</v>
      </c>
      <c r="D4206" s="2" t="str">
        <f t="shared" si="4"/>
        <v/>
      </c>
      <c r="E4206" s="2">
        <f t="shared" si="5"/>
        <v>5009.21</v>
      </c>
      <c r="G4206" s="10">
        <f t="shared" si="9"/>
        <v>42188.64583</v>
      </c>
      <c r="H4206" s="6" t="str">
        <f t="shared" si="6"/>
        <v/>
      </c>
      <c r="I4206" s="2">
        <f t="shared" si="7"/>
        <v>1426.89</v>
      </c>
      <c r="M4206" s="10">
        <f>IFERROR(__xludf.DUMMYFUNCTION("""COMPUTED_VALUE"""),44082.66666666667)</f>
        <v>44082.66667</v>
      </c>
      <c r="N4206" s="2">
        <f>IFERROR(__xludf.DUMMYFUNCTION("""COMPUTED_VALUE"""),10847.69)</f>
        <v>10847.69</v>
      </c>
      <c r="P4206" s="10">
        <f t="shared" si="10"/>
        <v>39615.64583</v>
      </c>
      <c r="Q4206" s="15">
        <v>1760.82</v>
      </c>
      <c r="R4206" s="18">
        <v>39615.0</v>
      </c>
    </row>
    <row r="4207">
      <c r="A4207" s="10">
        <f t="shared" si="8"/>
        <v>42189.66667</v>
      </c>
      <c r="B4207" s="2" t="str">
        <f t="shared" si="2"/>
        <v/>
      </c>
      <c r="C4207" s="2" t="str">
        <f t="shared" si="3"/>
        <v>SP500</v>
      </c>
      <c r="D4207" s="2" t="str">
        <f t="shared" si="4"/>
        <v/>
      </c>
      <c r="E4207" s="2">
        <f t="shared" si="5"/>
        <v>5009.21</v>
      </c>
      <c r="G4207" s="10">
        <f t="shared" si="9"/>
        <v>42189.64583</v>
      </c>
      <c r="H4207" s="6" t="str">
        <f t="shared" si="6"/>
        <v/>
      </c>
      <c r="I4207" s="2">
        <f t="shared" si="7"/>
        <v>1426.89</v>
      </c>
      <c r="M4207" s="10">
        <f>IFERROR(__xludf.DUMMYFUNCTION("""COMPUTED_VALUE"""),44083.66666666667)</f>
        <v>44083.66667</v>
      </c>
      <c r="N4207" s="2">
        <f>IFERROR(__xludf.DUMMYFUNCTION("""COMPUTED_VALUE"""),11141.56)</f>
        <v>11141.56</v>
      </c>
      <c r="P4207" s="10">
        <f t="shared" si="10"/>
        <v>39612.64583</v>
      </c>
      <c r="Q4207" s="15">
        <v>1747.35</v>
      </c>
      <c r="R4207" s="18">
        <v>39612.0</v>
      </c>
    </row>
    <row r="4208">
      <c r="A4208" s="10">
        <f t="shared" si="8"/>
        <v>42190.66667</v>
      </c>
      <c r="B4208" s="2" t="str">
        <f t="shared" si="2"/>
        <v/>
      </c>
      <c r="C4208" s="2" t="str">
        <f t="shared" si="3"/>
        <v>SP500</v>
      </c>
      <c r="D4208" s="2" t="str">
        <f t="shared" si="4"/>
        <v/>
      </c>
      <c r="E4208" s="2">
        <f t="shared" si="5"/>
        <v>5009.21</v>
      </c>
      <c r="G4208" s="10">
        <f t="shared" si="9"/>
        <v>42190.64583</v>
      </c>
      <c r="H4208" s="6" t="str">
        <f t="shared" si="6"/>
        <v/>
      </c>
      <c r="I4208" s="2">
        <f t="shared" si="7"/>
        <v>1426.89</v>
      </c>
      <c r="M4208" s="10">
        <f>IFERROR(__xludf.DUMMYFUNCTION("""COMPUTED_VALUE"""),44084.66666666667)</f>
        <v>44084.66667</v>
      </c>
      <c r="N4208" s="2">
        <f>IFERROR(__xludf.DUMMYFUNCTION("""COMPUTED_VALUE"""),10919.59)</f>
        <v>10919.59</v>
      </c>
      <c r="P4208" s="10">
        <f t="shared" si="10"/>
        <v>39611.64583</v>
      </c>
      <c r="Q4208" s="15">
        <v>1739.36</v>
      </c>
      <c r="R4208" s="18">
        <v>39611.0</v>
      </c>
    </row>
    <row r="4209">
      <c r="A4209" s="10">
        <f t="shared" si="8"/>
        <v>42191.66667</v>
      </c>
      <c r="B4209" s="2" t="str">
        <f t="shared" si="2"/>
        <v/>
      </c>
      <c r="C4209" s="2" t="str">
        <f t="shared" si="3"/>
        <v>SP500</v>
      </c>
      <c r="D4209" s="2">
        <f t="shared" si="4"/>
        <v>4991.94</v>
      </c>
      <c r="E4209" s="2">
        <f t="shared" si="5"/>
        <v>4991.94</v>
      </c>
      <c r="G4209" s="10">
        <f t="shared" si="9"/>
        <v>42191.64583</v>
      </c>
      <c r="H4209" s="6" t="str">
        <f t="shared" si="6"/>
        <v/>
      </c>
      <c r="I4209" s="2">
        <f t="shared" si="7"/>
        <v>1426.89</v>
      </c>
      <c r="M4209" s="10">
        <f>IFERROR(__xludf.DUMMYFUNCTION("""COMPUTED_VALUE"""),44085.66666666667)</f>
        <v>44085.66667</v>
      </c>
      <c r="N4209" s="2">
        <f>IFERROR(__xludf.DUMMYFUNCTION("""COMPUTED_VALUE"""),10853.55)</f>
        <v>10853.55</v>
      </c>
      <c r="P4209" s="10">
        <f t="shared" si="10"/>
        <v>39610.64583</v>
      </c>
      <c r="Q4209" s="15">
        <v>1781.67</v>
      </c>
      <c r="R4209" s="18">
        <v>39610.0</v>
      </c>
    </row>
    <row r="4210">
      <c r="A4210" s="10">
        <f t="shared" si="8"/>
        <v>42192.66667</v>
      </c>
      <c r="B4210" s="2" t="str">
        <f t="shared" si="2"/>
        <v/>
      </c>
      <c r="C4210" s="2" t="str">
        <f t="shared" si="3"/>
        <v>SP500</v>
      </c>
      <c r="D4210" s="2">
        <f t="shared" si="4"/>
        <v>4997.46</v>
      </c>
      <c r="E4210" s="2">
        <f t="shared" si="5"/>
        <v>4997.46</v>
      </c>
      <c r="G4210" s="10">
        <f t="shared" si="9"/>
        <v>42192.64583</v>
      </c>
      <c r="H4210" s="6" t="str">
        <f t="shared" si="6"/>
        <v/>
      </c>
      <c r="I4210" s="2">
        <f t="shared" si="7"/>
        <v>1426.89</v>
      </c>
      <c r="M4210" s="10">
        <f>IFERROR(__xludf.DUMMYFUNCTION("""COMPUTED_VALUE"""),44088.66666666667)</f>
        <v>44088.66667</v>
      </c>
      <c r="N4210" s="2">
        <f>IFERROR(__xludf.DUMMYFUNCTION("""COMPUTED_VALUE"""),11056.65)</f>
        <v>11056.65</v>
      </c>
      <c r="P4210" s="10">
        <f t="shared" si="10"/>
        <v>39609.64583</v>
      </c>
      <c r="Q4210" s="15">
        <v>1774.38</v>
      </c>
      <c r="R4210" s="18">
        <v>39609.0</v>
      </c>
    </row>
    <row r="4211">
      <c r="A4211" s="10">
        <f t="shared" si="8"/>
        <v>42193.66667</v>
      </c>
      <c r="B4211" s="2" t="str">
        <f t="shared" si="2"/>
        <v/>
      </c>
      <c r="C4211" s="2" t="str">
        <f t="shared" si="3"/>
        <v>SP500</v>
      </c>
      <c r="D4211" s="2">
        <f t="shared" si="4"/>
        <v>4909.76</v>
      </c>
      <c r="E4211" s="2">
        <f t="shared" si="5"/>
        <v>4909.76</v>
      </c>
      <c r="G4211" s="10">
        <f t="shared" si="9"/>
        <v>42193.64583</v>
      </c>
      <c r="H4211" s="6" t="str">
        <f t="shared" si="6"/>
        <v/>
      </c>
      <c r="I4211" s="2">
        <f t="shared" si="7"/>
        <v>1426.89</v>
      </c>
      <c r="M4211" s="10">
        <f>IFERROR(__xludf.DUMMYFUNCTION("""COMPUTED_VALUE"""),44089.66666666667)</f>
        <v>44089.66667</v>
      </c>
      <c r="N4211" s="2">
        <f>IFERROR(__xludf.DUMMYFUNCTION("""COMPUTED_VALUE"""),11190.32)</f>
        <v>11190.32</v>
      </c>
      <c r="P4211" s="10">
        <f t="shared" si="10"/>
        <v>39608.64583</v>
      </c>
      <c r="Q4211" s="15">
        <v>1808.96</v>
      </c>
      <c r="R4211" s="18">
        <v>39608.0</v>
      </c>
    </row>
    <row r="4212">
      <c r="A4212" s="10">
        <f t="shared" si="8"/>
        <v>42194.66667</v>
      </c>
      <c r="B4212" s="2" t="str">
        <f t="shared" si="2"/>
        <v/>
      </c>
      <c r="C4212" s="2" t="str">
        <f t="shared" si="3"/>
        <v>SP500</v>
      </c>
      <c r="D4212" s="2">
        <f t="shared" si="4"/>
        <v>4922.4</v>
      </c>
      <c r="E4212" s="2">
        <f t="shared" si="5"/>
        <v>4922.4</v>
      </c>
      <c r="G4212" s="10">
        <f t="shared" si="9"/>
        <v>42194.64583</v>
      </c>
      <c r="H4212" s="6" t="str">
        <f t="shared" si="6"/>
        <v/>
      </c>
      <c r="I4212" s="2">
        <f t="shared" si="7"/>
        <v>1426.89</v>
      </c>
      <c r="M4212" s="10">
        <f>IFERROR(__xludf.DUMMYFUNCTION("""COMPUTED_VALUE"""),44090.66666666667)</f>
        <v>44090.66667</v>
      </c>
      <c r="N4212" s="2">
        <f>IFERROR(__xludf.DUMMYFUNCTION("""COMPUTED_VALUE"""),11050.47)</f>
        <v>11050.47</v>
      </c>
      <c r="P4212" s="10">
        <f t="shared" si="10"/>
        <v>39604.64583</v>
      </c>
      <c r="Q4212" s="15">
        <v>1832.31</v>
      </c>
      <c r="R4212" s="18">
        <v>39604.0</v>
      </c>
    </row>
    <row r="4213">
      <c r="A4213" s="10">
        <f t="shared" si="8"/>
        <v>42195.66667</v>
      </c>
      <c r="B4213" s="2" t="str">
        <f t="shared" si="2"/>
        <v/>
      </c>
      <c r="C4213" s="2" t="str">
        <f t="shared" si="3"/>
        <v>SP500</v>
      </c>
      <c r="D4213" s="2">
        <f t="shared" si="4"/>
        <v>4997.7</v>
      </c>
      <c r="E4213" s="2">
        <f t="shared" si="5"/>
        <v>4997.7</v>
      </c>
      <c r="G4213" s="10">
        <f t="shared" si="9"/>
        <v>42195.64583</v>
      </c>
      <c r="H4213" s="6" t="str">
        <f t="shared" si="6"/>
        <v/>
      </c>
      <c r="I4213" s="2">
        <f t="shared" si="7"/>
        <v>1426.89</v>
      </c>
      <c r="M4213" s="10">
        <f>IFERROR(__xludf.DUMMYFUNCTION("""COMPUTED_VALUE"""),44091.66666666667)</f>
        <v>44091.66667</v>
      </c>
      <c r="N4213" s="2">
        <f>IFERROR(__xludf.DUMMYFUNCTION("""COMPUTED_VALUE"""),10910.28)</f>
        <v>10910.28</v>
      </c>
      <c r="P4213" s="10">
        <f t="shared" si="10"/>
        <v>39603.64583</v>
      </c>
      <c r="Q4213" s="15">
        <v>1833.81</v>
      </c>
      <c r="R4213" s="18">
        <v>39603.0</v>
      </c>
    </row>
    <row r="4214">
      <c r="A4214" s="10">
        <f t="shared" si="8"/>
        <v>42196.66667</v>
      </c>
      <c r="B4214" s="2" t="str">
        <f t="shared" si="2"/>
        <v/>
      </c>
      <c r="C4214" s="2" t="str">
        <f t="shared" si="3"/>
        <v>SP500</v>
      </c>
      <c r="D4214" s="2" t="str">
        <f t="shared" si="4"/>
        <v/>
      </c>
      <c r="E4214" s="2">
        <f t="shared" si="5"/>
        <v>4997.7</v>
      </c>
      <c r="G4214" s="10">
        <f t="shared" si="9"/>
        <v>42196.64583</v>
      </c>
      <c r="H4214" s="6" t="str">
        <f t="shared" si="6"/>
        <v/>
      </c>
      <c r="I4214" s="2">
        <f t="shared" si="7"/>
        <v>1426.89</v>
      </c>
      <c r="M4214" s="10">
        <f>IFERROR(__xludf.DUMMYFUNCTION("""COMPUTED_VALUE"""),44092.66666666667)</f>
        <v>44092.66667</v>
      </c>
      <c r="N4214" s="2">
        <f>IFERROR(__xludf.DUMMYFUNCTION("""COMPUTED_VALUE"""),10793.28)</f>
        <v>10793.28</v>
      </c>
      <c r="P4214" s="10">
        <f t="shared" si="10"/>
        <v>39602.64583</v>
      </c>
      <c r="Q4214" s="15">
        <v>1819.39</v>
      </c>
      <c r="R4214" s="18">
        <v>39602.0</v>
      </c>
    </row>
    <row r="4215">
      <c r="A4215" s="10">
        <f t="shared" si="8"/>
        <v>42197.66667</v>
      </c>
      <c r="B4215" s="2" t="str">
        <f t="shared" si="2"/>
        <v/>
      </c>
      <c r="C4215" s="2" t="str">
        <f t="shared" si="3"/>
        <v>SP500</v>
      </c>
      <c r="D4215" s="2" t="str">
        <f t="shared" si="4"/>
        <v/>
      </c>
      <c r="E4215" s="2">
        <f t="shared" si="5"/>
        <v>4997.7</v>
      </c>
      <c r="G4215" s="10">
        <f t="shared" si="9"/>
        <v>42197.64583</v>
      </c>
      <c r="H4215" s="6" t="str">
        <f t="shared" si="6"/>
        <v/>
      </c>
      <c r="I4215" s="2">
        <f t="shared" si="7"/>
        <v>1426.89</v>
      </c>
      <c r="M4215" s="10">
        <f>IFERROR(__xludf.DUMMYFUNCTION("""COMPUTED_VALUE"""),44095.66666666667)</f>
        <v>44095.66667</v>
      </c>
      <c r="N4215" s="2">
        <f>IFERROR(__xludf.DUMMYFUNCTION("""COMPUTED_VALUE"""),10778.8)</f>
        <v>10778.8</v>
      </c>
      <c r="P4215" s="10">
        <f t="shared" si="10"/>
        <v>39601.64583</v>
      </c>
      <c r="Q4215" s="15">
        <v>1847.53</v>
      </c>
      <c r="R4215" s="18">
        <v>39601.0</v>
      </c>
    </row>
    <row r="4216">
      <c r="A4216" s="10">
        <f t="shared" si="8"/>
        <v>42198.66667</v>
      </c>
      <c r="B4216" s="2" t="str">
        <f t="shared" si="2"/>
        <v/>
      </c>
      <c r="C4216" s="2" t="str">
        <f t="shared" si="3"/>
        <v>SP500</v>
      </c>
      <c r="D4216" s="2">
        <f t="shared" si="4"/>
        <v>5071.51</v>
      </c>
      <c r="E4216" s="2">
        <f t="shared" si="5"/>
        <v>5071.51</v>
      </c>
      <c r="G4216" s="10">
        <f t="shared" si="9"/>
        <v>42198.64583</v>
      </c>
      <c r="H4216" s="6" t="str">
        <f t="shared" si="6"/>
        <v/>
      </c>
      <c r="I4216" s="2">
        <f t="shared" si="7"/>
        <v>1426.89</v>
      </c>
      <c r="M4216" s="10">
        <f>IFERROR(__xludf.DUMMYFUNCTION("""COMPUTED_VALUE"""),44096.66666666667)</f>
        <v>44096.66667</v>
      </c>
      <c r="N4216" s="2">
        <f>IFERROR(__xludf.DUMMYFUNCTION("""COMPUTED_VALUE"""),10963.64)</f>
        <v>10963.64</v>
      </c>
      <c r="P4216" s="10">
        <f t="shared" si="10"/>
        <v>39598.64583</v>
      </c>
      <c r="Q4216" s="15">
        <v>1852.02</v>
      </c>
      <c r="R4216" s="18">
        <v>39598.0</v>
      </c>
    </row>
    <row r="4217">
      <c r="A4217" s="10">
        <f t="shared" si="8"/>
        <v>42199.66667</v>
      </c>
      <c r="B4217" s="2" t="str">
        <f t="shared" si="2"/>
        <v/>
      </c>
      <c r="C4217" s="2" t="str">
        <f t="shared" si="3"/>
        <v>SP500</v>
      </c>
      <c r="D4217" s="2">
        <f t="shared" si="4"/>
        <v>5104.89</v>
      </c>
      <c r="E4217" s="2">
        <f t="shared" si="5"/>
        <v>5104.89</v>
      </c>
      <c r="G4217" s="10">
        <f t="shared" si="9"/>
        <v>42199.64583</v>
      </c>
      <c r="H4217" s="6" t="str">
        <f t="shared" si="6"/>
        <v/>
      </c>
      <c r="I4217" s="2">
        <f t="shared" si="7"/>
        <v>1426.89</v>
      </c>
      <c r="M4217" s="10">
        <f>IFERROR(__xludf.DUMMYFUNCTION("""COMPUTED_VALUE"""),44097.66666666667)</f>
        <v>44097.66667</v>
      </c>
      <c r="N4217" s="2">
        <f>IFERROR(__xludf.DUMMYFUNCTION("""COMPUTED_VALUE"""),10632.99)</f>
        <v>10632.99</v>
      </c>
      <c r="P4217" s="10">
        <f t="shared" si="10"/>
        <v>39597.64583</v>
      </c>
      <c r="Q4217" s="15">
        <v>1841.22</v>
      </c>
      <c r="R4217" s="18">
        <v>39597.0</v>
      </c>
    </row>
    <row r="4218">
      <c r="A4218" s="10">
        <f t="shared" si="8"/>
        <v>42200.66667</v>
      </c>
      <c r="B4218" s="2" t="str">
        <f t="shared" si="2"/>
        <v/>
      </c>
      <c r="C4218" s="2" t="str">
        <f t="shared" si="3"/>
        <v>SP500</v>
      </c>
      <c r="D4218" s="2">
        <f t="shared" si="4"/>
        <v>5098.94</v>
      </c>
      <c r="E4218" s="2">
        <f t="shared" si="5"/>
        <v>5098.94</v>
      </c>
      <c r="G4218" s="10">
        <f t="shared" si="9"/>
        <v>42200.64583</v>
      </c>
      <c r="H4218" s="6" t="str">
        <f t="shared" si="6"/>
        <v/>
      </c>
      <c r="I4218" s="2">
        <f t="shared" si="7"/>
        <v>1426.89</v>
      </c>
      <c r="M4218" s="10">
        <f>IFERROR(__xludf.DUMMYFUNCTION("""COMPUTED_VALUE"""),44098.66666666667)</f>
        <v>44098.66667</v>
      </c>
      <c r="N4218" s="2">
        <f>IFERROR(__xludf.DUMMYFUNCTION("""COMPUTED_VALUE"""),10672.27)</f>
        <v>10672.27</v>
      </c>
      <c r="P4218" s="10">
        <f t="shared" si="10"/>
        <v>39596.64583</v>
      </c>
      <c r="Q4218" s="15">
        <v>1805.64</v>
      </c>
      <c r="R4218" s="18">
        <v>39596.0</v>
      </c>
    </row>
    <row r="4219">
      <c r="A4219" s="10">
        <f t="shared" si="8"/>
        <v>42201.66667</v>
      </c>
      <c r="B4219" s="2" t="str">
        <f t="shared" si="2"/>
        <v/>
      </c>
      <c r="C4219" s="2" t="str">
        <f t="shared" si="3"/>
        <v>SP500</v>
      </c>
      <c r="D4219" s="2">
        <f t="shared" si="4"/>
        <v>5163.18</v>
      </c>
      <c r="E4219" s="2">
        <f t="shared" si="5"/>
        <v>5163.18</v>
      </c>
      <c r="G4219" s="10">
        <f t="shared" si="9"/>
        <v>42201.64583</v>
      </c>
      <c r="H4219" s="6" t="str">
        <f t="shared" si="6"/>
        <v/>
      </c>
      <c r="I4219" s="2">
        <f t="shared" si="7"/>
        <v>1426.89</v>
      </c>
      <c r="M4219" s="10">
        <f>IFERROR(__xludf.DUMMYFUNCTION("""COMPUTED_VALUE"""),44099.66666666667)</f>
        <v>44099.66667</v>
      </c>
      <c r="N4219" s="2">
        <f>IFERROR(__xludf.DUMMYFUNCTION("""COMPUTED_VALUE"""),10913.56)</f>
        <v>10913.56</v>
      </c>
      <c r="P4219" s="10">
        <f t="shared" si="10"/>
        <v>39595.64583</v>
      </c>
      <c r="Q4219" s="15">
        <v>1825.23</v>
      </c>
      <c r="R4219" s="18">
        <v>39595.0</v>
      </c>
    </row>
    <row r="4220">
      <c r="A4220" s="10">
        <f t="shared" si="8"/>
        <v>42202.66667</v>
      </c>
      <c r="B4220" s="2" t="str">
        <f t="shared" si="2"/>
        <v/>
      </c>
      <c r="C4220" s="2" t="str">
        <f t="shared" si="3"/>
        <v>SP500</v>
      </c>
      <c r="D4220" s="2">
        <f t="shared" si="4"/>
        <v>5210.14</v>
      </c>
      <c r="E4220" s="2">
        <f t="shared" si="5"/>
        <v>5210.14</v>
      </c>
      <c r="G4220" s="10">
        <f t="shared" si="9"/>
        <v>42202.64583</v>
      </c>
      <c r="H4220" s="6" t="str">
        <f t="shared" si="6"/>
        <v/>
      </c>
      <c r="I4220" s="2">
        <f t="shared" si="7"/>
        <v>1426.89</v>
      </c>
      <c r="M4220" s="10">
        <f>IFERROR(__xludf.DUMMYFUNCTION("""COMPUTED_VALUE"""),44102.66666666667)</f>
        <v>44102.66667</v>
      </c>
      <c r="N4220" s="2">
        <f>IFERROR(__xludf.DUMMYFUNCTION("""COMPUTED_VALUE"""),11117.53)</f>
        <v>11117.53</v>
      </c>
      <c r="P4220" s="10">
        <f t="shared" si="10"/>
        <v>39594.64583</v>
      </c>
      <c r="Q4220" s="15">
        <v>1800.58</v>
      </c>
      <c r="R4220" s="18">
        <v>39594.0</v>
      </c>
    </row>
    <row r="4221">
      <c r="A4221" s="10">
        <f t="shared" si="8"/>
        <v>42203.66667</v>
      </c>
      <c r="B4221" s="2" t="str">
        <f t="shared" si="2"/>
        <v/>
      </c>
      <c r="C4221" s="2" t="str">
        <f t="shared" si="3"/>
        <v>SP500</v>
      </c>
      <c r="D4221" s="2" t="str">
        <f t="shared" si="4"/>
        <v/>
      </c>
      <c r="E4221" s="2">
        <f t="shared" si="5"/>
        <v>5210.14</v>
      </c>
      <c r="G4221" s="10">
        <f t="shared" si="9"/>
        <v>42203.64583</v>
      </c>
      <c r="H4221" s="6" t="str">
        <f t="shared" si="6"/>
        <v/>
      </c>
      <c r="I4221" s="2">
        <f t="shared" si="7"/>
        <v>1426.89</v>
      </c>
      <c r="M4221" s="10">
        <f>IFERROR(__xludf.DUMMYFUNCTION("""COMPUTED_VALUE"""),44103.66666666667)</f>
        <v>44103.66667</v>
      </c>
      <c r="N4221" s="2">
        <f>IFERROR(__xludf.DUMMYFUNCTION("""COMPUTED_VALUE"""),11085.25)</f>
        <v>11085.25</v>
      </c>
      <c r="P4221" s="10">
        <f t="shared" si="10"/>
        <v>39591.64583</v>
      </c>
      <c r="Q4221" s="15">
        <v>1827.94</v>
      </c>
      <c r="R4221" s="18">
        <v>39591.0</v>
      </c>
    </row>
    <row r="4222">
      <c r="A4222" s="10">
        <f t="shared" si="8"/>
        <v>42204.66667</v>
      </c>
      <c r="B4222" s="2" t="str">
        <f t="shared" si="2"/>
        <v/>
      </c>
      <c r="C4222" s="2" t="str">
        <f t="shared" si="3"/>
        <v>SP500</v>
      </c>
      <c r="D4222" s="2" t="str">
        <f t="shared" si="4"/>
        <v/>
      </c>
      <c r="E4222" s="2">
        <f t="shared" si="5"/>
        <v>5210.14</v>
      </c>
      <c r="G4222" s="10">
        <f t="shared" si="9"/>
        <v>42204.64583</v>
      </c>
      <c r="H4222" s="6" t="str">
        <f t="shared" si="6"/>
        <v/>
      </c>
      <c r="I4222" s="2">
        <f t="shared" si="7"/>
        <v>1426.89</v>
      </c>
      <c r="M4222" s="10">
        <f>IFERROR(__xludf.DUMMYFUNCTION("""COMPUTED_VALUE"""),44104.66666666667)</f>
        <v>44104.66667</v>
      </c>
      <c r="N4222" s="2">
        <f>IFERROR(__xludf.DUMMYFUNCTION("""COMPUTED_VALUE"""),11167.51)</f>
        <v>11167.51</v>
      </c>
      <c r="P4222" s="10">
        <f t="shared" si="10"/>
        <v>39590.64583</v>
      </c>
      <c r="Q4222" s="15">
        <v>1835.42</v>
      </c>
      <c r="R4222" s="18">
        <v>39590.0</v>
      </c>
    </row>
    <row r="4223">
      <c r="A4223" s="10">
        <f t="shared" si="8"/>
        <v>42205.66667</v>
      </c>
      <c r="B4223" s="2" t="str">
        <f t="shared" si="2"/>
        <v/>
      </c>
      <c r="C4223" s="2" t="str">
        <f t="shared" si="3"/>
        <v>SP500</v>
      </c>
      <c r="D4223" s="2">
        <f t="shared" si="4"/>
        <v>5218.86</v>
      </c>
      <c r="E4223" s="2">
        <f t="shared" si="5"/>
        <v>5218.86</v>
      </c>
      <c r="G4223" s="10">
        <f t="shared" si="9"/>
        <v>42205.64583</v>
      </c>
      <c r="H4223" s="6" t="str">
        <f t="shared" si="6"/>
        <v/>
      </c>
      <c r="I4223" s="2">
        <f t="shared" si="7"/>
        <v>1426.89</v>
      </c>
      <c r="M4223" s="10">
        <f>IFERROR(__xludf.DUMMYFUNCTION("""COMPUTED_VALUE"""),44105.66666666667)</f>
        <v>44105.66667</v>
      </c>
      <c r="N4223" s="2">
        <f>IFERROR(__xludf.DUMMYFUNCTION("""COMPUTED_VALUE"""),11326.51)</f>
        <v>11326.51</v>
      </c>
      <c r="P4223" s="10">
        <f t="shared" si="10"/>
        <v>39589.64583</v>
      </c>
      <c r="Q4223" s="15">
        <v>1847.51</v>
      </c>
      <c r="R4223" s="18">
        <v>39589.0</v>
      </c>
    </row>
    <row r="4224">
      <c r="A4224" s="10">
        <f t="shared" si="8"/>
        <v>42206.66667</v>
      </c>
      <c r="B4224" s="2" t="str">
        <f t="shared" si="2"/>
        <v/>
      </c>
      <c r="C4224" s="2" t="str">
        <f t="shared" si="3"/>
        <v>SP500</v>
      </c>
      <c r="D4224" s="2">
        <f t="shared" si="4"/>
        <v>5208.12</v>
      </c>
      <c r="E4224" s="2">
        <f t="shared" si="5"/>
        <v>5208.12</v>
      </c>
      <c r="G4224" s="10">
        <f t="shared" si="9"/>
        <v>42206.64583</v>
      </c>
      <c r="H4224" s="6" t="str">
        <f t="shared" si="6"/>
        <v/>
      </c>
      <c r="I4224" s="2">
        <f t="shared" si="7"/>
        <v>1426.89</v>
      </c>
      <c r="M4224" s="10">
        <f>IFERROR(__xludf.DUMMYFUNCTION("""COMPUTED_VALUE"""),44106.66666666667)</f>
        <v>44106.66667</v>
      </c>
      <c r="N4224" s="2">
        <f>IFERROR(__xludf.DUMMYFUNCTION("""COMPUTED_VALUE"""),11075.02)</f>
        <v>11075.02</v>
      </c>
      <c r="P4224" s="10">
        <f t="shared" si="10"/>
        <v>39588.64583</v>
      </c>
      <c r="Q4224" s="15">
        <v>1873.15</v>
      </c>
      <c r="R4224" s="18">
        <v>39588.0</v>
      </c>
    </row>
    <row r="4225">
      <c r="A4225" s="10">
        <f t="shared" si="8"/>
        <v>42207.66667</v>
      </c>
      <c r="B4225" s="2" t="str">
        <f t="shared" si="2"/>
        <v/>
      </c>
      <c r="C4225" s="2" t="str">
        <f t="shared" si="3"/>
        <v>SP500</v>
      </c>
      <c r="D4225" s="2">
        <f t="shared" si="4"/>
        <v>5171.77</v>
      </c>
      <c r="E4225" s="2">
        <f t="shared" si="5"/>
        <v>5171.77</v>
      </c>
      <c r="G4225" s="10">
        <f t="shared" si="9"/>
        <v>42207.64583</v>
      </c>
      <c r="H4225" s="6" t="str">
        <f t="shared" si="6"/>
        <v/>
      </c>
      <c r="I4225" s="2">
        <f t="shared" si="7"/>
        <v>1426.89</v>
      </c>
      <c r="M4225" s="10">
        <f>IFERROR(__xludf.DUMMYFUNCTION("""COMPUTED_VALUE"""),44109.66666666667)</f>
        <v>44109.66667</v>
      </c>
      <c r="N4225" s="2">
        <f>IFERROR(__xludf.DUMMYFUNCTION("""COMPUTED_VALUE"""),11332.49)</f>
        <v>11332.49</v>
      </c>
      <c r="P4225" s="10">
        <f t="shared" si="10"/>
        <v>39587.64583</v>
      </c>
      <c r="Q4225" s="15">
        <v>1885.37</v>
      </c>
      <c r="R4225" s="18">
        <v>39587.0</v>
      </c>
    </row>
    <row r="4226">
      <c r="A4226" s="10">
        <f t="shared" si="8"/>
        <v>42208.66667</v>
      </c>
      <c r="B4226" s="2" t="str">
        <f t="shared" si="2"/>
        <v/>
      </c>
      <c r="C4226" s="2" t="str">
        <f t="shared" si="3"/>
        <v>SP500</v>
      </c>
      <c r="D4226" s="2">
        <f t="shared" si="4"/>
        <v>5146.41</v>
      </c>
      <c r="E4226" s="2">
        <f t="shared" si="5"/>
        <v>5146.41</v>
      </c>
      <c r="G4226" s="10">
        <f t="shared" si="9"/>
        <v>42208.64583</v>
      </c>
      <c r="H4226" s="6" t="str">
        <f t="shared" si="6"/>
        <v/>
      </c>
      <c r="I4226" s="2">
        <f t="shared" si="7"/>
        <v>1426.89</v>
      </c>
      <c r="M4226" s="10">
        <f>IFERROR(__xludf.DUMMYFUNCTION("""COMPUTED_VALUE"""),44110.66666666667)</f>
        <v>44110.66667</v>
      </c>
      <c r="N4226" s="2">
        <f>IFERROR(__xludf.DUMMYFUNCTION("""COMPUTED_VALUE"""),11154.6)</f>
        <v>11154.6</v>
      </c>
      <c r="P4226" s="10">
        <f t="shared" si="10"/>
        <v>39584.64583</v>
      </c>
      <c r="Q4226" s="15">
        <v>1888.88</v>
      </c>
      <c r="R4226" s="18">
        <v>39584.0</v>
      </c>
    </row>
    <row r="4227">
      <c r="A4227" s="10">
        <f t="shared" si="8"/>
        <v>42209.66667</v>
      </c>
      <c r="B4227" s="2" t="str">
        <f t="shared" si="2"/>
        <v/>
      </c>
      <c r="C4227" s="2" t="str">
        <f t="shared" si="3"/>
        <v>SP500</v>
      </c>
      <c r="D4227" s="2">
        <f t="shared" si="4"/>
        <v>5088.63</v>
      </c>
      <c r="E4227" s="2">
        <f t="shared" si="5"/>
        <v>5088.63</v>
      </c>
      <c r="G4227" s="10">
        <f t="shared" si="9"/>
        <v>42209.64583</v>
      </c>
      <c r="H4227" s="6" t="str">
        <f t="shared" si="6"/>
        <v/>
      </c>
      <c r="I4227" s="2">
        <f t="shared" si="7"/>
        <v>1426.89</v>
      </c>
      <c r="M4227" s="10">
        <f>IFERROR(__xludf.DUMMYFUNCTION("""COMPUTED_VALUE"""),44111.66666666667)</f>
        <v>44111.66667</v>
      </c>
      <c r="N4227" s="2">
        <f>IFERROR(__xludf.DUMMYFUNCTION("""COMPUTED_VALUE"""),11364.6)</f>
        <v>11364.6</v>
      </c>
      <c r="P4227" s="10">
        <f t="shared" si="10"/>
        <v>39583.64583</v>
      </c>
      <c r="Q4227" s="15">
        <v>1885.71</v>
      </c>
      <c r="R4227" s="18">
        <v>39583.0</v>
      </c>
    </row>
    <row r="4228">
      <c r="A4228" s="10">
        <f t="shared" si="8"/>
        <v>42210.66667</v>
      </c>
      <c r="B4228" s="2" t="str">
        <f t="shared" si="2"/>
        <v/>
      </c>
      <c r="C4228" s="2" t="str">
        <f t="shared" si="3"/>
        <v>SP500</v>
      </c>
      <c r="D4228" s="2" t="str">
        <f t="shared" si="4"/>
        <v/>
      </c>
      <c r="E4228" s="2">
        <f t="shared" si="5"/>
        <v>5088.63</v>
      </c>
      <c r="G4228" s="10">
        <f t="shared" si="9"/>
        <v>42210.64583</v>
      </c>
      <c r="H4228" s="6" t="str">
        <f t="shared" si="6"/>
        <v/>
      </c>
      <c r="I4228" s="2">
        <f t="shared" si="7"/>
        <v>1426.89</v>
      </c>
      <c r="M4228" s="10">
        <f>IFERROR(__xludf.DUMMYFUNCTION("""COMPUTED_VALUE"""),44112.66666666667)</f>
        <v>44112.66667</v>
      </c>
      <c r="N4228" s="2">
        <f>IFERROR(__xludf.DUMMYFUNCTION("""COMPUTED_VALUE"""),11420.98)</f>
        <v>11420.98</v>
      </c>
      <c r="P4228" s="10">
        <f t="shared" si="10"/>
        <v>39582.64583</v>
      </c>
      <c r="Q4228" s="15">
        <v>1843.75</v>
      </c>
      <c r="R4228" s="18">
        <v>39582.0</v>
      </c>
    </row>
    <row r="4229">
      <c r="A4229" s="10">
        <f t="shared" si="8"/>
        <v>42211.66667</v>
      </c>
      <c r="B4229" s="2" t="str">
        <f t="shared" si="2"/>
        <v/>
      </c>
      <c r="C4229" s="2" t="str">
        <f t="shared" si="3"/>
        <v>SP500</v>
      </c>
      <c r="D4229" s="2" t="str">
        <f t="shared" si="4"/>
        <v/>
      </c>
      <c r="E4229" s="2">
        <f t="shared" si="5"/>
        <v>5088.63</v>
      </c>
      <c r="G4229" s="10">
        <f t="shared" si="9"/>
        <v>42211.64583</v>
      </c>
      <c r="H4229" s="6" t="str">
        <f t="shared" si="6"/>
        <v/>
      </c>
      <c r="I4229" s="2">
        <f t="shared" si="7"/>
        <v>1426.89</v>
      </c>
      <c r="M4229" s="10">
        <f>IFERROR(__xludf.DUMMYFUNCTION("""COMPUTED_VALUE"""),44113.66666666667)</f>
        <v>44113.66667</v>
      </c>
      <c r="N4229" s="2">
        <f>IFERROR(__xludf.DUMMYFUNCTION("""COMPUTED_VALUE"""),11579.94)</f>
        <v>11579.94</v>
      </c>
      <c r="P4229" s="10">
        <f t="shared" si="10"/>
        <v>39581.64583</v>
      </c>
      <c r="Q4229" s="15">
        <v>1842.8</v>
      </c>
      <c r="R4229" s="18">
        <v>39581.0</v>
      </c>
    </row>
    <row r="4230">
      <c r="A4230" s="10">
        <f t="shared" si="8"/>
        <v>42212.66667</v>
      </c>
      <c r="B4230" s="2" t="str">
        <f t="shared" si="2"/>
        <v/>
      </c>
      <c r="C4230" s="2" t="str">
        <f t="shared" si="3"/>
        <v>SP500</v>
      </c>
      <c r="D4230" s="2">
        <f t="shared" si="4"/>
        <v>5039.78</v>
      </c>
      <c r="E4230" s="2">
        <f t="shared" si="5"/>
        <v>5039.78</v>
      </c>
      <c r="G4230" s="10">
        <f t="shared" si="9"/>
        <v>42212.64583</v>
      </c>
      <c r="H4230" s="6" t="str">
        <f t="shared" si="6"/>
        <v/>
      </c>
      <c r="I4230" s="2">
        <f t="shared" si="7"/>
        <v>1426.89</v>
      </c>
      <c r="M4230" s="10">
        <f>IFERROR(__xludf.DUMMYFUNCTION("""COMPUTED_VALUE"""),44116.66666666667)</f>
        <v>44116.66667</v>
      </c>
      <c r="N4230" s="2">
        <f>IFERROR(__xludf.DUMMYFUNCTION("""COMPUTED_VALUE"""),11876.26)</f>
        <v>11876.26</v>
      </c>
      <c r="P4230" s="10">
        <f t="shared" si="10"/>
        <v>39577.64583</v>
      </c>
      <c r="Q4230" s="15">
        <v>1823.7</v>
      </c>
      <c r="R4230" s="18">
        <v>39577.0</v>
      </c>
    </row>
    <row r="4231">
      <c r="A4231" s="10">
        <f t="shared" si="8"/>
        <v>42213.66667</v>
      </c>
      <c r="B4231" s="2" t="str">
        <f t="shared" si="2"/>
        <v/>
      </c>
      <c r="C4231" s="2" t="str">
        <f t="shared" si="3"/>
        <v>SP500</v>
      </c>
      <c r="D4231" s="2">
        <f t="shared" si="4"/>
        <v>5089.21</v>
      </c>
      <c r="E4231" s="2">
        <f t="shared" si="5"/>
        <v>5089.21</v>
      </c>
      <c r="G4231" s="10">
        <f t="shared" si="9"/>
        <v>42213.64583</v>
      </c>
      <c r="H4231" s="6" t="str">
        <f t="shared" si="6"/>
        <v/>
      </c>
      <c r="I4231" s="2">
        <f t="shared" si="7"/>
        <v>1426.89</v>
      </c>
      <c r="M4231" s="10">
        <f>IFERROR(__xludf.DUMMYFUNCTION("""COMPUTED_VALUE"""),44117.66666666667)</f>
        <v>44117.66667</v>
      </c>
      <c r="N4231" s="2">
        <f>IFERROR(__xludf.DUMMYFUNCTION("""COMPUTED_VALUE"""),11863.9)</f>
        <v>11863.9</v>
      </c>
      <c r="P4231" s="10">
        <f t="shared" si="10"/>
        <v>39576.64583</v>
      </c>
      <c r="Q4231" s="15">
        <v>1848.0</v>
      </c>
      <c r="R4231" s="18">
        <v>39576.0</v>
      </c>
    </row>
    <row r="4232">
      <c r="A4232" s="10">
        <f t="shared" si="8"/>
        <v>42214.66667</v>
      </c>
      <c r="B4232" s="2" t="str">
        <f t="shared" si="2"/>
        <v/>
      </c>
      <c r="C4232" s="2" t="str">
        <f t="shared" si="3"/>
        <v>SP500</v>
      </c>
      <c r="D4232" s="2">
        <f t="shared" si="4"/>
        <v>5111.73</v>
      </c>
      <c r="E4232" s="2">
        <f t="shared" si="5"/>
        <v>5111.73</v>
      </c>
      <c r="G4232" s="10">
        <f t="shared" si="9"/>
        <v>42214.64583</v>
      </c>
      <c r="H4232" s="6" t="str">
        <f t="shared" si="6"/>
        <v/>
      </c>
      <c r="I4232" s="2">
        <f t="shared" si="7"/>
        <v>1426.89</v>
      </c>
      <c r="M4232" s="10">
        <f>IFERROR(__xludf.DUMMYFUNCTION("""COMPUTED_VALUE"""),44118.66666666667)</f>
        <v>44118.66667</v>
      </c>
      <c r="N4232" s="2">
        <f>IFERROR(__xludf.DUMMYFUNCTION("""COMPUTED_VALUE"""),11768.73)</f>
        <v>11768.73</v>
      </c>
      <c r="P4232" s="10">
        <f t="shared" si="10"/>
        <v>39575.64583</v>
      </c>
      <c r="Q4232" s="15">
        <v>1854.01</v>
      </c>
      <c r="R4232" s="18">
        <v>39575.0</v>
      </c>
    </row>
    <row r="4233">
      <c r="A4233" s="10">
        <f t="shared" si="8"/>
        <v>42215.66667</v>
      </c>
      <c r="B4233" s="2" t="str">
        <f t="shared" si="2"/>
        <v/>
      </c>
      <c r="C4233" s="2" t="str">
        <f t="shared" si="3"/>
        <v>SP500</v>
      </c>
      <c r="D4233" s="2">
        <f t="shared" si="4"/>
        <v>5128.78</v>
      </c>
      <c r="E4233" s="2">
        <f t="shared" si="5"/>
        <v>5128.78</v>
      </c>
      <c r="G4233" s="10">
        <f t="shared" si="9"/>
        <v>42215.64583</v>
      </c>
      <c r="H4233" s="6" t="str">
        <f t="shared" si="6"/>
        <v/>
      </c>
      <c r="I4233" s="2">
        <f t="shared" si="7"/>
        <v>1426.89</v>
      </c>
      <c r="M4233" s="10">
        <f>IFERROR(__xludf.DUMMYFUNCTION("""COMPUTED_VALUE"""),44119.66666666667)</f>
        <v>44119.66667</v>
      </c>
      <c r="N4233" s="2">
        <f>IFERROR(__xludf.DUMMYFUNCTION("""COMPUTED_VALUE"""),11713.87)</f>
        <v>11713.87</v>
      </c>
      <c r="P4233" s="10">
        <f t="shared" si="10"/>
        <v>39574.64583</v>
      </c>
      <c r="Q4233" s="15">
        <v>1859.06</v>
      </c>
      <c r="R4233" s="18">
        <v>39574.0</v>
      </c>
    </row>
    <row r="4234">
      <c r="A4234" s="10">
        <f t="shared" si="8"/>
        <v>42216.66667</v>
      </c>
      <c r="B4234" s="2" t="str">
        <f t="shared" si="2"/>
        <v/>
      </c>
      <c r="C4234" s="2" t="str">
        <f t="shared" si="3"/>
        <v>SP500</v>
      </c>
      <c r="D4234" s="2">
        <f t="shared" si="4"/>
        <v>5128.28</v>
      </c>
      <c r="E4234" s="2">
        <f t="shared" si="5"/>
        <v>5128.28</v>
      </c>
      <c r="G4234" s="10">
        <f t="shared" si="9"/>
        <v>42216.64583</v>
      </c>
      <c r="H4234" s="6" t="str">
        <f t="shared" si="6"/>
        <v/>
      </c>
      <c r="I4234" s="2">
        <f t="shared" si="7"/>
        <v>1426.89</v>
      </c>
      <c r="M4234" s="10">
        <f>IFERROR(__xludf.DUMMYFUNCTION("""COMPUTED_VALUE"""),44120.66666666667)</f>
        <v>44120.66667</v>
      </c>
      <c r="N4234" s="2">
        <f>IFERROR(__xludf.DUMMYFUNCTION("""COMPUTED_VALUE"""),11671.56)</f>
        <v>11671.56</v>
      </c>
      <c r="P4234" s="10">
        <f t="shared" si="10"/>
        <v>39570.64583</v>
      </c>
      <c r="Q4234" s="15">
        <v>1848.27</v>
      </c>
      <c r="R4234" s="18">
        <v>39570.0</v>
      </c>
    </row>
    <row r="4235">
      <c r="A4235" s="10">
        <f t="shared" si="8"/>
        <v>42217.66667</v>
      </c>
      <c r="B4235" s="2" t="str">
        <f t="shared" si="2"/>
        <v/>
      </c>
      <c r="C4235" s="2" t="str">
        <f t="shared" si="3"/>
        <v>SP500</v>
      </c>
      <c r="D4235" s="2" t="str">
        <f t="shared" si="4"/>
        <v/>
      </c>
      <c r="E4235" s="2">
        <f t="shared" si="5"/>
        <v>5128.28</v>
      </c>
      <c r="G4235" s="10">
        <f t="shared" si="9"/>
        <v>42217.64583</v>
      </c>
      <c r="H4235" s="6" t="str">
        <f t="shared" si="6"/>
        <v/>
      </c>
      <c r="I4235" s="2">
        <f t="shared" si="7"/>
        <v>1426.89</v>
      </c>
      <c r="M4235" s="10">
        <f>IFERROR(__xludf.DUMMYFUNCTION("""COMPUTED_VALUE"""),44123.66666666667)</f>
        <v>44123.66667</v>
      </c>
      <c r="N4235" s="2">
        <f>IFERROR(__xludf.DUMMYFUNCTION("""COMPUTED_VALUE"""),11478.88)</f>
        <v>11478.88</v>
      </c>
      <c r="P4235" s="10">
        <f t="shared" si="10"/>
        <v>39568.64583</v>
      </c>
      <c r="Q4235" s="15">
        <v>1825.47</v>
      </c>
      <c r="R4235" s="18">
        <v>39568.0</v>
      </c>
    </row>
    <row r="4236">
      <c r="A4236" s="10">
        <f t="shared" si="8"/>
        <v>42218.66667</v>
      </c>
      <c r="B4236" s="2" t="str">
        <f t="shared" si="2"/>
        <v/>
      </c>
      <c r="C4236" s="2" t="str">
        <f t="shared" si="3"/>
        <v>SP500</v>
      </c>
      <c r="D4236" s="2" t="str">
        <f t="shared" si="4"/>
        <v/>
      </c>
      <c r="E4236" s="2">
        <f t="shared" si="5"/>
        <v>5128.28</v>
      </c>
      <c r="G4236" s="10">
        <f t="shared" si="9"/>
        <v>42218.64583</v>
      </c>
      <c r="H4236" s="6" t="str">
        <f t="shared" si="6"/>
        <v/>
      </c>
      <c r="I4236" s="2">
        <f t="shared" si="7"/>
        <v>1426.89</v>
      </c>
      <c r="M4236" s="10">
        <f>IFERROR(__xludf.DUMMYFUNCTION("""COMPUTED_VALUE"""),44124.66666666667)</f>
        <v>44124.66667</v>
      </c>
      <c r="N4236" s="2">
        <f>IFERROR(__xludf.DUMMYFUNCTION("""COMPUTED_VALUE"""),11516.49)</f>
        <v>11516.49</v>
      </c>
      <c r="P4236" s="10">
        <f t="shared" si="10"/>
        <v>39567.64583</v>
      </c>
      <c r="Q4236" s="15">
        <v>1811.51</v>
      </c>
      <c r="R4236" s="18">
        <v>39567.0</v>
      </c>
    </row>
    <row r="4237">
      <c r="A4237" s="10">
        <f t="shared" si="8"/>
        <v>42219.66667</v>
      </c>
      <c r="B4237" s="2" t="str">
        <f t="shared" si="2"/>
        <v/>
      </c>
      <c r="C4237" s="2" t="str">
        <f t="shared" si="3"/>
        <v>SP500</v>
      </c>
      <c r="D4237" s="2">
        <f t="shared" si="4"/>
        <v>5115.38</v>
      </c>
      <c r="E4237" s="2">
        <f t="shared" si="5"/>
        <v>5115.38</v>
      </c>
      <c r="G4237" s="10">
        <f t="shared" si="9"/>
        <v>42219.64583</v>
      </c>
      <c r="H4237" s="6" t="str">
        <f t="shared" si="6"/>
        <v/>
      </c>
      <c r="I4237" s="2">
        <f t="shared" si="7"/>
        <v>1426.89</v>
      </c>
      <c r="M4237" s="10">
        <f>IFERROR(__xludf.DUMMYFUNCTION("""COMPUTED_VALUE"""),44125.66666666667)</f>
        <v>44125.66667</v>
      </c>
      <c r="N4237" s="2">
        <f>IFERROR(__xludf.DUMMYFUNCTION("""COMPUTED_VALUE"""),11484.69)</f>
        <v>11484.69</v>
      </c>
      <c r="P4237" s="10">
        <f t="shared" si="10"/>
        <v>39566.64583</v>
      </c>
      <c r="Q4237" s="15">
        <v>1823.17</v>
      </c>
      <c r="R4237" s="18">
        <v>39566.0</v>
      </c>
    </row>
    <row r="4238">
      <c r="A4238" s="10">
        <f t="shared" si="8"/>
        <v>42220.66667</v>
      </c>
      <c r="B4238" s="2" t="str">
        <f t="shared" si="2"/>
        <v/>
      </c>
      <c r="C4238" s="2" t="str">
        <f t="shared" si="3"/>
        <v>SP500</v>
      </c>
      <c r="D4238" s="2">
        <f t="shared" si="4"/>
        <v>5105.55</v>
      </c>
      <c r="E4238" s="2">
        <f t="shared" si="5"/>
        <v>5105.55</v>
      </c>
      <c r="G4238" s="10">
        <f t="shared" si="9"/>
        <v>42220.64583</v>
      </c>
      <c r="H4238" s="6" t="str">
        <f t="shared" si="6"/>
        <v/>
      </c>
      <c r="I4238" s="2">
        <f t="shared" si="7"/>
        <v>1426.89</v>
      </c>
      <c r="M4238" s="10">
        <f>IFERROR(__xludf.DUMMYFUNCTION("""COMPUTED_VALUE"""),44126.66666666667)</f>
        <v>44126.66667</v>
      </c>
      <c r="N4238" s="2">
        <f>IFERROR(__xludf.DUMMYFUNCTION("""COMPUTED_VALUE"""),11506.01)</f>
        <v>11506.01</v>
      </c>
      <c r="P4238" s="10">
        <f t="shared" si="10"/>
        <v>39563.64583</v>
      </c>
      <c r="Q4238" s="15">
        <v>1824.68</v>
      </c>
      <c r="R4238" s="18">
        <v>39563.0</v>
      </c>
    </row>
    <row r="4239">
      <c r="A4239" s="10">
        <f t="shared" si="8"/>
        <v>42221.66667</v>
      </c>
      <c r="B4239" s="2" t="str">
        <f t="shared" si="2"/>
        <v/>
      </c>
      <c r="C4239" s="2" t="str">
        <f t="shared" si="3"/>
        <v>SP500</v>
      </c>
      <c r="D4239" s="2">
        <f t="shared" si="4"/>
        <v>5139.94</v>
      </c>
      <c r="E4239" s="2">
        <f t="shared" si="5"/>
        <v>5139.94</v>
      </c>
      <c r="G4239" s="10">
        <f t="shared" si="9"/>
        <v>42221.64583</v>
      </c>
      <c r="H4239" s="6" t="str">
        <f t="shared" si="6"/>
        <v/>
      </c>
      <c r="I4239" s="2">
        <f t="shared" si="7"/>
        <v>1426.89</v>
      </c>
      <c r="M4239" s="10">
        <f>IFERROR(__xludf.DUMMYFUNCTION("""COMPUTED_VALUE"""),44127.66666666667)</f>
        <v>44127.66667</v>
      </c>
      <c r="N4239" s="2">
        <f>IFERROR(__xludf.DUMMYFUNCTION("""COMPUTED_VALUE"""),11548.28)</f>
        <v>11548.28</v>
      </c>
      <c r="P4239" s="10">
        <f t="shared" si="10"/>
        <v>39562.64583</v>
      </c>
      <c r="Q4239" s="15">
        <v>1799.34</v>
      </c>
      <c r="R4239" s="18">
        <v>39562.0</v>
      </c>
    </row>
    <row r="4240">
      <c r="A4240" s="10">
        <f t="shared" si="8"/>
        <v>42222.66667</v>
      </c>
      <c r="B4240" s="2" t="str">
        <f t="shared" si="2"/>
        <v/>
      </c>
      <c r="C4240" s="2" t="str">
        <f t="shared" si="3"/>
        <v>SP500</v>
      </c>
      <c r="D4240" s="2">
        <f t="shared" si="4"/>
        <v>5056.44</v>
      </c>
      <c r="E4240" s="2">
        <f t="shared" si="5"/>
        <v>5056.44</v>
      </c>
      <c r="G4240" s="10">
        <f t="shared" si="9"/>
        <v>42222.64583</v>
      </c>
      <c r="H4240" s="6" t="str">
        <f t="shared" si="6"/>
        <v/>
      </c>
      <c r="I4240" s="2">
        <f t="shared" si="7"/>
        <v>1426.89</v>
      </c>
      <c r="M4240" s="10">
        <f>IFERROR(__xludf.DUMMYFUNCTION("""COMPUTED_VALUE"""),44130.66666666667)</f>
        <v>44130.66667</v>
      </c>
      <c r="N4240" s="2">
        <f>IFERROR(__xludf.DUMMYFUNCTION("""COMPUTED_VALUE"""),11358.94)</f>
        <v>11358.94</v>
      </c>
      <c r="P4240" s="10">
        <f t="shared" si="10"/>
        <v>39561.64583</v>
      </c>
      <c r="Q4240" s="15">
        <v>1800.79</v>
      </c>
      <c r="R4240" s="18">
        <v>39561.0</v>
      </c>
    </row>
    <row r="4241">
      <c r="A4241" s="10">
        <f t="shared" si="8"/>
        <v>42223.66667</v>
      </c>
      <c r="B4241" s="2" t="str">
        <f t="shared" si="2"/>
        <v/>
      </c>
      <c r="C4241" s="2" t="str">
        <f t="shared" si="3"/>
        <v>SP500</v>
      </c>
      <c r="D4241" s="2">
        <f t="shared" si="4"/>
        <v>5043.54</v>
      </c>
      <c r="E4241" s="2">
        <f t="shared" si="5"/>
        <v>5043.54</v>
      </c>
      <c r="G4241" s="10">
        <f t="shared" si="9"/>
        <v>42223.64583</v>
      </c>
      <c r="H4241" s="6" t="str">
        <f t="shared" si="6"/>
        <v/>
      </c>
      <c r="I4241" s="2">
        <f t="shared" si="7"/>
        <v>1426.89</v>
      </c>
      <c r="M4241" s="10">
        <f>IFERROR(__xludf.DUMMYFUNCTION("""COMPUTED_VALUE"""),44131.66666666667)</f>
        <v>44131.66667</v>
      </c>
      <c r="N4241" s="2">
        <f>IFERROR(__xludf.DUMMYFUNCTION("""COMPUTED_VALUE"""),11431.35)</f>
        <v>11431.35</v>
      </c>
      <c r="P4241" s="10">
        <f t="shared" si="10"/>
        <v>39560.64583</v>
      </c>
      <c r="Q4241" s="15">
        <v>1787.49</v>
      </c>
      <c r="R4241" s="18">
        <v>39560.0</v>
      </c>
    </row>
    <row r="4242">
      <c r="A4242" s="10">
        <f t="shared" si="8"/>
        <v>42224.66667</v>
      </c>
      <c r="B4242" s="2" t="str">
        <f t="shared" si="2"/>
        <v/>
      </c>
      <c r="C4242" s="2" t="str">
        <f t="shared" si="3"/>
        <v>SP500</v>
      </c>
      <c r="D4242" s="2" t="str">
        <f t="shared" si="4"/>
        <v/>
      </c>
      <c r="E4242" s="2">
        <f t="shared" si="5"/>
        <v>5043.54</v>
      </c>
      <c r="G4242" s="10">
        <f t="shared" si="9"/>
        <v>42224.64583</v>
      </c>
      <c r="H4242" s="6" t="str">
        <f t="shared" si="6"/>
        <v/>
      </c>
      <c r="I4242" s="2">
        <f t="shared" si="7"/>
        <v>1426.89</v>
      </c>
      <c r="M4242" s="10">
        <f>IFERROR(__xludf.DUMMYFUNCTION("""COMPUTED_VALUE"""),44132.66666666667)</f>
        <v>44132.66667</v>
      </c>
      <c r="N4242" s="2">
        <f>IFERROR(__xludf.DUMMYFUNCTION("""COMPUTED_VALUE"""),11004.87)</f>
        <v>11004.87</v>
      </c>
      <c r="P4242" s="10">
        <f t="shared" si="10"/>
        <v>39559.64583</v>
      </c>
      <c r="Q4242" s="15">
        <v>1800.48</v>
      </c>
      <c r="R4242" s="18">
        <v>39559.0</v>
      </c>
    </row>
    <row r="4243">
      <c r="A4243" s="10">
        <f t="shared" si="8"/>
        <v>42225.66667</v>
      </c>
      <c r="B4243" s="2" t="str">
        <f t="shared" si="2"/>
        <v/>
      </c>
      <c r="C4243" s="2" t="str">
        <f t="shared" si="3"/>
        <v>SP500</v>
      </c>
      <c r="D4243" s="2" t="str">
        <f t="shared" si="4"/>
        <v/>
      </c>
      <c r="E4243" s="2">
        <f t="shared" si="5"/>
        <v>5043.54</v>
      </c>
      <c r="G4243" s="10">
        <f t="shared" si="9"/>
        <v>42225.64583</v>
      </c>
      <c r="H4243" s="6" t="str">
        <f t="shared" si="6"/>
        <v/>
      </c>
      <c r="I4243" s="2">
        <f t="shared" si="7"/>
        <v>1426.89</v>
      </c>
      <c r="M4243" s="10">
        <f>IFERROR(__xludf.DUMMYFUNCTION("""COMPUTED_VALUE"""),44133.66666666667)</f>
        <v>44133.66667</v>
      </c>
      <c r="N4243" s="2">
        <f>IFERROR(__xludf.DUMMYFUNCTION("""COMPUTED_VALUE"""),11185.59)</f>
        <v>11185.59</v>
      </c>
      <c r="P4243" s="10">
        <f t="shared" si="10"/>
        <v>39556.64583</v>
      </c>
      <c r="Q4243" s="15">
        <v>1771.9</v>
      </c>
      <c r="R4243" s="18">
        <v>39556.0</v>
      </c>
    </row>
    <row r="4244">
      <c r="A4244" s="10">
        <f t="shared" si="8"/>
        <v>42226.66667</v>
      </c>
      <c r="B4244" s="2" t="str">
        <f t="shared" si="2"/>
        <v/>
      </c>
      <c r="C4244" s="2" t="str">
        <f t="shared" si="3"/>
        <v>SP500</v>
      </c>
      <c r="D4244" s="2">
        <f t="shared" si="4"/>
        <v>5101.8</v>
      </c>
      <c r="E4244" s="2">
        <f t="shared" si="5"/>
        <v>5101.8</v>
      </c>
      <c r="G4244" s="10">
        <f t="shared" si="9"/>
        <v>42226.64583</v>
      </c>
      <c r="H4244" s="6" t="str">
        <f t="shared" si="6"/>
        <v/>
      </c>
      <c r="I4244" s="2">
        <f t="shared" si="7"/>
        <v>1426.89</v>
      </c>
      <c r="M4244" s="10">
        <f>IFERROR(__xludf.DUMMYFUNCTION("""COMPUTED_VALUE"""),44134.66666666667)</f>
        <v>44134.66667</v>
      </c>
      <c r="N4244" s="2">
        <f>IFERROR(__xludf.DUMMYFUNCTION("""COMPUTED_VALUE"""),10911.59)</f>
        <v>10911.59</v>
      </c>
      <c r="P4244" s="10">
        <f t="shared" si="10"/>
        <v>39555.64583</v>
      </c>
      <c r="Q4244" s="15">
        <v>1768.67</v>
      </c>
      <c r="R4244" s="18">
        <v>39555.0</v>
      </c>
    </row>
    <row r="4245">
      <c r="A4245" s="10">
        <f t="shared" si="8"/>
        <v>42227.66667</v>
      </c>
      <c r="B4245" s="2" t="str">
        <f t="shared" si="2"/>
        <v/>
      </c>
      <c r="C4245" s="2" t="str">
        <f t="shared" si="3"/>
        <v>SP500</v>
      </c>
      <c r="D4245" s="2">
        <f t="shared" si="4"/>
        <v>5036.79</v>
      </c>
      <c r="E4245" s="2">
        <f t="shared" si="5"/>
        <v>5036.79</v>
      </c>
      <c r="G4245" s="10">
        <f t="shared" si="9"/>
        <v>42227.64583</v>
      </c>
      <c r="H4245" s="6" t="str">
        <f t="shared" si="6"/>
        <v/>
      </c>
      <c r="I4245" s="2">
        <f t="shared" si="7"/>
        <v>1426.89</v>
      </c>
      <c r="M4245" s="10">
        <f>IFERROR(__xludf.DUMMYFUNCTION("""COMPUTED_VALUE"""),44137.66666666667)</f>
        <v>44137.66667</v>
      </c>
      <c r="N4245" s="2">
        <f>IFERROR(__xludf.DUMMYFUNCTION("""COMPUTED_VALUE"""),10957.61)</f>
        <v>10957.61</v>
      </c>
      <c r="P4245" s="10">
        <f t="shared" si="10"/>
        <v>39554.64583</v>
      </c>
      <c r="Q4245" s="15">
        <v>1758.56</v>
      </c>
      <c r="R4245" s="18">
        <v>39554.0</v>
      </c>
    </row>
    <row r="4246">
      <c r="A4246" s="10">
        <f t="shared" si="8"/>
        <v>42228.66667</v>
      </c>
      <c r="B4246" s="2" t="str">
        <f t="shared" si="2"/>
        <v/>
      </c>
      <c r="C4246" s="2" t="str">
        <f t="shared" si="3"/>
        <v>SP500</v>
      </c>
      <c r="D4246" s="2">
        <f t="shared" si="4"/>
        <v>5044.39</v>
      </c>
      <c r="E4246" s="2">
        <f t="shared" si="5"/>
        <v>5044.39</v>
      </c>
      <c r="G4246" s="10">
        <f t="shared" si="9"/>
        <v>42228.64583</v>
      </c>
      <c r="H4246" s="6" t="str">
        <f t="shared" si="6"/>
        <v/>
      </c>
      <c r="I4246" s="2">
        <f t="shared" si="7"/>
        <v>1426.89</v>
      </c>
      <c r="M4246" s="10">
        <f>IFERROR(__xludf.DUMMYFUNCTION("""COMPUTED_VALUE"""),44138.66666666667)</f>
        <v>44138.66667</v>
      </c>
      <c r="N4246" s="2">
        <f>IFERROR(__xludf.DUMMYFUNCTION("""COMPUTED_VALUE"""),11160.57)</f>
        <v>11160.57</v>
      </c>
      <c r="P4246" s="10">
        <f t="shared" si="10"/>
        <v>39553.64583</v>
      </c>
      <c r="Q4246" s="15">
        <v>1742.17</v>
      </c>
      <c r="R4246" s="18">
        <v>39553.0</v>
      </c>
    </row>
    <row r="4247">
      <c r="A4247" s="10">
        <f t="shared" si="8"/>
        <v>42229.66667</v>
      </c>
      <c r="B4247" s="2" t="str">
        <f t="shared" si="2"/>
        <v/>
      </c>
      <c r="C4247" s="2" t="str">
        <f t="shared" si="3"/>
        <v>SP500</v>
      </c>
      <c r="D4247" s="2">
        <f t="shared" si="4"/>
        <v>5033.56</v>
      </c>
      <c r="E4247" s="2">
        <f t="shared" si="5"/>
        <v>5033.56</v>
      </c>
      <c r="G4247" s="10">
        <f t="shared" si="9"/>
        <v>42229.64583</v>
      </c>
      <c r="H4247" s="6" t="str">
        <f t="shared" si="6"/>
        <v/>
      </c>
      <c r="I4247" s="2">
        <f t="shared" si="7"/>
        <v>1426.89</v>
      </c>
      <c r="M4247" s="10">
        <f>IFERROR(__xludf.DUMMYFUNCTION("""COMPUTED_VALUE"""),44139.66666666667)</f>
        <v>44139.66667</v>
      </c>
      <c r="N4247" s="2">
        <f>IFERROR(__xludf.DUMMYFUNCTION("""COMPUTED_VALUE"""),11590.78)</f>
        <v>11590.78</v>
      </c>
      <c r="P4247" s="10">
        <f t="shared" si="10"/>
        <v>39552.64583</v>
      </c>
      <c r="Q4247" s="15">
        <v>1746.71</v>
      </c>
      <c r="R4247" s="18">
        <v>39552.0</v>
      </c>
    </row>
    <row r="4248">
      <c r="A4248" s="10">
        <f t="shared" si="8"/>
        <v>42230.66667</v>
      </c>
      <c r="B4248" s="2" t="str">
        <f t="shared" si="2"/>
        <v/>
      </c>
      <c r="C4248" s="2" t="str">
        <f t="shared" si="3"/>
        <v>SP500</v>
      </c>
      <c r="D4248" s="2">
        <f t="shared" si="4"/>
        <v>5048.24</v>
      </c>
      <c r="E4248" s="2">
        <f t="shared" si="5"/>
        <v>5048.24</v>
      </c>
      <c r="G4248" s="10">
        <f t="shared" si="9"/>
        <v>42230.64583</v>
      </c>
      <c r="H4248" s="6" t="str">
        <f t="shared" si="6"/>
        <v/>
      </c>
      <c r="I4248" s="2">
        <f t="shared" si="7"/>
        <v>1426.89</v>
      </c>
      <c r="M4248" s="10">
        <f>IFERROR(__xludf.DUMMYFUNCTION("""COMPUTED_VALUE"""),44140.66666666667)</f>
        <v>44140.66667</v>
      </c>
      <c r="N4248" s="2">
        <f>IFERROR(__xludf.DUMMYFUNCTION("""COMPUTED_VALUE"""),11890.93)</f>
        <v>11890.93</v>
      </c>
      <c r="P4248" s="10">
        <f t="shared" si="10"/>
        <v>39549.64583</v>
      </c>
      <c r="Q4248" s="15">
        <v>1779.71</v>
      </c>
      <c r="R4248" s="18">
        <v>39549.0</v>
      </c>
    </row>
    <row r="4249">
      <c r="A4249" s="10">
        <f t="shared" si="8"/>
        <v>42231.66667</v>
      </c>
      <c r="B4249" s="2" t="str">
        <f t="shared" si="2"/>
        <v/>
      </c>
      <c r="C4249" s="2" t="str">
        <f t="shared" si="3"/>
        <v>SP500</v>
      </c>
      <c r="D4249" s="2" t="str">
        <f t="shared" si="4"/>
        <v/>
      </c>
      <c r="E4249" s="2">
        <f t="shared" si="5"/>
        <v>5048.24</v>
      </c>
      <c r="G4249" s="10">
        <f t="shared" si="9"/>
        <v>42231.64583</v>
      </c>
      <c r="H4249" s="6" t="str">
        <f t="shared" si="6"/>
        <v/>
      </c>
      <c r="I4249" s="2">
        <f t="shared" si="7"/>
        <v>1426.89</v>
      </c>
      <c r="M4249" s="10">
        <f>IFERROR(__xludf.DUMMYFUNCTION("""COMPUTED_VALUE"""),44141.66666666667)</f>
        <v>44141.66667</v>
      </c>
      <c r="N4249" s="2">
        <f>IFERROR(__xludf.DUMMYFUNCTION("""COMPUTED_VALUE"""),11895.23)</f>
        <v>11895.23</v>
      </c>
      <c r="P4249" s="10">
        <f t="shared" si="10"/>
        <v>39548.64583</v>
      </c>
      <c r="Q4249" s="15">
        <v>1764.64</v>
      </c>
      <c r="R4249" s="18">
        <v>39548.0</v>
      </c>
    </row>
    <row r="4250">
      <c r="A4250" s="10">
        <f t="shared" si="8"/>
        <v>42232.66667</v>
      </c>
      <c r="B4250" s="2" t="str">
        <f t="shared" si="2"/>
        <v/>
      </c>
      <c r="C4250" s="2" t="str">
        <f t="shared" si="3"/>
        <v>SP500</v>
      </c>
      <c r="D4250" s="2" t="str">
        <f t="shared" si="4"/>
        <v/>
      </c>
      <c r="E4250" s="2">
        <f t="shared" si="5"/>
        <v>5048.24</v>
      </c>
      <c r="G4250" s="10">
        <f t="shared" si="9"/>
        <v>42232.64583</v>
      </c>
      <c r="H4250" s="6" t="str">
        <f t="shared" si="6"/>
        <v/>
      </c>
      <c r="I4250" s="2">
        <f t="shared" si="7"/>
        <v>1426.89</v>
      </c>
      <c r="M4250" s="10">
        <f>IFERROR(__xludf.DUMMYFUNCTION("""COMPUTED_VALUE"""),44144.66666666667)</f>
        <v>44144.66667</v>
      </c>
      <c r="N4250" s="2">
        <f>IFERROR(__xludf.DUMMYFUNCTION("""COMPUTED_VALUE"""),11713.78)</f>
        <v>11713.78</v>
      </c>
      <c r="P4250" s="10">
        <f t="shared" si="10"/>
        <v>39546.64583</v>
      </c>
      <c r="Q4250" s="15">
        <v>1754.71</v>
      </c>
      <c r="R4250" s="18">
        <v>39546.0</v>
      </c>
    </row>
    <row r="4251">
      <c r="A4251" s="10">
        <f t="shared" si="8"/>
        <v>42233.66667</v>
      </c>
      <c r="B4251" s="2" t="str">
        <f t="shared" si="2"/>
        <v/>
      </c>
      <c r="C4251" s="2" t="str">
        <f t="shared" si="3"/>
        <v>SP500</v>
      </c>
      <c r="D4251" s="2">
        <f t="shared" si="4"/>
        <v>5091.7</v>
      </c>
      <c r="E4251" s="2">
        <f t="shared" si="5"/>
        <v>5091.7</v>
      </c>
      <c r="G4251" s="10">
        <f t="shared" si="9"/>
        <v>42233.64583</v>
      </c>
      <c r="H4251" s="6" t="str">
        <f t="shared" si="6"/>
        <v/>
      </c>
      <c r="I4251" s="2">
        <f t="shared" si="7"/>
        <v>1426.89</v>
      </c>
      <c r="M4251" s="10">
        <f>IFERROR(__xludf.DUMMYFUNCTION("""COMPUTED_VALUE"""),44145.66666666667)</f>
        <v>44145.66667</v>
      </c>
      <c r="N4251" s="2">
        <f>IFERROR(__xludf.DUMMYFUNCTION("""COMPUTED_VALUE"""),11553.86)</f>
        <v>11553.86</v>
      </c>
      <c r="P4251" s="10">
        <f t="shared" si="10"/>
        <v>39545.64583</v>
      </c>
      <c r="Q4251" s="15">
        <v>1773.56</v>
      </c>
      <c r="R4251" s="18">
        <v>39545.0</v>
      </c>
    </row>
    <row r="4252">
      <c r="A4252" s="10">
        <f t="shared" si="8"/>
        <v>42234.66667</v>
      </c>
      <c r="B4252" s="2" t="str">
        <f t="shared" si="2"/>
        <v/>
      </c>
      <c r="C4252" s="2" t="str">
        <f t="shared" si="3"/>
        <v>SP500</v>
      </c>
      <c r="D4252" s="2">
        <f t="shared" si="4"/>
        <v>5059.35</v>
      </c>
      <c r="E4252" s="2">
        <f t="shared" si="5"/>
        <v>5059.35</v>
      </c>
      <c r="G4252" s="10">
        <f t="shared" si="9"/>
        <v>42234.64583</v>
      </c>
      <c r="H4252" s="6" t="str">
        <f t="shared" si="6"/>
        <v/>
      </c>
      <c r="I4252" s="2">
        <f t="shared" si="7"/>
        <v>1426.89</v>
      </c>
      <c r="M4252" s="10">
        <f>IFERROR(__xludf.DUMMYFUNCTION("""COMPUTED_VALUE"""),44146.66666666667)</f>
        <v>44146.66667</v>
      </c>
      <c r="N4252" s="2">
        <f>IFERROR(__xludf.DUMMYFUNCTION("""COMPUTED_VALUE"""),11786.43)</f>
        <v>11786.43</v>
      </c>
      <c r="P4252" s="10">
        <f t="shared" si="10"/>
        <v>39542.64583</v>
      </c>
      <c r="Q4252" s="15">
        <v>1766.49</v>
      </c>
      <c r="R4252" s="18">
        <v>39542.0</v>
      </c>
    </row>
    <row r="4253">
      <c r="A4253" s="10">
        <f t="shared" si="8"/>
        <v>42235.66667</v>
      </c>
      <c r="B4253" s="2" t="str">
        <f t="shared" si="2"/>
        <v/>
      </c>
      <c r="C4253" s="2" t="str">
        <f t="shared" si="3"/>
        <v>SP500</v>
      </c>
      <c r="D4253" s="2">
        <f t="shared" si="4"/>
        <v>5019.05</v>
      </c>
      <c r="E4253" s="2">
        <f t="shared" si="5"/>
        <v>5019.05</v>
      </c>
      <c r="G4253" s="10">
        <f t="shared" si="9"/>
        <v>42235.64583</v>
      </c>
      <c r="H4253" s="6" t="str">
        <f t="shared" si="6"/>
        <v/>
      </c>
      <c r="I4253" s="2">
        <f t="shared" si="7"/>
        <v>1426.89</v>
      </c>
      <c r="M4253" s="10">
        <f>IFERROR(__xludf.DUMMYFUNCTION("""COMPUTED_VALUE"""),44147.66666666667)</f>
        <v>44147.66667</v>
      </c>
      <c r="N4253" s="2">
        <f>IFERROR(__xludf.DUMMYFUNCTION("""COMPUTED_VALUE"""),11709.59)</f>
        <v>11709.59</v>
      </c>
      <c r="P4253" s="10">
        <f t="shared" si="10"/>
        <v>39541.64583</v>
      </c>
      <c r="Q4253" s="15">
        <v>1763.63</v>
      </c>
      <c r="R4253" s="18">
        <v>39541.0</v>
      </c>
    </row>
    <row r="4254">
      <c r="A4254" s="10">
        <f t="shared" si="8"/>
        <v>42236.66667</v>
      </c>
      <c r="B4254" s="2" t="str">
        <f t="shared" si="2"/>
        <v/>
      </c>
      <c r="C4254" s="2" t="str">
        <f t="shared" si="3"/>
        <v>SP500</v>
      </c>
      <c r="D4254" s="2">
        <f t="shared" si="4"/>
        <v>4877.49</v>
      </c>
      <c r="E4254" s="2">
        <f t="shared" si="5"/>
        <v>4877.49</v>
      </c>
      <c r="G4254" s="10">
        <f t="shared" si="9"/>
        <v>42236.64583</v>
      </c>
      <c r="H4254" s="6" t="str">
        <f t="shared" si="6"/>
        <v/>
      </c>
      <c r="I4254" s="2">
        <f t="shared" si="7"/>
        <v>1426.89</v>
      </c>
      <c r="M4254" s="10">
        <f>IFERROR(__xludf.DUMMYFUNCTION("""COMPUTED_VALUE"""),44148.66666666667)</f>
        <v>44148.66667</v>
      </c>
      <c r="N4254" s="2">
        <f>IFERROR(__xludf.DUMMYFUNCTION("""COMPUTED_VALUE"""),11829.29)</f>
        <v>11829.29</v>
      </c>
      <c r="P4254" s="10">
        <f t="shared" si="10"/>
        <v>39540.64583</v>
      </c>
      <c r="Q4254" s="15">
        <v>1742.19</v>
      </c>
      <c r="R4254" s="18">
        <v>39540.0</v>
      </c>
    </row>
    <row r="4255">
      <c r="A4255" s="10">
        <f t="shared" si="8"/>
        <v>42237.66667</v>
      </c>
      <c r="B4255" s="2" t="str">
        <f t="shared" si="2"/>
        <v/>
      </c>
      <c r="C4255" s="2" t="str">
        <f t="shared" si="3"/>
        <v>SP500</v>
      </c>
      <c r="D4255" s="2">
        <f t="shared" si="4"/>
        <v>4706.04</v>
      </c>
      <c r="E4255" s="2">
        <f t="shared" si="5"/>
        <v>4706.04</v>
      </c>
      <c r="G4255" s="10">
        <f t="shared" si="9"/>
        <v>42237.64583</v>
      </c>
      <c r="H4255" s="6" t="str">
        <f t="shared" si="6"/>
        <v/>
      </c>
      <c r="I4255" s="2">
        <f t="shared" si="7"/>
        <v>1426.89</v>
      </c>
      <c r="M4255" s="10">
        <f>IFERROR(__xludf.DUMMYFUNCTION("""COMPUTED_VALUE"""),44151.66666666667)</f>
        <v>44151.66667</v>
      </c>
      <c r="N4255" s="2">
        <f>IFERROR(__xludf.DUMMYFUNCTION("""COMPUTED_VALUE"""),11924.13)</f>
        <v>11924.13</v>
      </c>
      <c r="P4255" s="10">
        <f t="shared" si="10"/>
        <v>39539.64583</v>
      </c>
      <c r="Q4255" s="15">
        <v>1702.25</v>
      </c>
      <c r="R4255" s="18">
        <v>39539.0</v>
      </c>
    </row>
    <row r="4256">
      <c r="A4256" s="10">
        <f t="shared" si="8"/>
        <v>42238.66667</v>
      </c>
      <c r="B4256" s="2" t="str">
        <f t="shared" si="2"/>
        <v/>
      </c>
      <c r="C4256" s="2" t="str">
        <f t="shared" si="3"/>
        <v>SP500</v>
      </c>
      <c r="D4256" s="2" t="str">
        <f t="shared" si="4"/>
        <v/>
      </c>
      <c r="E4256" s="2">
        <f t="shared" si="5"/>
        <v>4706.04</v>
      </c>
      <c r="G4256" s="10">
        <f t="shared" si="9"/>
        <v>42238.64583</v>
      </c>
      <c r="H4256" s="6" t="str">
        <f t="shared" si="6"/>
        <v/>
      </c>
      <c r="I4256" s="2">
        <f t="shared" si="7"/>
        <v>1426.89</v>
      </c>
      <c r="M4256" s="10">
        <f>IFERROR(__xludf.DUMMYFUNCTION("""COMPUTED_VALUE"""),44152.66666666667)</f>
        <v>44152.66667</v>
      </c>
      <c r="N4256" s="2">
        <f>IFERROR(__xludf.DUMMYFUNCTION("""COMPUTED_VALUE"""),11899.34)</f>
        <v>11899.34</v>
      </c>
      <c r="P4256" s="10">
        <f t="shared" si="10"/>
        <v>39538.64583</v>
      </c>
      <c r="Q4256" s="15">
        <v>1703.99</v>
      </c>
      <c r="R4256" s="18">
        <v>39538.0</v>
      </c>
    </row>
    <row r="4257">
      <c r="A4257" s="10">
        <f t="shared" si="8"/>
        <v>42239.66667</v>
      </c>
      <c r="B4257" s="2" t="str">
        <f t="shared" si="2"/>
        <v/>
      </c>
      <c r="C4257" s="2" t="str">
        <f t="shared" si="3"/>
        <v>SP500</v>
      </c>
      <c r="D4257" s="2" t="str">
        <f t="shared" si="4"/>
        <v/>
      </c>
      <c r="E4257" s="2">
        <f t="shared" si="5"/>
        <v>4706.04</v>
      </c>
      <c r="G4257" s="10">
        <f t="shared" si="9"/>
        <v>42239.64583</v>
      </c>
      <c r="H4257" s="6" t="str">
        <f t="shared" si="6"/>
        <v/>
      </c>
      <c r="I4257" s="2">
        <f t="shared" si="7"/>
        <v>1426.89</v>
      </c>
      <c r="M4257" s="10">
        <f>IFERROR(__xludf.DUMMYFUNCTION("""COMPUTED_VALUE"""),44153.66666666667)</f>
        <v>44153.66667</v>
      </c>
      <c r="N4257" s="2">
        <f>IFERROR(__xludf.DUMMYFUNCTION("""COMPUTED_VALUE"""),11801.6)</f>
        <v>11801.6</v>
      </c>
      <c r="P4257" s="10">
        <f t="shared" si="10"/>
        <v>39535.64583</v>
      </c>
      <c r="Q4257" s="15">
        <v>1701.83</v>
      </c>
      <c r="R4257" s="18">
        <v>39535.0</v>
      </c>
    </row>
    <row r="4258">
      <c r="A4258" s="10">
        <f t="shared" si="8"/>
        <v>42240.66667</v>
      </c>
      <c r="B4258" s="2" t="str">
        <f t="shared" si="2"/>
        <v/>
      </c>
      <c r="C4258" s="2" t="str">
        <f t="shared" si="3"/>
        <v>SP500</v>
      </c>
      <c r="D4258" s="2">
        <f t="shared" si="4"/>
        <v>4526.25</v>
      </c>
      <c r="E4258" s="2">
        <f t="shared" si="5"/>
        <v>4526.25</v>
      </c>
      <c r="G4258" s="10">
        <f t="shared" si="9"/>
        <v>42240.64583</v>
      </c>
      <c r="H4258" s="6" t="str">
        <f t="shared" si="6"/>
        <v/>
      </c>
      <c r="I4258" s="2">
        <f t="shared" si="7"/>
        <v>1426.89</v>
      </c>
      <c r="M4258" s="10">
        <f>IFERROR(__xludf.DUMMYFUNCTION("""COMPUTED_VALUE"""),44154.66666666667)</f>
        <v>44154.66667</v>
      </c>
      <c r="N4258" s="2">
        <f>IFERROR(__xludf.DUMMYFUNCTION("""COMPUTED_VALUE"""),11904.71)</f>
        <v>11904.71</v>
      </c>
      <c r="P4258" s="10">
        <f t="shared" si="10"/>
        <v>39534.64583</v>
      </c>
      <c r="Q4258" s="15">
        <v>1676.24</v>
      </c>
      <c r="R4258" s="18">
        <v>39534.0</v>
      </c>
    </row>
    <row r="4259">
      <c r="A4259" s="10">
        <f t="shared" si="8"/>
        <v>42241.66667</v>
      </c>
      <c r="B4259" s="2" t="str">
        <f t="shared" si="2"/>
        <v/>
      </c>
      <c r="C4259" s="2" t="str">
        <f t="shared" si="3"/>
        <v>SP500</v>
      </c>
      <c r="D4259" s="2">
        <f t="shared" si="4"/>
        <v>4506.49</v>
      </c>
      <c r="E4259" s="2">
        <f t="shared" si="5"/>
        <v>4506.49</v>
      </c>
      <c r="G4259" s="10">
        <f t="shared" si="9"/>
        <v>42241.64583</v>
      </c>
      <c r="H4259" s="6" t="str">
        <f t="shared" si="6"/>
        <v/>
      </c>
      <c r="I4259" s="2">
        <f t="shared" si="7"/>
        <v>1426.89</v>
      </c>
      <c r="M4259" s="10">
        <f>IFERROR(__xludf.DUMMYFUNCTION("""COMPUTED_VALUE"""),44155.66666666667)</f>
        <v>44155.66667</v>
      </c>
      <c r="N4259" s="2">
        <f>IFERROR(__xludf.DUMMYFUNCTION("""COMPUTED_VALUE"""),11854.97)</f>
        <v>11854.97</v>
      </c>
      <c r="P4259" s="10">
        <f t="shared" si="10"/>
        <v>39533.64583</v>
      </c>
      <c r="Q4259" s="15">
        <v>1679.67</v>
      </c>
      <c r="R4259" s="18">
        <v>39533.0</v>
      </c>
    </row>
    <row r="4260">
      <c r="A4260" s="10">
        <f t="shared" si="8"/>
        <v>42242.66667</v>
      </c>
      <c r="B4260" s="2" t="str">
        <f t="shared" si="2"/>
        <v/>
      </c>
      <c r="C4260" s="2" t="str">
        <f t="shared" si="3"/>
        <v>SP500</v>
      </c>
      <c r="D4260" s="2">
        <f t="shared" si="4"/>
        <v>4697.54</v>
      </c>
      <c r="E4260" s="2">
        <f t="shared" si="5"/>
        <v>4697.54</v>
      </c>
      <c r="G4260" s="10">
        <f t="shared" si="9"/>
        <v>42242.64583</v>
      </c>
      <c r="H4260" s="6" t="str">
        <f t="shared" si="6"/>
        <v/>
      </c>
      <c r="I4260" s="2">
        <f t="shared" si="7"/>
        <v>1426.89</v>
      </c>
      <c r="M4260" s="10">
        <f>IFERROR(__xludf.DUMMYFUNCTION("""COMPUTED_VALUE"""),44158.66666666667)</f>
        <v>44158.66667</v>
      </c>
      <c r="N4260" s="2">
        <f>IFERROR(__xludf.DUMMYFUNCTION("""COMPUTED_VALUE"""),11880.63)</f>
        <v>11880.63</v>
      </c>
      <c r="P4260" s="10">
        <f t="shared" si="10"/>
        <v>39532.64583</v>
      </c>
      <c r="Q4260" s="15">
        <v>1674.93</v>
      </c>
      <c r="R4260" s="18">
        <v>39532.0</v>
      </c>
    </row>
    <row r="4261">
      <c r="A4261" s="10">
        <f t="shared" si="8"/>
        <v>42243.66667</v>
      </c>
      <c r="B4261" s="2" t="str">
        <f t="shared" si="2"/>
        <v/>
      </c>
      <c r="C4261" s="2" t="str">
        <f t="shared" si="3"/>
        <v>SP500</v>
      </c>
      <c r="D4261" s="2">
        <f t="shared" si="4"/>
        <v>4812.71</v>
      </c>
      <c r="E4261" s="2">
        <f t="shared" si="5"/>
        <v>4812.71</v>
      </c>
      <c r="G4261" s="10">
        <f t="shared" si="9"/>
        <v>42243.64583</v>
      </c>
      <c r="H4261" s="6" t="str">
        <f t="shared" si="6"/>
        <v/>
      </c>
      <c r="I4261" s="2">
        <f t="shared" si="7"/>
        <v>1426.89</v>
      </c>
      <c r="M4261" s="10">
        <f>IFERROR(__xludf.DUMMYFUNCTION("""COMPUTED_VALUE"""),44159.66666666667)</f>
        <v>44159.66667</v>
      </c>
      <c r="N4261" s="2">
        <f>IFERROR(__xludf.DUMMYFUNCTION("""COMPUTED_VALUE"""),12036.79)</f>
        <v>12036.79</v>
      </c>
      <c r="P4261" s="10">
        <f t="shared" si="10"/>
        <v>39531.64583</v>
      </c>
      <c r="Q4261" s="15">
        <v>1655.3</v>
      </c>
      <c r="R4261" s="18">
        <v>39531.0</v>
      </c>
    </row>
    <row r="4262">
      <c r="A4262" s="10">
        <f t="shared" si="8"/>
        <v>42244.66667</v>
      </c>
      <c r="B4262" s="2" t="str">
        <f t="shared" si="2"/>
        <v/>
      </c>
      <c r="C4262" s="2" t="str">
        <f t="shared" si="3"/>
        <v>SP500</v>
      </c>
      <c r="D4262" s="2">
        <f t="shared" si="4"/>
        <v>4828.32</v>
      </c>
      <c r="E4262" s="2">
        <f t="shared" si="5"/>
        <v>4828.32</v>
      </c>
      <c r="G4262" s="10">
        <f t="shared" si="9"/>
        <v>42244.64583</v>
      </c>
      <c r="H4262" s="6" t="str">
        <f t="shared" si="6"/>
        <v/>
      </c>
      <c r="I4262" s="2">
        <f t="shared" si="7"/>
        <v>1426.89</v>
      </c>
      <c r="M4262" s="10">
        <f>IFERROR(__xludf.DUMMYFUNCTION("""COMPUTED_VALUE"""),44160.66666666667)</f>
        <v>44160.66667</v>
      </c>
      <c r="N4262" s="2">
        <f>IFERROR(__xludf.DUMMYFUNCTION("""COMPUTED_VALUE"""),12094.4)</f>
        <v>12094.4</v>
      </c>
      <c r="P4262" s="10">
        <f t="shared" si="10"/>
        <v>39528.64583</v>
      </c>
      <c r="Q4262" s="15">
        <v>1645.69</v>
      </c>
      <c r="R4262" s="18">
        <v>39528.0</v>
      </c>
    </row>
    <row r="4263">
      <c r="A4263" s="10">
        <f t="shared" si="8"/>
        <v>42245.66667</v>
      </c>
      <c r="B4263" s="2" t="str">
        <f t="shared" si="2"/>
        <v/>
      </c>
      <c r="C4263" s="2" t="str">
        <f t="shared" si="3"/>
        <v>SP500</v>
      </c>
      <c r="D4263" s="2" t="str">
        <f t="shared" si="4"/>
        <v/>
      </c>
      <c r="E4263" s="2">
        <f t="shared" si="5"/>
        <v>4828.32</v>
      </c>
      <c r="G4263" s="10">
        <f t="shared" si="9"/>
        <v>42245.64583</v>
      </c>
      <c r="H4263" s="6" t="str">
        <f t="shared" si="6"/>
        <v/>
      </c>
      <c r="I4263" s="2">
        <f t="shared" si="7"/>
        <v>1426.89</v>
      </c>
      <c r="M4263" s="10">
        <f>IFERROR(__xludf.DUMMYFUNCTION("""COMPUTED_VALUE"""),44162.54166666667)</f>
        <v>44162.54167</v>
      </c>
      <c r="N4263" s="2">
        <f>IFERROR(__xludf.DUMMYFUNCTION("""COMPUTED_VALUE"""),12205.85)</f>
        <v>12205.85</v>
      </c>
      <c r="P4263" s="10">
        <f t="shared" si="10"/>
        <v>39527.64583</v>
      </c>
      <c r="Q4263" s="15">
        <v>1623.39</v>
      </c>
      <c r="R4263" s="18">
        <v>39527.0</v>
      </c>
    </row>
    <row r="4264">
      <c r="A4264" s="10">
        <f t="shared" si="8"/>
        <v>42246.66667</v>
      </c>
      <c r="B4264" s="2" t="str">
        <f t="shared" si="2"/>
        <v/>
      </c>
      <c r="C4264" s="2" t="str">
        <f t="shared" si="3"/>
        <v>SP500</v>
      </c>
      <c r="D4264" s="2" t="str">
        <f t="shared" si="4"/>
        <v/>
      </c>
      <c r="E4264" s="2">
        <f t="shared" si="5"/>
        <v>4828.32</v>
      </c>
      <c r="G4264" s="10">
        <f t="shared" si="9"/>
        <v>42246.64583</v>
      </c>
      <c r="H4264" s="6" t="str">
        <f t="shared" si="6"/>
        <v/>
      </c>
      <c r="I4264" s="2">
        <f t="shared" si="7"/>
        <v>1426.89</v>
      </c>
      <c r="M4264" s="10">
        <f>IFERROR(__xludf.DUMMYFUNCTION("""COMPUTED_VALUE"""),44165.66666666667)</f>
        <v>44165.66667</v>
      </c>
      <c r="N4264" s="2">
        <f>IFERROR(__xludf.DUMMYFUNCTION("""COMPUTED_VALUE"""),12198.74)</f>
        <v>12198.74</v>
      </c>
      <c r="P4264" s="10">
        <f t="shared" si="10"/>
        <v>39526.64583</v>
      </c>
      <c r="Q4264" s="15">
        <v>1622.23</v>
      </c>
      <c r="R4264" s="18">
        <v>39526.0</v>
      </c>
    </row>
    <row r="4265">
      <c r="A4265" s="10">
        <f t="shared" si="8"/>
        <v>42247.66667</v>
      </c>
      <c r="B4265" s="2" t="str">
        <f t="shared" si="2"/>
        <v/>
      </c>
      <c r="C4265" s="2" t="str">
        <f t="shared" si="3"/>
        <v>SP500</v>
      </c>
      <c r="D4265" s="2">
        <f t="shared" si="4"/>
        <v>4776.51</v>
      </c>
      <c r="E4265" s="2">
        <f t="shared" si="5"/>
        <v>4776.51</v>
      </c>
      <c r="G4265" s="10">
        <f t="shared" si="9"/>
        <v>42247.64583</v>
      </c>
      <c r="H4265" s="6" t="str">
        <f t="shared" si="6"/>
        <v/>
      </c>
      <c r="I4265" s="2">
        <f t="shared" si="7"/>
        <v>1426.89</v>
      </c>
      <c r="M4265" s="10">
        <f>IFERROR(__xludf.DUMMYFUNCTION("""COMPUTED_VALUE"""),44166.66666666667)</f>
        <v>44166.66667</v>
      </c>
      <c r="N4265" s="2">
        <f>IFERROR(__xludf.DUMMYFUNCTION("""COMPUTED_VALUE"""),12355.11)</f>
        <v>12355.11</v>
      </c>
      <c r="P4265" s="10">
        <f t="shared" si="10"/>
        <v>39525.64583</v>
      </c>
      <c r="Q4265" s="15">
        <v>1588.75</v>
      </c>
      <c r="R4265" s="18">
        <v>39525.0</v>
      </c>
    </row>
    <row r="4266">
      <c r="A4266" s="10">
        <f t="shared" si="8"/>
        <v>42248.66667</v>
      </c>
      <c r="B4266" s="2" t="str">
        <f t="shared" si="2"/>
        <v/>
      </c>
      <c r="C4266" s="2" t="str">
        <f t="shared" si="3"/>
        <v>SP500</v>
      </c>
      <c r="D4266" s="2">
        <f t="shared" si="4"/>
        <v>4636.1</v>
      </c>
      <c r="E4266" s="2">
        <f t="shared" si="5"/>
        <v>4636.1</v>
      </c>
      <c r="G4266" s="10">
        <f t="shared" si="9"/>
        <v>42248.64583</v>
      </c>
      <c r="H4266" s="6" t="str">
        <f t="shared" si="6"/>
        <v/>
      </c>
      <c r="I4266" s="2">
        <f t="shared" si="7"/>
        <v>1426.89</v>
      </c>
      <c r="M4266" s="10">
        <f>IFERROR(__xludf.DUMMYFUNCTION("""COMPUTED_VALUE"""),44167.66666666667)</f>
        <v>44167.66667</v>
      </c>
      <c r="N4266" s="2">
        <f>IFERROR(__xludf.DUMMYFUNCTION("""COMPUTED_VALUE"""),12349.37)</f>
        <v>12349.37</v>
      </c>
      <c r="P4266" s="10">
        <f t="shared" si="10"/>
        <v>39524.64583</v>
      </c>
      <c r="Q4266" s="15">
        <v>1574.44</v>
      </c>
      <c r="R4266" s="18">
        <v>39524.0</v>
      </c>
    </row>
    <row r="4267">
      <c r="A4267" s="10">
        <f t="shared" si="8"/>
        <v>42249.66667</v>
      </c>
      <c r="B4267" s="2" t="str">
        <f t="shared" si="2"/>
        <v/>
      </c>
      <c r="C4267" s="2" t="str">
        <f t="shared" si="3"/>
        <v>SP500</v>
      </c>
      <c r="D4267" s="2">
        <f t="shared" si="4"/>
        <v>4749.98</v>
      </c>
      <c r="E4267" s="2">
        <f t="shared" si="5"/>
        <v>4749.98</v>
      </c>
      <c r="G4267" s="10">
        <f t="shared" si="9"/>
        <v>42249.64583</v>
      </c>
      <c r="H4267" s="6" t="str">
        <f t="shared" si="6"/>
        <v/>
      </c>
      <c r="I4267" s="2">
        <f t="shared" si="7"/>
        <v>1426.89</v>
      </c>
      <c r="M4267" s="10">
        <f>IFERROR(__xludf.DUMMYFUNCTION("""COMPUTED_VALUE"""),44168.66666666667)</f>
        <v>44168.66667</v>
      </c>
      <c r="N4267" s="2">
        <f>IFERROR(__xludf.DUMMYFUNCTION("""COMPUTED_VALUE"""),12377.18)</f>
        <v>12377.18</v>
      </c>
      <c r="P4267" s="10">
        <f t="shared" si="10"/>
        <v>39521.64583</v>
      </c>
      <c r="Q4267" s="15">
        <v>1600.26</v>
      </c>
      <c r="R4267" s="18">
        <v>39521.0</v>
      </c>
    </row>
    <row r="4268">
      <c r="A4268" s="10">
        <f t="shared" si="8"/>
        <v>42250.66667</v>
      </c>
      <c r="B4268" s="2" t="str">
        <f t="shared" si="2"/>
        <v/>
      </c>
      <c r="C4268" s="2" t="str">
        <f t="shared" si="3"/>
        <v>SP500</v>
      </c>
      <c r="D4268" s="2">
        <f t="shared" si="4"/>
        <v>4733.5</v>
      </c>
      <c r="E4268" s="2">
        <f t="shared" si="5"/>
        <v>4733.5</v>
      </c>
      <c r="G4268" s="10">
        <f t="shared" si="9"/>
        <v>42250.64583</v>
      </c>
      <c r="H4268" s="6" t="str">
        <f t="shared" si="6"/>
        <v/>
      </c>
      <c r="I4268" s="2">
        <f t="shared" si="7"/>
        <v>1426.89</v>
      </c>
      <c r="M4268" s="10">
        <f>IFERROR(__xludf.DUMMYFUNCTION("""COMPUTED_VALUE"""),44169.66666666667)</f>
        <v>44169.66667</v>
      </c>
      <c r="N4268" s="2">
        <f>IFERROR(__xludf.DUMMYFUNCTION("""COMPUTED_VALUE"""),12464.23)</f>
        <v>12464.23</v>
      </c>
      <c r="P4268" s="10">
        <f t="shared" si="10"/>
        <v>39520.64583</v>
      </c>
      <c r="Q4268" s="15">
        <v>1615.62</v>
      </c>
      <c r="R4268" s="18">
        <v>39520.0</v>
      </c>
    </row>
    <row r="4269">
      <c r="A4269" s="10">
        <f t="shared" si="8"/>
        <v>42251.66667</v>
      </c>
      <c r="B4269" s="2" t="str">
        <f t="shared" si="2"/>
        <v/>
      </c>
      <c r="C4269" s="2" t="str">
        <f t="shared" si="3"/>
        <v>SP500</v>
      </c>
      <c r="D4269" s="2">
        <f t="shared" si="4"/>
        <v>4683.92</v>
      </c>
      <c r="E4269" s="2">
        <f t="shared" si="5"/>
        <v>4683.92</v>
      </c>
      <c r="G4269" s="10">
        <f t="shared" si="9"/>
        <v>42251.64583</v>
      </c>
      <c r="H4269" s="6" t="str">
        <f t="shared" si="6"/>
        <v/>
      </c>
      <c r="I4269" s="2">
        <f t="shared" si="7"/>
        <v>1426.89</v>
      </c>
      <c r="M4269" s="10">
        <f>IFERROR(__xludf.DUMMYFUNCTION("""COMPUTED_VALUE"""),44172.66666666667)</f>
        <v>44172.66667</v>
      </c>
      <c r="N4269" s="2">
        <f>IFERROR(__xludf.DUMMYFUNCTION("""COMPUTED_VALUE"""),12519.95)</f>
        <v>12519.95</v>
      </c>
      <c r="P4269" s="10">
        <f t="shared" si="10"/>
        <v>39519.64583</v>
      </c>
      <c r="Q4269" s="15">
        <v>1658.83</v>
      </c>
      <c r="R4269" s="18">
        <v>39519.0</v>
      </c>
    </row>
    <row r="4270">
      <c r="A4270" s="10">
        <f t="shared" si="8"/>
        <v>42252.66667</v>
      </c>
      <c r="B4270" s="2" t="str">
        <f t="shared" si="2"/>
        <v/>
      </c>
      <c r="C4270" s="2" t="str">
        <f t="shared" si="3"/>
        <v>SP500</v>
      </c>
      <c r="D4270" s="2" t="str">
        <f t="shared" si="4"/>
        <v/>
      </c>
      <c r="E4270" s="2">
        <f t="shared" si="5"/>
        <v>4683.92</v>
      </c>
      <c r="G4270" s="10">
        <f t="shared" si="9"/>
        <v>42252.64583</v>
      </c>
      <c r="H4270" s="6" t="str">
        <f t="shared" si="6"/>
        <v/>
      </c>
      <c r="I4270" s="2">
        <f t="shared" si="7"/>
        <v>1426.89</v>
      </c>
      <c r="M4270" s="10">
        <f>IFERROR(__xludf.DUMMYFUNCTION("""COMPUTED_VALUE"""),44173.66666666667)</f>
        <v>44173.66667</v>
      </c>
      <c r="N4270" s="2">
        <f>IFERROR(__xludf.DUMMYFUNCTION("""COMPUTED_VALUE"""),12582.77)</f>
        <v>12582.77</v>
      </c>
      <c r="P4270" s="10">
        <f t="shared" si="10"/>
        <v>39518.64583</v>
      </c>
      <c r="Q4270" s="15">
        <v>1641.48</v>
      </c>
      <c r="R4270" s="18">
        <v>39518.0</v>
      </c>
    </row>
    <row r="4271">
      <c r="A4271" s="10">
        <f t="shared" si="8"/>
        <v>42253.66667</v>
      </c>
      <c r="B4271" s="2" t="str">
        <f t="shared" si="2"/>
        <v/>
      </c>
      <c r="C4271" s="2" t="str">
        <f t="shared" si="3"/>
        <v>SP500</v>
      </c>
      <c r="D4271" s="2" t="str">
        <f t="shared" si="4"/>
        <v/>
      </c>
      <c r="E4271" s="2">
        <f t="shared" si="5"/>
        <v>4683.92</v>
      </c>
      <c r="G4271" s="10">
        <f t="shared" si="9"/>
        <v>42253.64583</v>
      </c>
      <c r="H4271" s="6" t="str">
        <f t="shared" si="6"/>
        <v/>
      </c>
      <c r="I4271" s="2">
        <f t="shared" si="7"/>
        <v>1426.89</v>
      </c>
      <c r="M4271" s="10">
        <f>IFERROR(__xludf.DUMMYFUNCTION("""COMPUTED_VALUE"""),44174.66666666667)</f>
        <v>44174.66667</v>
      </c>
      <c r="N4271" s="2">
        <f>IFERROR(__xludf.DUMMYFUNCTION("""COMPUTED_VALUE"""),12338.95)</f>
        <v>12338.95</v>
      </c>
      <c r="P4271" s="10">
        <f t="shared" si="10"/>
        <v>39517.64583</v>
      </c>
      <c r="Q4271" s="15">
        <v>1625.17</v>
      </c>
      <c r="R4271" s="18">
        <v>39517.0</v>
      </c>
    </row>
    <row r="4272">
      <c r="A4272" s="10">
        <f t="shared" si="8"/>
        <v>42254.66667</v>
      </c>
      <c r="B4272" s="2" t="str">
        <f t="shared" si="2"/>
        <v/>
      </c>
      <c r="C4272" s="2" t="str">
        <f t="shared" si="3"/>
        <v>SP500</v>
      </c>
      <c r="D4272" s="2" t="str">
        <f t="shared" si="4"/>
        <v/>
      </c>
      <c r="E4272" s="2">
        <f t="shared" si="5"/>
        <v>4683.92</v>
      </c>
      <c r="G4272" s="10">
        <f t="shared" si="9"/>
        <v>42254.64583</v>
      </c>
      <c r="H4272" s="6" t="str">
        <f t="shared" si="6"/>
        <v/>
      </c>
      <c r="I4272" s="2">
        <f t="shared" si="7"/>
        <v>1426.89</v>
      </c>
      <c r="M4272" s="10">
        <f>IFERROR(__xludf.DUMMYFUNCTION("""COMPUTED_VALUE"""),44175.66666666667)</f>
        <v>44175.66667</v>
      </c>
      <c r="N4272" s="2">
        <f>IFERROR(__xludf.DUMMYFUNCTION("""COMPUTED_VALUE"""),12405.81)</f>
        <v>12405.81</v>
      </c>
      <c r="P4272" s="10">
        <f t="shared" si="10"/>
        <v>39514.64583</v>
      </c>
      <c r="Q4272" s="15">
        <v>1663.97</v>
      </c>
      <c r="R4272" s="18">
        <v>39514.0</v>
      </c>
    </row>
    <row r="4273">
      <c r="A4273" s="10">
        <f t="shared" si="8"/>
        <v>42255.66667</v>
      </c>
      <c r="B4273" s="2" t="str">
        <f t="shared" si="2"/>
        <v/>
      </c>
      <c r="C4273" s="2" t="str">
        <f t="shared" si="3"/>
        <v>SP500</v>
      </c>
      <c r="D4273" s="2">
        <f t="shared" si="4"/>
        <v>4811.93</v>
      </c>
      <c r="E4273" s="2">
        <f t="shared" si="5"/>
        <v>4811.93</v>
      </c>
      <c r="G4273" s="10">
        <f t="shared" si="9"/>
        <v>42255.64583</v>
      </c>
      <c r="H4273" s="6" t="str">
        <f t="shared" si="6"/>
        <v/>
      </c>
      <c r="I4273" s="2">
        <f t="shared" si="7"/>
        <v>1426.89</v>
      </c>
      <c r="M4273" s="10">
        <f>IFERROR(__xludf.DUMMYFUNCTION("""COMPUTED_VALUE"""),44176.66666666667)</f>
        <v>44176.66667</v>
      </c>
      <c r="N4273" s="2">
        <f>IFERROR(__xludf.DUMMYFUNCTION("""COMPUTED_VALUE"""),12377.87)</f>
        <v>12377.87</v>
      </c>
      <c r="P4273" s="10">
        <f t="shared" si="10"/>
        <v>39513.64583</v>
      </c>
      <c r="Q4273" s="15">
        <v>1697.44</v>
      </c>
      <c r="R4273" s="18">
        <v>39513.0</v>
      </c>
    </row>
    <row r="4274">
      <c r="A4274" s="10">
        <f t="shared" si="8"/>
        <v>42256.66667</v>
      </c>
      <c r="B4274" s="2" t="str">
        <f t="shared" si="2"/>
        <v/>
      </c>
      <c r="C4274" s="2" t="str">
        <f t="shared" si="3"/>
        <v>SP500</v>
      </c>
      <c r="D4274" s="2">
        <f t="shared" si="4"/>
        <v>4756.53</v>
      </c>
      <c r="E4274" s="2">
        <f t="shared" si="5"/>
        <v>4756.53</v>
      </c>
      <c r="G4274" s="10">
        <f t="shared" si="9"/>
        <v>42256.64583</v>
      </c>
      <c r="H4274" s="6" t="str">
        <f t="shared" si="6"/>
        <v/>
      </c>
      <c r="I4274" s="2">
        <f t="shared" si="7"/>
        <v>1426.89</v>
      </c>
      <c r="M4274" s="10">
        <f>IFERROR(__xludf.DUMMYFUNCTION("""COMPUTED_VALUE"""),44179.66666666667)</f>
        <v>44179.66667</v>
      </c>
      <c r="N4274" s="2">
        <f>IFERROR(__xludf.DUMMYFUNCTION("""COMPUTED_VALUE"""),12440.04)</f>
        <v>12440.04</v>
      </c>
      <c r="P4274" s="10">
        <f t="shared" si="10"/>
        <v>39512.64583</v>
      </c>
      <c r="Q4274" s="15">
        <v>1677.1</v>
      </c>
      <c r="R4274" s="18">
        <v>39512.0</v>
      </c>
    </row>
    <row r="4275">
      <c r="A4275" s="10">
        <f t="shared" si="8"/>
        <v>42257.66667</v>
      </c>
      <c r="B4275" s="2" t="str">
        <f t="shared" si="2"/>
        <v/>
      </c>
      <c r="C4275" s="2" t="str">
        <f t="shared" si="3"/>
        <v>SP500</v>
      </c>
      <c r="D4275" s="2">
        <f t="shared" si="4"/>
        <v>4796.25</v>
      </c>
      <c r="E4275" s="2">
        <f t="shared" si="5"/>
        <v>4796.25</v>
      </c>
      <c r="G4275" s="10">
        <f t="shared" si="9"/>
        <v>42257.64583</v>
      </c>
      <c r="H4275" s="6" t="str">
        <f t="shared" si="6"/>
        <v/>
      </c>
      <c r="I4275" s="2">
        <f t="shared" si="7"/>
        <v>1426.89</v>
      </c>
      <c r="M4275" s="10">
        <f>IFERROR(__xludf.DUMMYFUNCTION("""COMPUTED_VALUE"""),44180.66666666667)</f>
        <v>44180.66667</v>
      </c>
      <c r="N4275" s="2">
        <f>IFERROR(__xludf.DUMMYFUNCTION("""COMPUTED_VALUE"""),12595.06)</f>
        <v>12595.06</v>
      </c>
      <c r="P4275" s="10">
        <f t="shared" si="10"/>
        <v>39511.64583</v>
      </c>
      <c r="Q4275" s="15">
        <v>1676.18</v>
      </c>
      <c r="R4275" s="18">
        <v>39511.0</v>
      </c>
    </row>
    <row r="4276">
      <c r="A4276" s="10">
        <f t="shared" si="8"/>
        <v>42258.66667</v>
      </c>
      <c r="B4276" s="2" t="str">
        <f t="shared" si="2"/>
        <v/>
      </c>
      <c r="C4276" s="2" t="str">
        <f t="shared" si="3"/>
        <v>SP500</v>
      </c>
      <c r="D4276" s="2">
        <f t="shared" si="4"/>
        <v>4822.34</v>
      </c>
      <c r="E4276" s="2">
        <f t="shared" si="5"/>
        <v>4822.34</v>
      </c>
      <c r="G4276" s="10">
        <f t="shared" si="9"/>
        <v>42258.64583</v>
      </c>
      <c r="H4276" s="6" t="str">
        <f t="shared" si="6"/>
        <v/>
      </c>
      <c r="I4276" s="2">
        <f t="shared" si="7"/>
        <v>1426.89</v>
      </c>
      <c r="M4276" s="10">
        <f>IFERROR(__xludf.DUMMYFUNCTION("""COMPUTED_VALUE"""),44181.66666666667)</f>
        <v>44181.66667</v>
      </c>
      <c r="N4276" s="2">
        <f>IFERROR(__xludf.DUMMYFUNCTION("""COMPUTED_VALUE"""),12658.19)</f>
        <v>12658.19</v>
      </c>
      <c r="P4276" s="10">
        <f t="shared" si="10"/>
        <v>39510.64583</v>
      </c>
      <c r="Q4276" s="15">
        <v>1671.73</v>
      </c>
      <c r="R4276" s="18">
        <v>39510.0</v>
      </c>
    </row>
    <row r="4277">
      <c r="A4277" s="10">
        <f t="shared" si="8"/>
        <v>42259.66667</v>
      </c>
      <c r="B4277" s="2" t="str">
        <f t="shared" si="2"/>
        <v/>
      </c>
      <c r="C4277" s="2" t="str">
        <f t="shared" si="3"/>
        <v>SP500</v>
      </c>
      <c r="D4277" s="2" t="str">
        <f t="shared" si="4"/>
        <v/>
      </c>
      <c r="E4277" s="2">
        <f t="shared" si="5"/>
        <v>4822.34</v>
      </c>
      <c r="G4277" s="10">
        <f t="shared" si="9"/>
        <v>42259.64583</v>
      </c>
      <c r="H4277" s="6" t="str">
        <f t="shared" si="6"/>
        <v/>
      </c>
      <c r="I4277" s="2">
        <f t="shared" si="7"/>
        <v>1426.89</v>
      </c>
      <c r="M4277" s="10">
        <f>IFERROR(__xludf.DUMMYFUNCTION("""COMPUTED_VALUE"""),44182.66666666667)</f>
        <v>44182.66667</v>
      </c>
      <c r="N4277" s="2">
        <f>IFERROR(__xludf.DUMMYFUNCTION("""COMPUTED_VALUE"""),12764.75)</f>
        <v>12764.75</v>
      </c>
      <c r="P4277" s="10">
        <f t="shared" si="10"/>
        <v>39507.64583</v>
      </c>
      <c r="Q4277" s="15">
        <v>1711.62</v>
      </c>
      <c r="R4277" s="18">
        <v>39507.0</v>
      </c>
    </row>
    <row r="4278">
      <c r="A4278" s="10">
        <f t="shared" si="8"/>
        <v>42260.66667</v>
      </c>
      <c r="B4278" s="2" t="str">
        <f t="shared" si="2"/>
        <v/>
      </c>
      <c r="C4278" s="2" t="str">
        <f t="shared" si="3"/>
        <v>SP500</v>
      </c>
      <c r="D4278" s="2" t="str">
        <f t="shared" si="4"/>
        <v/>
      </c>
      <c r="E4278" s="2">
        <f t="shared" si="5"/>
        <v>4822.34</v>
      </c>
      <c r="G4278" s="10">
        <f t="shared" si="9"/>
        <v>42260.64583</v>
      </c>
      <c r="H4278" s="6" t="str">
        <f t="shared" si="6"/>
        <v/>
      </c>
      <c r="I4278" s="2">
        <f t="shared" si="7"/>
        <v>1426.89</v>
      </c>
      <c r="M4278" s="10">
        <f>IFERROR(__xludf.DUMMYFUNCTION("""COMPUTED_VALUE"""),44183.66666666667)</f>
        <v>44183.66667</v>
      </c>
      <c r="N4278" s="2">
        <f>IFERROR(__xludf.DUMMYFUNCTION("""COMPUTED_VALUE"""),12755.64)</f>
        <v>12755.64</v>
      </c>
      <c r="P4278" s="10">
        <f t="shared" si="10"/>
        <v>39506.64583</v>
      </c>
      <c r="Q4278" s="15">
        <v>1736.17</v>
      </c>
      <c r="R4278" s="18">
        <v>39506.0</v>
      </c>
    </row>
    <row r="4279">
      <c r="A4279" s="10">
        <f t="shared" si="8"/>
        <v>42261.66667</v>
      </c>
      <c r="B4279" s="2" t="str">
        <f t="shared" si="2"/>
        <v/>
      </c>
      <c r="C4279" s="2" t="str">
        <f t="shared" si="3"/>
        <v>SP500</v>
      </c>
      <c r="D4279" s="2">
        <f t="shared" si="4"/>
        <v>4805.76</v>
      </c>
      <c r="E4279" s="2">
        <f t="shared" si="5"/>
        <v>4805.76</v>
      </c>
      <c r="G4279" s="10">
        <f t="shared" si="9"/>
        <v>42261.64583</v>
      </c>
      <c r="H4279" s="6" t="str">
        <f t="shared" si="6"/>
        <v/>
      </c>
      <c r="I4279" s="2">
        <f t="shared" si="7"/>
        <v>1426.89</v>
      </c>
      <c r="M4279" s="10">
        <f>IFERROR(__xludf.DUMMYFUNCTION("""COMPUTED_VALUE"""),44186.66666666667)</f>
        <v>44186.66667</v>
      </c>
      <c r="N4279" s="2">
        <f>IFERROR(__xludf.DUMMYFUNCTION("""COMPUTED_VALUE"""),12742.52)</f>
        <v>12742.52</v>
      </c>
      <c r="P4279" s="10">
        <f t="shared" si="10"/>
        <v>39505.64583</v>
      </c>
      <c r="Q4279" s="15">
        <v>1720.89</v>
      </c>
      <c r="R4279" s="18">
        <v>39505.0</v>
      </c>
    </row>
    <row r="4280">
      <c r="A4280" s="10">
        <f t="shared" si="8"/>
        <v>42262.66667</v>
      </c>
      <c r="B4280" s="2" t="str">
        <f t="shared" si="2"/>
        <v/>
      </c>
      <c r="C4280" s="2" t="str">
        <f t="shared" si="3"/>
        <v>SP500</v>
      </c>
      <c r="D4280" s="2">
        <f t="shared" si="4"/>
        <v>4860.52</v>
      </c>
      <c r="E4280" s="2">
        <f t="shared" si="5"/>
        <v>4860.52</v>
      </c>
      <c r="G4280" s="10">
        <f t="shared" si="9"/>
        <v>42262.64583</v>
      </c>
      <c r="H4280" s="6" t="str">
        <f t="shared" si="6"/>
        <v/>
      </c>
      <c r="I4280" s="2">
        <f t="shared" si="7"/>
        <v>1426.89</v>
      </c>
      <c r="M4280" s="10">
        <f>IFERROR(__xludf.DUMMYFUNCTION("""COMPUTED_VALUE"""),44187.66666666667)</f>
        <v>44187.66667</v>
      </c>
      <c r="N4280" s="2">
        <f>IFERROR(__xludf.DUMMYFUNCTION("""COMPUTED_VALUE"""),12807.92)</f>
        <v>12807.92</v>
      </c>
      <c r="P4280" s="10">
        <f t="shared" si="10"/>
        <v>39504.64583</v>
      </c>
      <c r="Q4280" s="15">
        <v>1709.13</v>
      </c>
      <c r="R4280" s="18">
        <v>39504.0</v>
      </c>
    </row>
    <row r="4281">
      <c r="A4281" s="10">
        <f t="shared" si="8"/>
        <v>42263.66667</v>
      </c>
      <c r="B4281" s="2" t="str">
        <f t="shared" si="2"/>
        <v/>
      </c>
      <c r="C4281" s="2" t="str">
        <f t="shared" si="3"/>
        <v>SP500</v>
      </c>
      <c r="D4281" s="2">
        <f t="shared" si="4"/>
        <v>4889.24</v>
      </c>
      <c r="E4281" s="2">
        <f t="shared" si="5"/>
        <v>4889.24</v>
      </c>
      <c r="G4281" s="10">
        <f t="shared" si="9"/>
        <v>42263.64583</v>
      </c>
      <c r="H4281" s="6" t="str">
        <f t="shared" si="6"/>
        <v/>
      </c>
      <c r="I4281" s="2">
        <f t="shared" si="7"/>
        <v>1426.89</v>
      </c>
      <c r="M4281" s="10">
        <f>IFERROR(__xludf.DUMMYFUNCTION("""COMPUTED_VALUE"""),44188.66666666667)</f>
        <v>44188.66667</v>
      </c>
      <c r="N4281" s="2">
        <f>IFERROR(__xludf.DUMMYFUNCTION("""COMPUTED_VALUE"""),12771.11)</f>
        <v>12771.11</v>
      </c>
      <c r="P4281" s="10">
        <f t="shared" si="10"/>
        <v>39503.64583</v>
      </c>
      <c r="Q4281" s="15">
        <v>1709.13</v>
      </c>
      <c r="R4281" s="18">
        <v>39503.0</v>
      </c>
    </row>
    <row r="4282">
      <c r="A4282" s="10">
        <f t="shared" si="8"/>
        <v>42264.66667</v>
      </c>
      <c r="B4282" s="2" t="str">
        <f t="shared" si="2"/>
        <v/>
      </c>
      <c r="C4282" s="2" t="str">
        <f t="shared" si="3"/>
        <v>SP500</v>
      </c>
      <c r="D4282" s="2">
        <f t="shared" si="4"/>
        <v>4893.95</v>
      </c>
      <c r="E4282" s="2">
        <f t="shared" si="5"/>
        <v>4893.95</v>
      </c>
      <c r="G4282" s="10">
        <f t="shared" si="9"/>
        <v>42264.64583</v>
      </c>
      <c r="H4282" s="6" t="str">
        <f t="shared" si="6"/>
        <v/>
      </c>
      <c r="I4282" s="2">
        <f t="shared" si="7"/>
        <v>1426.89</v>
      </c>
      <c r="M4282" s="10">
        <f>IFERROR(__xludf.DUMMYFUNCTION("""COMPUTED_VALUE"""),44189.54166666667)</f>
        <v>44189.54167</v>
      </c>
      <c r="N4282" s="2">
        <f>IFERROR(__xludf.DUMMYFUNCTION("""COMPUTED_VALUE"""),12804.73)</f>
        <v>12804.73</v>
      </c>
      <c r="P4282" s="10">
        <f t="shared" si="10"/>
        <v>39500.64583</v>
      </c>
      <c r="Q4282" s="15">
        <v>1686.45</v>
      </c>
      <c r="R4282" s="18">
        <v>39500.0</v>
      </c>
    </row>
    <row r="4283">
      <c r="A4283" s="10">
        <f t="shared" si="8"/>
        <v>42265.66667</v>
      </c>
      <c r="B4283" s="2" t="str">
        <f t="shared" si="2"/>
        <v/>
      </c>
      <c r="C4283" s="2" t="str">
        <f t="shared" si="3"/>
        <v>SP500</v>
      </c>
      <c r="D4283" s="2">
        <f t="shared" si="4"/>
        <v>4827.23</v>
      </c>
      <c r="E4283" s="2">
        <f t="shared" si="5"/>
        <v>4827.23</v>
      </c>
      <c r="G4283" s="10">
        <f t="shared" si="9"/>
        <v>42265.64583</v>
      </c>
      <c r="H4283" s="6" t="str">
        <f t="shared" si="6"/>
        <v/>
      </c>
      <c r="I4283" s="2">
        <f t="shared" si="7"/>
        <v>1426.89</v>
      </c>
      <c r="M4283" s="10">
        <f>IFERROR(__xludf.DUMMYFUNCTION("""COMPUTED_VALUE"""),44193.66666666667)</f>
        <v>44193.66667</v>
      </c>
      <c r="N4283" s="2">
        <f>IFERROR(__xludf.DUMMYFUNCTION("""COMPUTED_VALUE"""),12899.42)</f>
        <v>12899.42</v>
      </c>
      <c r="P4283" s="10">
        <f t="shared" si="10"/>
        <v>39499.64583</v>
      </c>
      <c r="Q4283" s="15">
        <v>1704.36</v>
      </c>
      <c r="R4283" s="18">
        <v>39499.0</v>
      </c>
    </row>
    <row r="4284">
      <c r="A4284" s="10">
        <f t="shared" si="8"/>
        <v>42266.66667</v>
      </c>
      <c r="B4284" s="2" t="str">
        <f t="shared" si="2"/>
        <v/>
      </c>
      <c r="C4284" s="2" t="str">
        <f t="shared" si="3"/>
        <v>SP500</v>
      </c>
      <c r="D4284" s="2" t="str">
        <f t="shared" si="4"/>
        <v/>
      </c>
      <c r="E4284" s="2">
        <f t="shared" si="5"/>
        <v>4827.23</v>
      </c>
      <c r="G4284" s="10">
        <f t="shared" si="9"/>
        <v>42266.64583</v>
      </c>
      <c r="H4284" s="6" t="str">
        <f t="shared" si="6"/>
        <v/>
      </c>
      <c r="I4284" s="2">
        <f t="shared" si="7"/>
        <v>1426.89</v>
      </c>
      <c r="M4284" s="10">
        <f>IFERROR(__xludf.DUMMYFUNCTION("""COMPUTED_VALUE"""),44194.66666666667)</f>
        <v>44194.66667</v>
      </c>
      <c r="N4284" s="2">
        <f>IFERROR(__xludf.DUMMYFUNCTION("""COMPUTED_VALUE"""),12850.22)</f>
        <v>12850.22</v>
      </c>
      <c r="P4284" s="10">
        <f t="shared" si="10"/>
        <v>39498.64583</v>
      </c>
      <c r="Q4284" s="15">
        <v>1687.91</v>
      </c>
      <c r="R4284" s="18">
        <v>39498.0</v>
      </c>
    </row>
    <row r="4285">
      <c r="A4285" s="10">
        <f t="shared" si="8"/>
        <v>42267.66667</v>
      </c>
      <c r="B4285" s="2" t="str">
        <f t="shared" si="2"/>
        <v/>
      </c>
      <c r="C4285" s="2" t="str">
        <f t="shared" si="3"/>
        <v>SP500</v>
      </c>
      <c r="D4285" s="2" t="str">
        <f t="shared" si="4"/>
        <v/>
      </c>
      <c r="E4285" s="2">
        <f t="shared" si="5"/>
        <v>4827.23</v>
      </c>
      <c r="G4285" s="10">
        <f t="shared" si="9"/>
        <v>42267.64583</v>
      </c>
      <c r="H4285" s="6" t="str">
        <f t="shared" si="6"/>
        <v/>
      </c>
      <c r="I4285" s="2">
        <f t="shared" si="7"/>
        <v>1426.89</v>
      </c>
      <c r="M4285" s="10">
        <f>IFERROR(__xludf.DUMMYFUNCTION("""COMPUTED_VALUE"""),44195.66666666667)</f>
        <v>44195.66667</v>
      </c>
      <c r="N4285" s="2">
        <f>IFERROR(__xludf.DUMMYFUNCTION("""COMPUTED_VALUE"""),12870.0)</f>
        <v>12870</v>
      </c>
      <c r="P4285" s="10">
        <f t="shared" si="10"/>
        <v>39497.64583</v>
      </c>
      <c r="Q4285" s="15">
        <v>1720.52</v>
      </c>
      <c r="R4285" s="18">
        <v>39497.0</v>
      </c>
    </row>
    <row r="4286">
      <c r="A4286" s="10">
        <f t="shared" si="8"/>
        <v>42268.66667</v>
      </c>
      <c r="B4286" s="2" t="str">
        <f t="shared" si="2"/>
        <v/>
      </c>
      <c r="C4286" s="2" t="str">
        <f t="shared" si="3"/>
        <v>SP500</v>
      </c>
      <c r="D4286" s="2">
        <f t="shared" si="4"/>
        <v>4828.95</v>
      </c>
      <c r="E4286" s="2">
        <f t="shared" si="5"/>
        <v>4828.95</v>
      </c>
      <c r="G4286" s="10">
        <f t="shared" si="9"/>
        <v>42268.64583</v>
      </c>
      <c r="H4286" s="6" t="str">
        <f t="shared" si="6"/>
        <v/>
      </c>
      <c r="I4286" s="2">
        <f t="shared" si="7"/>
        <v>1426.89</v>
      </c>
      <c r="M4286" s="10">
        <f>IFERROR(__xludf.DUMMYFUNCTION("""COMPUTED_VALUE"""),44196.66666666667)</f>
        <v>44196.66667</v>
      </c>
      <c r="N4286" s="2">
        <f>IFERROR(__xludf.DUMMYFUNCTION("""COMPUTED_VALUE"""),12888.28)</f>
        <v>12888.28</v>
      </c>
      <c r="P4286" s="10">
        <f t="shared" si="10"/>
        <v>39496.64583</v>
      </c>
      <c r="Q4286" s="15">
        <v>1696.24</v>
      </c>
      <c r="R4286" s="18">
        <v>39496.0</v>
      </c>
    </row>
    <row r="4287">
      <c r="A4287" s="10">
        <f t="shared" si="8"/>
        <v>42269.66667</v>
      </c>
      <c r="B4287" s="2" t="str">
        <f t="shared" si="2"/>
        <v/>
      </c>
      <c r="C4287" s="2" t="str">
        <f t="shared" si="3"/>
        <v>SP500</v>
      </c>
      <c r="D4287" s="2">
        <f t="shared" si="4"/>
        <v>4756.72</v>
      </c>
      <c r="E4287" s="2">
        <f t="shared" si="5"/>
        <v>4756.72</v>
      </c>
      <c r="G4287" s="10">
        <f t="shared" si="9"/>
        <v>42269.64583</v>
      </c>
      <c r="H4287" s="6" t="str">
        <f t="shared" si="6"/>
        <v/>
      </c>
      <c r="I4287" s="2">
        <f t="shared" si="7"/>
        <v>1426.89</v>
      </c>
      <c r="M4287" s="10">
        <f>IFERROR(__xludf.DUMMYFUNCTION("""COMPUTED_VALUE"""),44200.66666666667)</f>
        <v>44200.66667</v>
      </c>
      <c r="N4287" s="2">
        <f>IFERROR(__xludf.DUMMYFUNCTION("""COMPUTED_VALUE"""),12698.45)</f>
        <v>12698.45</v>
      </c>
      <c r="P4287" s="10">
        <f t="shared" si="10"/>
        <v>39493.64583</v>
      </c>
      <c r="Q4287" s="15">
        <v>1694.77</v>
      </c>
      <c r="R4287" s="18">
        <v>39493.0</v>
      </c>
    </row>
    <row r="4288">
      <c r="A4288" s="10">
        <f t="shared" si="8"/>
        <v>42270.66667</v>
      </c>
      <c r="B4288" s="2" t="str">
        <f t="shared" si="2"/>
        <v/>
      </c>
      <c r="C4288" s="2" t="str">
        <f t="shared" si="3"/>
        <v>SP500</v>
      </c>
      <c r="D4288" s="2">
        <f t="shared" si="4"/>
        <v>4752.74</v>
      </c>
      <c r="E4288" s="2">
        <f t="shared" si="5"/>
        <v>4752.74</v>
      </c>
      <c r="G4288" s="10">
        <f t="shared" si="9"/>
        <v>42270.64583</v>
      </c>
      <c r="H4288" s="6" t="str">
        <f t="shared" si="6"/>
        <v/>
      </c>
      <c r="I4288" s="2">
        <f t="shared" si="7"/>
        <v>1426.89</v>
      </c>
      <c r="M4288" s="10">
        <f>IFERROR(__xludf.DUMMYFUNCTION("""COMPUTED_VALUE"""),44201.66666666667)</f>
        <v>44201.66667</v>
      </c>
      <c r="N4288" s="2">
        <f>IFERROR(__xludf.DUMMYFUNCTION("""COMPUTED_VALUE"""),12818.96)</f>
        <v>12818.96</v>
      </c>
      <c r="P4288" s="10">
        <f t="shared" si="10"/>
        <v>39492.64583</v>
      </c>
      <c r="Q4288" s="15">
        <v>1697.45</v>
      </c>
      <c r="R4288" s="18">
        <v>39492.0</v>
      </c>
    </row>
    <row r="4289">
      <c r="A4289" s="10">
        <f t="shared" si="8"/>
        <v>42271.66667</v>
      </c>
      <c r="B4289" s="2" t="str">
        <f t="shared" si="2"/>
        <v/>
      </c>
      <c r="C4289" s="2" t="str">
        <f t="shared" si="3"/>
        <v>SP500</v>
      </c>
      <c r="D4289" s="2">
        <f t="shared" si="4"/>
        <v>4734.48</v>
      </c>
      <c r="E4289" s="2">
        <f t="shared" si="5"/>
        <v>4734.48</v>
      </c>
      <c r="G4289" s="10">
        <f t="shared" si="9"/>
        <v>42271.64583</v>
      </c>
      <c r="H4289" s="6" t="str">
        <f t="shared" si="6"/>
        <v/>
      </c>
      <c r="I4289" s="2">
        <f t="shared" si="7"/>
        <v>1426.89</v>
      </c>
      <c r="M4289" s="10">
        <f>IFERROR(__xludf.DUMMYFUNCTION("""COMPUTED_VALUE"""),44202.66666666667)</f>
        <v>44202.66667</v>
      </c>
      <c r="N4289" s="2">
        <f>IFERROR(__xludf.DUMMYFUNCTION("""COMPUTED_VALUE"""),12740.79)</f>
        <v>12740.79</v>
      </c>
      <c r="P4289" s="10">
        <f t="shared" si="10"/>
        <v>39491.64583</v>
      </c>
      <c r="Q4289" s="15">
        <v>1631.78</v>
      </c>
      <c r="R4289" s="18">
        <v>39491.0</v>
      </c>
    </row>
    <row r="4290">
      <c r="A4290" s="10">
        <f t="shared" si="8"/>
        <v>42272.66667</v>
      </c>
      <c r="B4290" s="2" t="str">
        <f t="shared" si="2"/>
        <v/>
      </c>
      <c r="C4290" s="2" t="str">
        <f t="shared" si="3"/>
        <v>SP500</v>
      </c>
      <c r="D4290" s="2">
        <f t="shared" si="4"/>
        <v>4686.5</v>
      </c>
      <c r="E4290" s="2">
        <f t="shared" si="5"/>
        <v>4686.5</v>
      </c>
      <c r="G4290" s="10">
        <f t="shared" si="9"/>
        <v>42272.64583</v>
      </c>
      <c r="H4290" s="6" t="str">
        <f t="shared" si="6"/>
        <v/>
      </c>
      <c r="I4290" s="2">
        <f t="shared" si="7"/>
        <v>1426.89</v>
      </c>
      <c r="M4290" s="10">
        <f>IFERROR(__xludf.DUMMYFUNCTION("""COMPUTED_VALUE"""),44203.66666666667)</f>
        <v>44203.66667</v>
      </c>
      <c r="N4290" s="2">
        <f>IFERROR(__xludf.DUMMYFUNCTION("""COMPUTED_VALUE"""),13067.48)</f>
        <v>13067.48</v>
      </c>
      <c r="P4290" s="10">
        <f t="shared" si="10"/>
        <v>39490.64583</v>
      </c>
      <c r="Q4290" s="15">
        <v>1643.29</v>
      </c>
      <c r="R4290" s="18">
        <v>39490.0</v>
      </c>
    </row>
    <row r="4291">
      <c r="A4291" s="10">
        <f t="shared" si="8"/>
        <v>42273.66667</v>
      </c>
      <c r="B4291" s="2" t="str">
        <f t="shared" si="2"/>
        <v/>
      </c>
      <c r="C4291" s="2" t="str">
        <f t="shared" si="3"/>
        <v>SP500</v>
      </c>
      <c r="D4291" s="2" t="str">
        <f t="shared" si="4"/>
        <v/>
      </c>
      <c r="E4291" s="2">
        <f t="shared" si="5"/>
        <v>4686.5</v>
      </c>
      <c r="G4291" s="10">
        <f t="shared" si="9"/>
        <v>42273.64583</v>
      </c>
      <c r="H4291" s="6" t="str">
        <f t="shared" si="6"/>
        <v/>
      </c>
      <c r="I4291" s="2">
        <f t="shared" si="7"/>
        <v>1426.89</v>
      </c>
      <c r="M4291" s="10">
        <f>IFERROR(__xludf.DUMMYFUNCTION("""COMPUTED_VALUE"""),44204.66666666667)</f>
        <v>44204.66667</v>
      </c>
      <c r="N4291" s="2">
        <f>IFERROR(__xludf.DUMMYFUNCTION("""COMPUTED_VALUE"""),13201.98)</f>
        <v>13201.98</v>
      </c>
      <c r="P4291" s="10">
        <f t="shared" si="10"/>
        <v>39489.64583</v>
      </c>
      <c r="Q4291" s="15">
        <v>1640.67</v>
      </c>
      <c r="R4291" s="18">
        <v>39489.0</v>
      </c>
    </row>
    <row r="4292">
      <c r="A4292" s="10">
        <f t="shared" si="8"/>
        <v>42274.66667</v>
      </c>
      <c r="B4292" s="2" t="str">
        <f t="shared" si="2"/>
        <v/>
      </c>
      <c r="C4292" s="2" t="str">
        <f t="shared" si="3"/>
        <v>SP500</v>
      </c>
      <c r="D4292" s="2" t="str">
        <f t="shared" si="4"/>
        <v/>
      </c>
      <c r="E4292" s="2">
        <f t="shared" si="5"/>
        <v>4686.5</v>
      </c>
      <c r="G4292" s="10">
        <f t="shared" si="9"/>
        <v>42274.64583</v>
      </c>
      <c r="H4292" s="6" t="str">
        <f t="shared" si="6"/>
        <v/>
      </c>
      <c r="I4292" s="2">
        <f t="shared" si="7"/>
        <v>1426.89</v>
      </c>
      <c r="M4292" s="10">
        <f>IFERROR(__xludf.DUMMYFUNCTION("""COMPUTED_VALUE"""),44207.66666666667)</f>
        <v>44207.66667</v>
      </c>
      <c r="N4292" s="2">
        <f>IFERROR(__xludf.DUMMYFUNCTION("""COMPUTED_VALUE"""),13036.43)</f>
        <v>13036.43</v>
      </c>
      <c r="P4292" s="10">
        <f t="shared" si="10"/>
        <v>39483.64583</v>
      </c>
      <c r="Q4292" s="15">
        <v>1696.57</v>
      </c>
      <c r="R4292" s="18">
        <v>39483.0</v>
      </c>
    </row>
    <row r="4293">
      <c r="A4293" s="10">
        <f t="shared" si="8"/>
        <v>42275.66667</v>
      </c>
      <c r="B4293" s="2" t="str">
        <f t="shared" si="2"/>
        <v/>
      </c>
      <c r="C4293" s="2" t="str">
        <f t="shared" si="3"/>
        <v>SP500</v>
      </c>
      <c r="D4293" s="2">
        <f t="shared" si="4"/>
        <v>4543.97</v>
      </c>
      <c r="E4293" s="2">
        <f t="shared" si="5"/>
        <v>4543.97</v>
      </c>
      <c r="G4293" s="10">
        <f t="shared" si="9"/>
        <v>42275.64583</v>
      </c>
      <c r="H4293" s="6" t="str">
        <f t="shared" si="6"/>
        <v/>
      </c>
      <c r="I4293" s="2">
        <f t="shared" si="7"/>
        <v>1426.89</v>
      </c>
      <c r="M4293" s="10">
        <f>IFERROR(__xludf.DUMMYFUNCTION("""COMPUTED_VALUE"""),44208.66666666667)</f>
        <v>44208.66667</v>
      </c>
      <c r="N4293" s="2">
        <f>IFERROR(__xludf.DUMMYFUNCTION("""COMPUTED_VALUE"""),13072.43)</f>
        <v>13072.43</v>
      </c>
      <c r="P4293" s="10">
        <f t="shared" si="10"/>
        <v>39482.64583</v>
      </c>
      <c r="Q4293" s="15">
        <v>1690.13</v>
      </c>
      <c r="R4293" s="18">
        <v>39482.0</v>
      </c>
    </row>
    <row r="4294">
      <c r="A4294" s="10">
        <f t="shared" si="8"/>
        <v>42276.66667</v>
      </c>
      <c r="B4294" s="2" t="str">
        <f t="shared" si="2"/>
        <v/>
      </c>
      <c r="C4294" s="2" t="str">
        <f t="shared" si="3"/>
        <v>SP500</v>
      </c>
      <c r="D4294" s="2">
        <f t="shared" si="4"/>
        <v>4517.32</v>
      </c>
      <c r="E4294" s="2">
        <f t="shared" si="5"/>
        <v>4517.32</v>
      </c>
      <c r="G4294" s="10">
        <f t="shared" si="9"/>
        <v>42276.64583</v>
      </c>
      <c r="H4294" s="6" t="str">
        <f t="shared" si="6"/>
        <v/>
      </c>
      <c r="I4294" s="2">
        <f t="shared" si="7"/>
        <v>1426.89</v>
      </c>
      <c r="M4294" s="10">
        <f>IFERROR(__xludf.DUMMYFUNCTION("""COMPUTED_VALUE"""),44209.66666666667)</f>
        <v>44209.66667</v>
      </c>
      <c r="N4294" s="2">
        <f>IFERROR(__xludf.DUMMYFUNCTION("""COMPUTED_VALUE"""),13128.95)</f>
        <v>13128.95</v>
      </c>
      <c r="P4294" s="10">
        <f t="shared" si="10"/>
        <v>39479.64583</v>
      </c>
      <c r="Q4294" s="15">
        <v>1634.53</v>
      </c>
      <c r="R4294" s="18">
        <v>39479.0</v>
      </c>
    </row>
    <row r="4295">
      <c r="A4295" s="10">
        <f t="shared" si="8"/>
        <v>42277.66667</v>
      </c>
      <c r="B4295" s="2" t="str">
        <f t="shared" si="2"/>
        <v/>
      </c>
      <c r="C4295" s="2" t="str">
        <f t="shared" si="3"/>
        <v>SP500</v>
      </c>
      <c r="D4295" s="2">
        <f t="shared" si="4"/>
        <v>4620.16</v>
      </c>
      <c r="E4295" s="2">
        <f t="shared" si="5"/>
        <v>4620.16</v>
      </c>
      <c r="G4295" s="10">
        <f t="shared" si="9"/>
        <v>42277.64583</v>
      </c>
      <c r="H4295" s="6" t="str">
        <f t="shared" si="6"/>
        <v/>
      </c>
      <c r="I4295" s="2">
        <f t="shared" si="7"/>
        <v>1426.89</v>
      </c>
      <c r="M4295" s="10">
        <f>IFERROR(__xludf.DUMMYFUNCTION("""COMPUTED_VALUE"""),44210.66666666667)</f>
        <v>44210.66667</v>
      </c>
      <c r="N4295" s="2">
        <f>IFERROR(__xludf.DUMMYFUNCTION("""COMPUTED_VALUE"""),13112.64)</f>
        <v>13112.64</v>
      </c>
      <c r="P4295" s="10">
        <f t="shared" si="10"/>
        <v>39478.64583</v>
      </c>
      <c r="Q4295" s="15">
        <v>1624.68</v>
      </c>
      <c r="R4295" s="18">
        <v>39478.0</v>
      </c>
    </row>
    <row r="4296">
      <c r="A4296" s="10">
        <f t="shared" si="8"/>
        <v>42278.66667</v>
      </c>
      <c r="B4296" s="2" t="str">
        <f t="shared" si="2"/>
        <v/>
      </c>
      <c r="C4296" s="2" t="str">
        <f t="shared" si="3"/>
        <v>SP500</v>
      </c>
      <c r="D4296" s="2">
        <f t="shared" si="4"/>
        <v>4627.08</v>
      </c>
      <c r="E4296" s="2">
        <f t="shared" si="5"/>
        <v>4627.08</v>
      </c>
      <c r="G4296" s="10">
        <f t="shared" si="9"/>
        <v>42278.64583</v>
      </c>
      <c r="H4296" s="6" t="str">
        <f t="shared" si="6"/>
        <v/>
      </c>
      <c r="I4296" s="2">
        <f t="shared" si="7"/>
        <v>1426.89</v>
      </c>
      <c r="M4296" s="10">
        <f>IFERROR(__xludf.DUMMYFUNCTION("""COMPUTED_VALUE"""),44211.66666666667)</f>
        <v>44211.66667</v>
      </c>
      <c r="N4296" s="2">
        <f>IFERROR(__xludf.DUMMYFUNCTION("""COMPUTED_VALUE"""),12998.5)</f>
        <v>12998.5</v>
      </c>
      <c r="P4296" s="10">
        <f t="shared" si="10"/>
        <v>39477.64583</v>
      </c>
      <c r="Q4296" s="15">
        <v>1589.06</v>
      </c>
      <c r="R4296" s="18">
        <v>39477.0</v>
      </c>
    </row>
    <row r="4297">
      <c r="A4297" s="10">
        <f t="shared" si="8"/>
        <v>42279.66667</v>
      </c>
      <c r="B4297" s="2" t="str">
        <f t="shared" si="2"/>
        <v/>
      </c>
      <c r="C4297" s="2" t="str">
        <f t="shared" si="3"/>
        <v>SP500</v>
      </c>
      <c r="D4297" s="2">
        <f t="shared" si="4"/>
        <v>4707.78</v>
      </c>
      <c r="E4297" s="2">
        <f t="shared" si="5"/>
        <v>4707.78</v>
      </c>
      <c r="G4297" s="10">
        <f t="shared" si="9"/>
        <v>42279.64583</v>
      </c>
      <c r="H4297" s="6" t="str">
        <f t="shared" si="6"/>
        <v/>
      </c>
      <c r="I4297" s="2">
        <f t="shared" si="7"/>
        <v>1426.89</v>
      </c>
      <c r="M4297" s="10">
        <f>IFERROR(__xludf.DUMMYFUNCTION("""COMPUTED_VALUE"""),44215.66666666667)</f>
        <v>44215.66667</v>
      </c>
      <c r="N4297" s="2">
        <f>IFERROR(__xludf.DUMMYFUNCTION("""COMPUTED_VALUE"""),13197.18)</f>
        <v>13197.18</v>
      </c>
      <c r="P4297" s="10">
        <f t="shared" si="10"/>
        <v>39476.64583</v>
      </c>
      <c r="Q4297" s="15">
        <v>1637.91</v>
      </c>
      <c r="R4297" s="18">
        <v>39476.0</v>
      </c>
    </row>
    <row r="4298">
      <c r="A4298" s="10">
        <f t="shared" si="8"/>
        <v>42280.66667</v>
      </c>
      <c r="B4298" s="2" t="str">
        <f t="shared" si="2"/>
        <v/>
      </c>
      <c r="C4298" s="2" t="str">
        <f t="shared" si="3"/>
        <v>SP500</v>
      </c>
      <c r="D4298" s="2" t="str">
        <f t="shared" si="4"/>
        <v/>
      </c>
      <c r="E4298" s="2">
        <f t="shared" si="5"/>
        <v>4707.78</v>
      </c>
      <c r="G4298" s="10">
        <f t="shared" si="9"/>
        <v>42280.64583</v>
      </c>
      <c r="H4298" s="6" t="str">
        <f t="shared" si="6"/>
        <v/>
      </c>
      <c r="I4298" s="2">
        <f t="shared" si="7"/>
        <v>1426.89</v>
      </c>
      <c r="M4298" s="10">
        <f>IFERROR(__xludf.DUMMYFUNCTION("""COMPUTED_VALUE"""),44216.66666666667)</f>
        <v>44216.66667</v>
      </c>
      <c r="N4298" s="2">
        <f>IFERROR(__xludf.DUMMYFUNCTION("""COMPUTED_VALUE"""),13457.25)</f>
        <v>13457.25</v>
      </c>
      <c r="P4298" s="10">
        <f t="shared" si="10"/>
        <v>39475.64583</v>
      </c>
      <c r="Q4298" s="15">
        <v>1627.19</v>
      </c>
      <c r="R4298" s="18">
        <v>39475.0</v>
      </c>
    </row>
    <row r="4299">
      <c r="A4299" s="10">
        <f t="shared" si="8"/>
        <v>42281.66667</v>
      </c>
      <c r="B4299" s="2" t="str">
        <f t="shared" si="2"/>
        <v/>
      </c>
      <c r="C4299" s="2" t="str">
        <f t="shared" si="3"/>
        <v>SP500</v>
      </c>
      <c r="D4299" s="2" t="str">
        <f t="shared" si="4"/>
        <v/>
      </c>
      <c r="E4299" s="2">
        <f t="shared" si="5"/>
        <v>4707.78</v>
      </c>
      <c r="G4299" s="10">
        <f t="shared" si="9"/>
        <v>42281.64583</v>
      </c>
      <c r="H4299" s="6" t="str">
        <f t="shared" si="6"/>
        <v/>
      </c>
      <c r="I4299" s="2">
        <f t="shared" si="7"/>
        <v>1426.89</v>
      </c>
      <c r="M4299" s="10">
        <f>IFERROR(__xludf.DUMMYFUNCTION("""COMPUTED_VALUE"""),44217.66666666667)</f>
        <v>44217.66667</v>
      </c>
      <c r="N4299" s="2">
        <f>IFERROR(__xludf.DUMMYFUNCTION("""COMPUTED_VALUE"""),13530.92)</f>
        <v>13530.92</v>
      </c>
      <c r="P4299" s="10">
        <f t="shared" si="10"/>
        <v>39472.64583</v>
      </c>
      <c r="Q4299" s="15">
        <v>1692.41</v>
      </c>
      <c r="R4299" s="18">
        <v>39472.0</v>
      </c>
    </row>
    <row r="4300">
      <c r="A4300" s="10">
        <f t="shared" si="8"/>
        <v>42282.66667</v>
      </c>
      <c r="B4300" s="2" t="str">
        <f t="shared" si="2"/>
        <v/>
      </c>
      <c r="C4300" s="2" t="str">
        <f t="shared" si="3"/>
        <v>SP500</v>
      </c>
      <c r="D4300" s="2">
        <f t="shared" si="4"/>
        <v>4781.26</v>
      </c>
      <c r="E4300" s="2">
        <f t="shared" si="5"/>
        <v>4781.26</v>
      </c>
      <c r="G4300" s="10">
        <f t="shared" si="9"/>
        <v>42282.64583</v>
      </c>
      <c r="H4300" s="6" t="str">
        <f t="shared" si="6"/>
        <v/>
      </c>
      <c r="I4300" s="2">
        <f t="shared" si="7"/>
        <v>1426.89</v>
      </c>
      <c r="M4300" s="10">
        <f>IFERROR(__xludf.DUMMYFUNCTION("""COMPUTED_VALUE"""),44218.66666666667)</f>
        <v>44218.66667</v>
      </c>
      <c r="N4300" s="2">
        <f>IFERROR(__xludf.DUMMYFUNCTION("""COMPUTED_VALUE"""),13543.06)</f>
        <v>13543.06</v>
      </c>
      <c r="P4300" s="10">
        <f t="shared" si="10"/>
        <v>39471.64583</v>
      </c>
      <c r="Q4300" s="15">
        <v>1663.0</v>
      </c>
      <c r="R4300" s="18">
        <v>39471.0</v>
      </c>
    </row>
    <row r="4301">
      <c r="A4301" s="10">
        <f t="shared" si="8"/>
        <v>42283.66667</v>
      </c>
      <c r="B4301" s="2" t="str">
        <f t="shared" si="2"/>
        <v/>
      </c>
      <c r="C4301" s="2" t="str">
        <f t="shared" si="3"/>
        <v>SP500</v>
      </c>
      <c r="D4301" s="2">
        <f t="shared" si="4"/>
        <v>4748.36</v>
      </c>
      <c r="E4301" s="2">
        <f t="shared" si="5"/>
        <v>4748.36</v>
      </c>
      <c r="G4301" s="10">
        <f t="shared" si="9"/>
        <v>42283.64583</v>
      </c>
      <c r="H4301" s="6" t="str">
        <f t="shared" si="6"/>
        <v/>
      </c>
      <c r="I4301" s="2">
        <f t="shared" si="7"/>
        <v>1426.89</v>
      </c>
      <c r="M4301" s="10">
        <f>IFERROR(__xludf.DUMMYFUNCTION("""COMPUTED_VALUE"""),44221.66666666667)</f>
        <v>44221.66667</v>
      </c>
      <c r="N4301" s="2">
        <f>IFERROR(__xludf.DUMMYFUNCTION("""COMPUTED_VALUE"""),13635.99)</f>
        <v>13635.99</v>
      </c>
      <c r="P4301" s="10">
        <f t="shared" si="10"/>
        <v>39470.64583</v>
      </c>
      <c r="Q4301" s="15">
        <v>1628.42</v>
      </c>
      <c r="R4301" s="18">
        <v>39470.0</v>
      </c>
    </row>
    <row r="4302">
      <c r="A4302" s="10">
        <f t="shared" si="8"/>
        <v>42284.66667</v>
      </c>
      <c r="B4302" s="2" t="str">
        <f t="shared" si="2"/>
        <v/>
      </c>
      <c r="C4302" s="2" t="str">
        <f t="shared" si="3"/>
        <v>SP500</v>
      </c>
      <c r="D4302" s="2">
        <f t="shared" si="4"/>
        <v>4791.15</v>
      </c>
      <c r="E4302" s="2">
        <f t="shared" si="5"/>
        <v>4791.15</v>
      </c>
      <c r="G4302" s="10">
        <f t="shared" si="9"/>
        <v>42284.64583</v>
      </c>
      <c r="H4302" s="6" t="str">
        <f t="shared" si="6"/>
        <v/>
      </c>
      <c r="I4302" s="2">
        <f t="shared" si="7"/>
        <v>1426.89</v>
      </c>
      <c r="M4302" s="10">
        <f>IFERROR(__xludf.DUMMYFUNCTION("""COMPUTED_VALUE"""),44222.66666666667)</f>
        <v>44222.66667</v>
      </c>
      <c r="N4302" s="2">
        <f>IFERROR(__xludf.DUMMYFUNCTION("""COMPUTED_VALUE"""),13626.07)</f>
        <v>13626.07</v>
      </c>
      <c r="P4302" s="10">
        <f t="shared" si="10"/>
        <v>39469.64583</v>
      </c>
      <c r="Q4302" s="15">
        <v>1609.02</v>
      </c>
      <c r="R4302" s="18">
        <v>39469.0</v>
      </c>
    </row>
    <row r="4303">
      <c r="A4303" s="10">
        <f t="shared" si="8"/>
        <v>42285.66667</v>
      </c>
      <c r="B4303" s="2" t="str">
        <f t="shared" si="2"/>
        <v/>
      </c>
      <c r="C4303" s="2" t="str">
        <f t="shared" si="3"/>
        <v>SP500</v>
      </c>
      <c r="D4303" s="2">
        <f t="shared" si="4"/>
        <v>4810.79</v>
      </c>
      <c r="E4303" s="2">
        <f t="shared" si="5"/>
        <v>4810.79</v>
      </c>
      <c r="G4303" s="10">
        <f t="shared" si="9"/>
        <v>42285.64583</v>
      </c>
      <c r="H4303" s="6" t="str">
        <f t="shared" si="6"/>
        <v/>
      </c>
      <c r="I4303" s="2">
        <f t="shared" si="7"/>
        <v>1426.89</v>
      </c>
      <c r="M4303" s="10">
        <f>IFERROR(__xludf.DUMMYFUNCTION("""COMPUTED_VALUE"""),44223.66666666667)</f>
        <v>44223.66667</v>
      </c>
      <c r="N4303" s="2">
        <f>IFERROR(__xludf.DUMMYFUNCTION("""COMPUTED_VALUE"""),13270.6)</f>
        <v>13270.6</v>
      </c>
      <c r="P4303" s="10">
        <f t="shared" si="10"/>
        <v>39468.64583</v>
      </c>
      <c r="Q4303" s="15">
        <v>1683.56</v>
      </c>
      <c r="R4303" s="18">
        <v>39468.0</v>
      </c>
    </row>
    <row r="4304">
      <c r="A4304" s="10">
        <f t="shared" si="8"/>
        <v>42286.66667</v>
      </c>
      <c r="B4304" s="2" t="str">
        <f t="shared" si="2"/>
        <v/>
      </c>
      <c r="C4304" s="2" t="str">
        <f t="shared" si="3"/>
        <v>SP500</v>
      </c>
      <c r="D4304" s="2">
        <f t="shared" si="4"/>
        <v>4830.47</v>
      </c>
      <c r="E4304" s="2">
        <f t="shared" si="5"/>
        <v>4830.47</v>
      </c>
      <c r="G4304" s="10">
        <f t="shared" si="9"/>
        <v>42286.64583</v>
      </c>
      <c r="H4304" s="6" t="str">
        <f t="shared" si="6"/>
        <v/>
      </c>
      <c r="I4304" s="2">
        <f t="shared" si="7"/>
        <v>1426.89</v>
      </c>
      <c r="M4304" s="10">
        <f>IFERROR(__xludf.DUMMYFUNCTION("""COMPUTED_VALUE"""),44224.66666666667)</f>
        <v>44224.66667</v>
      </c>
      <c r="N4304" s="2">
        <f>IFERROR(__xludf.DUMMYFUNCTION("""COMPUTED_VALUE"""),13337.16)</f>
        <v>13337.16</v>
      </c>
      <c r="P4304" s="10">
        <f t="shared" si="10"/>
        <v>39465.64583</v>
      </c>
      <c r="Q4304" s="15">
        <v>1734.72</v>
      </c>
      <c r="R4304" s="18">
        <v>39465.0</v>
      </c>
    </row>
    <row r="4305">
      <c r="A4305" s="10">
        <f t="shared" si="8"/>
        <v>42287.66667</v>
      </c>
      <c r="B4305" s="2" t="str">
        <f t="shared" si="2"/>
        <v/>
      </c>
      <c r="C4305" s="2" t="str">
        <f t="shared" si="3"/>
        <v>SP500</v>
      </c>
      <c r="D4305" s="2" t="str">
        <f t="shared" si="4"/>
        <v/>
      </c>
      <c r="E4305" s="2">
        <f t="shared" si="5"/>
        <v>4830.47</v>
      </c>
      <c r="G4305" s="10">
        <f t="shared" si="9"/>
        <v>42287.64583</v>
      </c>
      <c r="H4305" s="6" t="str">
        <f t="shared" si="6"/>
        <v/>
      </c>
      <c r="I4305" s="2">
        <f t="shared" si="7"/>
        <v>1426.89</v>
      </c>
      <c r="M4305" s="10">
        <f>IFERROR(__xludf.DUMMYFUNCTION("""COMPUTED_VALUE"""),44225.66666666667)</f>
        <v>44225.66667</v>
      </c>
      <c r="N4305" s="2">
        <f>IFERROR(__xludf.DUMMYFUNCTION("""COMPUTED_VALUE"""),13070.7)</f>
        <v>13070.7</v>
      </c>
      <c r="P4305" s="10">
        <f t="shared" si="10"/>
        <v>39464.64583</v>
      </c>
      <c r="Q4305" s="15">
        <v>1723.55</v>
      </c>
      <c r="R4305" s="18">
        <v>39464.0</v>
      </c>
    </row>
    <row r="4306">
      <c r="A4306" s="10">
        <f t="shared" si="8"/>
        <v>42288.66667</v>
      </c>
      <c r="B4306" s="2" t="str">
        <f t="shared" si="2"/>
        <v/>
      </c>
      <c r="C4306" s="2" t="str">
        <f t="shared" si="3"/>
        <v>SP500</v>
      </c>
      <c r="D4306" s="2" t="str">
        <f t="shared" si="4"/>
        <v/>
      </c>
      <c r="E4306" s="2">
        <f t="shared" si="5"/>
        <v>4830.47</v>
      </c>
      <c r="G4306" s="10">
        <f t="shared" si="9"/>
        <v>42288.64583</v>
      </c>
      <c r="H4306" s="6" t="str">
        <f t="shared" si="6"/>
        <v/>
      </c>
      <c r="I4306" s="2">
        <f t="shared" si="7"/>
        <v>1426.89</v>
      </c>
      <c r="M4306" s="10">
        <f>IFERROR(__xludf.DUMMYFUNCTION("""COMPUTED_VALUE"""),44228.66666666667)</f>
        <v>44228.66667</v>
      </c>
      <c r="N4306" s="2">
        <f>IFERROR(__xludf.DUMMYFUNCTION("""COMPUTED_VALUE"""),13403.39)</f>
        <v>13403.39</v>
      </c>
      <c r="P4306" s="10">
        <f t="shared" si="10"/>
        <v>39463.64583</v>
      </c>
      <c r="Q4306" s="15">
        <v>1704.97</v>
      </c>
      <c r="R4306" s="18">
        <v>39463.0</v>
      </c>
    </row>
    <row r="4307">
      <c r="A4307" s="10">
        <f t="shared" si="8"/>
        <v>42289.66667</v>
      </c>
      <c r="B4307" s="2" t="str">
        <f t="shared" si="2"/>
        <v/>
      </c>
      <c r="C4307" s="2" t="str">
        <f t="shared" si="3"/>
        <v>SP500</v>
      </c>
      <c r="D4307" s="2">
        <f t="shared" si="4"/>
        <v>4838.64</v>
      </c>
      <c r="E4307" s="2">
        <f t="shared" si="5"/>
        <v>4838.64</v>
      </c>
      <c r="G4307" s="10">
        <f t="shared" si="9"/>
        <v>42289.64583</v>
      </c>
      <c r="H4307" s="6" t="str">
        <f t="shared" si="6"/>
        <v/>
      </c>
      <c r="I4307" s="2">
        <f t="shared" si="7"/>
        <v>1426.89</v>
      </c>
      <c r="M4307" s="10">
        <f>IFERROR(__xludf.DUMMYFUNCTION("""COMPUTED_VALUE"""),44229.66666666667)</f>
        <v>44229.66667</v>
      </c>
      <c r="N4307" s="2">
        <f>IFERROR(__xludf.DUMMYFUNCTION("""COMPUTED_VALUE"""),13612.78)</f>
        <v>13612.78</v>
      </c>
      <c r="P4307" s="10">
        <f t="shared" si="10"/>
        <v>39462.64583</v>
      </c>
      <c r="Q4307" s="15">
        <v>1746.95</v>
      </c>
      <c r="R4307" s="18">
        <v>39462.0</v>
      </c>
    </row>
    <row r="4308">
      <c r="A4308" s="10">
        <f t="shared" si="8"/>
        <v>42290.66667</v>
      </c>
      <c r="B4308" s="2" t="str">
        <f t="shared" si="2"/>
        <v/>
      </c>
      <c r="C4308" s="2" t="str">
        <f t="shared" si="3"/>
        <v>SP500</v>
      </c>
      <c r="D4308" s="2">
        <f t="shared" si="4"/>
        <v>4796.61</v>
      </c>
      <c r="E4308" s="2">
        <f t="shared" si="5"/>
        <v>4796.61</v>
      </c>
      <c r="G4308" s="10">
        <f t="shared" si="9"/>
        <v>42290.64583</v>
      </c>
      <c r="H4308" s="6" t="str">
        <f t="shared" si="6"/>
        <v/>
      </c>
      <c r="I4308" s="2">
        <f t="shared" si="7"/>
        <v>1426.89</v>
      </c>
      <c r="M4308" s="10">
        <f>IFERROR(__xludf.DUMMYFUNCTION("""COMPUTED_VALUE"""),44230.66666666667)</f>
        <v>44230.66667</v>
      </c>
      <c r="N4308" s="2">
        <f>IFERROR(__xludf.DUMMYFUNCTION("""COMPUTED_VALUE"""),13610.54)</f>
        <v>13610.54</v>
      </c>
      <c r="P4308" s="10">
        <f t="shared" si="10"/>
        <v>39461.64583</v>
      </c>
      <c r="Q4308" s="15">
        <v>1765.88</v>
      </c>
      <c r="R4308" s="18">
        <v>39461.0</v>
      </c>
    </row>
    <row r="4309">
      <c r="A4309" s="10">
        <f t="shared" si="8"/>
        <v>42291.66667</v>
      </c>
      <c r="B4309" s="2" t="str">
        <f t="shared" si="2"/>
        <v/>
      </c>
      <c r="C4309" s="2" t="str">
        <f t="shared" si="3"/>
        <v>SP500</v>
      </c>
      <c r="D4309" s="2">
        <f t="shared" si="4"/>
        <v>4782.85</v>
      </c>
      <c r="E4309" s="2">
        <f t="shared" si="5"/>
        <v>4782.85</v>
      </c>
      <c r="G4309" s="10">
        <f t="shared" si="9"/>
        <v>42291.64583</v>
      </c>
      <c r="H4309" s="6" t="str">
        <f t="shared" si="6"/>
        <v/>
      </c>
      <c r="I4309" s="2">
        <f t="shared" si="7"/>
        <v>1426.89</v>
      </c>
      <c r="M4309" s="10">
        <f>IFERROR(__xludf.DUMMYFUNCTION("""COMPUTED_VALUE"""),44231.66666666667)</f>
        <v>44231.66667</v>
      </c>
      <c r="N4309" s="2">
        <f>IFERROR(__xludf.DUMMYFUNCTION("""COMPUTED_VALUE"""),13777.74)</f>
        <v>13777.74</v>
      </c>
      <c r="P4309" s="10">
        <f t="shared" si="10"/>
        <v>39458.64583</v>
      </c>
      <c r="Q4309" s="15">
        <v>1782.27</v>
      </c>
      <c r="R4309" s="18">
        <v>39458.0</v>
      </c>
    </row>
    <row r="4310">
      <c r="A4310" s="10">
        <f t="shared" si="8"/>
        <v>42292.66667</v>
      </c>
      <c r="B4310" s="2" t="str">
        <f t="shared" si="2"/>
        <v/>
      </c>
      <c r="C4310" s="2" t="str">
        <f t="shared" si="3"/>
        <v>SP500</v>
      </c>
      <c r="D4310" s="2">
        <f t="shared" si="4"/>
        <v>4870.1</v>
      </c>
      <c r="E4310" s="2">
        <f t="shared" si="5"/>
        <v>4870.1</v>
      </c>
      <c r="G4310" s="10">
        <f t="shared" si="9"/>
        <v>42292.64583</v>
      </c>
      <c r="H4310" s="6" t="str">
        <f t="shared" si="6"/>
        <v/>
      </c>
      <c r="I4310" s="2">
        <f t="shared" si="7"/>
        <v>1426.89</v>
      </c>
      <c r="M4310" s="10">
        <f>IFERROR(__xludf.DUMMYFUNCTION("""COMPUTED_VALUE"""),44232.66666666667)</f>
        <v>44232.66667</v>
      </c>
      <c r="N4310" s="2">
        <f>IFERROR(__xludf.DUMMYFUNCTION("""COMPUTED_VALUE"""),13856.3)</f>
        <v>13856.3</v>
      </c>
      <c r="P4310" s="10">
        <f t="shared" si="10"/>
        <v>39457.64583</v>
      </c>
      <c r="Q4310" s="15">
        <v>1824.78</v>
      </c>
      <c r="R4310" s="18">
        <v>39457.0</v>
      </c>
    </row>
    <row r="4311">
      <c r="A4311" s="10">
        <f t="shared" si="8"/>
        <v>42293.66667</v>
      </c>
      <c r="B4311" s="2" t="str">
        <f t="shared" si="2"/>
        <v/>
      </c>
      <c r="C4311" s="2" t="str">
        <f t="shared" si="3"/>
        <v>SP500</v>
      </c>
      <c r="D4311" s="2">
        <f t="shared" si="4"/>
        <v>4886.69</v>
      </c>
      <c r="E4311" s="2">
        <f t="shared" si="5"/>
        <v>4886.69</v>
      </c>
      <c r="G4311" s="10">
        <f t="shared" si="9"/>
        <v>42293.64583</v>
      </c>
      <c r="H4311" s="6" t="str">
        <f t="shared" si="6"/>
        <v/>
      </c>
      <c r="I4311" s="2">
        <f t="shared" si="7"/>
        <v>1426.89</v>
      </c>
      <c r="M4311" s="10">
        <f>IFERROR(__xludf.DUMMYFUNCTION("""COMPUTED_VALUE"""),44235.66666666667)</f>
        <v>44235.66667</v>
      </c>
      <c r="N4311" s="2">
        <f>IFERROR(__xludf.DUMMYFUNCTION("""COMPUTED_VALUE"""),13987.64)</f>
        <v>13987.64</v>
      </c>
      <c r="P4311" s="10">
        <f t="shared" si="10"/>
        <v>39456.64583</v>
      </c>
      <c r="Q4311" s="15">
        <v>1844.47</v>
      </c>
      <c r="R4311" s="18">
        <v>39456.0</v>
      </c>
    </row>
    <row r="4312">
      <c r="A4312" s="10">
        <f t="shared" si="8"/>
        <v>42294.66667</v>
      </c>
      <c r="B4312" s="2" t="str">
        <f t="shared" si="2"/>
        <v/>
      </c>
      <c r="C4312" s="2" t="str">
        <f t="shared" si="3"/>
        <v>SP500</v>
      </c>
      <c r="D4312" s="2" t="str">
        <f t="shared" si="4"/>
        <v/>
      </c>
      <c r="E4312" s="2">
        <f t="shared" si="5"/>
        <v>4886.69</v>
      </c>
      <c r="G4312" s="10">
        <f t="shared" si="9"/>
        <v>42294.64583</v>
      </c>
      <c r="H4312" s="6" t="str">
        <f t="shared" si="6"/>
        <v/>
      </c>
      <c r="I4312" s="2">
        <f t="shared" si="7"/>
        <v>1426.89</v>
      </c>
      <c r="M4312" s="10">
        <f>IFERROR(__xludf.DUMMYFUNCTION("""COMPUTED_VALUE"""),44236.66666666667)</f>
        <v>44236.66667</v>
      </c>
      <c r="N4312" s="2">
        <f>IFERROR(__xludf.DUMMYFUNCTION("""COMPUTED_VALUE"""),14007.7)</f>
        <v>14007.7</v>
      </c>
      <c r="P4312" s="10">
        <f t="shared" si="10"/>
        <v>39455.64583</v>
      </c>
      <c r="Q4312" s="15">
        <v>1826.23</v>
      </c>
      <c r="R4312" s="18">
        <v>39455.0</v>
      </c>
    </row>
    <row r="4313">
      <c r="A4313" s="10">
        <f t="shared" si="8"/>
        <v>42295.66667</v>
      </c>
      <c r="B4313" s="2" t="str">
        <f t="shared" si="2"/>
        <v/>
      </c>
      <c r="C4313" s="2" t="str">
        <f t="shared" si="3"/>
        <v>SP500</v>
      </c>
      <c r="D4313" s="2" t="str">
        <f t="shared" si="4"/>
        <v/>
      </c>
      <c r="E4313" s="2">
        <f t="shared" si="5"/>
        <v>4886.69</v>
      </c>
      <c r="G4313" s="10">
        <f t="shared" si="9"/>
        <v>42295.64583</v>
      </c>
      <c r="H4313" s="6" t="str">
        <f t="shared" si="6"/>
        <v/>
      </c>
      <c r="I4313" s="2">
        <f t="shared" si="7"/>
        <v>1426.89</v>
      </c>
      <c r="M4313" s="10">
        <f>IFERROR(__xludf.DUMMYFUNCTION("""COMPUTED_VALUE"""),44237.66666666667)</f>
        <v>44237.66667</v>
      </c>
      <c r="N4313" s="2">
        <f>IFERROR(__xludf.DUMMYFUNCTION("""COMPUTED_VALUE"""),13972.53)</f>
        <v>13972.53</v>
      </c>
      <c r="P4313" s="10">
        <f t="shared" si="10"/>
        <v>39454.64583</v>
      </c>
      <c r="Q4313" s="15">
        <v>1831.14</v>
      </c>
      <c r="R4313" s="18">
        <v>39454.0</v>
      </c>
    </row>
    <row r="4314">
      <c r="A4314" s="10">
        <f t="shared" si="8"/>
        <v>42296.66667</v>
      </c>
      <c r="B4314" s="2" t="str">
        <f t="shared" si="2"/>
        <v/>
      </c>
      <c r="C4314" s="2" t="str">
        <f t="shared" si="3"/>
        <v>SP500</v>
      </c>
      <c r="D4314" s="2">
        <f t="shared" si="4"/>
        <v>4905.47</v>
      </c>
      <c r="E4314" s="2">
        <f t="shared" si="5"/>
        <v>4905.47</v>
      </c>
      <c r="G4314" s="10">
        <f t="shared" si="9"/>
        <v>42296.64583</v>
      </c>
      <c r="H4314" s="6" t="str">
        <f t="shared" si="6"/>
        <v/>
      </c>
      <c r="I4314" s="2">
        <f t="shared" si="7"/>
        <v>1426.89</v>
      </c>
      <c r="M4314" s="10">
        <f>IFERROR(__xludf.DUMMYFUNCTION("""COMPUTED_VALUE"""),44238.66666666667)</f>
        <v>44238.66667</v>
      </c>
      <c r="N4314" s="2">
        <f>IFERROR(__xludf.DUMMYFUNCTION("""COMPUTED_VALUE"""),14025.77)</f>
        <v>14025.77</v>
      </c>
      <c r="P4314" s="10">
        <f t="shared" si="10"/>
        <v>39451.64583</v>
      </c>
      <c r="Q4314" s="15">
        <v>1863.9</v>
      </c>
      <c r="R4314" s="18">
        <v>39451.0</v>
      </c>
    </row>
    <row r="4315">
      <c r="A4315" s="10">
        <f t="shared" si="8"/>
        <v>42297.66667</v>
      </c>
      <c r="B4315" s="2" t="str">
        <f t="shared" si="2"/>
        <v/>
      </c>
      <c r="C4315" s="2" t="str">
        <f t="shared" si="3"/>
        <v>SP500</v>
      </c>
      <c r="D4315" s="2">
        <f t="shared" si="4"/>
        <v>4880.97</v>
      </c>
      <c r="E4315" s="2">
        <f t="shared" si="5"/>
        <v>4880.97</v>
      </c>
      <c r="G4315" s="10">
        <f t="shared" si="9"/>
        <v>42297.64583</v>
      </c>
      <c r="H4315" s="6" t="str">
        <f t="shared" si="6"/>
        <v/>
      </c>
      <c r="I4315" s="2">
        <f t="shared" si="7"/>
        <v>1426.89</v>
      </c>
      <c r="M4315" s="10">
        <f>IFERROR(__xludf.DUMMYFUNCTION("""COMPUTED_VALUE"""),44239.66666666667)</f>
        <v>44239.66667</v>
      </c>
      <c r="N4315" s="2">
        <f>IFERROR(__xludf.DUMMYFUNCTION("""COMPUTED_VALUE"""),14095.47)</f>
        <v>14095.47</v>
      </c>
      <c r="P4315" s="10">
        <f t="shared" si="10"/>
        <v>39450.64583</v>
      </c>
      <c r="Q4315" s="15">
        <v>1852.73</v>
      </c>
      <c r="R4315" s="18">
        <v>39450.0</v>
      </c>
    </row>
    <row r="4316">
      <c r="A4316" s="10">
        <f t="shared" si="8"/>
        <v>42298.66667</v>
      </c>
      <c r="B4316" s="2" t="str">
        <f t="shared" si="2"/>
        <v/>
      </c>
      <c r="C4316" s="2" t="str">
        <f t="shared" si="3"/>
        <v>SP500</v>
      </c>
      <c r="D4316" s="2">
        <f t="shared" si="4"/>
        <v>4840.12</v>
      </c>
      <c r="E4316" s="2">
        <f t="shared" si="5"/>
        <v>4840.12</v>
      </c>
      <c r="G4316" s="10">
        <f t="shared" si="9"/>
        <v>42298.64583</v>
      </c>
      <c r="H4316" s="6" t="str">
        <f t="shared" si="6"/>
        <v/>
      </c>
      <c r="I4316" s="2">
        <f t="shared" si="7"/>
        <v>1426.89</v>
      </c>
      <c r="M4316" s="10">
        <f>IFERROR(__xludf.DUMMYFUNCTION("""COMPUTED_VALUE"""),44243.66666666667)</f>
        <v>44243.66667</v>
      </c>
      <c r="N4316" s="2">
        <f>IFERROR(__xludf.DUMMYFUNCTION("""COMPUTED_VALUE"""),14047.5)</f>
        <v>14047.5</v>
      </c>
      <c r="P4316" s="10">
        <f t="shared" si="10"/>
        <v>39449.64583</v>
      </c>
      <c r="Q4316" s="15">
        <v>1853.45</v>
      </c>
      <c r="R4316" s="18">
        <v>39449.0</v>
      </c>
    </row>
    <row r="4317">
      <c r="A4317" s="10">
        <f t="shared" si="8"/>
        <v>42299.66667</v>
      </c>
      <c r="B4317" s="2" t="str">
        <f t="shared" si="2"/>
        <v/>
      </c>
      <c r="C4317" s="2" t="str">
        <f t="shared" si="3"/>
        <v>SP500</v>
      </c>
      <c r="D4317" s="2">
        <f t="shared" si="4"/>
        <v>4920.05</v>
      </c>
      <c r="E4317" s="2">
        <f t="shared" si="5"/>
        <v>4920.05</v>
      </c>
      <c r="G4317" s="10">
        <f t="shared" si="9"/>
        <v>42299.64583</v>
      </c>
      <c r="H4317" s="6" t="str">
        <f t="shared" si="6"/>
        <v/>
      </c>
      <c r="I4317" s="2">
        <f t="shared" si="7"/>
        <v>1426.89</v>
      </c>
      <c r="M4317" s="10">
        <f>IFERROR(__xludf.DUMMYFUNCTION("""COMPUTED_VALUE"""),44244.66666666667)</f>
        <v>44244.66667</v>
      </c>
      <c r="N4317" s="2">
        <f>IFERROR(__xludf.DUMMYFUNCTION("""COMPUTED_VALUE"""),13965.5)</f>
        <v>13965.5</v>
      </c>
      <c r="P4317" s="10">
        <f t="shared" si="10"/>
        <v>39444.64583</v>
      </c>
      <c r="Q4317" s="15">
        <v>1897.13</v>
      </c>
      <c r="R4317" s="17">
        <v>39444.0</v>
      </c>
    </row>
    <row r="4318">
      <c r="A4318" s="10">
        <f t="shared" si="8"/>
        <v>42300.66667</v>
      </c>
      <c r="B4318" s="2" t="str">
        <f t="shared" si="2"/>
        <v/>
      </c>
      <c r="C4318" s="2" t="str">
        <f t="shared" si="3"/>
        <v>SP500</v>
      </c>
      <c r="D4318" s="2">
        <f t="shared" si="4"/>
        <v>5031.86</v>
      </c>
      <c r="E4318" s="2">
        <f t="shared" si="5"/>
        <v>5031.86</v>
      </c>
      <c r="G4318" s="10">
        <f t="shared" si="9"/>
        <v>42300.64583</v>
      </c>
      <c r="H4318" s="6" t="str">
        <f t="shared" si="6"/>
        <v/>
      </c>
      <c r="I4318" s="2">
        <f t="shared" si="7"/>
        <v>1426.89</v>
      </c>
      <c r="M4318" s="10">
        <f>IFERROR(__xludf.DUMMYFUNCTION("""COMPUTED_VALUE"""),44245.66666666667)</f>
        <v>44245.66667</v>
      </c>
      <c r="N4318" s="2">
        <f>IFERROR(__xludf.DUMMYFUNCTION("""COMPUTED_VALUE"""),13865.36)</f>
        <v>13865.36</v>
      </c>
      <c r="P4318" s="10">
        <f t="shared" si="10"/>
        <v>39443.64583</v>
      </c>
      <c r="Q4318" s="15">
        <v>1908.62</v>
      </c>
      <c r="R4318" s="17">
        <v>39443.0</v>
      </c>
    </row>
    <row r="4319">
      <c r="A4319" s="10">
        <f t="shared" si="8"/>
        <v>42301.66667</v>
      </c>
      <c r="B4319" s="2" t="str">
        <f t="shared" si="2"/>
        <v/>
      </c>
      <c r="C4319" s="2" t="str">
        <f t="shared" si="3"/>
        <v>SP500</v>
      </c>
      <c r="D4319" s="2" t="str">
        <f t="shared" si="4"/>
        <v/>
      </c>
      <c r="E4319" s="2">
        <f t="shared" si="5"/>
        <v>5031.86</v>
      </c>
      <c r="G4319" s="10">
        <f t="shared" si="9"/>
        <v>42301.64583</v>
      </c>
      <c r="H4319" s="6" t="str">
        <f t="shared" si="6"/>
        <v/>
      </c>
      <c r="I4319" s="2">
        <f t="shared" si="7"/>
        <v>1426.89</v>
      </c>
      <c r="M4319" s="10">
        <f>IFERROR(__xludf.DUMMYFUNCTION("""COMPUTED_VALUE"""),44246.66666666667)</f>
        <v>44246.66667</v>
      </c>
      <c r="N4319" s="2">
        <f>IFERROR(__xludf.DUMMYFUNCTION("""COMPUTED_VALUE"""),13874.46)</f>
        <v>13874.46</v>
      </c>
      <c r="P4319" s="10">
        <f t="shared" si="10"/>
        <v>39442.64583</v>
      </c>
      <c r="Q4319" s="15">
        <v>1906.72</v>
      </c>
      <c r="R4319" s="17">
        <v>39442.0</v>
      </c>
    </row>
    <row r="4320">
      <c r="A4320" s="10">
        <f t="shared" si="8"/>
        <v>42302.66667</v>
      </c>
      <c r="B4320" s="2" t="str">
        <f t="shared" si="2"/>
        <v/>
      </c>
      <c r="C4320" s="2" t="str">
        <f t="shared" si="3"/>
        <v>SP500</v>
      </c>
      <c r="D4320" s="2" t="str">
        <f t="shared" si="4"/>
        <v/>
      </c>
      <c r="E4320" s="2">
        <f t="shared" si="5"/>
        <v>5031.86</v>
      </c>
      <c r="G4320" s="10">
        <f t="shared" si="9"/>
        <v>42302.64583</v>
      </c>
      <c r="H4320" s="6" t="str">
        <f t="shared" si="6"/>
        <v/>
      </c>
      <c r="I4320" s="2">
        <f t="shared" si="7"/>
        <v>1426.89</v>
      </c>
      <c r="M4320" s="10">
        <f>IFERROR(__xludf.DUMMYFUNCTION("""COMPUTED_VALUE"""),44249.66666666667)</f>
        <v>44249.66667</v>
      </c>
      <c r="N4320" s="2">
        <f>IFERROR(__xludf.DUMMYFUNCTION("""COMPUTED_VALUE"""),13533.05)</f>
        <v>13533.05</v>
      </c>
      <c r="P4320" s="10">
        <f t="shared" si="10"/>
        <v>39440.64583</v>
      </c>
      <c r="Q4320" s="15">
        <v>1919.47</v>
      </c>
      <c r="R4320" s="17">
        <v>39440.0</v>
      </c>
    </row>
    <row r="4321">
      <c r="A4321" s="10">
        <f t="shared" si="8"/>
        <v>42303.66667</v>
      </c>
      <c r="B4321" s="2" t="str">
        <f t="shared" si="2"/>
        <v/>
      </c>
      <c r="C4321" s="2" t="str">
        <f t="shared" si="3"/>
        <v>SP500</v>
      </c>
      <c r="D4321" s="2">
        <f t="shared" si="4"/>
        <v>5034.7</v>
      </c>
      <c r="E4321" s="2">
        <f t="shared" si="5"/>
        <v>5034.7</v>
      </c>
      <c r="G4321" s="10">
        <f t="shared" si="9"/>
        <v>42303.64583</v>
      </c>
      <c r="H4321" s="6" t="str">
        <f t="shared" si="6"/>
        <v/>
      </c>
      <c r="I4321" s="2">
        <f t="shared" si="7"/>
        <v>1426.89</v>
      </c>
      <c r="M4321" s="10">
        <f>IFERROR(__xludf.DUMMYFUNCTION("""COMPUTED_VALUE"""),44250.66666666667)</f>
        <v>44250.66667</v>
      </c>
      <c r="N4321" s="2">
        <f>IFERROR(__xludf.DUMMYFUNCTION("""COMPUTED_VALUE"""),13465.2)</f>
        <v>13465.2</v>
      </c>
      <c r="P4321" s="10">
        <f t="shared" si="10"/>
        <v>39437.64583</v>
      </c>
      <c r="Q4321" s="15">
        <v>1878.32</v>
      </c>
      <c r="R4321" s="17">
        <v>39437.0</v>
      </c>
    </row>
    <row r="4322">
      <c r="A4322" s="10">
        <f t="shared" si="8"/>
        <v>42304.66667</v>
      </c>
      <c r="B4322" s="2" t="str">
        <f t="shared" si="2"/>
        <v/>
      </c>
      <c r="C4322" s="2" t="str">
        <f t="shared" si="3"/>
        <v>SP500</v>
      </c>
      <c r="D4322" s="2">
        <f t="shared" si="4"/>
        <v>5030.15</v>
      </c>
      <c r="E4322" s="2">
        <f t="shared" si="5"/>
        <v>5030.15</v>
      </c>
      <c r="G4322" s="10">
        <f t="shared" si="9"/>
        <v>42304.64583</v>
      </c>
      <c r="H4322" s="6" t="str">
        <f t="shared" si="6"/>
        <v/>
      </c>
      <c r="I4322" s="2">
        <f t="shared" si="7"/>
        <v>1426.89</v>
      </c>
      <c r="M4322" s="10">
        <f>IFERROR(__xludf.DUMMYFUNCTION("""COMPUTED_VALUE"""),44251.66666666667)</f>
        <v>44251.66667</v>
      </c>
      <c r="N4322" s="2">
        <f>IFERROR(__xludf.DUMMYFUNCTION("""COMPUTED_VALUE"""),13597.97)</f>
        <v>13597.97</v>
      </c>
      <c r="P4322" s="10">
        <f t="shared" si="10"/>
        <v>39436.64583</v>
      </c>
      <c r="Q4322" s="15">
        <v>1844.37</v>
      </c>
      <c r="R4322" s="17">
        <v>39436.0</v>
      </c>
    </row>
    <row r="4323">
      <c r="A4323" s="10">
        <f t="shared" si="8"/>
        <v>42305.66667</v>
      </c>
      <c r="B4323" s="2" t="str">
        <f t="shared" si="2"/>
        <v/>
      </c>
      <c r="C4323" s="2" t="str">
        <f t="shared" si="3"/>
        <v>SP500</v>
      </c>
      <c r="D4323" s="2">
        <f t="shared" si="4"/>
        <v>5095.69</v>
      </c>
      <c r="E4323" s="2">
        <f t="shared" si="5"/>
        <v>5095.69</v>
      </c>
      <c r="G4323" s="10">
        <f t="shared" si="9"/>
        <v>42305.64583</v>
      </c>
      <c r="H4323" s="6" t="str">
        <f t="shared" si="6"/>
        <v/>
      </c>
      <c r="I4323" s="2">
        <f t="shared" si="7"/>
        <v>1426.89</v>
      </c>
      <c r="M4323" s="10">
        <f>IFERROR(__xludf.DUMMYFUNCTION("""COMPUTED_VALUE"""),44252.66666666667)</f>
        <v>44252.66667</v>
      </c>
      <c r="N4323" s="2">
        <f>IFERROR(__xludf.DUMMYFUNCTION("""COMPUTED_VALUE"""),13119.43)</f>
        <v>13119.43</v>
      </c>
      <c r="P4323" s="10">
        <f t="shared" si="10"/>
        <v>39434.64583</v>
      </c>
      <c r="Q4323" s="15">
        <v>1861.47</v>
      </c>
      <c r="R4323" s="17">
        <v>39434.0</v>
      </c>
    </row>
    <row r="4324">
      <c r="A4324" s="10">
        <f t="shared" si="8"/>
        <v>42306.66667</v>
      </c>
      <c r="B4324" s="2" t="str">
        <f t="shared" si="2"/>
        <v/>
      </c>
      <c r="C4324" s="2" t="str">
        <f t="shared" si="3"/>
        <v>SP500</v>
      </c>
      <c r="D4324" s="2">
        <f t="shared" si="4"/>
        <v>5074.27</v>
      </c>
      <c r="E4324" s="2">
        <f t="shared" si="5"/>
        <v>5074.27</v>
      </c>
      <c r="G4324" s="10">
        <f t="shared" si="9"/>
        <v>42306.64583</v>
      </c>
      <c r="H4324" s="6" t="str">
        <f t="shared" si="6"/>
        <v/>
      </c>
      <c r="I4324" s="2">
        <f t="shared" si="7"/>
        <v>1426.89</v>
      </c>
      <c r="M4324" s="10">
        <f>IFERROR(__xludf.DUMMYFUNCTION("""COMPUTED_VALUE"""),44253.66666666667)</f>
        <v>44253.66667</v>
      </c>
      <c r="N4324" s="2">
        <f>IFERROR(__xludf.DUMMYFUNCTION("""COMPUTED_VALUE"""),13192.35)</f>
        <v>13192.35</v>
      </c>
      <c r="P4324" s="10">
        <f t="shared" si="10"/>
        <v>39433.64583</v>
      </c>
      <c r="Q4324" s="15">
        <v>1839.82</v>
      </c>
      <c r="R4324" s="17">
        <v>39433.0</v>
      </c>
    </row>
    <row r="4325">
      <c r="A4325" s="10">
        <f t="shared" si="8"/>
        <v>42307.66667</v>
      </c>
      <c r="B4325" s="2" t="str">
        <f t="shared" si="2"/>
        <v/>
      </c>
      <c r="C4325" s="2" t="str">
        <f t="shared" si="3"/>
        <v>SP500</v>
      </c>
      <c r="D4325" s="2">
        <f t="shared" si="4"/>
        <v>5053.75</v>
      </c>
      <c r="E4325" s="2">
        <f t="shared" si="5"/>
        <v>5053.75</v>
      </c>
      <c r="G4325" s="10">
        <f t="shared" si="9"/>
        <v>42307.64583</v>
      </c>
      <c r="H4325" s="6" t="str">
        <f t="shared" si="6"/>
        <v/>
      </c>
      <c r="I4325" s="2">
        <f t="shared" si="7"/>
        <v>1426.89</v>
      </c>
      <c r="M4325" s="10">
        <f>IFERROR(__xludf.DUMMYFUNCTION("""COMPUTED_VALUE"""),44256.66666666667)</f>
        <v>44256.66667</v>
      </c>
      <c r="N4325" s="2">
        <f>IFERROR(__xludf.DUMMYFUNCTION("""COMPUTED_VALUE"""),13588.83)</f>
        <v>13588.83</v>
      </c>
      <c r="P4325" s="10">
        <f t="shared" si="10"/>
        <v>39430.64583</v>
      </c>
      <c r="Q4325" s="15">
        <v>1895.05</v>
      </c>
      <c r="R4325" s="17">
        <v>39430.0</v>
      </c>
    </row>
    <row r="4326">
      <c r="A4326" s="10">
        <f t="shared" si="8"/>
        <v>42308.66667</v>
      </c>
      <c r="B4326" s="2" t="str">
        <f t="shared" si="2"/>
        <v/>
      </c>
      <c r="C4326" s="2" t="str">
        <f t="shared" si="3"/>
        <v>SP500</v>
      </c>
      <c r="D4326" s="2" t="str">
        <f t="shared" si="4"/>
        <v/>
      </c>
      <c r="E4326" s="2">
        <f t="shared" si="5"/>
        <v>5053.75</v>
      </c>
      <c r="G4326" s="10">
        <f t="shared" si="9"/>
        <v>42308.64583</v>
      </c>
      <c r="H4326" s="6" t="str">
        <f t="shared" si="6"/>
        <v/>
      </c>
      <c r="I4326" s="2">
        <f t="shared" si="7"/>
        <v>1426.89</v>
      </c>
      <c r="M4326" s="10">
        <f>IFERROR(__xludf.DUMMYFUNCTION("""COMPUTED_VALUE"""),44257.66666666667)</f>
        <v>44257.66667</v>
      </c>
      <c r="N4326" s="2">
        <f>IFERROR(__xludf.DUMMYFUNCTION("""COMPUTED_VALUE"""),13358.79)</f>
        <v>13358.79</v>
      </c>
      <c r="P4326" s="10">
        <f t="shared" si="10"/>
        <v>39429.64583</v>
      </c>
      <c r="Q4326" s="15">
        <v>1915.9</v>
      </c>
      <c r="R4326" s="17">
        <v>39429.0</v>
      </c>
    </row>
    <row r="4327">
      <c r="A4327" s="10">
        <f t="shared" si="8"/>
        <v>42309.66667</v>
      </c>
      <c r="B4327" s="2" t="str">
        <f t="shared" si="2"/>
        <v/>
      </c>
      <c r="C4327" s="2" t="str">
        <f t="shared" si="3"/>
        <v>SP500</v>
      </c>
      <c r="D4327" s="2" t="str">
        <f t="shared" si="4"/>
        <v/>
      </c>
      <c r="E4327" s="2">
        <f t="shared" si="5"/>
        <v>5053.75</v>
      </c>
      <c r="G4327" s="10">
        <f t="shared" si="9"/>
        <v>42309.64583</v>
      </c>
      <c r="H4327" s="6" t="str">
        <f t="shared" si="6"/>
        <v/>
      </c>
      <c r="I4327" s="2">
        <f t="shared" si="7"/>
        <v>1426.89</v>
      </c>
      <c r="M4327" s="10">
        <f>IFERROR(__xludf.DUMMYFUNCTION("""COMPUTED_VALUE"""),44258.66666666667)</f>
        <v>44258.66667</v>
      </c>
      <c r="N4327" s="2">
        <f>IFERROR(__xludf.DUMMYFUNCTION("""COMPUTED_VALUE"""),12997.75)</f>
        <v>12997.75</v>
      </c>
      <c r="P4327" s="10">
        <f t="shared" si="10"/>
        <v>39428.64583</v>
      </c>
      <c r="Q4327" s="15">
        <v>1927.45</v>
      </c>
      <c r="R4327" s="17">
        <v>39428.0</v>
      </c>
    </row>
    <row r="4328">
      <c r="A4328" s="10">
        <f t="shared" si="8"/>
        <v>42310.66667</v>
      </c>
      <c r="B4328" s="2" t="str">
        <f t="shared" si="2"/>
        <v/>
      </c>
      <c r="C4328" s="2" t="str">
        <f t="shared" si="3"/>
        <v>SP500</v>
      </c>
      <c r="D4328" s="2">
        <f t="shared" si="4"/>
        <v>5127.15</v>
      </c>
      <c r="E4328" s="2">
        <f t="shared" si="5"/>
        <v>5127.15</v>
      </c>
      <c r="G4328" s="10">
        <f t="shared" si="9"/>
        <v>42310.64583</v>
      </c>
      <c r="H4328" s="6" t="str">
        <f t="shared" si="6"/>
        <v/>
      </c>
      <c r="I4328" s="2">
        <f t="shared" si="7"/>
        <v>1426.89</v>
      </c>
      <c r="M4328" s="10">
        <f>IFERROR(__xludf.DUMMYFUNCTION("""COMPUTED_VALUE"""),44259.66666666667)</f>
        <v>44259.66667</v>
      </c>
      <c r="N4328" s="2">
        <f>IFERROR(__xludf.DUMMYFUNCTION("""COMPUTED_VALUE"""),12723.47)</f>
        <v>12723.47</v>
      </c>
      <c r="P4328" s="10">
        <f t="shared" si="10"/>
        <v>39427.64583</v>
      </c>
      <c r="Q4328" s="15">
        <v>1925.07</v>
      </c>
      <c r="R4328" s="17">
        <v>39427.0</v>
      </c>
    </row>
    <row r="4329">
      <c r="A4329" s="10">
        <f t="shared" si="8"/>
        <v>42311.66667</v>
      </c>
      <c r="B4329" s="2" t="str">
        <f t="shared" si="2"/>
        <v/>
      </c>
      <c r="C4329" s="2" t="str">
        <f t="shared" si="3"/>
        <v>SP500</v>
      </c>
      <c r="D4329" s="2">
        <f t="shared" si="4"/>
        <v>5145.13</v>
      </c>
      <c r="E4329" s="2">
        <f t="shared" si="5"/>
        <v>5145.13</v>
      </c>
      <c r="G4329" s="10">
        <f t="shared" si="9"/>
        <v>42311.64583</v>
      </c>
      <c r="H4329" s="6" t="str">
        <f t="shared" si="6"/>
        <v/>
      </c>
      <c r="I4329" s="2">
        <f t="shared" si="7"/>
        <v>1426.89</v>
      </c>
      <c r="M4329" s="10">
        <f>IFERROR(__xludf.DUMMYFUNCTION("""COMPUTED_VALUE"""),44260.66666666667)</f>
        <v>44260.66667</v>
      </c>
      <c r="N4329" s="2">
        <f>IFERROR(__xludf.DUMMYFUNCTION("""COMPUTED_VALUE"""),12920.15)</f>
        <v>12920.15</v>
      </c>
      <c r="P4329" s="10">
        <f t="shared" si="10"/>
        <v>39426.64583</v>
      </c>
      <c r="Q4329" s="15">
        <v>1906.42</v>
      </c>
      <c r="R4329" s="17">
        <v>39426.0</v>
      </c>
    </row>
    <row r="4330">
      <c r="A4330" s="10">
        <f t="shared" si="8"/>
        <v>42312.66667</v>
      </c>
      <c r="B4330" s="2" t="str">
        <f t="shared" si="2"/>
        <v/>
      </c>
      <c r="C4330" s="2" t="str">
        <f t="shared" si="3"/>
        <v>SP500</v>
      </c>
      <c r="D4330" s="2">
        <f t="shared" si="4"/>
        <v>5142.48</v>
      </c>
      <c r="E4330" s="2">
        <f t="shared" si="5"/>
        <v>5142.48</v>
      </c>
      <c r="G4330" s="10">
        <f t="shared" si="9"/>
        <v>42312.64583</v>
      </c>
      <c r="H4330" s="6" t="str">
        <f t="shared" si="6"/>
        <v/>
      </c>
      <c r="I4330" s="2">
        <f t="shared" si="7"/>
        <v>1426.89</v>
      </c>
      <c r="M4330" s="10">
        <f>IFERROR(__xludf.DUMMYFUNCTION("""COMPUTED_VALUE"""),44263.66666666667)</f>
        <v>44263.66667</v>
      </c>
      <c r="N4330" s="2">
        <f>IFERROR(__xludf.DUMMYFUNCTION("""COMPUTED_VALUE"""),12609.16)</f>
        <v>12609.16</v>
      </c>
      <c r="P4330" s="10">
        <f t="shared" si="10"/>
        <v>39423.64583</v>
      </c>
      <c r="Q4330" s="15">
        <v>1934.32</v>
      </c>
      <c r="R4330" s="18">
        <v>39423.0</v>
      </c>
    </row>
    <row r="4331">
      <c r="A4331" s="10">
        <f t="shared" si="8"/>
        <v>42313.66667</v>
      </c>
      <c r="B4331" s="2" t="str">
        <f t="shared" si="2"/>
        <v/>
      </c>
      <c r="C4331" s="2" t="str">
        <f t="shared" si="3"/>
        <v>SP500</v>
      </c>
      <c r="D4331" s="2">
        <f t="shared" si="4"/>
        <v>5127.74</v>
      </c>
      <c r="E4331" s="2">
        <f t="shared" si="5"/>
        <v>5127.74</v>
      </c>
      <c r="G4331" s="10">
        <f t="shared" si="9"/>
        <v>42313.64583</v>
      </c>
      <c r="H4331" s="6" t="str">
        <f t="shared" si="6"/>
        <v/>
      </c>
      <c r="I4331" s="2">
        <f t="shared" si="7"/>
        <v>1426.89</v>
      </c>
      <c r="M4331" s="10">
        <f>IFERROR(__xludf.DUMMYFUNCTION("""COMPUTED_VALUE"""),44264.66666666667)</f>
        <v>44264.66667</v>
      </c>
      <c r="N4331" s="2">
        <f>IFERROR(__xludf.DUMMYFUNCTION("""COMPUTED_VALUE"""),13073.83)</f>
        <v>13073.83</v>
      </c>
      <c r="P4331" s="10">
        <f t="shared" si="10"/>
        <v>39422.64583</v>
      </c>
      <c r="Q4331" s="15">
        <v>1953.17</v>
      </c>
      <c r="R4331" s="18">
        <v>39422.0</v>
      </c>
    </row>
    <row r="4332">
      <c r="A4332" s="10">
        <f t="shared" si="8"/>
        <v>42314.66667</v>
      </c>
      <c r="B4332" s="2" t="str">
        <f t="shared" si="2"/>
        <v/>
      </c>
      <c r="C4332" s="2" t="str">
        <f t="shared" si="3"/>
        <v>SP500</v>
      </c>
      <c r="D4332" s="2">
        <f t="shared" si="4"/>
        <v>5147.12</v>
      </c>
      <c r="E4332" s="2">
        <f t="shared" si="5"/>
        <v>5147.12</v>
      </c>
      <c r="G4332" s="10">
        <f t="shared" si="9"/>
        <v>42314.64583</v>
      </c>
      <c r="H4332" s="6" t="str">
        <f t="shared" si="6"/>
        <v/>
      </c>
      <c r="I4332" s="2">
        <f t="shared" si="7"/>
        <v>1426.89</v>
      </c>
      <c r="M4332" s="10">
        <f>IFERROR(__xludf.DUMMYFUNCTION("""COMPUTED_VALUE"""),44265.66666666667)</f>
        <v>44265.66667</v>
      </c>
      <c r="N4332" s="2">
        <f>IFERROR(__xludf.DUMMYFUNCTION("""COMPUTED_VALUE"""),13068.83)</f>
        <v>13068.83</v>
      </c>
      <c r="P4332" s="10">
        <f t="shared" si="10"/>
        <v>39421.64583</v>
      </c>
      <c r="Q4332" s="15">
        <v>1938.2</v>
      </c>
      <c r="R4332" s="18">
        <v>39421.0</v>
      </c>
    </row>
    <row r="4333">
      <c r="A4333" s="10">
        <f t="shared" si="8"/>
        <v>42315.66667</v>
      </c>
      <c r="B4333" s="2" t="str">
        <f t="shared" si="2"/>
        <v/>
      </c>
      <c r="C4333" s="2" t="str">
        <f t="shared" si="3"/>
        <v>SP500</v>
      </c>
      <c r="D4333" s="2" t="str">
        <f t="shared" si="4"/>
        <v/>
      </c>
      <c r="E4333" s="2">
        <f t="shared" si="5"/>
        <v>5147.12</v>
      </c>
      <c r="G4333" s="10">
        <f t="shared" si="9"/>
        <v>42315.64583</v>
      </c>
      <c r="H4333" s="6" t="str">
        <f t="shared" si="6"/>
        <v/>
      </c>
      <c r="I4333" s="2">
        <f t="shared" si="7"/>
        <v>1426.89</v>
      </c>
      <c r="M4333" s="10">
        <f>IFERROR(__xludf.DUMMYFUNCTION("""COMPUTED_VALUE"""),44266.66666666667)</f>
        <v>44266.66667</v>
      </c>
      <c r="N4333" s="2">
        <f>IFERROR(__xludf.DUMMYFUNCTION("""COMPUTED_VALUE"""),13398.67)</f>
        <v>13398.67</v>
      </c>
      <c r="P4333" s="10">
        <f t="shared" si="10"/>
        <v>39420.64583</v>
      </c>
      <c r="Q4333" s="15">
        <v>1917.83</v>
      </c>
      <c r="R4333" s="18">
        <v>39420.0</v>
      </c>
    </row>
    <row r="4334">
      <c r="A4334" s="10">
        <f t="shared" si="8"/>
        <v>42316.66667</v>
      </c>
      <c r="B4334" s="2" t="str">
        <f t="shared" si="2"/>
        <v/>
      </c>
      <c r="C4334" s="2" t="str">
        <f t="shared" si="3"/>
        <v>SP500</v>
      </c>
      <c r="D4334" s="2" t="str">
        <f t="shared" si="4"/>
        <v/>
      </c>
      <c r="E4334" s="2">
        <f t="shared" si="5"/>
        <v>5147.12</v>
      </c>
      <c r="G4334" s="10">
        <f t="shared" si="9"/>
        <v>42316.64583</v>
      </c>
      <c r="H4334" s="6" t="str">
        <f t="shared" si="6"/>
        <v/>
      </c>
      <c r="I4334" s="2">
        <f t="shared" si="7"/>
        <v>1426.89</v>
      </c>
      <c r="M4334" s="10">
        <f>IFERROR(__xludf.DUMMYFUNCTION("""COMPUTED_VALUE"""),44267.66666666667)</f>
        <v>44267.66667</v>
      </c>
      <c r="N4334" s="2">
        <f>IFERROR(__xludf.DUMMYFUNCTION("""COMPUTED_VALUE"""),13319.87)</f>
        <v>13319.87</v>
      </c>
      <c r="P4334" s="10">
        <f t="shared" si="10"/>
        <v>39419.64583</v>
      </c>
      <c r="Q4334" s="15">
        <v>1902.43</v>
      </c>
      <c r="R4334" s="18">
        <v>39419.0</v>
      </c>
    </row>
    <row r="4335">
      <c r="A4335" s="10">
        <f t="shared" si="8"/>
        <v>42317.66667</v>
      </c>
      <c r="B4335" s="2" t="str">
        <f t="shared" si="2"/>
        <v/>
      </c>
      <c r="C4335" s="2" t="str">
        <f t="shared" si="3"/>
        <v>SP500</v>
      </c>
      <c r="D4335" s="2">
        <f t="shared" si="4"/>
        <v>5095.3</v>
      </c>
      <c r="E4335" s="2">
        <f t="shared" si="5"/>
        <v>5095.3</v>
      </c>
      <c r="G4335" s="10">
        <f t="shared" si="9"/>
        <v>42317.64583</v>
      </c>
      <c r="H4335" s="6" t="str">
        <f t="shared" si="6"/>
        <v/>
      </c>
      <c r="I4335" s="2">
        <f t="shared" si="7"/>
        <v>1426.89</v>
      </c>
      <c r="M4335" s="10">
        <f>IFERROR(__xludf.DUMMYFUNCTION("""COMPUTED_VALUE"""),44270.66666666667)</f>
        <v>44270.66667</v>
      </c>
      <c r="N4335" s="2">
        <f>IFERROR(__xludf.DUMMYFUNCTION("""COMPUTED_VALUE"""),13459.71)</f>
        <v>13459.71</v>
      </c>
      <c r="P4335" s="10">
        <f t="shared" si="10"/>
        <v>39416.64583</v>
      </c>
      <c r="Q4335" s="15">
        <v>1906.0</v>
      </c>
      <c r="R4335" s="17">
        <v>39416.0</v>
      </c>
    </row>
    <row r="4336">
      <c r="A4336" s="10">
        <f t="shared" si="8"/>
        <v>42318.66667</v>
      </c>
      <c r="B4336" s="2" t="str">
        <f t="shared" si="2"/>
        <v/>
      </c>
      <c r="C4336" s="2" t="str">
        <f t="shared" si="3"/>
        <v>SP500</v>
      </c>
      <c r="D4336" s="2">
        <f t="shared" si="4"/>
        <v>5083.24</v>
      </c>
      <c r="E4336" s="2">
        <f t="shared" si="5"/>
        <v>5083.24</v>
      </c>
      <c r="G4336" s="10">
        <f t="shared" si="9"/>
        <v>42318.64583</v>
      </c>
      <c r="H4336" s="6" t="str">
        <f t="shared" si="6"/>
        <v/>
      </c>
      <c r="I4336" s="2">
        <f t="shared" si="7"/>
        <v>1426.89</v>
      </c>
      <c r="M4336" s="10">
        <f>IFERROR(__xludf.DUMMYFUNCTION("""COMPUTED_VALUE"""),44271.66666666667)</f>
        <v>44271.66667</v>
      </c>
      <c r="N4336" s="2">
        <f>IFERROR(__xludf.DUMMYFUNCTION("""COMPUTED_VALUE"""),13471.57)</f>
        <v>13471.57</v>
      </c>
      <c r="P4336" s="10">
        <f t="shared" si="10"/>
        <v>39415.64583</v>
      </c>
      <c r="Q4336" s="15">
        <v>1877.56</v>
      </c>
      <c r="R4336" s="17">
        <v>39415.0</v>
      </c>
    </row>
    <row r="4337">
      <c r="A4337" s="10">
        <f t="shared" si="8"/>
        <v>42319.66667</v>
      </c>
      <c r="B4337" s="2" t="str">
        <f t="shared" si="2"/>
        <v/>
      </c>
      <c r="C4337" s="2" t="str">
        <f t="shared" si="3"/>
        <v>SP500</v>
      </c>
      <c r="D4337" s="2">
        <f t="shared" si="4"/>
        <v>5067.02</v>
      </c>
      <c r="E4337" s="2">
        <f t="shared" si="5"/>
        <v>5067.02</v>
      </c>
      <c r="G4337" s="10">
        <f t="shared" si="9"/>
        <v>42319.64583</v>
      </c>
      <c r="H4337" s="6" t="str">
        <f t="shared" si="6"/>
        <v/>
      </c>
      <c r="I4337" s="2">
        <f t="shared" si="7"/>
        <v>1426.89</v>
      </c>
      <c r="M4337" s="10">
        <f>IFERROR(__xludf.DUMMYFUNCTION("""COMPUTED_VALUE"""),44272.66666666667)</f>
        <v>44272.66667</v>
      </c>
      <c r="N4337" s="2">
        <f>IFERROR(__xludf.DUMMYFUNCTION("""COMPUTED_VALUE"""),13525.2)</f>
        <v>13525.2</v>
      </c>
      <c r="P4337" s="10">
        <f t="shared" si="10"/>
        <v>39414.64583</v>
      </c>
      <c r="Q4337" s="15">
        <v>1834.69</v>
      </c>
      <c r="R4337" s="17">
        <v>39414.0</v>
      </c>
    </row>
    <row r="4338">
      <c r="A4338" s="10">
        <f t="shared" si="8"/>
        <v>42320.66667</v>
      </c>
      <c r="B4338" s="2" t="str">
        <f t="shared" si="2"/>
        <v/>
      </c>
      <c r="C4338" s="2" t="str">
        <f t="shared" si="3"/>
        <v>SP500</v>
      </c>
      <c r="D4338" s="2">
        <f t="shared" si="4"/>
        <v>5005.08</v>
      </c>
      <c r="E4338" s="2">
        <f t="shared" si="5"/>
        <v>5005.08</v>
      </c>
      <c r="G4338" s="10">
        <f t="shared" si="9"/>
        <v>42320.64583</v>
      </c>
      <c r="H4338" s="6" t="str">
        <f t="shared" si="6"/>
        <v/>
      </c>
      <c r="I4338" s="2">
        <f t="shared" si="7"/>
        <v>1426.89</v>
      </c>
      <c r="M4338" s="10">
        <f>IFERROR(__xludf.DUMMYFUNCTION("""COMPUTED_VALUE"""),44273.66666666667)</f>
        <v>44273.66667</v>
      </c>
      <c r="N4338" s="2">
        <f>IFERROR(__xludf.DUMMYFUNCTION("""COMPUTED_VALUE"""),13116.17)</f>
        <v>13116.17</v>
      </c>
      <c r="P4338" s="10">
        <f t="shared" si="10"/>
        <v>39413.64583</v>
      </c>
      <c r="Q4338" s="15">
        <v>1859.79</v>
      </c>
      <c r="R4338" s="17">
        <v>39413.0</v>
      </c>
    </row>
    <row r="4339">
      <c r="A4339" s="10">
        <f t="shared" si="8"/>
        <v>42321.66667</v>
      </c>
      <c r="B4339" s="2" t="str">
        <f t="shared" si="2"/>
        <v/>
      </c>
      <c r="C4339" s="2" t="str">
        <f t="shared" si="3"/>
        <v>SP500</v>
      </c>
      <c r="D4339" s="2">
        <f t="shared" si="4"/>
        <v>4927.88</v>
      </c>
      <c r="E4339" s="2">
        <f t="shared" si="5"/>
        <v>4927.88</v>
      </c>
      <c r="G4339" s="10">
        <f t="shared" si="9"/>
        <v>42321.64583</v>
      </c>
      <c r="H4339" s="6" t="str">
        <f t="shared" si="6"/>
        <v/>
      </c>
      <c r="I4339" s="2">
        <f t="shared" si="7"/>
        <v>1426.89</v>
      </c>
      <c r="M4339" s="10">
        <f>IFERROR(__xludf.DUMMYFUNCTION("""COMPUTED_VALUE"""),44274.66666666667)</f>
        <v>44274.66667</v>
      </c>
      <c r="N4339" s="2">
        <f>IFERROR(__xludf.DUMMYFUNCTION("""COMPUTED_VALUE"""),13215.24)</f>
        <v>13215.24</v>
      </c>
      <c r="P4339" s="10">
        <f t="shared" si="10"/>
        <v>39412.64583</v>
      </c>
      <c r="Q4339" s="15">
        <v>1855.33</v>
      </c>
      <c r="R4339" s="17">
        <v>39412.0</v>
      </c>
    </row>
    <row r="4340">
      <c r="A4340" s="10">
        <f t="shared" si="8"/>
        <v>42322.66667</v>
      </c>
      <c r="B4340" s="2" t="str">
        <f t="shared" si="2"/>
        <v/>
      </c>
      <c r="C4340" s="2" t="str">
        <f t="shared" si="3"/>
        <v>SP500</v>
      </c>
      <c r="D4340" s="2" t="str">
        <f t="shared" si="4"/>
        <v/>
      </c>
      <c r="E4340" s="2">
        <f t="shared" si="5"/>
        <v>4927.88</v>
      </c>
      <c r="G4340" s="10">
        <f t="shared" si="9"/>
        <v>42322.64583</v>
      </c>
      <c r="H4340" s="6" t="str">
        <f t="shared" si="6"/>
        <v/>
      </c>
      <c r="I4340" s="2">
        <f t="shared" si="7"/>
        <v>1426.89</v>
      </c>
      <c r="M4340" s="10">
        <f>IFERROR(__xludf.DUMMYFUNCTION("""COMPUTED_VALUE"""),44277.66666666667)</f>
        <v>44277.66667</v>
      </c>
      <c r="N4340" s="2">
        <f>IFERROR(__xludf.DUMMYFUNCTION("""COMPUTED_VALUE"""),13377.54)</f>
        <v>13377.54</v>
      </c>
      <c r="P4340" s="10">
        <f t="shared" si="10"/>
        <v>39409.64583</v>
      </c>
      <c r="Q4340" s="15">
        <v>1772.88</v>
      </c>
      <c r="R4340" s="17">
        <v>39409.0</v>
      </c>
    </row>
    <row r="4341">
      <c r="A4341" s="10">
        <f t="shared" si="8"/>
        <v>42323.66667</v>
      </c>
      <c r="B4341" s="2" t="str">
        <f t="shared" si="2"/>
        <v/>
      </c>
      <c r="C4341" s="2" t="str">
        <f t="shared" si="3"/>
        <v>SP500</v>
      </c>
      <c r="D4341" s="2" t="str">
        <f t="shared" si="4"/>
        <v/>
      </c>
      <c r="E4341" s="2">
        <f t="shared" si="5"/>
        <v>4927.88</v>
      </c>
      <c r="G4341" s="10">
        <f t="shared" si="9"/>
        <v>42323.64583</v>
      </c>
      <c r="H4341" s="6" t="str">
        <f t="shared" si="6"/>
        <v/>
      </c>
      <c r="I4341" s="2">
        <f t="shared" si="7"/>
        <v>1426.89</v>
      </c>
      <c r="M4341" s="10">
        <f>IFERROR(__xludf.DUMMYFUNCTION("""COMPUTED_VALUE"""),44278.66666666667)</f>
        <v>44278.66667</v>
      </c>
      <c r="N4341" s="2">
        <f>IFERROR(__xludf.DUMMYFUNCTION("""COMPUTED_VALUE"""),13227.7)</f>
        <v>13227.7</v>
      </c>
      <c r="P4341" s="10">
        <f t="shared" si="10"/>
        <v>39408.64583</v>
      </c>
      <c r="Q4341" s="15">
        <v>1799.02</v>
      </c>
      <c r="R4341" s="17">
        <v>39408.0</v>
      </c>
    </row>
    <row r="4342">
      <c r="A4342" s="10">
        <f t="shared" si="8"/>
        <v>42324.66667</v>
      </c>
      <c r="B4342" s="2" t="str">
        <f t="shared" si="2"/>
        <v/>
      </c>
      <c r="C4342" s="2" t="str">
        <f t="shared" si="3"/>
        <v>SP500</v>
      </c>
      <c r="D4342" s="2">
        <f t="shared" si="4"/>
        <v>4984.62</v>
      </c>
      <c r="E4342" s="2">
        <f t="shared" si="5"/>
        <v>4984.62</v>
      </c>
      <c r="G4342" s="10">
        <f t="shared" si="9"/>
        <v>42324.64583</v>
      </c>
      <c r="H4342" s="6" t="str">
        <f t="shared" si="6"/>
        <v/>
      </c>
      <c r="I4342" s="2">
        <f t="shared" si="7"/>
        <v>1426.89</v>
      </c>
      <c r="M4342" s="10">
        <f>IFERROR(__xludf.DUMMYFUNCTION("""COMPUTED_VALUE"""),44279.66666666667)</f>
        <v>44279.66667</v>
      </c>
      <c r="N4342" s="2">
        <f>IFERROR(__xludf.DUMMYFUNCTION("""COMPUTED_VALUE"""),12961.89)</f>
        <v>12961.89</v>
      </c>
      <c r="P4342" s="10">
        <f t="shared" si="10"/>
        <v>39407.64583</v>
      </c>
      <c r="Q4342" s="15">
        <v>1806.99</v>
      </c>
      <c r="R4342" s="17">
        <v>39407.0</v>
      </c>
    </row>
    <row r="4343">
      <c r="A4343" s="10">
        <f t="shared" si="8"/>
        <v>42325.66667</v>
      </c>
      <c r="B4343" s="2" t="str">
        <f t="shared" si="2"/>
        <v/>
      </c>
      <c r="C4343" s="2" t="str">
        <f t="shared" si="3"/>
        <v>SP500</v>
      </c>
      <c r="D4343" s="2">
        <f t="shared" si="4"/>
        <v>4986.02</v>
      </c>
      <c r="E4343" s="2">
        <f t="shared" si="5"/>
        <v>4986.02</v>
      </c>
      <c r="G4343" s="10">
        <f t="shared" si="9"/>
        <v>42325.64583</v>
      </c>
      <c r="H4343" s="6" t="str">
        <f t="shared" si="6"/>
        <v/>
      </c>
      <c r="I4343" s="2">
        <f t="shared" si="7"/>
        <v>1426.89</v>
      </c>
      <c r="M4343" s="10">
        <f>IFERROR(__xludf.DUMMYFUNCTION("""COMPUTED_VALUE"""),44280.66666666667)</f>
        <v>44280.66667</v>
      </c>
      <c r="N4343" s="2">
        <f>IFERROR(__xludf.DUMMYFUNCTION("""COMPUTED_VALUE"""),12977.68)</f>
        <v>12977.68</v>
      </c>
      <c r="P4343" s="10">
        <f t="shared" si="10"/>
        <v>39406.64583</v>
      </c>
      <c r="Q4343" s="15">
        <v>1872.24</v>
      </c>
      <c r="R4343" s="17">
        <v>39406.0</v>
      </c>
    </row>
    <row r="4344">
      <c r="A4344" s="10">
        <f t="shared" si="8"/>
        <v>42326.66667</v>
      </c>
      <c r="B4344" s="2" t="str">
        <f t="shared" si="2"/>
        <v/>
      </c>
      <c r="C4344" s="2" t="str">
        <f t="shared" si="3"/>
        <v>SP500</v>
      </c>
      <c r="D4344" s="2">
        <f t="shared" si="4"/>
        <v>5075.2</v>
      </c>
      <c r="E4344" s="2">
        <f t="shared" si="5"/>
        <v>5075.2</v>
      </c>
      <c r="G4344" s="10">
        <f t="shared" si="9"/>
        <v>42326.64583</v>
      </c>
      <c r="H4344" s="6" t="str">
        <f t="shared" si="6"/>
        <v/>
      </c>
      <c r="I4344" s="2">
        <f t="shared" si="7"/>
        <v>1426.89</v>
      </c>
      <c r="M4344" s="10">
        <f>IFERROR(__xludf.DUMMYFUNCTION("""COMPUTED_VALUE"""),44281.66666666667)</f>
        <v>44281.66667</v>
      </c>
      <c r="N4344" s="2">
        <f>IFERROR(__xludf.DUMMYFUNCTION("""COMPUTED_VALUE"""),13138.73)</f>
        <v>13138.73</v>
      </c>
      <c r="P4344" s="10">
        <f t="shared" si="10"/>
        <v>39405.64583</v>
      </c>
      <c r="Q4344" s="15">
        <v>1893.47</v>
      </c>
      <c r="R4344" s="17">
        <v>39405.0</v>
      </c>
    </row>
    <row r="4345">
      <c r="A4345" s="10">
        <f t="shared" si="8"/>
        <v>42327.66667</v>
      </c>
      <c r="B4345" s="2" t="str">
        <f t="shared" si="2"/>
        <v/>
      </c>
      <c r="C4345" s="2" t="str">
        <f t="shared" si="3"/>
        <v>SP500</v>
      </c>
      <c r="D4345" s="2">
        <f t="shared" si="4"/>
        <v>5073.64</v>
      </c>
      <c r="E4345" s="2">
        <f t="shared" si="5"/>
        <v>5073.64</v>
      </c>
      <c r="G4345" s="10">
        <f t="shared" si="9"/>
        <v>42327.64583</v>
      </c>
      <c r="H4345" s="6" t="str">
        <f t="shared" si="6"/>
        <v/>
      </c>
      <c r="I4345" s="2">
        <f t="shared" si="7"/>
        <v>1426.89</v>
      </c>
      <c r="M4345" s="10">
        <f>IFERROR(__xludf.DUMMYFUNCTION("""COMPUTED_VALUE"""),44284.66666666667)</f>
        <v>44284.66667</v>
      </c>
      <c r="N4345" s="2">
        <f>IFERROR(__xludf.DUMMYFUNCTION("""COMPUTED_VALUE"""),13059.65)</f>
        <v>13059.65</v>
      </c>
      <c r="P4345" s="10">
        <f t="shared" si="10"/>
        <v>39402.64583</v>
      </c>
      <c r="Q4345" s="15">
        <v>1926.2</v>
      </c>
      <c r="R4345" s="17">
        <v>39402.0</v>
      </c>
    </row>
    <row r="4346">
      <c r="A4346" s="10">
        <f t="shared" si="8"/>
        <v>42328.66667</v>
      </c>
      <c r="B4346" s="2" t="str">
        <f t="shared" si="2"/>
        <v/>
      </c>
      <c r="C4346" s="2" t="str">
        <f t="shared" si="3"/>
        <v>SP500</v>
      </c>
      <c r="D4346" s="2">
        <f t="shared" si="4"/>
        <v>5104.92</v>
      </c>
      <c r="E4346" s="2">
        <f t="shared" si="5"/>
        <v>5104.92</v>
      </c>
      <c r="G4346" s="10">
        <f t="shared" si="9"/>
        <v>42328.64583</v>
      </c>
      <c r="H4346" s="6" t="str">
        <f t="shared" si="6"/>
        <v/>
      </c>
      <c r="I4346" s="2">
        <f t="shared" si="7"/>
        <v>1426.89</v>
      </c>
      <c r="M4346" s="10">
        <f>IFERROR(__xludf.DUMMYFUNCTION("""COMPUTED_VALUE"""),44285.66666666667)</f>
        <v>44285.66667</v>
      </c>
      <c r="N4346" s="2">
        <f>IFERROR(__xludf.DUMMYFUNCTION("""COMPUTED_VALUE"""),13045.39)</f>
        <v>13045.39</v>
      </c>
      <c r="P4346" s="10">
        <f t="shared" si="10"/>
        <v>39401.64583</v>
      </c>
      <c r="Q4346" s="15">
        <v>1947.74</v>
      </c>
      <c r="R4346" s="17">
        <v>39401.0</v>
      </c>
    </row>
    <row r="4347">
      <c r="A4347" s="10">
        <f t="shared" si="8"/>
        <v>42329.66667</v>
      </c>
      <c r="B4347" s="2" t="str">
        <f t="shared" si="2"/>
        <v/>
      </c>
      <c r="C4347" s="2" t="str">
        <f t="shared" si="3"/>
        <v>SP500</v>
      </c>
      <c r="D4347" s="2" t="str">
        <f t="shared" si="4"/>
        <v/>
      </c>
      <c r="E4347" s="2">
        <f t="shared" si="5"/>
        <v>5104.92</v>
      </c>
      <c r="G4347" s="10">
        <f t="shared" si="9"/>
        <v>42329.64583</v>
      </c>
      <c r="H4347" s="6" t="str">
        <f t="shared" si="6"/>
        <v/>
      </c>
      <c r="I4347" s="2">
        <f t="shared" si="7"/>
        <v>1426.89</v>
      </c>
      <c r="M4347" s="10">
        <f>IFERROR(__xludf.DUMMYFUNCTION("""COMPUTED_VALUE"""),44286.66666666667)</f>
        <v>44286.66667</v>
      </c>
      <c r="N4347" s="2">
        <f>IFERROR(__xludf.DUMMYFUNCTION("""COMPUTED_VALUE"""),13246.87)</f>
        <v>13246.87</v>
      </c>
      <c r="P4347" s="10">
        <f t="shared" si="10"/>
        <v>39400.64583</v>
      </c>
      <c r="Q4347" s="15">
        <v>1972.58</v>
      </c>
      <c r="R4347" s="17">
        <v>39400.0</v>
      </c>
    </row>
    <row r="4348">
      <c r="A4348" s="10">
        <f t="shared" si="8"/>
        <v>42330.66667</v>
      </c>
      <c r="B4348" s="2" t="str">
        <f t="shared" si="2"/>
        <v/>
      </c>
      <c r="C4348" s="2" t="str">
        <f t="shared" si="3"/>
        <v>SP500</v>
      </c>
      <c r="D4348" s="2" t="str">
        <f t="shared" si="4"/>
        <v/>
      </c>
      <c r="E4348" s="2">
        <f t="shared" si="5"/>
        <v>5104.92</v>
      </c>
      <c r="G4348" s="10">
        <f t="shared" si="9"/>
        <v>42330.64583</v>
      </c>
      <c r="H4348" s="6" t="str">
        <f t="shared" si="6"/>
        <v/>
      </c>
      <c r="I4348" s="2">
        <f t="shared" si="7"/>
        <v>1426.89</v>
      </c>
      <c r="M4348" s="10">
        <f>IFERROR(__xludf.DUMMYFUNCTION("""COMPUTED_VALUE"""),44287.66666666667)</f>
        <v>44287.66667</v>
      </c>
      <c r="N4348" s="2">
        <f>IFERROR(__xludf.DUMMYFUNCTION("""COMPUTED_VALUE"""),13480.11)</f>
        <v>13480.11</v>
      </c>
      <c r="P4348" s="10">
        <f t="shared" si="10"/>
        <v>39399.64583</v>
      </c>
      <c r="Q4348" s="15">
        <v>1932.89</v>
      </c>
      <c r="R4348" s="17">
        <v>39399.0</v>
      </c>
    </row>
    <row r="4349">
      <c r="A4349" s="10">
        <f t="shared" si="8"/>
        <v>42331.66667</v>
      </c>
      <c r="B4349" s="2" t="str">
        <f t="shared" si="2"/>
        <v/>
      </c>
      <c r="C4349" s="2" t="str">
        <f t="shared" si="3"/>
        <v>SP500</v>
      </c>
      <c r="D4349" s="2">
        <f t="shared" si="4"/>
        <v>5102.48</v>
      </c>
      <c r="E4349" s="2">
        <f t="shared" si="5"/>
        <v>5102.48</v>
      </c>
      <c r="G4349" s="10">
        <f t="shared" si="9"/>
        <v>42331.64583</v>
      </c>
      <c r="H4349" s="6" t="str">
        <f t="shared" si="6"/>
        <v/>
      </c>
      <c r="I4349" s="2">
        <f t="shared" si="7"/>
        <v>1426.89</v>
      </c>
      <c r="M4349" s="10">
        <f>IFERROR(__xludf.DUMMYFUNCTION("""COMPUTED_VALUE"""),44291.66666666667)</f>
        <v>44291.66667</v>
      </c>
      <c r="N4349" s="2">
        <f>IFERROR(__xludf.DUMMYFUNCTION("""COMPUTED_VALUE"""),13705.59)</f>
        <v>13705.59</v>
      </c>
      <c r="P4349" s="10">
        <f t="shared" si="10"/>
        <v>39398.64583</v>
      </c>
      <c r="Q4349" s="15">
        <v>1923.42</v>
      </c>
      <c r="R4349" s="17">
        <v>39398.0</v>
      </c>
    </row>
    <row r="4350">
      <c r="A4350" s="10">
        <f t="shared" si="8"/>
        <v>42332.66667</v>
      </c>
      <c r="B4350" s="2" t="str">
        <f t="shared" si="2"/>
        <v/>
      </c>
      <c r="C4350" s="2" t="str">
        <f t="shared" si="3"/>
        <v>SP500</v>
      </c>
      <c r="D4350" s="2">
        <f t="shared" si="4"/>
        <v>5102.81</v>
      </c>
      <c r="E4350" s="2">
        <f t="shared" si="5"/>
        <v>5102.81</v>
      </c>
      <c r="G4350" s="10">
        <f t="shared" si="9"/>
        <v>42332.64583</v>
      </c>
      <c r="H4350" s="6" t="str">
        <f t="shared" si="6"/>
        <v/>
      </c>
      <c r="I4350" s="2">
        <f t="shared" si="7"/>
        <v>1426.89</v>
      </c>
      <c r="M4350" s="10">
        <f>IFERROR(__xludf.DUMMYFUNCTION("""COMPUTED_VALUE"""),44292.66666666667)</f>
        <v>44292.66667</v>
      </c>
      <c r="N4350" s="2">
        <f>IFERROR(__xludf.DUMMYFUNCTION("""COMPUTED_VALUE"""),13698.38)</f>
        <v>13698.38</v>
      </c>
      <c r="P4350" s="10">
        <f t="shared" si="10"/>
        <v>39395.64583</v>
      </c>
      <c r="Q4350" s="15">
        <v>1990.47</v>
      </c>
      <c r="R4350" s="18">
        <v>39395.0</v>
      </c>
    </row>
    <row r="4351">
      <c r="A4351" s="10">
        <f t="shared" si="8"/>
        <v>42333.66667</v>
      </c>
      <c r="B4351" s="2" t="str">
        <f t="shared" si="2"/>
        <v/>
      </c>
      <c r="C4351" s="2" t="str">
        <f t="shared" si="3"/>
        <v>SP500</v>
      </c>
      <c r="D4351" s="2">
        <f t="shared" si="4"/>
        <v>5116.14</v>
      </c>
      <c r="E4351" s="2">
        <f t="shared" si="5"/>
        <v>5116.14</v>
      </c>
      <c r="G4351" s="10">
        <f t="shared" si="9"/>
        <v>42333.64583</v>
      </c>
      <c r="H4351" s="6" t="str">
        <f t="shared" si="6"/>
        <v/>
      </c>
      <c r="I4351" s="2">
        <f t="shared" si="7"/>
        <v>1426.89</v>
      </c>
      <c r="M4351" s="10">
        <f>IFERROR(__xludf.DUMMYFUNCTION("""COMPUTED_VALUE"""),44293.66666666667)</f>
        <v>44293.66667</v>
      </c>
      <c r="N4351" s="2">
        <f>IFERROR(__xludf.DUMMYFUNCTION("""COMPUTED_VALUE"""),13688.84)</f>
        <v>13688.84</v>
      </c>
      <c r="P4351" s="10">
        <f t="shared" si="10"/>
        <v>39394.64583</v>
      </c>
      <c r="Q4351" s="15">
        <v>1979.56</v>
      </c>
      <c r="R4351" s="18">
        <v>39394.0</v>
      </c>
    </row>
    <row r="4352">
      <c r="A4352" s="10">
        <f t="shared" si="8"/>
        <v>42334.66667</v>
      </c>
      <c r="B4352" s="2" t="str">
        <f t="shared" si="2"/>
        <v/>
      </c>
      <c r="C4352" s="2" t="str">
        <f t="shared" si="3"/>
        <v>SP500</v>
      </c>
      <c r="D4352" s="2" t="str">
        <f t="shared" si="4"/>
        <v/>
      </c>
      <c r="E4352" s="2">
        <f t="shared" si="5"/>
        <v>5116.14</v>
      </c>
      <c r="G4352" s="10">
        <f t="shared" si="9"/>
        <v>42334.64583</v>
      </c>
      <c r="H4352" s="6" t="str">
        <f t="shared" si="6"/>
        <v/>
      </c>
      <c r="I4352" s="2">
        <f t="shared" si="7"/>
        <v>1426.89</v>
      </c>
      <c r="M4352" s="10">
        <f>IFERROR(__xludf.DUMMYFUNCTION("""COMPUTED_VALUE"""),44294.66666666667)</f>
        <v>44294.66667</v>
      </c>
      <c r="N4352" s="2">
        <f>IFERROR(__xludf.DUMMYFUNCTION("""COMPUTED_VALUE"""),13829.31)</f>
        <v>13829.31</v>
      </c>
      <c r="P4352" s="10">
        <f t="shared" si="10"/>
        <v>39393.64583</v>
      </c>
      <c r="Q4352" s="15">
        <v>2043.19</v>
      </c>
      <c r="R4352" s="18">
        <v>39393.0</v>
      </c>
    </row>
    <row r="4353">
      <c r="A4353" s="10">
        <f t="shared" si="8"/>
        <v>42335.66667</v>
      </c>
      <c r="B4353" s="2" t="str">
        <f t="shared" si="2"/>
        <v/>
      </c>
      <c r="C4353" s="2" t="str">
        <f t="shared" si="3"/>
        <v>SP500</v>
      </c>
      <c r="D4353" s="2">
        <f t="shared" si="4"/>
        <v>5127.52</v>
      </c>
      <c r="E4353" s="2">
        <f t="shared" si="5"/>
        <v>5127.52</v>
      </c>
      <c r="G4353" s="10">
        <f t="shared" si="9"/>
        <v>42335.64583</v>
      </c>
      <c r="H4353" s="6" t="str">
        <f t="shared" si="6"/>
        <v/>
      </c>
      <c r="I4353" s="2">
        <f t="shared" si="7"/>
        <v>1426.89</v>
      </c>
      <c r="M4353" s="10">
        <f>IFERROR(__xludf.DUMMYFUNCTION("""COMPUTED_VALUE"""),44295.66666666667)</f>
        <v>44295.66667</v>
      </c>
      <c r="N4353" s="2">
        <f>IFERROR(__xludf.DUMMYFUNCTION("""COMPUTED_VALUE"""),13900.19)</f>
        <v>13900.19</v>
      </c>
      <c r="P4353" s="10">
        <f t="shared" si="10"/>
        <v>39392.64583</v>
      </c>
      <c r="Q4353" s="15">
        <v>2054.24</v>
      </c>
      <c r="R4353" s="18">
        <v>39392.0</v>
      </c>
    </row>
    <row r="4354">
      <c r="A4354" s="10">
        <f t="shared" si="8"/>
        <v>42336.66667</v>
      </c>
      <c r="B4354" s="2" t="str">
        <f t="shared" si="2"/>
        <v/>
      </c>
      <c r="C4354" s="2" t="str">
        <f t="shared" si="3"/>
        <v>SP500</v>
      </c>
      <c r="D4354" s="2" t="str">
        <f t="shared" si="4"/>
        <v/>
      </c>
      <c r="E4354" s="2">
        <f t="shared" si="5"/>
        <v>5127.52</v>
      </c>
      <c r="G4354" s="10">
        <f t="shared" si="9"/>
        <v>42336.64583</v>
      </c>
      <c r="H4354" s="6" t="str">
        <f t="shared" si="6"/>
        <v/>
      </c>
      <c r="I4354" s="2">
        <f t="shared" si="7"/>
        <v>1426.89</v>
      </c>
      <c r="M4354" s="10">
        <f>IFERROR(__xludf.DUMMYFUNCTION("""COMPUTED_VALUE"""),44298.66666666667)</f>
        <v>44298.66667</v>
      </c>
      <c r="N4354" s="2">
        <f>IFERROR(__xludf.DUMMYFUNCTION("""COMPUTED_VALUE"""),13850.0)</f>
        <v>13850</v>
      </c>
      <c r="P4354" s="10">
        <f t="shared" si="10"/>
        <v>39391.64583</v>
      </c>
      <c r="Q4354" s="15">
        <v>2015.76</v>
      </c>
      <c r="R4354" s="18">
        <v>39391.0</v>
      </c>
    </row>
    <row r="4355">
      <c r="A4355" s="10">
        <f t="shared" si="8"/>
        <v>42337.66667</v>
      </c>
      <c r="B4355" s="2" t="str">
        <f t="shared" si="2"/>
        <v/>
      </c>
      <c r="C4355" s="2" t="str">
        <f t="shared" si="3"/>
        <v>SP500</v>
      </c>
      <c r="D4355" s="2" t="str">
        <f t="shared" si="4"/>
        <v/>
      </c>
      <c r="E4355" s="2">
        <f t="shared" si="5"/>
        <v>5127.52</v>
      </c>
      <c r="G4355" s="10">
        <f t="shared" si="9"/>
        <v>42337.64583</v>
      </c>
      <c r="H4355" s="6" t="str">
        <f t="shared" si="6"/>
        <v/>
      </c>
      <c r="I4355" s="2">
        <f t="shared" si="7"/>
        <v>1426.89</v>
      </c>
      <c r="M4355" s="10">
        <f>IFERROR(__xludf.DUMMYFUNCTION("""COMPUTED_VALUE"""),44299.66666666667)</f>
        <v>44299.66667</v>
      </c>
      <c r="N4355" s="2">
        <f>IFERROR(__xludf.DUMMYFUNCTION("""COMPUTED_VALUE"""),13996.1)</f>
        <v>13996.1</v>
      </c>
      <c r="P4355" s="10">
        <f t="shared" si="10"/>
        <v>39388.64583</v>
      </c>
      <c r="Q4355" s="15">
        <v>2019.34</v>
      </c>
      <c r="R4355" s="18">
        <v>39388.0</v>
      </c>
    </row>
    <row r="4356">
      <c r="A4356" s="10">
        <f t="shared" si="8"/>
        <v>42338.66667</v>
      </c>
      <c r="B4356" s="2" t="str">
        <f t="shared" si="2"/>
        <v/>
      </c>
      <c r="C4356" s="2" t="str">
        <f t="shared" si="3"/>
        <v>SP500</v>
      </c>
      <c r="D4356" s="2">
        <f t="shared" si="4"/>
        <v>5108.67</v>
      </c>
      <c r="E4356" s="2">
        <f t="shared" si="5"/>
        <v>5108.67</v>
      </c>
      <c r="G4356" s="10">
        <f t="shared" si="9"/>
        <v>42338.64583</v>
      </c>
      <c r="H4356" s="6" t="str">
        <f t="shared" si="6"/>
        <v/>
      </c>
      <c r="I4356" s="2">
        <f t="shared" si="7"/>
        <v>1426.89</v>
      </c>
      <c r="M4356" s="10">
        <f>IFERROR(__xludf.DUMMYFUNCTION("""COMPUTED_VALUE"""),44300.66666666667)</f>
        <v>44300.66667</v>
      </c>
      <c r="N4356" s="2">
        <f>IFERROR(__xludf.DUMMYFUNCTION("""COMPUTED_VALUE"""),13857.84)</f>
        <v>13857.84</v>
      </c>
      <c r="P4356" s="10">
        <f t="shared" si="10"/>
        <v>39387.64583</v>
      </c>
      <c r="Q4356" s="15">
        <v>2063.14</v>
      </c>
      <c r="R4356" s="18">
        <v>39387.0</v>
      </c>
    </row>
    <row r="4357">
      <c r="A4357" s="10">
        <f t="shared" si="8"/>
        <v>42339.66667</v>
      </c>
      <c r="B4357" s="2" t="str">
        <f t="shared" si="2"/>
        <v/>
      </c>
      <c r="C4357" s="2" t="str">
        <f t="shared" si="3"/>
        <v>SP500</v>
      </c>
      <c r="D4357" s="2">
        <f t="shared" si="4"/>
        <v>5156.31</v>
      </c>
      <c r="E4357" s="2">
        <f t="shared" si="5"/>
        <v>5156.31</v>
      </c>
      <c r="G4357" s="10">
        <f t="shared" si="9"/>
        <v>42339.64583</v>
      </c>
      <c r="H4357" s="6" t="str">
        <f t="shared" si="6"/>
        <v/>
      </c>
      <c r="I4357" s="2">
        <f t="shared" si="7"/>
        <v>1426.89</v>
      </c>
      <c r="M4357" s="10">
        <f>IFERROR(__xludf.DUMMYFUNCTION("""COMPUTED_VALUE"""),44301.66666666667)</f>
        <v>44301.66667</v>
      </c>
      <c r="N4357" s="2">
        <f>IFERROR(__xludf.DUMMYFUNCTION("""COMPUTED_VALUE"""),14038.76)</f>
        <v>14038.76</v>
      </c>
      <c r="P4357" s="10">
        <f t="shared" si="10"/>
        <v>39386.64583</v>
      </c>
      <c r="Q4357" s="15">
        <v>2064.85</v>
      </c>
      <c r="R4357" s="17">
        <v>39386.0</v>
      </c>
    </row>
    <row r="4358">
      <c r="A4358" s="10">
        <f t="shared" si="8"/>
        <v>42340.66667</v>
      </c>
      <c r="B4358" s="2" t="str">
        <f t="shared" si="2"/>
        <v/>
      </c>
      <c r="C4358" s="2" t="str">
        <f t="shared" si="3"/>
        <v>SP500</v>
      </c>
      <c r="D4358" s="2">
        <f t="shared" si="4"/>
        <v>5123.22</v>
      </c>
      <c r="E4358" s="2">
        <f t="shared" si="5"/>
        <v>5123.22</v>
      </c>
      <c r="G4358" s="10">
        <f t="shared" si="9"/>
        <v>42340.64583</v>
      </c>
      <c r="H4358" s="6" t="str">
        <f t="shared" si="6"/>
        <v/>
      </c>
      <c r="I4358" s="2">
        <f t="shared" si="7"/>
        <v>1426.89</v>
      </c>
      <c r="M4358" s="10">
        <f>IFERROR(__xludf.DUMMYFUNCTION("""COMPUTED_VALUE"""),44302.66666666667)</f>
        <v>44302.66667</v>
      </c>
      <c r="N4358" s="2">
        <f>IFERROR(__xludf.DUMMYFUNCTION("""COMPUTED_VALUE"""),14052.34)</f>
        <v>14052.34</v>
      </c>
      <c r="P4358" s="10">
        <f t="shared" si="10"/>
        <v>39385.64583</v>
      </c>
      <c r="Q4358" s="15">
        <v>2052.37</v>
      </c>
      <c r="R4358" s="17">
        <v>39385.0</v>
      </c>
    </row>
    <row r="4359">
      <c r="A4359" s="10">
        <f t="shared" si="8"/>
        <v>42341.66667</v>
      </c>
      <c r="B4359" s="2" t="str">
        <f t="shared" si="2"/>
        <v/>
      </c>
      <c r="C4359" s="2" t="str">
        <f t="shared" si="3"/>
        <v>SP500</v>
      </c>
      <c r="D4359" s="2">
        <f t="shared" si="4"/>
        <v>5037.53</v>
      </c>
      <c r="E4359" s="2">
        <f t="shared" si="5"/>
        <v>5037.53</v>
      </c>
      <c r="G4359" s="10">
        <f t="shared" si="9"/>
        <v>42341.64583</v>
      </c>
      <c r="H4359" s="6" t="str">
        <f t="shared" si="6"/>
        <v/>
      </c>
      <c r="I4359" s="2">
        <f t="shared" si="7"/>
        <v>1426.89</v>
      </c>
      <c r="M4359" s="10">
        <f>IFERROR(__xludf.DUMMYFUNCTION("""COMPUTED_VALUE"""),44305.66666666667)</f>
        <v>44305.66667</v>
      </c>
      <c r="N4359" s="2">
        <f>IFERROR(__xludf.DUMMYFUNCTION("""COMPUTED_VALUE"""),13914.77)</f>
        <v>13914.77</v>
      </c>
      <c r="P4359" s="10">
        <f t="shared" si="10"/>
        <v>39384.64583</v>
      </c>
      <c r="Q4359" s="15">
        <v>2062.92</v>
      </c>
      <c r="R4359" s="17">
        <v>39384.0</v>
      </c>
    </row>
    <row r="4360">
      <c r="A4360" s="10">
        <f t="shared" si="8"/>
        <v>42342.66667</v>
      </c>
      <c r="B4360" s="2" t="str">
        <f t="shared" si="2"/>
        <v/>
      </c>
      <c r="C4360" s="2" t="str">
        <f t="shared" si="3"/>
        <v>SP500</v>
      </c>
      <c r="D4360" s="2">
        <f t="shared" si="4"/>
        <v>5142.27</v>
      </c>
      <c r="E4360" s="2">
        <f t="shared" si="5"/>
        <v>5142.27</v>
      </c>
      <c r="G4360" s="10">
        <f t="shared" si="9"/>
        <v>42342.64583</v>
      </c>
      <c r="H4360" s="6" t="str">
        <f t="shared" si="6"/>
        <v/>
      </c>
      <c r="I4360" s="2">
        <f t="shared" si="7"/>
        <v>1426.89</v>
      </c>
      <c r="M4360" s="10">
        <f>IFERROR(__xludf.DUMMYFUNCTION("""COMPUTED_VALUE"""),44306.66666666667)</f>
        <v>44306.66667</v>
      </c>
      <c r="N4360" s="2">
        <f>IFERROR(__xludf.DUMMYFUNCTION("""COMPUTED_VALUE"""),13786.27)</f>
        <v>13786.27</v>
      </c>
      <c r="P4360" s="10">
        <f t="shared" si="10"/>
        <v>39381.64583</v>
      </c>
      <c r="Q4360" s="15">
        <v>2028.06</v>
      </c>
      <c r="R4360" s="17">
        <v>39381.0</v>
      </c>
    </row>
    <row r="4361">
      <c r="A4361" s="10">
        <f t="shared" si="8"/>
        <v>42343.66667</v>
      </c>
      <c r="B4361" s="2" t="str">
        <f t="shared" si="2"/>
        <v/>
      </c>
      <c r="C4361" s="2" t="str">
        <f t="shared" si="3"/>
        <v>SP500</v>
      </c>
      <c r="D4361" s="2" t="str">
        <f t="shared" si="4"/>
        <v/>
      </c>
      <c r="E4361" s="2">
        <f t="shared" si="5"/>
        <v>5142.27</v>
      </c>
      <c r="G4361" s="10">
        <f t="shared" si="9"/>
        <v>42343.64583</v>
      </c>
      <c r="H4361" s="6" t="str">
        <f t="shared" si="6"/>
        <v/>
      </c>
      <c r="I4361" s="2">
        <f t="shared" si="7"/>
        <v>1426.89</v>
      </c>
      <c r="M4361" s="10">
        <f>IFERROR(__xludf.DUMMYFUNCTION("""COMPUTED_VALUE"""),44307.66666666667)</f>
        <v>44307.66667</v>
      </c>
      <c r="N4361" s="2">
        <f>IFERROR(__xludf.DUMMYFUNCTION("""COMPUTED_VALUE"""),13950.22)</f>
        <v>13950.22</v>
      </c>
      <c r="P4361" s="10">
        <f t="shared" si="10"/>
        <v>39380.64583</v>
      </c>
      <c r="Q4361" s="15">
        <v>1976.75</v>
      </c>
      <c r="R4361" s="17">
        <v>39380.0</v>
      </c>
    </row>
    <row r="4362">
      <c r="A4362" s="10">
        <f t="shared" si="8"/>
        <v>42344.66667</v>
      </c>
      <c r="B4362" s="2" t="str">
        <f t="shared" si="2"/>
        <v/>
      </c>
      <c r="C4362" s="2" t="str">
        <f t="shared" si="3"/>
        <v>SP500</v>
      </c>
      <c r="D4362" s="2" t="str">
        <f t="shared" si="4"/>
        <v/>
      </c>
      <c r="E4362" s="2">
        <f t="shared" si="5"/>
        <v>5142.27</v>
      </c>
      <c r="G4362" s="10">
        <f t="shared" si="9"/>
        <v>42344.64583</v>
      </c>
      <c r="H4362" s="6" t="str">
        <f t="shared" si="6"/>
        <v/>
      </c>
      <c r="I4362" s="2">
        <f t="shared" si="7"/>
        <v>1426.89</v>
      </c>
      <c r="M4362" s="10">
        <f>IFERROR(__xludf.DUMMYFUNCTION("""COMPUTED_VALUE"""),44308.66666666667)</f>
        <v>44308.66667</v>
      </c>
      <c r="N4362" s="2">
        <f>IFERROR(__xludf.DUMMYFUNCTION("""COMPUTED_VALUE"""),13818.41)</f>
        <v>13818.41</v>
      </c>
      <c r="P4362" s="10">
        <f t="shared" si="10"/>
        <v>39379.64583</v>
      </c>
      <c r="Q4362" s="15">
        <v>1933.36</v>
      </c>
      <c r="R4362" s="17">
        <v>39379.0</v>
      </c>
    </row>
    <row r="4363">
      <c r="A4363" s="10">
        <f t="shared" si="8"/>
        <v>42345.66667</v>
      </c>
      <c r="B4363" s="2" t="str">
        <f t="shared" si="2"/>
        <v/>
      </c>
      <c r="C4363" s="2" t="str">
        <f t="shared" si="3"/>
        <v>SP500</v>
      </c>
      <c r="D4363" s="2">
        <f t="shared" si="4"/>
        <v>5101.81</v>
      </c>
      <c r="E4363" s="2">
        <f t="shared" si="5"/>
        <v>5101.81</v>
      </c>
      <c r="G4363" s="10">
        <f t="shared" si="9"/>
        <v>42345.64583</v>
      </c>
      <c r="H4363" s="6" t="str">
        <f t="shared" si="6"/>
        <v/>
      </c>
      <c r="I4363" s="2">
        <f t="shared" si="7"/>
        <v>1426.89</v>
      </c>
      <c r="M4363" s="10">
        <f>IFERROR(__xludf.DUMMYFUNCTION("""COMPUTED_VALUE"""),44309.66666666667)</f>
        <v>44309.66667</v>
      </c>
      <c r="N4363" s="2">
        <f>IFERROR(__xludf.DUMMYFUNCTION("""COMPUTED_VALUE"""),14016.81)</f>
        <v>14016.81</v>
      </c>
      <c r="P4363" s="10">
        <f t="shared" si="10"/>
        <v>39378.64583</v>
      </c>
      <c r="Q4363" s="15">
        <v>1947.98</v>
      </c>
      <c r="R4363" s="17">
        <v>39378.0</v>
      </c>
    </row>
    <row r="4364">
      <c r="A4364" s="10">
        <f t="shared" si="8"/>
        <v>42346.66667</v>
      </c>
      <c r="B4364" s="2" t="str">
        <f t="shared" si="2"/>
        <v/>
      </c>
      <c r="C4364" s="2" t="str">
        <f t="shared" si="3"/>
        <v>SP500</v>
      </c>
      <c r="D4364" s="2">
        <f t="shared" si="4"/>
        <v>5098.24</v>
      </c>
      <c r="E4364" s="2">
        <f t="shared" si="5"/>
        <v>5098.24</v>
      </c>
      <c r="G4364" s="10">
        <f t="shared" si="9"/>
        <v>42346.64583</v>
      </c>
      <c r="H4364" s="6" t="str">
        <f t="shared" si="6"/>
        <v/>
      </c>
      <c r="I4364" s="2">
        <f t="shared" si="7"/>
        <v>1426.89</v>
      </c>
      <c r="M4364" s="10">
        <f>IFERROR(__xludf.DUMMYFUNCTION("""COMPUTED_VALUE"""),44312.66666666667)</f>
        <v>44312.66667</v>
      </c>
      <c r="N4364" s="2">
        <f>IFERROR(__xludf.DUMMYFUNCTION("""COMPUTED_VALUE"""),14138.78)</f>
        <v>14138.78</v>
      </c>
      <c r="P4364" s="10">
        <f t="shared" si="10"/>
        <v>39377.64583</v>
      </c>
      <c r="Q4364" s="15">
        <v>1903.81</v>
      </c>
      <c r="R4364" s="17">
        <v>39377.0</v>
      </c>
    </row>
    <row r="4365">
      <c r="A4365" s="10">
        <f t="shared" si="8"/>
        <v>42347.66667</v>
      </c>
      <c r="B4365" s="2" t="str">
        <f t="shared" si="2"/>
        <v/>
      </c>
      <c r="C4365" s="2" t="str">
        <f t="shared" si="3"/>
        <v>SP500</v>
      </c>
      <c r="D4365" s="2">
        <f t="shared" si="4"/>
        <v>5022.87</v>
      </c>
      <c r="E4365" s="2">
        <f t="shared" si="5"/>
        <v>5022.87</v>
      </c>
      <c r="G4365" s="10">
        <f t="shared" si="9"/>
        <v>42347.64583</v>
      </c>
      <c r="H4365" s="6" t="str">
        <f t="shared" si="6"/>
        <v/>
      </c>
      <c r="I4365" s="2">
        <f t="shared" si="7"/>
        <v>1426.89</v>
      </c>
      <c r="M4365" s="10">
        <f>IFERROR(__xludf.DUMMYFUNCTION("""COMPUTED_VALUE"""),44313.66666666667)</f>
        <v>44313.66667</v>
      </c>
      <c r="N4365" s="2">
        <f>IFERROR(__xludf.DUMMYFUNCTION("""COMPUTED_VALUE"""),14090.22)</f>
        <v>14090.22</v>
      </c>
      <c r="P4365" s="10">
        <f t="shared" si="10"/>
        <v>39374.64583</v>
      </c>
      <c r="Q4365" s="15">
        <v>1970.1</v>
      </c>
      <c r="R4365" s="17">
        <v>39374.0</v>
      </c>
    </row>
    <row r="4366">
      <c r="A4366" s="10">
        <f t="shared" si="8"/>
        <v>42348.66667</v>
      </c>
      <c r="B4366" s="2" t="str">
        <f t="shared" si="2"/>
        <v/>
      </c>
      <c r="C4366" s="2" t="str">
        <f t="shared" si="3"/>
        <v>SP500</v>
      </c>
      <c r="D4366" s="2">
        <f t="shared" si="4"/>
        <v>5045.17</v>
      </c>
      <c r="E4366" s="2">
        <f t="shared" si="5"/>
        <v>5045.17</v>
      </c>
      <c r="G4366" s="10">
        <f t="shared" si="9"/>
        <v>42348.64583</v>
      </c>
      <c r="H4366" s="6" t="str">
        <f t="shared" si="6"/>
        <v/>
      </c>
      <c r="I4366" s="2">
        <f t="shared" si="7"/>
        <v>1426.89</v>
      </c>
      <c r="M4366" s="10">
        <f>IFERROR(__xludf.DUMMYFUNCTION("""COMPUTED_VALUE"""),44314.66666666667)</f>
        <v>44314.66667</v>
      </c>
      <c r="N4366" s="2">
        <f>IFERROR(__xludf.DUMMYFUNCTION("""COMPUTED_VALUE"""),14051.03)</f>
        <v>14051.03</v>
      </c>
      <c r="P4366" s="10">
        <f t="shared" si="10"/>
        <v>39373.64583</v>
      </c>
      <c r="Q4366" s="15">
        <v>2005.09</v>
      </c>
      <c r="R4366" s="17">
        <v>39373.0</v>
      </c>
    </row>
    <row r="4367">
      <c r="A4367" s="10">
        <f t="shared" si="8"/>
        <v>42349.66667</v>
      </c>
      <c r="B4367" s="2" t="str">
        <f t="shared" si="2"/>
        <v/>
      </c>
      <c r="C4367" s="2" t="str">
        <f t="shared" si="3"/>
        <v>SP500</v>
      </c>
      <c r="D4367" s="2">
        <f t="shared" si="4"/>
        <v>4933.47</v>
      </c>
      <c r="E4367" s="2">
        <f t="shared" si="5"/>
        <v>4933.47</v>
      </c>
      <c r="G4367" s="10">
        <f t="shared" si="9"/>
        <v>42349.64583</v>
      </c>
      <c r="H4367" s="6" t="str">
        <f t="shared" si="6"/>
        <v/>
      </c>
      <c r="I4367" s="2">
        <f t="shared" si="7"/>
        <v>1426.89</v>
      </c>
      <c r="M4367" s="10">
        <f>IFERROR(__xludf.DUMMYFUNCTION("""COMPUTED_VALUE"""),44315.66666666667)</f>
        <v>44315.66667</v>
      </c>
      <c r="N4367" s="2">
        <f>IFERROR(__xludf.DUMMYFUNCTION("""COMPUTED_VALUE"""),14082.55)</f>
        <v>14082.55</v>
      </c>
      <c r="P4367" s="10">
        <f t="shared" si="10"/>
        <v>39372.64583</v>
      </c>
      <c r="Q4367" s="15">
        <v>1983.94</v>
      </c>
      <c r="R4367" s="17">
        <v>39372.0</v>
      </c>
    </row>
    <row r="4368">
      <c r="A4368" s="10">
        <f t="shared" si="8"/>
        <v>42350.66667</v>
      </c>
      <c r="B4368" s="2" t="str">
        <f t="shared" si="2"/>
        <v/>
      </c>
      <c r="C4368" s="2" t="str">
        <f t="shared" si="3"/>
        <v>SP500</v>
      </c>
      <c r="D4368" s="2" t="str">
        <f t="shared" si="4"/>
        <v/>
      </c>
      <c r="E4368" s="2">
        <f t="shared" si="5"/>
        <v>4933.47</v>
      </c>
      <c r="G4368" s="10">
        <f t="shared" si="9"/>
        <v>42350.64583</v>
      </c>
      <c r="H4368" s="6" t="str">
        <f t="shared" si="6"/>
        <v/>
      </c>
      <c r="I4368" s="2">
        <f t="shared" si="7"/>
        <v>1426.89</v>
      </c>
      <c r="M4368" s="10">
        <f>IFERROR(__xludf.DUMMYFUNCTION("""COMPUTED_VALUE"""),44316.66666666667)</f>
        <v>44316.66667</v>
      </c>
      <c r="N4368" s="2">
        <f>IFERROR(__xludf.DUMMYFUNCTION("""COMPUTED_VALUE"""),13962.68)</f>
        <v>13962.68</v>
      </c>
      <c r="P4368" s="10">
        <f t="shared" si="10"/>
        <v>39371.64583</v>
      </c>
      <c r="Q4368" s="15">
        <v>2005.76</v>
      </c>
      <c r="R4368" s="17">
        <v>39371.0</v>
      </c>
    </row>
    <row r="4369">
      <c r="A4369" s="10">
        <f t="shared" si="8"/>
        <v>42351.66667</v>
      </c>
      <c r="B4369" s="2" t="str">
        <f t="shared" si="2"/>
        <v/>
      </c>
      <c r="C4369" s="2" t="str">
        <f t="shared" si="3"/>
        <v>SP500</v>
      </c>
      <c r="D4369" s="2" t="str">
        <f t="shared" si="4"/>
        <v/>
      </c>
      <c r="E4369" s="2">
        <f t="shared" si="5"/>
        <v>4933.47</v>
      </c>
      <c r="G4369" s="10">
        <f t="shared" si="9"/>
        <v>42351.64583</v>
      </c>
      <c r="H4369" s="6" t="str">
        <f t="shared" si="6"/>
        <v/>
      </c>
      <c r="I4369" s="2">
        <f t="shared" si="7"/>
        <v>1426.89</v>
      </c>
      <c r="M4369" s="10">
        <f>IFERROR(__xludf.DUMMYFUNCTION("""COMPUTED_VALUE"""),44319.66666666667)</f>
        <v>44319.66667</v>
      </c>
      <c r="N4369" s="2">
        <f>IFERROR(__xludf.DUMMYFUNCTION("""COMPUTED_VALUE"""),13895.12)</f>
        <v>13895.12</v>
      </c>
      <c r="P4369" s="10">
        <f t="shared" si="10"/>
        <v>39370.64583</v>
      </c>
      <c r="Q4369" s="15">
        <v>2035.39</v>
      </c>
      <c r="R4369" s="17">
        <v>39370.0</v>
      </c>
    </row>
    <row r="4370">
      <c r="A4370" s="10">
        <f t="shared" si="8"/>
        <v>42352.66667</v>
      </c>
      <c r="B4370" s="2" t="str">
        <f t="shared" si="2"/>
        <v/>
      </c>
      <c r="C4370" s="2" t="str">
        <f t="shared" si="3"/>
        <v>SP500</v>
      </c>
      <c r="D4370" s="2">
        <f t="shared" si="4"/>
        <v>4952.23</v>
      </c>
      <c r="E4370" s="2">
        <f t="shared" si="5"/>
        <v>4952.23</v>
      </c>
      <c r="G4370" s="10">
        <f t="shared" si="9"/>
        <v>42352.64583</v>
      </c>
      <c r="H4370" s="6" t="str">
        <f t="shared" si="6"/>
        <v/>
      </c>
      <c r="I4370" s="2">
        <f t="shared" si="7"/>
        <v>1426.89</v>
      </c>
      <c r="M4370" s="10">
        <f>IFERROR(__xludf.DUMMYFUNCTION("""COMPUTED_VALUE"""),44320.66666666667)</f>
        <v>44320.66667</v>
      </c>
      <c r="N4370" s="2">
        <f>IFERROR(__xludf.DUMMYFUNCTION("""COMPUTED_VALUE"""),13633.5)</f>
        <v>13633.5</v>
      </c>
      <c r="P4370" s="10">
        <f t="shared" si="10"/>
        <v>39367.64583</v>
      </c>
      <c r="Q4370" s="15">
        <v>2026.44</v>
      </c>
      <c r="R4370" s="17">
        <v>39367.0</v>
      </c>
    </row>
    <row r="4371">
      <c r="A4371" s="10">
        <f t="shared" si="8"/>
        <v>42353.66667</v>
      </c>
      <c r="B4371" s="2" t="str">
        <f t="shared" si="2"/>
        <v/>
      </c>
      <c r="C4371" s="2" t="str">
        <f t="shared" si="3"/>
        <v>SP500</v>
      </c>
      <c r="D4371" s="2">
        <f t="shared" si="4"/>
        <v>4995.36</v>
      </c>
      <c r="E4371" s="2">
        <f t="shared" si="5"/>
        <v>4995.36</v>
      </c>
      <c r="G4371" s="10">
        <f t="shared" si="9"/>
        <v>42353.64583</v>
      </c>
      <c r="H4371" s="6" t="str">
        <f t="shared" si="6"/>
        <v/>
      </c>
      <c r="I4371" s="2">
        <f t="shared" si="7"/>
        <v>1426.89</v>
      </c>
      <c r="M4371" s="10">
        <f>IFERROR(__xludf.DUMMYFUNCTION("""COMPUTED_VALUE"""),44321.66666666667)</f>
        <v>44321.66667</v>
      </c>
      <c r="N4371" s="2">
        <f>IFERROR(__xludf.DUMMYFUNCTION("""COMPUTED_VALUE"""),13582.43)</f>
        <v>13582.43</v>
      </c>
      <c r="P4371" s="10">
        <f t="shared" si="10"/>
        <v>39366.64583</v>
      </c>
      <c r="Q4371" s="15">
        <v>2058.85</v>
      </c>
      <c r="R4371" s="17">
        <v>39366.0</v>
      </c>
    </row>
    <row r="4372">
      <c r="A4372" s="10">
        <f t="shared" si="8"/>
        <v>42354.66667</v>
      </c>
      <c r="B4372" s="2" t="str">
        <f t="shared" si="2"/>
        <v/>
      </c>
      <c r="C4372" s="2" t="str">
        <f t="shared" si="3"/>
        <v>SP500</v>
      </c>
      <c r="D4372" s="2">
        <f t="shared" si="4"/>
        <v>5071.13</v>
      </c>
      <c r="E4372" s="2">
        <f t="shared" si="5"/>
        <v>5071.13</v>
      </c>
      <c r="G4372" s="10">
        <f t="shared" si="9"/>
        <v>42354.64583</v>
      </c>
      <c r="H4372" s="6" t="str">
        <f t="shared" si="6"/>
        <v/>
      </c>
      <c r="I4372" s="2">
        <f t="shared" si="7"/>
        <v>1426.89</v>
      </c>
      <c r="M4372" s="10">
        <f>IFERROR(__xludf.DUMMYFUNCTION("""COMPUTED_VALUE"""),44322.66666666667)</f>
        <v>44322.66667</v>
      </c>
      <c r="N4372" s="2">
        <f>IFERROR(__xludf.DUMMYFUNCTION("""COMPUTED_VALUE"""),13632.84)</f>
        <v>13632.84</v>
      </c>
      <c r="P4372" s="10">
        <f t="shared" si="10"/>
        <v>39365.64583</v>
      </c>
      <c r="Q4372" s="15">
        <v>2041.12</v>
      </c>
      <c r="R4372" s="17">
        <v>39365.0</v>
      </c>
    </row>
    <row r="4373">
      <c r="A4373" s="10">
        <f t="shared" si="8"/>
        <v>42355.66667</v>
      </c>
      <c r="B4373" s="2" t="str">
        <f t="shared" si="2"/>
        <v/>
      </c>
      <c r="C4373" s="2" t="str">
        <f t="shared" si="3"/>
        <v>SP500</v>
      </c>
      <c r="D4373" s="2">
        <f t="shared" si="4"/>
        <v>5002.55</v>
      </c>
      <c r="E4373" s="2">
        <f t="shared" si="5"/>
        <v>5002.55</v>
      </c>
      <c r="G4373" s="10">
        <f t="shared" si="9"/>
        <v>42355.64583</v>
      </c>
      <c r="H4373" s="6" t="str">
        <f t="shared" si="6"/>
        <v/>
      </c>
      <c r="I4373" s="2">
        <f t="shared" si="7"/>
        <v>1426.89</v>
      </c>
      <c r="M4373" s="10">
        <f>IFERROR(__xludf.DUMMYFUNCTION("""COMPUTED_VALUE"""),44323.66666666667)</f>
        <v>44323.66667</v>
      </c>
      <c r="N4373" s="2">
        <f>IFERROR(__xludf.DUMMYFUNCTION("""COMPUTED_VALUE"""),13752.24)</f>
        <v>13752.24</v>
      </c>
      <c r="P4373" s="10">
        <f t="shared" si="10"/>
        <v>39364.64583</v>
      </c>
      <c r="Q4373" s="15">
        <v>2014.13</v>
      </c>
      <c r="R4373" s="18">
        <v>39364.0</v>
      </c>
    </row>
    <row r="4374">
      <c r="A4374" s="10">
        <f t="shared" si="8"/>
        <v>42356.66667</v>
      </c>
      <c r="B4374" s="2" t="str">
        <f t="shared" si="2"/>
        <v/>
      </c>
      <c r="C4374" s="2" t="str">
        <f t="shared" si="3"/>
        <v>SP500</v>
      </c>
      <c r="D4374" s="2">
        <f t="shared" si="4"/>
        <v>4923.08</v>
      </c>
      <c r="E4374" s="2">
        <f t="shared" si="5"/>
        <v>4923.08</v>
      </c>
      <c r="G4374" s="10">
        <f t="shared" si="9"/>
        <v>42356.64583</v>
      </c>
      <c r="H4374" s="6" t="str">
        <f t="shared" si="6"/>
        <v/>
      </c>
      <c r="I4374" s="2">
        <f t="shared" si="7"/>
        <v>1426.89</v>
      </c>
      <c r="M4374" s="10">
        <f>IFERROR(__xludf.DUMMYFUNCTION("""COMPUTED_VALUE"""),44326.66666666667)</f>
        <v>44326.66667</v>
      </c>
      <c r="N4374" s="2">
        <f>IFERROR(__xludf.DUMMYFUNCTION("""COMPUTED_VALUE"""),13401.86)</f>
        <v>13401.86</v>
      </c>
      <c r="P4374" s="10">
        <f t="shared" si="10"/>
        <v>39363.64583</v>
      </c>
      <c r="Q4374" s="15">
        <v>2012.82</v>
      </c>
      <c r="R4374" s="18">
        <v>39363.0</v>
      </c>
    </row>
    <row r="4375">
      <c r="A4375" s="10">
        <f t="shared" si="8"/>
        <v>42357.66667</v>
      </c>
      <c r="B4375" s="2" t="str">
        <f t="shared" si="2"/>
        <v/>
      </c>
      <c r="C4375" s="2" t="str">
        <f t="shared" si="3"/>
        <v>SP500</v>
      </c>
      <c r="D4375" s="2" t="str">
        <f t="shared" si="4"/>
        <v/>
      </c>
      <c r="E4375" s="2">
        <f t="shared" si="5"/>
        <v>4923.08</v>
      </c>
      <c r="G4375" s="10">
        <f t="shared" si="9"/>
        <v>42357.64583</v>
      </c>
      <c r="H4375" s="6" t="str">
        <f t="shared" si="6"/>
        <v/>
      </c>
      <c r="I4375" s="2">
        <f t="shared" si="7"/>
        <v>1426.89</v>
      </c>
      <c r="M4375" s="10">
        <f>IFERROR(__xludf.DUMMYFUNCTION("""COMPUTED_VALUE"""),44327.66666666667)</f>
        <v>44327.66667</v>
      </c>
      <c r="N4375" s="2">
        <f>IFERROR(__xludf.DUMMYFUNCTION("""COMPUTED_VALUE"""),13389.43)</f>
        <v>13389.43</v>
      </c>
      <c r="P4375" s="10">
        <f t="shared" si="10"/>
        <v>39360.64583</v>
      </c>
      <c r="Q4375" s="15">
        <v>1996.03</v>
      </c>
      <c r="R4375" s="18">
        <v>39360.0</v>
      </c>
    </row>
    <row r="4376">
      <c r="A4376" s="10">
        <f t="shared" si="8"/>
        <v>42358.66667</v>
      </c>
      <c r="B4376" s="2" t="str">
        <f t="shared" si="2"/>
        <v/>
      </c>
      <c r="C4376" s="2" t="str">
        <f t="shared" si="3"/>
        <v>SP500</v>
      </c>
      <c r="D4376" s="2" t="str">
        <f t="shared" si="4"/>
        <v/>
      </c>
      <c r="E4376" s="2">
        <f t="shared" si="5"/>
        <v>4923.08</v>
      </c>
      <c r="G4376" s="10">
        <f t="shared" si="9"/>
        <v>42358.64583</v>
      </c>
      <c r="H4376" s="6" t="str">
        <f t="shared" si="6"/>
        <v/>
      </c>
      <c r="I4376" s="2">
        <f t="shared" si="7"/>
        <v>1426.89</v>
      </c>
      <c r="M4376" s="10">
        <f>IFERROR(__xludf.DUMMYFUNCTION("""COMPUTED_VALUE"""),44328.66666666667)</f>
        <v>44328.66667</v>
      </c>
      <c r="N4376" s="2">
        <f>IFERROR(__xludf.DUMMYFUNCTION("""COMPUTED_VALUE"""),13031.68)</f>
        <v>13031.68</v>
      </c>
      <c r="P4376" s="10">
        <f t="shared" si="10"/>
        <v>39359.64583</v>
      </c>
      <c r="Q4376" s="15">
        <v>2003.6</v>
      </c>
      <c r="R4376" s="18">
        <v>39359.0</v>
      </c>
    </row>
    <row r="4377">
      <c r="A4377" s="10">
        <f t="shared" si="8"/>
        <v>42359.66667</v>
      </c>
      <c r="B4377" s="2" t="str">
        <f t="shared" si="2"/>
        <v/>
      </c>
      <c r="C4377" s="2" t="str">
        <f t="shared" si="3"/>
        <v>SP500</v>
      </c>
      <c r="D4377" s="2">
        <f t="shared" si="4"/>
        <v>4968.92</v>
      </c>
      <c r="E4377" s="2">
        <f t="shared" si="5"/>
        <v>4968.92</v>
      </c>
      <c r="G4377" s="10">
        <f t="shared" si="9"/>
        <v>42359.64583</v>
      </c>
      <c r="H4377" s="6" t="str">
        <f t="shared" si="6"/>
        <v/>
      </c>
      <c r="I4377" s="2">
        <f t="shared" si="7"/>
        <v>1426.89</v>
      </c>
      <c r="M4377" s="10">
        <f>IFERROR(__xludf.DUMMYFUNCTION("""COMPUTED_VALUE"""),44329.66666666667)</f>
        <v>44329.66667</v>
      </c>
      <c r="N4377" s="2">
        <f>IFERROR(__xludf.DUMMYFUNCTION("""COMPUTED_VALUE"""),13124.99)</f>
        <v>13124.99</v>
      </c>
      <c r="P4377" s="10">
        <f t="shared" si="10"/>
        <v>39357.64583</v>
      </c>
      <c r="Q4377" s="15">
        <v>2014.09</v>
      </c>
      <c r="R4377" s="18">
        <v>39357.0</v>
      </c>
    </row>
    <row r="4378">
      <c r="A4378" s="10">
        <f t="shared" si="8"/>
        <v>42360.66667</v>
      </c>
      <c r="B4378" s="2" t="str">
        <f t="shared" si="2"/>
        <v/>
      </c>
      <c r="C4378" s="2" t="str">
        <f t="shared" si="3"/>
        <v>SP500</v>
      </c>
      <c r="D4378" s="2">
        <f t="shared" si="4"/>
        <v>5001.11</v>
      </c>
      <c r="E4378" s="2">
        <f t="shared" si="5"/>
        <v>5001.11</v>
      </c>
      <c r="G4378" s="10">
        <f t="shared" si="9"/>
        <v>42360.64583</v>
      </c>
      <c r="H4378" s="6" t="str">
        <f t="shared" si="6"/>
        <v/>
      </c>
      <c r="I4378" s="2">
        <f t="shared" si="7"/>
        <v>1426.89</v>
      </c>
      <c r="M4378" s="10">
        <f>IFERROR(__xludf.DUMMYFUNCTION("""COMPUTED_VALUE"""),44330.66666666667)</f>
        <v>44330.66667</v>
      </c>
      <c r="N4378" s="2">
        <f>IFERROR(__xludf.DUMMYFUNCTION("""COMPUTED_VALUE"""),13429.98)</f>
        <v>13429.98</v>
      </c>
      <c r="P4378" s="10">
        <f t="shared" si="10"/>
        <v>39356.64583</v>
      </c>
      <c r="Q4378" s="15">
        <v>1962.67</v>
      </c>
      <c r="R4378" s="18">
        <v>39356.0</v>
      </c>
    </row>
    <row r="4379">
      <c r="A4379" s="10">
        <f t="shared" si="8"/>
        <v>42361.66667</v>
      </c>
      <c r="B4379" s="2" t="str">
        <f t="shared" si="2"/>
        <v/>
      </c>
      <c r="C4379" s="2" t="str">
        <f t="shared" si="3"/>
        <v>SP500</v>
      </c>
      <c r="D4379" s="2">
        <f t="shared" si="4"/>
        <v>5045.93</v>
      </c>
      <c r="E4379" s="2">
        <f t="shared" si="5"/>
        <v>5045.93</v>
      </c>
      <c r="G4379" s="10">
        <f t="shared" si="9"/>
        <v>42361.64583</v>
      </c>
      <c r="H4379" s="6" t="str">
        <f t="shared" si="6"/>
        <v/>
      </c>
      <c r="I4379" s="2">
        <f t="shared" si="7"/>
        <v>1426.89</v>
      </c>
      <c r="M4379" s="10">
        <f>IFERROR(__xludf.DUMMYFUNCTION("""COMPUTED_VALUE"""),44333.66666666667)</f>
        <v>44333.66667</v>
      </c>
      <c r="N4379" s="2">
        <f>IFERROR(__xludf.DUMMYFUNCTION("""COMPUTED_VALUE"""),13379.05)</f>
        <v>13379.05</v>
      </c>
      <c r="P4379" s="10">
        <f t="shared" si="10"/>
        <v>39353.64583</v>
      </c>
      <c r="Q4379" s="15">
        <v>1946.48</v>
      </c>
      <c r="R4379" s="18">
        <v>39353.0</v>
      </c>
    </row>
    <row r="4380">
      <c r="A4380" s="10">
        <f t="shared" si="8"/>
        <v>42362.66667</v>
      </c>
      <c r="B4380" s="2" t="str">
        <f t="shared" si="2"/>
        <v/>
      </c>
      <c r="C4380" s="2" t="str">
        <f t="shared" si="3"/>
        <v>SP500</v>
      </c>
      <c r="D4380" s="2">
        <f t="shared" si="4"/>
        <v>5048.49</v>
      </c>
      <c r="E4380" s="2">
        <f t="shared" si="5"/>
        <v>5048.49</v>
      </c>
      <c r="G4380" s="10">
        <f t="shared" si="9"/>
        <v>42362.64583</v>
      </c>
      <c r="H4380" s="6" t="str">
        <f t="shared" si="6"/>
        <v/>
      </c>
      <c r="I4380" s="2">
        <f t="shared" si="7"/>
        <v>1426.89</v>
      </c>
      <c r="M4380" s="10">
        <f>IFERROR(__xludf.DUMMYFUNCTION("""COMPUTED_VALUE"""),44334.66666666667)</f>
        <v>44334.66667</v>
      </c>
      <c r="N4380" s="2">
        <f>IFERROR(__xludf.DUMMYFUNCTION("""COMPUTED_VALUE"""),13303.64)</f>
        <v>13303.64</v>
      </c>
      <c r="P4380" s="10">
        <f t="shared" si="10"/>
        <v>39352.64583</v>
      </c>
      <c r="Q4380" s="15">
        <v>1945.28</v>
      </c>
      <c r="R4380" s="18">
        <v>39352.0</v>
      </c>
    </row>
    <row r="4381">
      <c r="A4381" s="10">
        <f t="shared" si="8"/>
        <v>42363.66667</v>
      </c>
      <c r="B4381" s="2" t="str">
        <f t="shared" si="2"/>
        <v/>
      </c>
      <c r="C4381" s="2" t="str">
        <f t="shared" si="3"/>
        <v>SP500</v>
      </c>
      <c r="D4381" s="2" t="str">
        <f t="shared" si="4"/>
        <v/>
      </c>
      <c r="E4381" s="2">
        <f t="shared" si="5"/>
        <v>5048.49</v>
      </c>
      <c r="G4381" s="10">
        <f t="shared" si="9"/>
        <v>42363.64583</v>
      </c>
      <c r="H4381" s="6" t="str">
        <f t="shared" si="6"/>
        <v/>
      </c>
      <c r="I4381" s="2">
        <f t="shared" si="7"/>
        <v>1426.89</v>
      </c>
      <c r="M4381" s="10">
        <f>IFERROR(__xludf.DUMMYFUNCTION("""COMPUTED_VALUE"""),44335.66666666667)</f>
        <v>44335.66667</v>
      </c>
      <c r="N4381" s="2">
        <f>IFERROR(__xludf.DUMMYFUNCTION("""COMPUTED_VALUE"""),13299.74)</f>
        <v>13299.74</v>
      </c>
      <c r="P4381" s="10">
        <f t="shared" si="10"/>
        <v>39346.64583</v>
      </c>
      <c r="Q4381" s="15">
        <v>1919.26</v>
      </c>
      <c r="R4381" s="18">
        <v>39346.0</v>
      </c>
    </row>
    <row r="4382">
      <c r="A4382" s="10">
        <f t="shared" si="8"/>
        <v>42364.66667</v>
      </c>
      <c r="B4382" s="2" t="str">
        <f t="shared" si="2"/>
        <v/>
      </c>
      <c r="C4382" s="2" t="str">
        <f t="shared" si="3"/>
        <v>SP500</v>
      </c>
      <c r="D4382" s="2" t="str">
        <f t="shared" si="4"/>
        <v/>
      </c>
      <c r="E4382" s="2">
        <f t="shared" si="5"/>
        <v>5048.49</v>
      </c>
      <c r="G4382" s="10">
        <f t="shared" si="9"/>
        <v>42364.64583</v>
      </c>
      <c r="H4382" s="6" t="str">
        <f t="shared" si="6"/>
        <v/>
      </c>
      <c r="I4382" s="2">
        <f t="shared" si="7"/>
        <v>1426.89</v>
      </c>
      <c r="M4382" s="10">
        <f>IFERROR(__xludf.DUMMYFUNCTION("""COMPUTED_VALUE"""),44336.66666666667)</f>
        <v>44336.66667</v>
      </c>
      <c r="N4382" s="2">
        <f>IFERROR(__xludf.DUMMYFUNCTION("""COMPUTED_VALUE"""),13535.74)</f>
        <v>13535.74</v>
      </c>
      <c r="P4382" s="10">
        <f t="shared" si="10"/>
        <v>39345.64583</v>
      </c>
      <c r="Q4382" s="15">
        <v>1908.97</v>
      </c>
      <c r="R4382" s="18">
        <v>39345.0</v>
      </c>
    </row>
    <row r="4383">
      <c r="A4383" s="10">
        <f t="shared" si="8"/>
        <v>42365.66667</v>
      </c>
      <c r="B4383" s="2" t="str">
        <f t="shared" si="2"/>
        <v/>
      </c>
      <c r="C4383" s="2" t="str">
        <f t="shared" si="3"/>
        <v>SP500</v>
      </c>
      <c r="D4383" s="2" t="str">
        <f t="shared" si="4"/>
        <v/>
      </c>
      <c r="E4383" s="2">
        <f t="shared" si="5"/>
        <v>5048.49</v>
      </c>
      <c r="G4383" s="10">
        <f t="shared" si="9"/>
        <v>42365.64583</v>
      </c>
      <c r="H4383" s="6" t="str">
        <f t="shared" si="6"/>
        <v/>
      </c>
      <c r="I4383" s="2">
        <f t="shared" si="7"/>
        <v>1426.89</v>
      </c>
      <c r="M4383" s="10">
        <f>IFERROR(__xludf.DUMMYFUNCTION("""COMPUTED_VALUE"""),44337.66666666667)</f>
        <v>44337.66667</v>
      </c>
      <c r="N4383" s="2">
        <f>IFERROR(__xludf.DUMMYFUNCTION("""COMPUTED_VALUE"""),13470.99)</f>
        <v>13470.99</v>
      </c>
      <c r="P4383" s="10">
        <f t="shared" si="10"/>
        <v>39344.64583</v>
      </c>
      <c r="Q4383" s="15">
        <v>1902.65</v>
      </c>
      <c r="R4383" s="18">
        <v>39344.0</v>
      </c>
    </row>
    <row r="4384">
      <c r="A4384" s="10">
        <f t="shared" si="8"/>
        <v>42366.66667</v>
      </c>
      <c r="B4384" s="2" t="str">
        <f t="shared" si="2"/>
        <v/>
      </c>
      <c r="C4384" s="2" t="str">
        <f t="shared" si="3"/>
        <v>SP500</v>
      </c>
      <c r="D4384" s="2">
        <f t="shared" si="4"/>
        <v>5040.99</v>
      </c>
      <c r="E4384" s="2">
        <f t="shared" si="5"/>
        <v>5040.99</v>
      </c>
      <c r="G4384" s="10">
        <f t="shared" si="9"/>
        <v>42366.64583</v>
      </c>
      <c r="H4384" s="6" t="str">
        <f t="shared" si="6"/>
        <v/>
      </c>
      <c r="I4384" s="2">
        <f t="shared" si="7"/>
        <v>1426.89</v>
      </c>
      <c r="M4384" s="10">
        <f>IFERROR(__xludf.DUMMYFUNCTION("""COMPUTED_VALUE"""),44340.66666666667)</f>
        <v>44340.66667</v>
      </c>
      <c r="N4384" s="2">
        <f>IFERROR(__xludf.DUMMYFUNCTION("""COMPUTED_VALUE"""),13661.17)</f>
        <v>13661.17</v>
      </c>
      <c r="P4384" s="10">
        <f t="shared" si="10"/>
        <v>39343.64583</v>
      </c>
      <c r="Q4384" s="15">
        <v>1838.61</v>
      </c>
      <c r="R4384" s="18">
        <v>39343.0</v>
      </c>
    </row>
    <row r="4385">
      <c r="A4385" s="10">
        <f t="shared" si="8"/>
        <v>42367.66667</v>
      </c>
      <c r="B4385" s="2" t="str">
        <f t="shared" si="2"/>
        <v/>
      </c>
      <c r="C4385" s="2" t="str">
        <f t="shared" si="3"/>
        <v>SP500</v>
      </c>
      <c r="D4385" s="2">
        <f t="shared" si="4"/>
        <v>5107.94</v>
      </c>
      <c r="E4385" s="2">
        <f t="shared" si="5"/>
        <v>5107.94</v>
      </c>
      <c r="G4385" s="10">
        <f t="shared" si="9"/>
        <v>42367.64583</v>
      </c>
      <c r="H4385" s="6" t="str">
        <f t="shared" si="6"/>
        <v/>
      </c>
      <c r="I4385" s="2">
        <f t="shared" si="7"/>
        <v>1426.89</v>
      </c>
      <c r="M4385" s="10">
        <f>IFERROR(__xludf.DUMMYFUNCTION("""COMPUTED_VALUE"""),44341.66666666667)</f>
        <v>44341.66667</v>
      </c>
      <c r="N4385" s="2">
        <f>IFERROR(__xludf.DUMMYFUNCTION("""COMPUTED_VALUE"""),13657.17)</f>
        <v>13657.17</v>
      </c>
      <c r="P4385" s="10">
        <f t="shared" si="10"/>
        <v>39342.64583</v>
      </c>
      <c r="Q4385" s="15">
        <v>1871.68</v>
      </c>
      <c r="R4385" s="18">
        <v>39342.0</v>
      </c>
    </row>
    <row r="4386">
      <c r="A4386" s="10">
        <f t="shared" si="8"/>
        <v>42368.66667</v>
      </c>
      <c r="B4386" s="2" t="str">
        <f t="shared" si="2"/>
        <v/>
      </c>
      <c r="C4386" s="2" t="str">
        <f t="shared" si="3"/>
        <v>SP500</v>
      </c>
      <c r="D4386" s="2">
        <f t="shared" si="4"/>
        <v>5065.85</v>
      </c>
      <c r="E4386" s="2">
        <f t="shared" si="5"/>
        <v>5065.85</v>
      </c>
      <c r="G4386" s="10">
        <f t="shared" si="9"/>
        <v>42368.64583</v>
      </c>
      <c r="H4386" s="6" t="str">
        <f t="shared" si="6"/>
        <v/>
      </c>
      <c r="I4386" s="2">
        <f t="shared" si="7"/>
        <v>1426.89</v>
      </c>
      <c r="M4386" s="10">
        <f>IFERROR(__xludf.DUMMYFUNCTION("""COMPUTED_VALUE"""),44342.66666666667)</f>
        <v>44342.66667</v>
      </c>
      <c r="N4386" s="2">
        <f>IFERROR(__xludf.DUMMYFUNCTION("""COMPUTED_VALUE"""),13738.0)</f>
        <v>13738</v>
      </c>
      <c r="P4386" s="10">
        <f t="shared" si="10"/>
        <v>39339.64583</v>
      </c>
      <c r="Q4386" s="15">
        <v>1870.02</v>
      </c>
      <c r="R4386" s="18">
        <v>39339.0</v>
      </c>
    </row>
    <row r="4387">
      <c r="A4387" s="10">
        <f t="shared" si="8"/>
        <v>42369.66667</v>
      </c>
      <c r="B4387" s="2" t="str">
        <f t="shared" si="2"/>
        <v/>
      </c>
      <c r="C4387" s="2" t="str">
        <f t="shared" si="3"/>
        <v>SP500</v>
      </c>
      <c r="D4387" s="2">
        <f t="shared" si="4"/>
        <v>5007.41</v>
      </c>
      <c r="E4387" s="2">
        <f t="shared" si="5"/>
        <v>5007.41</v>
      </c>
      <c r="G4387" s="10">
        <f t="shared" si="9"/>
        <v>42369.64583</v>
      </c>
      <c r="H4387" s="6" t="str">
        <f t="shared" si="6"/>
        <v/>
      </c>
      <c r="I4387" s="2">
        <f t="shared" si="7"/>
        <v>1426.89</v>
      </c>
      <c r="M4387" s="10">
        <f>IFERROR(__xludf.DUMMYFUNCTION("""COMPUTED_VALUE"""),44343.66666666667)</f>
        <v>44343.66667</v>
      </c>
      <c r="N4387" s="2">
        <f>IFERROR(__xludf.DUMMYFUNCTION("""COMPUTED_VALUE"""),13736.28)</f>
        <v>13736.28</v>
      </c>
      <c r="P4387" s="10">
        <f t="shared" si="10"/>
        <v>39338.64583</v>
      </c>
      <c r="Q4387" s="15">
        <v>1848.02</v>
      </c>
      <c r="R4387" s="18">
        <v>39338.0</v>
      </c>
    </row>
    <row r="4388">
      <c r="A4388" s="10">
        <f t="shared" si="8"/>
        <v>42370.66667</v>
      </c>
      <c r="B4388" s="2" t="str">
        <f t="shared" si="2"/>
        <v/>
      </c>
      <c r="C4388" s="2" t="str">
        <f t="shared" si="3"/>
        <v>SP500</v>
      </c>
      <c r="D4388" s="2" t="str">
        <f t="shared" si="4"/>
        <v/>
      </c>
      <c r="E4388" s="2">
        <f t="shared" si="5"/>
        <v>5007.41</v>
      </c>
      <c r="G4388" s="10">
        <f t="shared" si="9"/>
        <v>42370.64583</v>
      </c>
      <c r="H4388" s="6" t="str">
        <f t="shared" si="6"/>
        <v/>
      </c>
      <c r="I4388" s="2">
        <f t="shared" si="7"/>
        <v>1426.89</v>
      </c>
      <c r="M4388" s="10">
        <f>IFERROR(__xludf.DUMMYFUNCTION("""COMPUTED_VALUE"""),44344.66666666667)</f>
        <v>44344.66667</v>
      </c>
      <c r="N4388" s="2">
        <f>IFERROR(__xludf.DUMMYFUNCTION("""COMPUTED_VALUE"""),13748.74)</f>
        <v>13748.74</v>
      </c>
      <c r="P4388" s="10">
        <f t="shared" si="10"/>
        <v>39337.64583</v>
      </c>
      <c r="Q4388" s="15">
        <v>1813.52</v>
      </c>
      <c r="R4388" s="18">
        <v>39337.0</v>
      </c>
    </row>
    <row r="4389">
      <c r="A4389" s="10">
        <f t="shared" si="8"/>
        <v>42371.66667</v>
      </c>
      <c r="B4389" s="2" t="str">
        <f t="shared" si="2"/>
        <v/>
      </c>
      <c r="C4389" s="2" t="str">
        <f t="shared" si="3"/>
        <v>SP500</v>
      </c>
      <c r="D4389" s="2" t="str">
        <f t="shared" si="4"/>
        <v/>
      </c>
      <c r="E4389" s="2">
        <f t="shared" si="5"/>
        <v>5007.41</v>
      </c>
      <c r="G4389" s="10">
        <f t="shared" si="9"/>
        <v>42371.64583</v>
      </c>
      <c r="H4389" s="6" t="str">
        <f t="shared" si="6"/>
        <v/>
      </c>
      <c r="I4389" s="2">
        <f t="shared" si="7"/>
        <v>1426.89</v>
      </c>
      <c r="M4389" s="10">
        <f>IFERROR(__xludf.DUMMYFUNCTION("""COMPUTED_VALUE"""),44348.66666666667)</f>
        <v>44348.66667</v>
      </c>
      <c r="N4389" s="2">
        <f>IFERROR(__xludf.DUMMYFUNCTION("""COMPUTED_VALUE"""),13736.48)</f>
        <v>13736.48</v>
      </c>
      <c r="P4389" s="10">
        <f t="shared" si="10"/>
        <v>39336.64583</v>
      </c>
      <c r="Q4389" s="15">
        <v>1847.36</v>
      </c>
      <c r="R4389" s="18">
        <v>39336.0</v>
      </c>
    </row>
    <row r="4390">
      <c r="A4390" s="10">
        <f t="shared" si="8"/>
        <v>42372.66667</v>
      </c>
      <c r="B4390" s="2" t="str">
        <f t="shared" si="2"/>
        <v/>
      </c>
      <c r="C4390" s="2" t="str">
        <f t="shared" si="3"/>
        <v>SP500</v>
      </c>
      <c r="D4390" s="2" t="str">
        <f t="shared" si="4"/>
        <v/>
      </c>
      <c r="E4390" s="2">
        <f t="shared" si="5"/>
        <v>5007.41</v>
      </c>
      <c r="G4390" s="10">
        <f t="shared" si="9"/>
        <v>42372.64583</v>
      </c>
      <c r="H4390" s="6" t="str">
        <f t="shared" si="6"/>
        <v/>
      </c>
      <c r="I4390" s="2">
        <f t="shared" si="7"/>
        <v>1426.89</v>
      </c>
      <c r="M4390" s="10">
        <f>IFERROR(__xludf.DUMMYFUNCTION("""COMPUTED_VALUE"""),44349.66666666667)</f>
        <v>44349.66667</v>
      </c>
      <c r="N4390" s="2">
        <f>IFERROR(__xludf.DUMMYFUNCTION("""COMPUTED_VALUE"""),13756.33)</f>
        <v>13756.33</v>
      </c>
      <c r="P4390" s="10">
        <f t="shared" si="10"/>
        <v>39335.64583</v>
      </c>
      <c r="Q4390" s="15">
        <v>1835.87</v>
      </c>
      <c r="R4390" s="18">
        <v>39335.0</v>
      </c>
    </row>
    <row r="4391">
      <c r="A4391" s="10">
        <f t="shared" si="8"/>
        <v>42373.66667</v>
      </c>
      <c r="B4391" s="2" t="str">
        <f t="shared" si="2"/>
        <v/>
      </c>
      <c r="C4391" s="2" t="str">
        <f t="shared" si="3"/>
        <v>SP500</v>
      </c>
      <c r="D4391" s="2">
        <f t="shared" si="4"/>
        <v>4903.09</v>
      </c>
      <c r="E4391" s="2">
        <f t="shared" si="5"/>
        <v>4903.09</v>
      </c>
      <c r="G4391" s="10">
        <f t="shared" si="9"/>
        <v>42373.64583</v>
      </c>
      <c r="H4391" s="6" t="str">
        <f t="shared" si="6"/>
        <v/>
      </c>
      <c r="I4391" s="2">
        <f t="shared" si="7"/>
        <v>1426.89</v>
      </c>
      <c r="M4391" s="10">
        <f>IFERROR(__xludf.DUMMYFUNCTION("""COMPUTED_VALUE"""),44350.66666666667)</f>
        <v>44350.66667</v>
      </c>
      <c r="N4391" s="2">
        <f>IFERROR(__xludf.DUMMYFUNCTION("""COMPUTED_VALUE"""),13614.51)</f>
        <v>13614.51</v>
      </c>
      <c r="P4391" s="10">
        <f t="shared" si="10"/>
        <v>39332.64583</v>
      </c>
      <c r="Q4391" s="15">
        <v>1884.9</v>
      </c>
      <c r="R4391" s="18">
        <v>39332.0</v>
      </c>
    </row>
    <row r="4392">
      <c r="A4392" s="10">
        <f t="shared" si="8"/>
        <v>42374.66667</v>
      </c>
      <c r="B4392" s="2" t="str">
        <f t="shared" si="2"/>
        <v/>
      </c>
      <c r="C4392" s="2" t="str">
        <f t="shared" si="3"/>
        <v>SP500</v>
      </c>
      <c r="D4392" s="2">
        <f t="shared" si="4"/>
        <v>4891.43</v>
      </c>
      <c r="E4392" s="2">
        <f t="shared" si="5"/>
        <v>4891.43</v>
      </c>
      <c r="G4392" s="10">
        <f t="shared" si="9"/>
        <v>42374.64583</v>
      </c>
      <c r="H4392" s="6" t="str">
        <f t="shared" si="6"/>
        <v/>
      </c>
      <c r="I4392" s="2">
        <f t="shared" si="7"/>
        <v>1426.89</v>
      </c>
      <c r="M4392" s="10">
        <f>IFERROR(__xludf.DUMMYFUNCTION("""COMPUTED_VALUE"""),44351.66666666667)</f>
        <v>44351.66667</v>
      </c>
      <c r="N4392" s="2">
        <f>IFERROR(__xludf.DUMMYFUNCTION("""COMPUTED_VALUE"""),13814.49)</f>
        <v>13814.49</v>
      </c>
      <c r="P4392" s="10">
        <f t="shared" si="10"/>
        <v>39331.64583</v>
      </c>
      <c r="Q4392" s="15">
        <v>1888.81</v>
      </c>
      <c r="R4392" s="18">
        <v>39331.0</v>
      </c>
    </row>
    <row r="4393">
      <c r="A4393" s="10">
        <f t="shared" si="8"/>
        <v>42375.66667</v>
      </c>
      <c r="B4393" s="2" t="str">
        <f t="shared" si="2"/>
        <v/>
      </c>
      <c r="C4393" s="2" t="str">
        <f t="shared" si="3"/>
        <v>SP500</v>
      </c>
      <c r="D4393" s="2">
        <f t="shared" si="4"/>
        <v>4835.76</v>
      </c>
      <c r="E4393" s="2">
        <f t="shared" si="5"/>
        <v>4835.76</v>
      </c>
      <c r="G4393" s="10">
        <f t="shared" si="9"/>
        <v>42375.64583</v>
      </c>
      <c r="H4393" s="6" t="str">
        <f t="shared" si="6"/>
        <v/>
      </c>
      <c r="I4393" s="2">
        <f t="shared" si="7"/>
        <v>1426.89</v>
      </c>
      <c r="M4393" s="10">
        <f>IFERROR(__xludf.DUMMYFUNCTION("""COMPUTED_VALUE"""),44354.66666666667)</f>
        <v>44354.66667</v>
      </c>
      <c r="N4393" s="2">
        <f>IFERROR(__xludf.DUMMYFUNCTION("""COMPUTED_VALUE"""),13881.72)</f>
        <v>13881.72</v>
      </c>
      <c r="P4393" s="10">
        <f t="shared" si="10"/>
        <v>39330.64583</v>
      </c>
      <c r="Q4393" s="15">
        <v>1865.59</v>
      </c>
      <c r="R4393" s="18">
        <v>39330.0</v>
      </c>
    </row>
    <row r="4394">
      <c r="A4394" s="10">
        <f t="shared" si="8"/>
        <v>42376.66667</v>
      </c>
      <c r="B4394" s="2" t="str">
        <f t="shared" si="2"/>
        <v/>
      </c>
      <c r="C4394" s="2" t="str">
        <f t="shared" si="3"/>
        <v>SP500</v>
      </c>
      <c r="D4394" s="2">
        <f t="shared" si="4"/>
        <v>4689.43</v>
      </c>
      <c r="E4394" s="2">
        <f t="shared" si="5"/>
        <v>4689.43</v>
      </c>
      <c r="G4394" s="10">
        <f t="shared" si="9"/>
        <v>42376.64583</v>
      </c>
      <c r="H4394" s="6" t="str">
        <f t="shared" si="6"/>
        <v/>
      </c>
      <c r="I4394" s="2">
        <f t="shared" si="7"/>
        <v>1426.89</v>
      </c>
      <c r="M4394" s="10">
        <f>IFERROR(__xludf.DUMMYFUNCTION("""COMPUTED_VALUE"""),44355.66666666667)</f>
        <v>44355.66667</v>
      </c>
      <c r="N4394" s="2">
        <f>IFERROR(__xludf.DUMMYFUNCTION("""COMPUTED_VALUE"""),13924.91)</f>
        <v>13924.91</v>
      </c>
      <c r="P4394" s="10">
        <f t="shared" si="10"/>
        <v>39329.64583</v>
      </c>
      <c r="Q4394" s="15">
        <v>1874.74</v>
      </c>
      <c r="R4394" s="18">
        <v>39329.0</v>
      </c>
    </row>
    <row r="4395">
      <c r="A4395" s="10">
        <f t="shared" si="8"/>
        <v>42377.66667</v>
      </c>
      <c r="B4395" s="2" t="str">
        <f t="shared" si="2"/>
        <v/>
      </c>
      <c r="C4395" s="2" t="str">
        <f t="shared" si="3"/>
        <v>SP500</v>
      </c>
      <c r="D4395" s="2">
        <f t="shared" si="4"/>
        <v>4643.63</v>
      </c>
      <c r="E4395" s="2">
        <f t="shared" si="5"/>
        <v>4643.63</v>
      </c>
      <c r="G4395" s="10">
        <f t="shared" si="9"/>
        <v>42377.64583</v>
      </c>
      <c r="H4395" s="6" t="str">
        <f t="shared" si="6"/>
        <v/>
      </c>
      <c r="I4395" s="2">
        <f t="shared" si="7"/>
        <v>1426.89</v>
      </c>
      <c r="M4395" s="10">
        <f>IFERROR(__xludf.DUMMYFUNCTION("""COMPUTED_VALUE"""),44356.66666666667)</f>
        <v>44356.66667</v>
      </c>
      <c r="N4395" s="2">
        <f>IFERROR(__xludf.DUMMYFUNCTION("""COMPUTED_VALUE"""),13911.75)</f>
        <v>13911.75</v>
      </c>
      <c r="P4395" s="10">
        <f t="shared" si="10"/>
        <v>39328.64583</v>
      </c>
      <c r="Q4395" s="15">
        <v>1881.81</v>
      </c>
      <c r="R4395" s="18">
        <v>39328.0</v>
      </c>
    </row>
    <row r="4396">
      <c r="A4396" s="10">
        <f t="shared" si="8"/>
        <v>42378.66667</v>
      </c>
      <c r="B4396" s="2" t="str">
        <f t="shared" si="2"/>
        <v/>
      </c>
      <c r="C4396" s="2" t="str">
        <f t="shared" si="3"/>
        <v>SP500</v>
      </c>
      <c r="D4396" s="2" t="str">
        <f t="shared" si="4"/>
        <v/>
      </c>
      <c r="E4396" s="2">
        <f t="shared" si="5"/>
        <v>4643.63</v>
      </c>
      <c r="G4396" s="10">
        <f t="shared" si="9"/>
        <v>42378.64583</v>
      </c>
      <c r="H4396" s="6" t="str">
        <f t="shared" si="6"/>
        <v/>
      </c>
      <c r="I4396" s="2">
        <f t="shared" si="7"/>
        <v>1426.89</v>
      </c>
      <c r="M4396" s="10">
        <f>IFERROR(__xludf.DUMMYFUNCTION("""COMPUTED_VALUE"""),44357.66666666667)</f>
        <v>44357.66667</v>
      </c>
      <c r="N4396" s="2">
        <f>IFERROR(__xludf.DUMMYFUNCTION("""COMPUTED_VALUE"""),14020.33)</f>
        <v>14020.33</v>
      </c>
      <c r="P4396" s="10">
        <f t="shared" si="10"/>
        <v>39325.64583</v>
      </c>
      <c r="Q4396" s="15">
        <v>1873.24</v>
      </c>
      <c r="R4396" s="18">
        <v>39325.0</v>
      </c>
    </row>
    <row r="4397">
      <c r="A4397" s="10">
        <f t="shared" si="8"/>
        <v>42379.66667</v>
      </c>
      <c r="B4397" s="2" t="str">
        <f t="shared" si="2"/>
        <v/>
      </c>
      <c r="C4397" s="2" t="str">
        <f t="shared" si="3"/>
        <v>SP500</v>
      </c>
      <c r="D4397" s="2" t="str">
        <f t="shared" si="4"/>
        <v/>
      </c>
      <c r="E4397" s="2">
        <f t="shared" si="5"/>
        <v>4643.63</v>
      </c>
      <c r="G4397" s="10">
        <f t="shared" si="9"/>
        <v>42379.64583</v>
      </c>
      <c r="H4397" s="6" t="str">
        <f t="shared" si="6"/>
        <v/>
      </c>
      <c r="I4397" s="2">
        <f t="shared" si="7"/>
        <v>1426.89</v>
      </c>
      <c r="M4397" s="10">
        <f>IFERROR(__xludf.DUMMYFUNCTION("""COMPUTED_VALUE"""),44358.66666666667)</f>
        <v>44358.66667</v>
      </c>
      <c r="N4397" s="2">
        <f>IFERROR(__xludf.DUMMYFUNCTION("""COMPUTED_VALUE"""),14069.42)</f>
        <v>14069.42</v>
      </c>
      <c r="P4397" s="10">
        <f t="shared" si="10"/>
        <v>39324.64583</v>
      </c>
      <c r="Q4397" s="15">
        <v>1841.7</v>
      </c>
      <c r="R4397" s="18">
        <v>39324.0</v>
      </c>
    </row>
    <row r="4398">
      <c r="A4398" s="10">
        <f t="shared" si="8"/>
        <v>42380.66667</v>
      </c>
      <c r="B4398" s="2" t="str">
        <f t="shared" si="2"/>
        <v/>
      </c>
      <c r="C4398" s="2" t="str">
        <f t="shared" si="3"/>
        <v>SP500</v>
      </c>
      <c r="D4398" s="2">
        <f t="shared" si="4"/>
        <v>4637.99</v>
      </c>
      <c r="E4398" s="2">
        <f t="shared" si="5"/>
        <v>4637.99</v>
      </c>
      <c r="G4398" s="10">
        <f t="shared" si="9"/>
        <v>42380.64583</v>
      </c>
      <c r="H4398" s="6" t="str">
        <f t="shared" si="6"/>
        <v/>
      </c>
      <c r="I4398" s="2">
        <f t="shared" si="7"/>
        <v>1426.89</v>
      </c>
      <c r="M4398" s="10">
        <f>IFERROR(__xludf.DUMMYFUNCTION("""COMPUTED_VALUE"""),44361.66666666667)</f>
        <v>44361.66667</v>
      </c>
      <c r="N4398" s="2">
        <f>IFERROR(__xludf.DUMMYFUNCTION("""COMPUTED_VALUE"""),14174.14)</f>
        <v>14174.14</v>
      </c>
      <c r="P4398" s="10">
        <f t="shared" si="10"/>
        <v>39323.64583</v>
      </c>
      <c r="Q4398" s="15">
        <v>1826.19</v>
      </c>
      <c r="R4398" s="18">
        <v>39323.0</v>
      </c>
    </row>
    <row r="4399">
      <c r="A4399" s="10">
        <f t="shared" si="8"/>
        <v>42381.66667</v>
      </c>
      <c r="B4399" s="2" t="str">
        <f t="shared" si="2"/>
        <v/>
      </c>
      <c r="C4399" s="2" t="str">
        <f t="shared" si="3"/>
        <v>SP500</v>
      </c>
      <c r="D4399" s="2">
        <f t="shared" si="4"/>
        <v>4685.92</v>
      </c>
      <c r="E4399" s="2">
        <f t="shared" si="5"/>
        <v>4685.92</v>
      </c>
      <c r="G4399" s="10">
        <f t="shared" si="9"/>
        <v>42381.64583</v>
      </c>
      <c r="H4399" s="6" t="str">
        <f t="shared" si="6"/>
        <v/>
      </c>
      <c r="I4399" s="2">
        <f t="shared" si="7"/>
        <v>1426.89</v>
      </c>
      <c r="M4399" s="10">
        <f>IFERROR(__xludf.DUMMYFUNCTION("""COMPUTED_VALUE"""),44362.66666666667)</f>
        <v>44362.66667</v>
      </c>
      <c r="N4399" s="2">
        <f>IFERROR(__xludf.DUMMYFUNCTION("""COMPUTED_VALUE"""),14072.86)</f>
        <v>14072.86</v>
      </c>
      <c r="P4399" s="10">
        <f t="shared" si="10"/>
        <v>39322.64583</v>
      </c>
      <c r="Q4399" s="15">
        <v>1829.31</v>
      </c>
      <c r="R4399" s="18">
        <v>39322.0</v>
      </c>
    </row>
    <row r="4400">
      <c r="A4400" s="10">
        <f t="shared" si="8"/>
        <v>42382.66667</v>
      </c>
      <c r="B4400" s="2" t="str">
        <f t="shared" si="2"/>
        <v/>
      </c>
      <c r="C4400" s="2" t="str">
        <f t="shared" si="3"/>
        <v>SP500</v>
      </c>
      <c r="D4400" s="2">
        <f t="shared" si="4"/>
        <v>4526.06</v>
      </c>
      <c r="E4400" s="2">
        <f t="shared" si="5"/>
        <v>4526.06</v>
      </c>
      <c r="G4400" s="10">
        <f t="shared" si="9"/>
        <v>42382.64583</v>
      </c>
      <c r="H4400" s="6" t="str">
        <f t="shared" si="6"/>
        <v/>
      </c>
      <c r="I4400" s="2">
        <f t="shared" si="7"/>
        <v>1426.89</v>
      </c>
      <c r="M4400" s="10">
        <f>IFERROR(__xludf.DUMMYFUNCTION("""COMPUTED_VALUE"""),44363.66666666667)</f>
        <v>44363.66667</v>
      </c>
      <c r="N4400" s="2">
        <f>IFERROR(__xludf.DUMMYFUNCTION("""COMPUTED_VALUE"""),14039.68)</f>
        <v>14039.68</v>
      </c>
      <c r="P4400" s="10">
        <f t="shared" si="10"/>
        <v>39321.64583</v>
      </c>
      <c r="Q4400" s="15">
        <v>1803.03</v>
      </c>
      <c r="R4400" s="18">
        <v>39321.0</v>
      </c>
    </row>
    <row r="4401">
      <c r="A4401" s="10">
        <f t="shared" si="8"/>
        <v>42383.66667</v>
      </c>
      <c r="B4401" s="2" t="str">
        <f t="shared" si="2"/>
        <v/>
      </c>
      <c r="C4401" s="2" t="str">
        <f t="shared" si="3"/>
        <v>SP500</v>
      </c>
      <c r="D4401" s="2">
        <f t="shared" si="4"/>
        <v>4615</v>
      </c>
      <c r="E4401" s="2">
        <f t="shared" si="5"/>
        <v>4615</v>
      </c>
      <c r="G4401" s="10">
        <f t="shared" si="9"/>
        <v>42383.64583</v>
      </c>
      <c r="H4401" s="6" t="str">
        <f t="shared" si="6"/>
        <v/>
      </c>
      <c r="I4401" s="2">
        <f t="shared" si="7"/>
        <v>1426.89</v>
      </c>
      <c r="M4401" s="10">
        <f>IFERROR(__xludf.DUMMYFUNCTION("""COMPUTED_VALUE"""),44364.66666666667)</f>
        <v>44364.66667</v>
      </c>
      <c r="N4401" s="2">
        <f>IFERROR(__xludf.DUMMYFUNCTION("""COMPUTED_VALUE"""),14161.35)</f>
        <v>14161.35</v>
      </c>
      <c r="P4401" s="10">
        <f t="shared" si="10"/>
        <v>39318.64583</v>
      </c>
      <c r="Q4401" s="15">
        <v>1791.33</v>
      </c>
      <c r="R4401" s="18">
        <v>39318.0</v>
      </c>
    </row>
    <row r="4402">
      <c r="A4402" s="10">
        <f t="shared" si="8"/>
        <v>42384.66667</v>
      </c>
      <c r="B4402" s="2" t="str">
        <f t="shared" si="2"/>
        <v/>
      </c>
      <c r="C4402" s="2" t="str">
        <f t="shared" si="3"/>
        <v>SP500</v>
      </c>
      <c r="D4402" s="2">
        <f t="shared" si="4"/>
        <v>4488.42</v>
      </c>
      <c r="E4402" s="2">
        <f t="shared" si="5"/>
        <v>4488.42</v>
      </c>
      <c r="G4402" s="10">
        <f t="shared" si="9"/>
        <v>42384.64583</v>
      </c>
      <c r="H4402" s="6" t="str">
        <f t="shared" si="6"/>
        <v/>
      </c>
      <c r="I4402" s="2">
        <f t="shared" si="7"/>
        <v>1426.89</v>
      </c>
      <c r="M4402" s="10">
        <f>IFERROR(__xludf.DUMMYFUNCTION("""COMPUTED_VALUE"""),44365.66666666667)</f>
        <v>44365.66667</v>
      </c>
      <c r="N4402" s="2">
        <f>IFERROR(__xludf.DUMMYFUNCTION("""COMPUTED_VALUE"""),14030.38)</f>
        <v>14030.38</v>
      </c>
      <c r="P4402" s="10">
        <f t="shared" si="10"/>
        <v>39317.64583</v>
      </c>
      <c r="Q4402" s="15">
        <v>1799.72</v>
      </c>
      <c r="R4402" s="18">
        <v>39317.0</v>
      </c>
    </row>
    <row r="4403">
      <c r="A4403" s="10">
        <f t="shared" si="8"/>
        <v>42385.66667</v>
      </c>
      <c r="B4403" s="2" t="str">
        <f t="shared" si="2"/>
        <v/>
      </c>
      <c r="C4403" s="2" t="str">
        <f t="shared" si="3"/>
        <v>SP500</v>
      </c>
      <c r="D4403" s="2" t="str">
        <f t="shared" si="4"/>
        <v/>
      </c>
      <c r="E4403" s="2">
        <f t="shared" si="5"/>
        <v>4488.42</v>
      </c>
      <c r="G4403" s="10">
        <f t="shared" si="9"/>
        <v>42385.64583</v>
      </c>
      <c r="H4403" s="6" t="str">
        <f t="shared" si="6"/>
        <v/>
      </c>
      <c r="I4403" s="2">
        <f t="shared" si="7"/>
        <v>1426.89</v>
      </c>
      <c r="M4403" s="10">
        <f>IFERROR(__xludf.DUMMYFUNCTION("""COMPUTED_VALUE"""),44368.66666666667)</f>
        <v>44368.66667</v>
      </c>
      <c r="N4403" s="2">
        <f>IFERROR(__xludf.DUMMYFUNCTION("""COMPUTED_VALUE"""),14141.48)</f>
        <v>14141.48</v>
      </c>
      <c r="P4403" s="10">
        <f t="shared" si="10"/>
        <v>39316.64583</v>
      </c>
      <c r="Q4403" s="15">
        <v>1759.5</v>
      </c>
      <c r="R4403" s="18">
        <v>39316.0</v>
      </c>
    </row>
    <row r="4404">
      <c r="A4404" s="10">
        <f t="shared" si="8"/>
        <v>42386.66667</v>
      </c>
      <c r="B4404" s="2" t="str">
        <f t="shared" si="2"/>
        <v/>
      </c>
      <c r="C4404" s="2" t="str">
        <f t="shared" si="3"/>
        <v>SP500</v>
      </c>
      <c r="D4404" s="2" t="str">
        <f t="shared" si="4"/>
        <v/>
      </c>
      <c r="E4404" s="2">
        <f t="shared" si="5"/>
        <v>4488.42</v>
      </c>
      <c r="G4404" s="10">
        <f t="shared" si="9"/>
        <v>42386.64583</v>
      </c>
      <c r="H4404" s="6" t="str">
        <f t="shared" si="6"/>
        <v/>
      </c>
      <c r="I4404" s="2">
        <f t="shared" si="7"/>
        <v>1426.89</v>
      </c>
      <c r="M4404" s="10">
        <f>IFERROR(__xludf.DUMMYFUNCTION("""COMPUTED_VALUE"""),44369.66666666667)</f>
        <v>44369.66667</v>
      </c>
      <c r="N4404" s="2">
        <f>IFERROR(__xludf.DUMMYFUNCTION("""COMPUTED_VALUE"""),14253.27)</f>
        <v>14253.27</v>
      </c>
      <c r="P4404" s="10">
        <f t="shared" si="10"/>
        <v>39315.64583</v>
      </c>
      <c r="Q4404" s="15">
        <v>1736.18</v>
      </c>
      <c r="R4404" s="18">
        <v>39315.0</v>
      </c>
    </row>
    <row r="4405">
      <c r="A4405" s="10">
        <f t="shared" si="8"/>
        <v>42387.66667</v>
      </c>
      <c r="B4405" s="2" t="str">
        <f t="shared" si="2"/>
        <v/>
      </c>
      <c r="C4405" s="2" t="str">
        <f t="shared" si="3"/>
        <v>SP500</v>
      </c>
      <c r="D4405" s="2" t="str">
        <f t="shared" si="4"/>
        <v/>
      </c>
      <c r="E4405" s="2">
        <f t="shared" si="5"/>
        <v>4488.42</v>
      </c>
      <c r="G4405" s="10">
        <f t="shared" si="9"/>
        <v>42387.64583</v>
      </c>
      <c r="H4405" s="6" t="str">
        <f t="shared" si="6"/>
        <v/>
      </c>
      <c r="I4405" s="2">
        <f t="shared" si="7"/>
        <v>1426.89</v>
      </c>
      <c r="M4405" s="10">
        <f>IFERROR(__xludf.DUMMYFUNCTION("""COMPUTED_VALUE"""),44370.66666666667)</f>
        <v>44370.66667</v>
      </c>
      <c r="N4405" s="2">
        <f>IFERROR(__xludf.DUMMYFUNCTION("""COMPUTED_VALUE"""),14271.73)</f>
        <v>14271.73</v>
      </c>
      <c r="P4405" s="10">
        <f t="shared" si="10"/>
        <v>39314.64583</v>
      </c>
      <c r="Q4405" s="15">
        <v>1731.27</v>
      </c>
      <c r="R4405" s="18">
        <v>39314.0</v>
      </c>
    </row>
    <row r="4406">
      <c r="A4406" s="10">
        <f t="shared" si="8"/>
        <v>42388.66667</v>
      </c>
      <c r="B4406" s="2" t="str">
        <f t="shared" si="2"/>
        <v/>
      </c>
      <c r="C4406" s="2" t="str">
        <f t="shared" si="3"/>
        <v>SP500</v>
      </c>
      <c r="D4406" s="2">
        <f t="shared" si="4"/>
        <v>4476.95</v>
      </c>
      <c r="E4406" s="2">
        <f t="shared" si="5"/>
        <v>4476.95</v>
      </c>
      <c r="G4406" s="10">
        <f t="shared" si="9"/>
        <v>42388.64583</v>
      </c>
      <c r="H4406" s="6" t="str">
        <f t="shared" si="6"/>
        <v/>
      </c>
      <c r="I4406" s="2">
        <f t="shared" si="7"/>
        <v>1426.89</v>
      </c>
      <c r="M4406" s="10">
        <f>IFERROR(__xludf.DUMMYFUNCTION("""COMPUTED_VALUE"""),44371.66666666667)</f>
        <v>44371.66667</v>
      </c>
      <c r="N4406" s="2">
        <f>IFERROR(__xludf.DUMMYFUNCTION("""COMPUTED_VALUE"""),14369.71)</f>
        <v>14369.71</v>
      </c>
      <c r="P4406" s="10">
        <f t="shared" si="10"/>
        <v>39311.64583</v>
      </c>
      <c r="Q4406" s="15">
        <v>1638.07</v>
      </c>
      <c r="R4406" s="18">
        <v>39311.0</v>
      </c>
    </row>
    <row r="4407">
      <c r="A4407" s="10">
        <f t="shared" si="8"/>
        <v>42389.66667</v>
      </c>
      <c r="B4407" s="2" t="str">
        <f t="shared" si="2"/>
        <v/>
      </c>
      <c r="C4407" s="2" t="str">
        <f t="shared" si="3"/>
        <v>SP500</v>
      </c>
      <c r="D4407" s="2">
        <f t="shared" si="4"/>
        <v>4471.69</v>
      </c>
      <c r="E4407" s="2">
        <f t="shared" si="5"/>
        <v>4471.69</v>
      </c>
      <c r="G4407" s="10">
        <f t="shared" si="9"/>
        <v>42389.64583</v>
      </c>
      <c r="H4407" s="6" t="str">
        <f t="shared" si="6"/>
        <v/>
      </c>
      <c r="I4407" s="2">
        <f t="shared" si="7"/>
        <v>1426.89</v>
      </c>
      <c r="M4407" s="10">
        <f>IFERROR(__xludf.DUMMYFUNCTION("""COMPUTED_VALUE"""),44372.66666666667)</f>
        <v>44372.66667</v>
      </c>
      <c r="N4407" s="2">
        <f>IFERROR(__xludf.DUMMYFUNCTION("""COMPUTED_VALUE"""),14360.39)</f>
        <v>14360.39</v>
      </c>
      <c r="P4407" s="10">
        <f t="shared" si="10"/>
        <v>39310.64583</v>
      </c>
      <c r="Q4407" s="15">
        <v>1691.98</v>
      </c>
      <c r="R4407" s="18">
        <v>39310.0</v>
      </c>
    </row>
    <row r="4408">
      <c r="A4408" s="10">
        <f t="shared" si="8"/>
        <v>42390.66667</v>
      </c>
      <c r="B4408" s="2" t="str">
        <f t="shared" si="2"/>
        <v/>
      </c>
      <c r="C4408" s="2" t="str">
        <f t="shared" si="3"/>
        <v>SP500</v>
      </c>
      <c r="D4408" s="2">
        <f t="shared" si="4"/>
        <v>4472.06</v>
      </c>
      <c r="E4408" s="2">
        <f t="shared" si="5"/>
        <v>4472.06</v>
      </c>
      <c r="G4408" s="10">
        <f t="shared" si="9"/>
        <v>42390.64583</v>
      </c>
      <c r="H4408" s="6" t="str">
        <f t="shared" si="6"/>
        <v/>
      </c>
      <c r="I4408" s="2">
        <f t="shared" si="7"/>
        <v>1426.89</v>
      </c>
      <c r="M4408" s="10">
        <f>IFERROR(__xludf.DUMMYFUNCTION("""COMPUTED_VALUE"""),44375.66666666667)</f>
        <v>44375.66667</v>
      </c>
      <c r="N4408" s="2">
        <f>IFERROR(__xludf.DUMMYFUNCTION("""COMPUTED_VALUE"""),14500.51)</f>
        <v>14500.51</v>
      </c>
      <c r="P4408" s="10">
        <f t="shared" si="10"/>
        <v>39308.64583</v>
      </c>
      <c r="Q4408" s="15">
        <v>1817.89</v>
      </c>
      <c r="R4408" s="18">
        <v>39308.0</v>
      </c>
    </row>
    <row r="4409">
      <c r="A4409" s="10">
        <f t="shared" si="8"/>
        <v>42391.66667</v>
      </c>
      <c r="B4409" s="2" t="str">
        <f t="shared" si="2"/>
        <v/>
      </c>
      <c r="C4409" s="2" t="str">
        <f t="shared" si="3"/>
        <v>SP500</v>
      </c>
      <c r="D4409" s="2">
        <f t="shared" si="4"/>
        <v>4591.18</v>
      </c>
      <c r="E4409" s="2">
        <f t="shared" si="5"/>
        <v>4591.18</v>
      </c>
      <c r="G4409" s="10">
        <f t="shared" si="9"/>
        <v>42391.64583</v>
      </c>
      <c r="H4409" s="6" t="str">
        <f t="shared" si="6"/>
        <v/>
      </c>
      <c r="I4409" s="2">
        <f t="shared" si="7"/>
        <v>1426.89</v>
      </c>
      <c r="M4409" s="10">
        <f>IFERROR(__xludf.DUMMYFUNCTION("""COMPUTED_VALUE"""),44376.66666666667)</f>
        <v>44376.66667</v>
      </c>
      <c r="N4409" s="2">
        <f>IFERROR(__xludf.DUMMYFUNCTION("""COMPUTED_VALUE"""),14528.34)</f>
        <v>14528.34</v>
      </c>
      <c r="P4409" s="10">
        <f t="shared" si="10"/>
        <v>39307.64583</v>
      </c>
      <c r="Q4409" s="15">
        <v>1849.26</v>
      </c>
      <c r="R4409" s="18">
        <v>39307.0</v>
      </c>
    </row>
    <row r="4410">
      <c r="A4410" s="10">
        <f t="shared" si="8"/>
        <v>42392.66667</v>
      </c>
      <c r="B4410" s="2" t="str">
        <f t="shared" si="2"/>
        <v/>
      </c>
      <c r="C4410" s="2" t="str">
        <f t="shared" si="3"/>
        <v>SP500</v>
      </c>
      <c r="D4410" s="2" t="str">
        <f t="shared" si="4"/>
        <v/>
      </c>
      <c r="E4410" s="2">
        <f t="shared" si="5"/>
        <v>4591.18</v>
      </c>
      <c r="G4410" s="10">
        <f t="shared" si="9"/>
        <v>42392.64583</v>
      </c>
      <c r="H4410" s="6" t="str">
        <f t="shared" si="6"/>
        <v/>
      </c>
      <c r="I4410" s="2">
        <f t="shared" si="7"/>
        <v>1426.89</v>
      </c>
      <c r="M4410" s="10">
        <f>IFERROR(__xludf.DUMMYFUNCTION("""COMPUTED_VALUE"""),44377.66666666667)</f>
        <v>44377.66667</v>
      </c>
      <c r="N4410" s="2">
        <f>IFERROR(__xludf.DUMMYFUNCTION("""COMPUTED_VALUE"""),14503.95)</f>
        <v>14503.95</v>
      </c>
      <c r="P4410" s="10">
        <f t="shared" si="10"/>
        <v>39304.64583</v>
      </c>
      <c r="Q4410" s="15">
        <v>1828.49</v>
      </c>
      <c r="R4410" s="18">
        <v>39304.0</v>
      </c>
    </row>
    <row r="4411">
      <c r="A4411" s="10">
        <f t="shared" si="8"/>
        <v>42393.66667</v>
      </c>
      <c r="B4411" s="2" t="str">
        <f t="shared" si="2"/>
        <v/>
      </c>
      <c r="C4411" s="2" t="str">
        <f t="shared" si="3"/>
        <v>SP500</v>
      </c>
      <c r="D4411" s="2" t="str">
        <f t="shared" si="4"/>
        <v/>
      </c>
      <c r="E4411" s="2">
        <f t="shared" si="5"/>
        <v>4591.18</v>
      </c>
      <c r="G4411" s="10">
        <f t="shared" si="9"/>
        <v>42393.64583</v>
      </c>
      <c r="H4411" s="6" t="str">
        <f t="shared" si="6"/>
        <v/>
      </c>
      <c r="I4411" s="2">
        <f t="shared" si="7"/>
        <v>1426.89</v>
      </c>
      <c r="M4411" s="10">
        <f>IFERROR(__xludf.DUMMYFUNCTION("""COMPUTED_VALUE"""),44378.66666666667)</f>
        <v>44378.66667</v>
      </c>
      <c r="N4411" s="2">
        <f>IFERROR(__xludf.DUMMYFUNCTION("""COMPUTED_VALUE"""),14522.38)</f>
        <v>14522.38</v>
      </c>
      <c r="P4411" s="10">
        <f t="shared" si="10"/>
        <v>39303.64583</v>
      </c>
      <c r="Q4411" s="15">
        <v>1908.68</v>
      </c>
      <c r="R4411" s="18">
        <v>39303.0</v>
      </c>
    </row>
    <row r="4412">
      <c r="A4412" s="10">
        <f t="shared" si="8"/>
        <v>42394.66667</v>
      </c>
      <c r="B4412" s="2" t="str">
        <f t="shared" si="2"/>
        <v/>
      </c>
      <c r="C4412" s="2" t="str">
        <f t="shared" si="3"/>
        <v>SP500</v>
      </c>
      <c r="D4412" s="2">
        <f t="shared" si="4"/>
        <v>4518.49</v>
      </c>
      <c r="E4412" s="2">
        <f t="shared" si="5"/>
        <v>4518.49</v>
      </c>
      <c r="G4412" s="10">
        <f t="shared" si="9"/>
        <v>42394.64583</v>
      </c>
      <c r="H4412" s="6" t="str">
        <f t="shared" si="6"/>
        <v/>
      </c>
      <c r="I4412" s="2">
        <f t="shared" si="7"/>
        <v>1426.89</v>
      </c>
      <c r="M4412" s="10">
        <f>IFERROR(__xludf.DUMMYFUNCTION("""COMPUTED_VALUE"""),44379.66666666667)</f>
        <v>44379.66667</v>
      </c>
      <c r="N4412" s="2">
        <f>IFERROR(__xludf.DUMMYFUNCTION("""COMPUTED_VALUE"""),14639.33)</f>
        <v>14639.33</v>
      </c>
      <c r="P4412" s="10">
        <f t="shared" si="10"/>
        <v>39302.64583</v>
      </c>
      <c r="Q4412" s="15">
        <v>1903.41</v>
      </c>
      <c r="R4412" s="18">
        <v>39302.0</v>
      </c>
    </row>
    <row r="4413">
      <c r="A4413" s="10">
        <f t="shared" si="8"/>
        <v>42395.66667</v>
      </c>
      <c r="B4413" s="2" t="str">
        <f t="shared" si="2"/>
        <v/>
      </c>
      <c r="C4413" s="2" t="str">
        <f t="shared" si="3"/>
        <v>SP500</v>
      </c>
      <c r="D4413" s="2">
        <f t="shared" si="4"/>
        <v>4567.67</v>
      </c>
      <c r="E4413" s="2">
        <f t="shared" si="5"/>
        <v>4567.67</v>
      </c>
      <c r="G4413" s="10">
        <f t="shared" si="9"/>
        <v>42395.64583</v>
      </c>
      <c r="H4413" s="6" t="str">
        <f t="shared" si="6"/>
        <v/>
      </c>
      <c r="I4413" s="2">
        <f t="shared" si="7"/>
        <v>1426.89</v>
      </c>
      <c r="M4413" s="10">
        <f>IFERROR(__xludf.DUMMYFUNCTION("""COMPUTED_VALUE"""),44383.66666666667)</f>
        <v>44383.66667</v>
      </c>
      <c r="N4413" s="2">
        <f>IFERROR(__xludf.DUMMYFUNCTION("""COMPUTED_VALUE"""),14663.64)</f>
        <v>14663.64</v>
      </c>
      <c r="P4413" s="10">
        <f t="shared" si="10"/>
        <v>39301.64583</v>
      </c>
      <c r="Q4413" s="15">
        <v>1859.82</v>
      </c>
      <c r="R4413" s="18">
        <v>39301.0</v>
      </c>
    </row>
    <row r="4414">
      <c r="A4414" s="10">
        <f t="shared" si="8"/>
        <v>42396.66667</v>
      </c>
      <c r="B4414" s="2" t="str">
        <f t="shared" si="2"/>
        <v/>
      </c>
      <c r="C4414" s="2" t="str">
        <f t="shared" si="3"/>
        <v>SP500</v>
      </c>
      <c r="D4414" s="2">
        <f t="shared" si="4"/>
        <v>4468.17</v>
      </c>
      <c r="E4414" s="2">
        <f t="shared" si="5"/>
        <v>4468.17</v>
      </c>
      <c r="G4414" s="10">
        <f t="shared" si="9"/>
        <v>42396.64583</v>
      </c>
      <c r="H4414" s="6" t="str">
        <f t="shared" si="6"/>
        <v/>
      </c>
      <c r="I4414" s="2">
        <f t="shared" si="7"/>
        <v>1426.89</v>
      </c>
      <c r="M4414" s="10">
        <f>IFERROR(__xludf.DUMMYFUNCTION("""COMPUTED_VALUE"""),44384.66666666667)</f>
        <v>44384.66667</v>
      </c>
      <c r="N4414" s="2">
        <f>IFERROR(__xludf.DUMMYFUNCTION("""COMPUTED_VALUE"""),14665.06)</f>
        <v>14665.06</v>
      </c>
      <c r="P4414" s="10">
        <f t="shared" si="10"/>
        <v>39300.64583</v>
      </c>
      <c r="Q4414" s="15">
        <v>1855.05</v>
      </c>
      <c r="R4414" s="18">
        <v>39300.0</v>
      </c>
    </row>
    <row r="4415">
      <c r="A4415" s="10">
        <f t="shared" si="8"/>
        <v>42397.66667</v>
      </c>
      <c r="B4415" s="2" t="str">
        <f t="shared" si="2"/>
        <v/>
      </c>
      <c r="C4415" s="2" t="str">
        <f t="shared" si="3"/>
        <v>SP500</v>
      </c>
      <c r="D4415" s="2">
        <f t="shared" si="4"/>
        <v>4506.68</v>
      </c>
      <c r="E4415" s="2">
        <f t="shared" si="5"/>
        <v>4506.68</v>
      </c>
      <c r="G4415" s="10">
        <f t="shared" si="9"/>
        <v>42397.64583</v>
      </c>
      <c r="H4415" s="6" t="str">
        <f t="shared" si="6"/>
        <v/>
      </c>
      <c r="I4415" s="2">
        <f t="shared" si="7"/>
        <v>1426.89</v>
      </c>
      <c r="M4415" s="10">
        <f>IFERROR(__xludf.DUMMYFUNCTION("""COMPUTED_VALUE"""),44385.66666666667)</f>
        <v>44385.66667</v>
      </c>
      <c r="N4415" s="2">
        <f>IFERROR(__xludf.DUMMYFUNCTION("""COMPUTED_VALUE"""),14559.79)</f>
        <v>14559.79</v>
      </c>
      <c r="P4415" s="10">
        <f t="shared" si="10"/>
        <v>39297.64583</v>
      </c>
      <c r="Q4415" s="15">
        <v>1876.8</v>
      </c>
      <c r="R4415" s="18">
        <v>39297.0</v>
      </c>
    </row>
    <row r="4416">
      <c r="A4416" s="10">
        <f t="shared" si="8"/>
        <v>42398.66667</v>
      </c>
      <c r="B4416" s="2" t="str">
        <f t="shared" si="2"/>
        <v/>
      </c>
      <c r="C4416" s="2" t="str">
        <f t="shared" si="3"/>
        <v>SP500</v>
      </c>
      <c r="D4416" s="2">
        <f t="shared" si="4"/>
        <v>4613.95</v>
      </c>
      <c r="E4416" s="2">
        <f t="shared" si="5"/>
        <v>4613.95</v>
      </c>
      <c r="G4416" s="10">
        <f t="shared" si="9"/>
        <v>42398.64583</v>
      </c>
      <c r="H4416" s="6" t="str">
        <f t="shared" si="6"/>
        <v/>
      </c>
      <c r="I4416" s="2">
        <f t="shared" si="7"/>
        <v>1426.89</v>
      </c>
      <c r="M4416" s="10">
        <f>IFERROR(__xludf.DUMMYFUNCTION("""COMPUTED_VALUE"""),44386.66666666667)</f>
        <v>44386.66667</v>
      </c>
      <c r="N4416" s="2">
        <f>IFERROR(__xludf.DUMMYFUNCTION("""COMPUTED_VALUE"""),14701.92)</f>
        <v>14701.92</v>
      </c>
      <c r="P4416" s="10">
        <f t="shared" si="10"/>
        <v>39296.64583</v>
      </c>
      <c r="Q4416" s="15">
        <v>1853.07</v>
      </c>
      <c r="R4416" s="18">
        <v>39296.0</v>
      </c>
    </row>
    <row r="4417">
      <c r="A4417" s="10">
        <f t="shared" si="8"/>
        <v>42399.66667</v>
      </c>
      <c r="B4417" s="2" t="str">
        <f t="shared" si="2"/>
        <v/>
      </c>
      <c r="C4417" s="2" t="str">
        <f t="shared" si="3"/>
        <v>SP500</v>
      </c>
      <c r="D4417" s="2" t="str">
        <f t="shared" si="4"/>
        <v/>
      </c>
      <c r="E4417" s="2">
        <f t="shared" si="5"/>
        <v>4613.95</v>
      </c>
      <c r="G4417" s="10">
        <f t="shared" si="9"/>
        <v>42399.64583</v>
      </c>
      <c r="H4417" s="6" t="str">
        <f t="shared" si="6"/>
        <v/>
      </c>
      <c r="I4417" s="2">
        <f t="shared" si="7"/>
        <v>1426.89</v>
      </c>
      <c r="M4417" s="10">
        <f>IFERROR(__xludf.DUMMYFUNCTION("""COMPUTED_VALUE"""),44389.66666666667)</f>
        <v>44389.66667</v>
      </c>
      <c r="N4417" s="2">
        <f>IFERROR(__xludf.DUMMYFUNCTION("""COMPUTED_VALUE"""),14733.24)</f>
        <v>14733.24</v>
      </c>
      <c r="P4417" s="10">
        <f t="shared" si="10"/>
        <v>39295.64583</v>
      </c>
      <c r="Q4417" s="15">
        <v>1856.45</v>
      </c>
      <c r="R4417" s="18">
        <v>39295.0</v>
      </c>
    </row>
    <row r="4418">
      <c r="A4418" s="10">
        <f t="shared" si="8"/>
        <v>42400.66667</v>
      </c>
      <c r="B4418" s="2" t="str">
        <f t="shared" si="2"/>
        <v/>
      </c>
      <c r="C4418" s="2" t="str">
        <f t="shared" si="3"/>
        <v>SP500</v>
      </c>
      <c r="D4418" s="2" t="str">
        <f t="shared" si="4"/>
        <v/>
      </c>
      <c r="E4418" s="2">
        <f t="shared" si="5"/>
        <v>4613.95</v>
      </c>
      <c r="G4418" s="10">
        <f t="shared" si="9"/>
        <v>42400.64583</v>
      </c>
      <c r="H4418" s="6" t="str">
        <f t="shared" si="6"/>
        <v/>
      </c>
      <c r="I4418" s="2">
        <f t="shared" si="7"/>
        <v>1426.89</v>
      </c>
      <c r="M4418" s="10">
        <f>IFERROR(__xludf.DUMMYFUNCTION("""COMPUTED_VALUE"""),44390.66666666667)</f>
        <v>44390.66667</v>
      </c>
      <c r="N4418" s="2">
        <f>IFERROR(__xludf.DUMMYFUNCTION("""COMPUTED_VALUE"""),14677.65)</f>
        <v>14677.65</v>
      </c>
      <c r="P4418" s="10">
        <f t="shared" si="10"/>
        <v>39294.64583</v>
      </c>
      <c r="Q4418" s="15">
        <v>1933.27</v>
      </c>
      <c r="R4418" s="18">
        <v>39294.0</v>
      </c>
    </row>
    <row r="4419">
      <c r="A4419" s="10">
        <f t="shared" si="8"/>
        <v>42401.66667</v>
      </c>
      <c r="B4419" s="2" t="str">
        <f t="shared" si="2"/>
        <v/>
      </c>
      <c r="C4419" s="2" t="str">
        <f t="shared" si="3"/>
        <v>SP500</v>
      </c>
      <c r="D4419" s="2">
        <f t="shared" si="4"/>
        <v>4620.37</v>
      </c>
      <c r="E4419" s="2">
        <f t="shared" si="5"/>
        <v>4620.37</v>
      </c>
      <c r="G4419" s="10">
        <f t="shared" si="9"/>
        <v>42401.64583</v>
      </c>
      <c r="H4419" s="6" t="str">
        <f t="shared" si="6"/>
        <v/>
      </c>
      <c r="I4419" s="2">
        <f t="shared" si="7"/>
        <v>1426.89</v>
      </c>
      <c r="M4419" s="10">
        <f>IFERROR(__xludf.DUMMYFUNCTION("""COMPUTED_VALUE"""),44391.66666666667)</f>
        <v>44391.66667</v>
      </c>
      <c r="N4419" s="2">
        <f>IFERROR(__xludf.DUMMYFUNCTION("""COMPUTED_VALUE"""),14644.95)</f>
        <v>14644.95</v>
      </c>
      <c r="P4419" s="10">
        <f t="shared" si="10"/>
        <v>39293.64583</v>
      </c>
      <c r="Q4419" s="15">
        <v>1906.71</v>
      </c>
      <c r="R4419" s="18">
        <v>39293.0</v>
      </c>
    </row>
    <row r="4420">
      <c r="A4420" s="10">
        <f t="shared" si="8"/>
        <v>42402.66667</v>
      </c>
      <c r="B4420" s="2" t="str">
        <f t="shared" si="2"/>
        <v/>
      </c>
      <c r="C4420" s="2" t="str">
        <f t="shared" si="3"/>
        <v>SP500</v>
      </c>
      <c r="D4420" s="2">
        <f t="shared" si="4"/>
        <v>4516.95</v>
      </c>
      <c r="E4420" s="2">
        <f t="shared" si="5"/>
        <v>4516.95</v>
      </c>
      <c r="G4420" s="10">
        <f t="shared" si="9"/>
        <v>42402.64583</v>
      </c>
      <c r="H4420" s="6" t="str">
        <f t="shared" si="6"/>
        <v/>
      </c>
      <c r="I4420" s="2">
        <f t="shared" si="7"/>
        <v>1426.89</v>
      </c>
      <c r="M4420" s="10">
        <f>IFERROR(__xludf.DUMMYFUNCTION("""COMPUTED_VALUE"""),44392.66666666667)</f>
        <v>44392.66667</v>
      </c>
      <c r="N4420" s="2">
        <f>IFERROR(__xludf.DUMMYFUNCTION("""COMPUTED_VALUE"""),14543.13)</f>
        <v>14543.13</v>
      </c>
      <c r="P4420" s="10">
        <f t="shared" si="10"/>
        <v>39290.64583</v>
      </c>
      <c r="Q4420" s="15">
        <v>1883.22</v>
      </c>
      <c r="R4420" s="18">
        <v>39290.0</v>
      </c>
    </row>
    <row r="4421">
      <c r="A4421" s="10">
        <f t="shared" si="8"/>
        <v>42403.66667</v>
      </c>
      <c r="B4421" s="2" t="str">
        <f t="shared" si="2"/>
        <v/>
      </c>
      <c r="C4421" s="2" t="str">
        <f t="shared" si="3"/>
        <v>SP500</v>
      </c>
      <c r="D4421" s="2">
        <f t="shared" si="4"/>
        <v>4504.24</v>
      </c>
      <c r="E4421" s="2">
        <f t="shared" si="5"/>
        <v>4504.24</v>
      </c>
      <c r="G4421" s="10">
        <f t="shared" si="9"/>
        <v>42403.64583</v>
      </c>
      <c r="H4421" s="6" t="str">
        <f t="shared" si="6"/>
        <v/>
      </c>
      <c r="I4421" s="2">
        <f t="shared" si="7"/>
        <v>1426.89</v>
      </c>
      <c r="M4421" s="10">
        <f>IFERROR(__xludf.DUMMYFUNCTION("""COMPUTED_VALUE"""),44393.66666666667)</f>
        <v>44393.66667</v>
      </c>
      <c r="N4421" s="2">
        <f>IFERROR(__xludf.DUMMYFUNCTION("""COMPUTED_VALUE"""),14427.24)</f>
        <v>14427.24</v>
      </c>
      <c r="P4421" s="10">
        <f t="shared" si="10"/>
        <v>39289.64583</v>
      </c>
      <c r="Q4421" s="15">
        <v>1963.54</v>
      </c>
      <c r="R4421" s="18">
        <v>39289.0</v>
      </c>
    </row>
    <row r="4422">
      <c r="A4422" s="10">
        <f t="shared" si="8"/>
        <v>42404.66667</v>
      </c>
      <c r="B4422" s="2" t="str">
        <f t="shared" si="2"/>
        <v/>
      </c>
      <c r="C4422" s="2" t="str">
        <f t="shared" si="3"/>
        <v>SP500</v>
      </c>
      <c r="D4422" s="2">
        <f t="shared" si="4"/>
        <v>4509.56</v>
      </c>
      <c r="E4422" s="2">
        <f t="shared" si="5"/>
        <v>4509.56</v>
      </c>
      <c r="G4422" s="10">
        <f t="shared" si="9"/>
        <v>42404.64583</v>
      </c>
      <c r="H4422" s="6" t="str">
        <f t="shared" si="6"/>
        <v/>
      </c>
      <c r="I4422" s="2">
        <f t="shared" si="7"/>
        <v>1426.89</v>
      </c>
      <c r="M4422" s="10">
        <f>IFERROR(__xludf.DUMMYFUNCTION("""COMPUTED_VALUE"""),44396.66666666667)</f>
        <v>44396.66667</v>
      </c>
      <c r="N4422" s="2">
        <f>IFERROR(__xludf.DUMMYFUNCTION("""COMPUTED_VALUE"""),14274.98)</f>
        <v>14274.98</v>
      </c>
      <c r="P4422" s="10">
        <f t="shared" si="10"/>
        <v>39288.64583</v>
      </c>
      <c r="Q4422" s="15">
        <v>2004.22</v>
      </c>
      <c r="R4422" s="18">
        <v>39288.0</v>
      </c>
    </row>
    <row r="4423">
      <c r="A4423" s="10">
        <f t="shared" si="8"/>
        <v>42405.66667</v>
      </c>
      <c r="B4423" s="2" t="str">
        <f t="shared" si="2"/>
        <v/>
      </c>
      <c r="C4423" s="2" t="str">
        <f t="shared" si="3"/>
        <v>SP500</v>
      </c>
      <c r="D4423" s="2">
        <f t="shared" si="4"/>
        <v>4363.14</v>
      </c>
      <c r="E4423" s="2">
        <f t="shared" si="5"/>
        <v>4363.14</v>
      </c>
      <c r="G4423" s="10">
        <f t="shared" si="9"/>
        <v>42405.64583</v>
      </c>
      <c r="H4423" s="6" t="str">
        <f t="shared" si="6"/>
        <v/>
      </c>
      <c r="I4423" s="2">
        <f t="shared" si="7"/>
        <v>1426.89</v>
      </c>
      <c r="M4423" s="10">
        <f>IFERROR(__xludf.DUMMYFUNCTION("""COMPUTED_VALUE"""),44397.66666666667)</f>
        <v>44397.66667</v>
      </c>
      <c r="N4423" s="2">
        <f>IFERROR(__xludf.DUMMYFUNCTION("""COMPUTED_VALUE"""),14498.88)</f>
        <v>14498.88</v>
      </c>
      <c r="P4423" s="10">
        <f t="shared" si="10"/>
        <v>39287.64583</v>
      </c>
      <c r="Q4423" s="15">
        <v>1992.26</v>
      </c>
      <c r="R4423" s="18">
        <v>39287.0</v>
      </c>
    </row>
    <row r="4424">
      <c r="A4424" s="10">
        <f t="shared" si="8"/>
        <v>42406.66667</v>
      </c>
      <c r="B4424" s="2" t="str">
        <f t="shared" si="2"/>
        <v/>
      </c>
      <c r="C4424" s="2" t="str">
        <f t="shared" si="3"/>
        <v>SP500</v>
      </c>
      <c r="D4424" s="2" t="str">
        <f t="shared" si="4"/>
        <v/>
      </c>
      <c r="E4424" s="2">
        <f t="shared" si="5"/>
        <v>4363.14</v>
      </c>
      <c r="G4424" s="10">
        <f t="shared" si="9"/>
        <v>42406.64583</v>
      </c>
      <c r="H4424" s="6" t="str">
        <f t="shared" si="6"/>
        <v/>
      </c>
      <c r="I4424" s="2">
        <f t="shared" si="7"/>
        <v>1426.89</v>
      </c>
      <c r="M4424" s="10">
        <f>IFERROR(__xludf.DUMMYFUNCTION("""COMPUTED_VALUE"""),44398.66666666667)</f>
        <v>44398.66667</v>
      </c>
      <c r="N4424" s="2">
        <f>IFERROR(__xludf.DUMMYFUNCTION("""COMPUTED_VALUE"""),14631.95)</f>
        <v>14631.95</v>
      </c>
      <c r="P4424" s="10">
        <f t="shared" si="10"/>
        <v>39286.64583</v>
      </c>
      <c r="Q4424" s="15">
        <v>1993.05</v>
      </c>
      <c r="R4424" s="18">
        <v>39286.0</v>
      </c>
    </row>
    <row r="4425">
      <c r="A4425" s="10">
        <f t="shared" si="8"/>
        <v>42407.66667</v>
      </c>
      <c r="B4425" s="2" t="str">
        <f t="shared" si="2"/>
        <v/>
      </c>
      <c r="C4425" s="2" t="str">
        <f t="shared" si="3"/>
        <v>SP500</v>
      </c>
      <c r="D4425" s="2" t="str">
        <f t="shared" si="4"/>
        <v/>
      </c>
      <c r="E4425" s="2">
        <f t="shared" si="5"/>
        <v>4363.14</v>
      </c>
      <c r="G4425" s="10">
        <f t="shared" si="9"/>
        <v>42407.64583</v>
      </c>
      <c r="H4425" s="6" t="str">
        <f t="shared" si="6"/>
        <v/>
      </c>
      <c r="I4425" s="2">
        <f t="shared" si="7"/>
        <v>1426.89</v>
      </c>
      <c r="M4425" s="10">
        <f>IFERROR(__xludf.DUMMYFUNCTION("""COMPUTED_VALUE"""),44399.66666666667)</f>
        <v>44399.66667</v>
      </c>
      <c r="N4425" s="2">
        <f>IFERROR(__xludf.DUMMYFUNCTION("""COMPUTED_VALUE"""),14684.6)</f>
        <v>14684.6</v>
      </c>
      <c r="P4425" s="10">
        <f t="shared" si="10"/>
        <v>39283.64583</v>
      </c>
      <c r="Q4425" s="15">
        <v>1983.54</v>
      </c>
      <c r="R4425" s="18">
        <v>39283.0</v>
      </c>
    </row>
    <row r="4426">
      <c r="A4426" s="10">
        <f t="shared" si="8"/>
        <v>42408.66667</v>
      </c>
      <c r="B4426" s="2" t="str">
        <f t="shared" si="2"/>
        <v/>
      </c>
      <c r="C4426" s="2" t="str">
        <f t="shared" si="3"/>
        <v>SP500</v>
      </c>
      <c r="D4426" s="2">
        <f t="shared" si="4"/>
        <v>4283.75</v>
      </c>
      <c r="E4426" s="2">
        <f t="shared" si="5"/>
        <v>4283.75</v>
      </c>
      <c r="G4426" s="10">
        <f t="shared" si="9"/>
        <v>42408.64583</v>
      </c>
      <c r="H4426" s="6" t="str">
        <f t="shared" si="6"/>
        <v/>
      </c>
      <c r="I4426" s="2">
        <f t="shared" si="7"/>
        <v>1426.89</v>
      </c>
      <c r="M4426" s="10">
        <f>IFERROR(__xludf.DUMMYFUNCTION("""COMPUTED_VALUE"""),44400.66666666667)</f>
        <v>44400.66667</v>
      </c>
      <c r="N4426" s="2">
        <f>IFERROR(__xludf.DUMMYFUNCTION("""COMPUTED_VALUE"""),14836.99)</f>
        <v>14836.99</v>
      </c>
      <c r="P4426" s="10">
        <f t="shared" si="10"/>
        <v>39282.64583</v>
      </c>
      <c r="Q4426" s="15">
        <v>1937.9</v>
      </c>
      <c r="R4426" s="18">
        <v>39282.0</v>
      </c>
    </row>
    <row r="4427">
      <c r="A4427" s="10">
        <f t="shared" si="8"/>
        <v>42409.66667</v>
      </c>
      <c r="B4427" s="2" t="str">
        <f t="shared" si="2"/>
        <v/>
      </c>
      <c r="C4427" s="2" t="str">
        <f t="shared" si="3"/>
        <v>SP500</v>
      </c>
      <c r="D4427" s="2">
        <f t="shared" si="4"/>
        <v>4268.76</v>
      </c>
      <c r="E4427" s="2">
        <f t="shared" si="5"/>
        <v>4268.76</v>
      </c>
      <c r="G4427" s="10">
        <f t="shared" si="9"/>
        <v>42409.64583</v>
      </c>
      <c r="H4427" s="6" t="str">
        <f t="shared" si="6"/>
        <v/>
      </c>
      <c r="I4427" s="2">
        <f t="shared" si="7"/>
        <v>1426.89</v>
      </c>
      <c r="M4427" s="10">
        <f>IFERROR(__xludf.DUMMYFUNCTION("""COMPUTED_VALUE"""),44403.66666666667)</f>
        <v>44403.66667</v>
      </c>
      <c r="N4427" s="2">
        <f>IFERROR(__xludf.DUMMYFUNCTION("""COMPUTED_VALUE"""),14840.71)</f>
        <v>14840.71</v>
      </c>
      <c r="P4427" s="10">
        <f t="shared" si="10"/>
        <v>39281.64583</v>
      </c>
      <c r="Q4427" s="15">
        <v>1930.7</v>
      </c>
      <c r="R4427" s="18">
        <v>39281.0</v>
      </c>
    </row>
    <row r="4428">
      <c r="A4428" s="10">
        <f t="shared" si="8"/>
        <v>42410.66667</v>
      </c>
      <c r="B4428" s="2" t="str">
        <f t="shared" si="2"/>
        <v/>
      </c>
      <c r="C4428" s="2" t="str">
        <f t="shared" si="3"/>
        <v>SP500</v>
      </c>
      <c r="D4428" s="2">
        <f t="shared" si="4"/>
        <v>4283.59</v>
      </c>
      <c r="E4428" s="2">
        <f t="shared" si="5"/>
        <v>4283.59</v>
      </c>
      <c r="G4428" s="10">
        <f t="shared" si="9"/>
        <v>42410.64583</v>
      </c>
      <c r="H4428" s="6" t="str">
        <f t="shared" si="6"/>
        <v/>
      </c>
      <c r="I4428" s="2">
        <f t="shared" si="7"/>
        <v>1426.89</v>
      </c>
      <c r="M4428" s="10">
        <f>IFERROR(__xludf.DUMMYFUNCTION("""COMPUTED_VALUE"""),44404.66666666667)</f>
        <v>44404.66667</v>
      </c>
      <c r="N4428" s="2">
        <f>IFERROR(__xludf.DUMMYFUNCTION("""COMPUTED_VALUE"""),14660.58)</f>
        <v>14660.58</v>
      </c>
      <c r="P4428" s="10">
        <f t="shared" si="10"/>
        <v>39279.64583</v>
      </c>
      <c r="Q4428" s="15">
        <v>1949.51</v>
      </c>
      <c r="R4428" s="18">
        <v>39279.0</v>
      </c>
    </row>
    <row r="4429">
      <c r="A4429" s="10">
        <f t="shared" si="8"/>
        <v>42411.66667</v>
      </c>
      <c r="B4429" s="2" t="str">
        <f t="shared" si="2"/>
        <v/>
      </c>
      <c r="C4429" s="2" t="str">
        <f t="shared" si="3"/>
        <v>SP500</v>
      </c>
      <c r="D4429" s="2">
        <f t="shared" si="4"/>
        <v>4266.84</v>
      </c>
      <c r="E4429" s="2">
        <f t="shared" si="5"/>
        <v>4266.84</v>
      </c>
      <c r="G4429" s="10">
        <f t="shared" si="9"/>
        <v>42411.64583</v>
      </c>
      <c r="H4429" s="6" t="str">
        <f t="shared" si="6"/>
        <v/>
      </c>
      <c r="I4429" s="2">
        <f t="shared" si="7"/>
        <v>1426.89</v>
      </c>
      <c r="M4429" s="10">
        <f>IFERROR(__xludf.DUMMYFUNCTION("""COMPUTED_VALUE"""),44405.66666666667)</f>
        <v>44405.66667</v>
      </c>
      <c r="N4429" s="2">
        <f>IFERROR(__xludf.DUMMYFUNCTION("""COMPUTED_VALUE"""),14762.58)</f>
        <v>14762.58</v>
      </c>
      <c r="P4429" s="10">
        <f t="shared" si="10"/>
        <v>39276.64583</v>
      </c>
      <c r="Q4429" s="15">
        <v>1962.93</v>
      </c>
      <c r="R4429" s="18">
        <v>39276.0</v>
      </c>
    </row>
    <row r="4430">
      <c r="A4430" s="10">
        <f t="shared" si="8"/>
        <v>42412.66667</v>
      </c>
      <c r="B4430" s="2" t="str">
        <f t="shared" si="2"/>
        <v/>
      </c>
      <c r="C4430" s="2" t="str">
        <f t="shared" si="3"/>
        <v>SP500</v>
      </c>
      <c r="D4430" s="2">
        <f t="shared" si="4"/>
        <v>4337.51</v>
      </c>
      <c r="E4430" s="2">
        <f t="shared" si="5"/>
        <v>4337.51</v>
      </c>
      <c r="G4430" s="10">
        <f t="shared" si="9"/>
        <v>42412.64583</v>
      </c>
      <c r="H4430" s="6" t="str">
        <f t="shared" si="6"/>
        <v/>
      </c>
      <c r="I4430" s="2">
        <f t="shared" si="7"/>
        <v>1426.89</v>
      </c>
      <c r="M4430" s="10">
        <f>IFERROR(__xludf.DUMMYFUNCTION("""COMPUTED_VALUE"""),44406.66666666667)</f>
        <v>44406.66667</v>
      </c>
      <c r="N4430" s="2">
        <f>IFERROR(__xludf.DUMMYFUNCTION("""COMPUTED_VALUE"""),14778.26)</f>
        <v>14778.26</v>
      </c>
      <c r="P4430" s="10">
        <f t="shared" si="10"/>
        <v>39275.64583</v>
      </c>
      <c r="Q4430" s="15">
        <v>1909.75</v>
      </c>
      <c r="R4430" s="18">
        <v>39275.0</v>
      </c>
    </row>
    <row r="4431">
      <c r="A4431" s="10">
        <f t="shared" si="8"/>
        <v>42413.66667</v>
      </c>
      <c r="B4431" s="2" t="str">
        <f t="shared" si="2"/>
        <v/>
      </c>
      <c r="C4431" s="2" t="str">
        <f t="shared" si="3"/>
        <v>SP500</v>
      </c>
      <c r="D4431" s="2" t="str">
        <f t="shared" si="4"/>
        <v/>
      </c>
      <c r="E4431" s="2">
        <f t="shared" si="5"/>
        <v>4337.51</v>
      </c>
      <c r="G4431" s="10">
        <f t="shared" si="9"/>
        <v>42413.64583</v>
      </c>
      <c r="H4431" s="6" t="str">
        <f t="shared" si="6"/>
        <v/>
      </c>
      <c r="I4431" s="2">
        <f t="shared" si="7"/>
        <v>1426.89</v>
      </c>
      <c r="M4431" s="10">
        <f>IFERROR(__xludf.DUMMYFUNCTION("""COMPUTED_VALUE"""),44407.66666666667)</f>
        <v>44407.66667</v>
      </c>
      <c r="N4431" s="2">
        <f>IFERROR(__xludf.DUMMYFUNCTION("""COMPUTED_VALUE"""),14672.68)</f>
        <v>14672.68</v>
      </c>
      <c r="P4431" s="10">
        <f t="shared" si="10"/>
        <v>39274.64583</v>
      </c>
      <c r="Q4431" s="15">
        <v>1889.96</v>
      </c>
      <c r="R4431" s="18">
        <v>39274.0</v>
      </c>
    </row>
    <row r="4432">
      <c r="A4432" s="10">
        <f t="shared" si="8"/>
        <v>42414.66667</v>
      </c>
      <c r="B4432" s="2" t="str">
        <f t="shared" si="2"/>
        <v/>
      </c>
      <c r="C4432" s="2" t="str">
        <f t="shared" si="3"/>
        <v>SP500</v>
      </c>
      <c r="D4432" s="2" t="str">
        <f t="shared" si="4"/>
        <v/>
      </c>
      <c r="E4432" s="2">
        <f t="shared" si="5"/>
        <v>4337.51</v>
      </c>
      <c r="G4432" s="10">
        <f t="shared" si="9"/>
        <v>42414.64583</v>
      </c>
      <c r="H4432" s="6" t="str">
        <f t="shared" si="6"/>
        <v/>
      </c>
      <c r="I4432" s="2">
        <f t="shared" si="7"/>
        <v>1426.89</v>
      </c>
      <c r="M4432" s="10">
        <f>IFERROR(__xludf.DUMMYFUNCTION("""COMPUTED_VALUE"""),44410.66666666667)</f>
        <v>44410.66667</v>
      </c>
      <c r="N4432" s="2">
        <f>IFERROR(__xludf.DUMMYFUNCTION("""COMPUTED_VALUE"""),14681.07)</f>
        <v>14681.07</v>
      </c>
      <c r="P4432" s="10">
        <f t="shared" si="10"/>
        <v>39273.64583</v>
      </c>
      <c r="Q4432" s="15">
        <v>1894.53</v>
      </c>
      <c r="R4432" s="18">
        <v>39273.0</v>
      </c>
    </row>
    <row r="4433">
      <c r="A4433" s="10">
        <f t="shared" si="8"/>
        <v>42415.66667</v>
      </c>
      <c r="B4433" s="2" t="str">
        <f t="shared" si="2"/>
        <v/>
      </c>
      <c r="C4433" s="2" t="str">
        <f t="shared" si="3"/>
        <v>SP500</v>
      </c>
      <c r="D4433" s="2" t="str">
        <f t="shared" si="4"/>
        <v/>
      </c>
      <c r="E4433" s="2">
        <f t="shared" si="5"/>
        <v>4337.51</v>
      </c>
      <c r="G4433" s="10">
        <f t="shared" si="9"/>
        <v>42415.64583</v>
      </c>
      <c r="H4433" s="6" t="str">
        <f t="shared" si="6"/>
        <v/>
      </c>
      <c r="I4433" s="2">
        <f t="shared" si="7"/>
        <v>1426.89</v>
      </c>
      <c r="M4433" s="10">
        <f>IFERROR(__xludf.DUMMYFUNCTION("""COMPUTED_VALUE"""),44411.66666666667)</f>
        <v>44411.66667</v>
      </c>
      <c r="N4433" s="2">
        <f>IFERROR(__xludf.DUMMYFUNCTION("""COMPUTED_VALUE"""),14761.3)</f>
        <v>14761.3</v>
      </c>
      <c r="P4433" s="10">
        <f t="shared" si="10"/>
        <v>39272.64583</v>
      </c>
      <c r="Q4433" s="15">
        <v>1883.59</v>
      </c>
      <c r="R4433" s="18">
        <v>39272.0</v>
      </c>
    </row>
    <row r="4434">
      <c r="A4434" s="10">
        <f t="shared" si="8"/>
        <v>42416.66667</v>
      </c>
      <c r="B4434" s="2" t="str">
        <f t="shared" si="2"/>
        <v/>
      </c>
      <c r="C4434" s="2" t="str">
        <f t="shared" si="3"/>
        <v>SP500</v>
      </c>
      <c r="D4434" s="2">
        <f t="shared" si="4"/>
        <v>4435.96</v>
      </c>
      <c r="E4434" s="2">
        <f t="shared" si="5"/>
        <v>4435.96</v>
      </c>
      <c r="G4434" s="10">
        <f t="shared" si="9"/>
        <v>42416.64583</v>
      </c>
      <c r="H4434" s="6" t="str">
        <f t="shared" si="6"/>
        <v/>
      </c>
      <c r="I4434" s="2">
        <f t="shared" si="7"/>
        <v>1426.89</v>
      </c>
      <c r="M4434" s="10">
        <f>IFERROR(__xludf.DUMMYFUNCTION("""COMPUTED_VALUE"""),44412.66666666667)</f>
        <v>44412.66667</v>
      </c>
      <c r="N4434" s="2">
        <f>IFERROR(__xludf.DUMMYFUNCTION("""COMPUTED_VALUE"""),14780.53)</f>
        <v>14780.53</v>
      </c>
      <c r="P4434" s="10">
        <f t="shared" si="10"/>
        <v>39269.64583</v>
      </c>
      <c r="Q4434" s="15">
        <v>1861.01</v>
      </c>
      <c r="R4434" s="18">
        <v>39269.0</v>
      </c>
    </row>
    <row r="4435">
      <c r="A4435" s="10">
        <f t="shared" si="8"/>
        <v>42417.66667</v>
      </c>
      <c r="B4435" s="2" t="str">
        <f t="shared" si="2"/>
        <v/>
      </c>
      <c r="C4435" s="2" t="str">
        <f t="shared" si="3"/>
        <v>SP500</v>
      </c>
      <c r="D4435" s="2">
        <f t="shared" si="4"/>
        <v>4534.06</v>
      </c>
      <c r="E4435" s="2">
        <f t="shared" si="5"/>
        <v>4534.06</v>
      </c>
      <c r="G4435" s="10">
        <f t="shared" si="9"/>
        <v>42417.64583</v>
      </c>
      <c r="H4435" s="6" t="str">
        <f t="shared" si="6"/>
        <v/>
      </c>
      <c r="I4435" s="2">
        <f t="shared" si="7"/>
        <v>1426.89</v>
      </c>
      <c r="M4435" s="10">
        <f>IFERROR(__xludf.DUMMYFUNCTION("""COMPUTED_VALUE"""),44413.66666666667)</f>
        <v>44413.66667</v>
      </c>
      <c r="N4435" s="2">
        <f>IFERROR(__xludf.DUMMYFUNCTION("""COMPUTED_VALUE"""),14895.12)</f>
        <v>14895.12</v>
      </c>
      <c r="P4435" s="10">
        <f t="shared" si="10"/>
        <v>39268.64583</v>
      </c>
      <c r="Q4435" s="15">
        <v>1847.79</v>
      </c>
      <c r="R4435" s="18">
        <v>39268.0</v>
      </c>
    </row>
    <row r="4436">
      <c r="A4436" s="10">
        <f t="shared" si="8"/>
        <v>42418.66667</v>
      </c>
      <c r="B4436" s="2" t="str">
        <f t="shared" si="2"/>
        <v/>
      </c>
      <c r="C4436" s="2" t="str">
        <f t="shared" si="3"/>
        <v>SP500</v>
      </c>
      <c r="D4436" s="2">
        <f t="shared" si="4"/>
        <v>4487.54</v>
      </c>
      <c r="E4436" s="2">
        <f t="shared" si="5"/>
        <v>4487.54</v>
      </c>
      <c r="G4436" s="10">
        <f t="shared" si="9"/>
        <v>42418.64583</v>
      </c>
      <c r="H4436" s="6" t="str">
        <f t="shared" si="6"/>
        <v/>
      </c>
      <c r="I4436" s="2">
        <f t="shared" si="7"/>
        <v>1426.89</v>
      </c>
      <c r="M4436" s="10">
        <f>IFERROR(__xludf.DUMMYFUNCTION("""COMPUTED_VALUE"""),44414.66666666667)</f>
        <v>44414.66667</v>
      </c>
      <c r="N4436" s="2">
        <f>IFERROR(__xludf.DUMMYFUNCTION("""COMPUTED_VALUE"""),14835.76)</f>
        <v>14835.76</v>
      </c>
      <c r="P4436" s="10">
        <f t="shared" si="10"/>
        <v>39267.64583</v>
      </c>
      <c r="Q4436" s="15">
        <v>1838.41</v>
      </c>
      <c r="R4436" s="18">
        <v>39267.0</v>
      </c>
    </row>
    <row r="4437">
      <c r="A4437" s="10">
        <f t="shared" si="8"/>
        <v>42419.66667</v>
      </c>
      <c r="B4437" s="2" t="str">
        <f t="shared" si="2"/>
        <v/>
      </c>
      <c r="C4437" s="2" t="str">
        <f t="shared" si="3"/>
        <v>SP500</v>
      </c>
      <c r="D4437" s="2">
        <f t="shared" si="4"/>
        <v>4504.43</v>
      </c>
      <c r="E4437" s="2">
        <f t="shared" si="5"/>
        <v>4504.43</v>
      </c>
      <c r="G4437" s="10">
        <f t="shared" si="9"/>
        <v>42419.64583</v>
      </c>
      <c r="H4437" s="6" t="str">
        <f t="shared" si="6"/>
        <v/>
      </c>
      <c r="I4437" s="2">
        <f t="shared" si="7"/>
        <v>1426.89</v>
      </c>
      <c r="M4437" s="10">
        <f>IFERROR(__xludf.DUMMYFUNCTION("""COMPUTED_VALUE"""),44417.66666666667)</f>
        <v>44417.66667</v>
      </c>
      <c r="N4437" s="2">
        <f>IFERROR(__xludf.DUMMYFUNCTION("""COMPUTED_VALUE"""),14860.18)</f>
        <v>14860.18</v>
      </c>
      <c r="P4437" s="10">
        <f t="shared" si="10"/>
        <v>39266.64583</v>
      </c>
      <c r="Q4437" s="15">
        <v>1805.5</v>
      </c>
      <c r="R4437" s="18">
        <v>39266.0</v>
      </c>
    </row>
    <row r="4438">
      <c r="A4438" s="10">
        <f t="shared" si="8"/>
        <v>42420.66667</v>
      </c>
      <c r="B4438" s="2" t="str">
        <f t="shared" si="2"/>
        <v/>
      </c>
      <c r="C4438" s="2" t="str">
        <f t="shared" si="3"/>
        <v>SP500</v>
      </c>
      <c r="D4438" s="2" t="str">
        <f t="shared" si="4"/>
        <v/>
      </c>
      <c r="E4438" s="2">
        <f t="shared" si="5"/>
        <v>4504.43</v>
      </c>
      <c r="G4438" s="10">
        <f t="shared" si="9"/>
        <v>42420.64583</v>
      </c>
      <c r="H4438" s="6" t="str">
        <f t="shared" si="6"/>
        <v/>
      </c>
      <c r="I4438" s="2">
        <f t="shared" si="7"/>
        <v>1426.89</v>
      </c>
      <c r="M4438" s="10">
        <f>IFERROR(__xludf.DUMMYFUNCTION("""COMPUTED_VALUE"""),44418.66666666667)</f>
        <v>44418.66667</v>
      </c>
      <c r="N4438" s="2">
        <f>IFERROR(__xludf.DUMMYFUNCTION("""COMPUTED_VALUE"""),14788.09)</f>
        <v>14788.09</v>
      </c>
      <c r="P4438" s="10">
        <f t="shared" si="10"/>
        <v>39265.64583</v>
      </c>
      <c r="Q4438" s="15">
        <v>1771.35</v>
      </c>
      <c r="R4438" s="18">
        <v>39265.0</v>
      </c>
    </row>
    <row r="4439">
      <c r="A4439" s="10">
        <f t="shared" si="8"/>
        <v>42421.66667</v>
      </c>
      <c r="B4439" s="2" t="str">
        <f t="shared" si="2"/>
        <v/>
      </c>
      <c r="C4439" s="2" t="str">
        <f t="shared" si="3"/>
        <v>SP500</v>
      </c>
      <c r="D4439" s="2" t="str">
        <f t="shared" si="4"/>
        <v/>
      </c>
      <c r="E4439" s="2">
        <f t="shared" si="5"/>
        <v>4504.43</v>
      </c>
      <c r="G4439" s="10">
        <f t="shared" si="9"/>
        <v>42421.64583</v>
      </c>
      <c r="H4439" s="6" t="str">
        <f t="shared" si="6"/>
        <v/>
      </c>
      <c r="I4439" s="2">
        <f t="shared" si="7"/>
        <v>1426.89</v>
      </c>
      <c r="M4439" s="10">
        <f>IFERROR(__xludf.DUMMYFUNCTION("""COMPUTED_VALUE"""),44419.66666666667)</f>
        <v>44419.66667</v>
      </c>
      <c r="N4439" s="2">
        <f>IFERROR(__xludf.DUMMYFUNCTION("""COMPUTED_VALUE"""),14765.14)</f>
        <v>14765.14</v>
      </c>
      <c r="P4439" s="10">
        <f t="shared" si="10"/>
        <v>39262.64583</v>
      </c>
      <c r="Q4439" s="15">
        <v>1743.6</v>
      </c>
      <c r="R4439" s="18">
        <v>39262.0</v>
      </c>
    </row>
    <row r="4440">
      <c r="A4440" s="10">
        <f t="shared" si="8"/>
        <v>42422.66667</v>
      </c>
      <c r="B4440" s="2" t="str">
        <f t="shared" si="2"/>
        <v/>
      </c>
      <c r="C4440" s="2" t="str">
        <f t="shared" si="3"/>
        <v>SP500</v>
      </c>
      <c r="D4440" s="2">
        <f t="shared" si="4"/>
        <v>4570.61</v>
      </c>
      <c r="E4440" s="2">
        <f t="shared" si="5"/>
        <v>4570.61</v>
      </c>
      <c r="G4440" s="10">
        <f t="shared" si="9"/>
        <v>42422.64583</v>
      </c>
      <c r="H4440" s="6" t="str">
        <f t="shared" si="6"/>
        <v/>
      </c>
      <c r="I4440" s="2">
        <f t="shared" si="7"/>
        <v>1426.89</v>
      </c>
      <c r="M4440" s="10">
        <f>IFERROR(__xludf.DUMMYFUNCTION("""COMPUTED_VALUE"""),44420.66666666667)</f>
        <v>44420.66667</v>
      </c>
      <c r="N4440" s="2">
        <f>IFERROR(__xludf.DUMMYFUNCTION("""COMPUTED_VALUE"""),14816.26)</f>
        <v>14816.26</v>
      </c>
      <c r="P4440" s="10">
        <f t="shared" si="10"/>
        <v>39261.64583</v>
      </c>
      <c r="Q4440" s="15">
        <v>1751.75</v>
      </c>
      <c r="R4440" s="18">
        <v>39261.0</v>
      </c>
    </row>
    <row r="4441">
      <c r="A4441" s="10">
        <f t="shared" si="8"/>
        <v>42423.66667</v>
      </c>
      <c r="B4441" s="2" t="str">
        <f t="shared" si="2"/>
        <v/>
      </c>
      <c r="C4441" s="2" t="str">
        <f t="shared" si="3"/>
        <v>SP500</v>
      </c>
      <c r="D4441" s="2">
        <f t="shared" si="4"/>
        <v>4503.58</v>
      </c>
      <c r="E4441" s="2">
        <f t="shared" si="5"/>
        <v>4503.58</v>
      </c>
      <c r="G4441" s="10">
        <f t="shared" si="9"/>
        <v>42423.64583</v>
      </c>
      <c r="H4441" s="6" t="str">
        <f t="shared" si="6"/>
        <v/>
      </c>
      <c r="I4441" s="2">
        <f t="shared" si="7"/>
        <v>1426.89</v>
      </c>
      <c r="M4441" s="10">
        <f>IFERROR(__xludf.DUMMYFUNCTION("""COMPUTED_VALUE"""),44421.66666666667)</f>
        <v>44421.66667</v>
      </c>
      <c r="N4441" s="2">
        <f>IFERROR(__xludf.DUMMYFUNCTION("""COMPUTED_VALUE"""),14822.9)</f>
        <v>14822.9</v>
      </c>
      <c r="P4441" s="10">
        <f t="shared" si="10"/>
        <v>39260.64583</v>
      </c>
      <c r="Q4441" s="15">
        <v>1733.1</v>
      </c>
      <c r="R4441" s="18">
        <v>39260.0</v>
      </c>
    </row>
    <row r="4442">
      <c r="A4442" s="10">
        <f t="shared" si="8"/>
        <v>42424.66667</v>
      </c>
      <c r="B4442" s="2" t="str">
        <f t="shared" si="2"/>
        <v/>
      </c>
      <c r="C4442" s="2" t="str">
        <f t="shared" si="3"/>
        <v>SP500</v>
      </c>
      <c r="D4442" s="2">
        <f t="shared" si="4"/>
        <v>4542.61</v>
      </c>
      <c r="E4442" s="2">
        <f t="shared" si="5"/>
        <v>4542.61</v>
      </c>
      <c r="G4442" s="10">
        <f t="shared" si="9"/>
        <v>42424.64583</v>
      </c>
      <c r="H4442" s="6" t="str">
        <f t="shared" si="6"/>
        <v/>
      </c>
      <c r="I4442" s="2">
        <f t="shared" si="7"/>
        <v>1426.89</v>
      </c>
      <c r="M4442" s="10">
        <f>IFERROR(__xludf.DUMMYFUNCTION("""COMPUTED_VALUE"""),44424.66666666667)</f>
        <v>44424.66667</v>
      </c>
      <c r="N4442" s="2">
        <f>IFERROR(__xludf.DUMMYFUNCTION("""COMPUTED_VALUE"""),14793.76)</f>
        <v>14793.76</v>
      </c>
      <c r="P4442" s="10">
        <f t="shared" si="10"/>
        <v>39259.64583</v>
      </c>
      <c r="Q4442" s="15">
        <v>1749.55</v>
      </c>
      <c r="R4442" s="18">
        <v>39259.0</v>
      </c>
    </row>
    <row r="4443">
      <c r="A4443" s="10">
        <f t="shared" si="8"/>
        <v>42425.66667</v>
      </c>
      <c r="B4443" s="2" t="str">
        <f t="shared" si="2"/>
        <v/>
      </c>
      <c r="C4443" s="2" t="str">
        <f t="shared" si="3"/>
        <v>SP500</v>
      </c>
      <c r="D4443" s="2">
        <f t="shared" si="4"/>
        <v>4582.2</v>
      </c>
      <c r="E4443" s="2">
        <f t="shared" si="5"/>
        <v>4582.2</v>
      </c>
      <c r="G4443" s="10">
        <f t="shared" si="9"/>
        <v>42425.64583</v>
      </c>
      <c r="H4443" s="6" t="str">
        <f t="shared" si="6"/>
        <v/>
      </c>
      <c r="I4443" s="2">
        <f t="shared" si="7"/>
        <v>1426.89</v>
      </c>
      <c r="M4443" s="10">
        <f>IFERROR(__xludf.DUMMYFUNCTION("""COMPUTED_VALUE"""),44425.66666666667)</f>
        <v>44425.66667</v>
      </c>
      <c r="N4443" s="2">
        <f>IFERROR(__xludf.DUMMYFUNCTION("""COMPUTED_VALUE"""),14656.18)</f>
        <v>14656.18</v>
      </c>
      <c r="P4443" s="10">
        <f t="shared" si="10"/>
        <v>39258.64583</v>
      </c>
      <c r="Q4443" s="15">
        <v>1757.73</v>
      </c>
      <c r="R4443" s="18">
        <v>39258.0</v>
      </c>
    </row>
    <row r="4444">
      <c r="A4444" s="10">
        <f t="shared" si="8"/>
        <v>42426.66667</v>
      </c>
      <c r="B4444" s="2" t="str">
        <f t="shared" si="2"/>
        <v/>
      </c>
      <c r="C4444" s="2" t="str">
        <f t="shared" si="3"/>
        <v>SP500</v>
      </c>
      <c r="D4444" s="2">
        <f t="shared" si="4"/>
        <v>4590.47</v>
      </c>
      <c r="E4444" s="2">
        <f t="shared" si="5"/>
        <v>4590.47</v>
      </c>
      <c r="G4444" s="10">
        <f t="shared" si="9"/>
        <v>42426.64583</v>
      </c>
      <c r="H4444" s="6" t="str">
        <f t="shared" si="6"/>
        <v/>
      </c>
      <c r="I4444" s="2">
        <f t="shared" si="7"/>
        <v>1426.89</v>
      </c>
      <c r="M4444" s="10">
        <f>IFERROR(__xludf.DUMMYFUNCTION("""COMPUTED_VALUE"""),44426.66666666667)</f>
        <v>44426.66667</v>
      </c>
      <c r="N4444" s="2">
        <f>IFERROR(__xludf.DUMMYFUNCTION("""COMPUTED_VALUE"""),14525.91)</f>
        <v>14525.91</v>
      </c>
      <c r="P4444" s="10">
        <f t="shared" si="10"/>
        <v>39255.64583</v>
      </c>
      <c r="Q4444" s="15">
        <v>1770.98</v>
      </c>
      <c r="R4444" s="18">
        <v>39255.0</v>
      </c>
    </row>
    <row r="4445">
      <c r="A4445" s="10">
        <f t="shared" si="8"/>
        <v>42427.66667</v>
      </c>
      <c r="B4445" s="2" t="str">
        <f t="shared" si="2"/>
        <v/>
      </c>
      <c r="C4445" s="2" t="str">
        <f t="shared" si="3"/>
        <v>SP500</v>
      </c>
      <c r="D4445" s="2" t="str">
        <f t="shared" si="4"/>
        <v/>
      </c>
      <c r="E4445" s="2">
        <f t="shared" si="5"/>
        <v>4590.47</v>
      </c>
      <c r="G4445" s="10">
        <f t="shared" si="9"/>
        <v>42427.64583</v>
      </c>
      <c r="H4445" s="6" t="str">
        <f t="shared" si="6"/>
        <v/>
      </c>
      <c r="I4445" s="2">
        <f t="shared" si="7"/>
        <v>1426.89</v>
      </c>
      <c r="M4445" s="10">
        <f>IFERROR(__xludf.DUMMYFUNCTION("""COMPUTED_VALUE"""),44427.66666666667)</f>
        <v>44427.66667</v>
      </c>
      <c r="N4445" s="2">
        <f>IFERROR(__xludf.DUMMYFUNCTION("""COMPUTED_VALUE"""),14541.79)</f>
        <v>14541.79</v>
      </c>
      <c r="P4445" s="10">
        <f t="shared" si="10"/>
        <v>39254.64583</v>
      </c>
      <c r="Q4445" s="15">
        <v>1794.24</v>
      </c>
      <c r="R4445" s="18">
        <v>39254.0</v>
      </c>
    </row>
    <row r="4446">
      <c r="A4446" s="10">
        <f t="shared" si="8"/>
        <v>42428.66667</v>
      </c>
      <c r="B4446" s="2" t="str">
        <f t="shared" si="2"/>
        <v/>
      </c>
      <c r="C4446" s="2" t="str">
        <f t="shared" si="3"/>
        <v>SP500</v>
      </c>
      <c r="D4446" s="2" t="str">
        <f t="shared" si="4"/>
        <v/>
      </c>
      <c r="E4446" s="2">
        <f t="shared" si="5"/>
        <v>4590.47</v>
      </c>
      <c r="G4446" s="10">
        <f t="shared" si="9"/>
        <v>42428.64583</v>
      </c>
      <c r="H4446" s="6" t="str">
        <f t="shared" si="6"/>
        <v/>
      </c>
      <c r="I4446" s="2">
        <f t="shared" si="7"/>
        <v>1426.89</v>
      </c>
      <c r="M4446" s="10">
        <f>IFERROR(__xludf.DUMMYFUNCTION("""COMPUTED_VALUE"""),44428.66666666667)</f>
        <v>44428.66667</v>
      </c>
      <c r="N4446" s="2">
        <f>IFERROR(__xludf.DUMMYFUNCTION("""COMPUTED_VALUE"""),14714.66)</f>
        <v>14714.66</v>
      </c>
      <c r="P4446" s="10">
        <f t="shared" si="10"/>
        <v>39253.64583</v>
      </c>
      <c r="Q4446" s="15">
        <v>1783.79</v>
      </c>
      <c r="R4446" s="18">
        <v>39253.0</v>
      </c>
    </row>
    <row r="4447">
      <c r="A4447" s="10">
        <f t="shared" si="8"/>
        <v>42429.66667</v>
      </c>
      <c r="B4447" s="2" t="str">
        <f t="shared" si="2"/>
        <v/>
      </c>
      <c r="C4447" s="2" t="str">
        <f t="shared" si="3"/>
        <v>SP500</v>
      </c>
      <c r="D4447" s="2">
        <f t="shared" si="4"/>
        <v>4557.95</v>
      </c>
      <c r="E4447" s="2">
        <f t="shared" si="5"/>
        <v>4557.95</v>
      </c>
      <c r="G4447" s="10">
        <f t="shared" si="9"/>
        <v>42429.64583</v>
      </c>
      <c r="H4447" s="6" t="str">
        <f t="shared" si="6"/>
        <v/>
      </c>
      <c r="I4447" s="2">
        <f t="shared" si="7"/>
        <v>1426.89</v>
      </c>
      <c r="M4447" s="10">
        <f>IFERROR(__xludf.DUMMYFUNCTION("""COMPUTED_VALUE"""),44431.66666666667)</f>
        <v>44431.66667</v>
      </c>
      <c r="N4447" s="2">
        <f>IFERROR(__xludf.DUMMYFUNCTION("""COMPUTED_VALUE"""),14942.65)</f>
        <v>14942.65</v>
      </c>
      <c r="P4447" s="10">
        <f t="shared" si="10"/>
        <v>39252.64583</v>
      </c>
      <c r="Q4447" s="15">
        <v>1807.85</v>
      </c>
      <c r="R4447" s="18">
        <v>39252.0</v>
      </c>
    </row>
    <row r="4448">
      <c r="A4448" s="10">
        <f t="shared" si="8"/>
        <v>42430.66667</v>
      </c>
      <c r="B4448" s="2" t="str">
        <f t="shared" si="2"/>
        <v/>
      </c>
      <c r="C4448" s="2" t="str">
        <f t="shared" si="3"/>
        <v>SP500</v>
      </c>
      <c r="D4448" s="2">
        <f t="shared" si="4"/>
        <v>4689.6</v>
      </c>
      <c r="E4448" s="2">
        <f t="shared" si="5"/>
        <v>4689.6</v>
      </c>
      <c r="G4448" s="10">
        <f t="shared" si="9"/>
        <v>42430.64583</v>
      </c>
      <c r="H4448" s="6" t="str">
        <f t="shared" si="6"/>
        <v/>
      </c>
      <c r="I4448" s="2">
        <f t="shared" si="7"/>
        <v>1426.89</v>
      </c>
      <c r="M4448" s="10">
        <f>IFERROR(__xludf.DUMMYFUNCTION("""COMPUTED_VALUE"""),44432.66666666667)</f>
        <v>44432.66667</v>
      </c>
      <c r="N4448" s="2">
        <f>IFERROR(__xludf.DUMMYFUNCTION("""COMPUTED_VALUE"""),15019.8)</f>
        <v>15019.8</v>
      </c>
      <c r="P4448" s="10">
        <f t="shared" si="10"/>
        <v>39251.64583</v>
      </c>
      <c r="Q4448" s="15">
        <v>1806.88</v>
      </c>
      <c r="R4448" s="18">
        <v>39251.0</v>
      </c>
    </row>
    <row r="4449">
      <c r="A4449" s="10">
        <f t="shared" si="8"/>
        <v>42431.66667</v>
      </c>
      <c r="B4449" s="2" t="str">
        <f t="shared" si="2"/>
        <v/>
      </c>
      <c r="C4449" s="2" t="str">
        <f t="shared" si="3"/>
        <v>SP500</v>
      </c>
      <c r="D4449" s="2">
        <f t="shared" si="4"/>
        <v>4703.42</v>
      </c>
      <c r="E4449" s="2">
        <f t="shared" si="5"/>
        <v>4703.42</v>
      </c>
      <c r="G4449" s="10">
        <f t="shared" si="9"/>
        <v>42431.64583</v>
      </c>
      <c r="H4449" s="6" t="str">
        <f t="shared" si="6"/>
        <v/>
      </c>
      <c r="I4449" s="2">
        <f t="shared" si="7"/>
        <v>1426.89</v>
      </c>
      <c r="M4449" s="10">
        <f>IFERROR(__xludf.DUMMYFUNCTION("""COMPUTED_VALUE"""),44433.66666666667)</f>
        <v>44433.66667</v>
      </c>
      <c r="N4449" s="2">
        <f>IFERROR(__xludf.DUMMYFUNCTION("""COMPUTED_VALUE"""),15041.86)</f>
        <v>15041.86</v>
      </c>
      <c r="P4449" s="10">
        <f t="shared" si="10"/>
        <v>39248.64583</v>
      </c>
      <c r="Q4449" s="15">
        <v>1772.26</v>
      </c>
      <c r="R4449" s="18">
        <v>39248.0</v>
      </c>
    </row>
    <row r="4450">
      <c r="A4450" s="10">
        <f t="shared" si="8"/>
        <v>42432.66667</v>
      </c>
      <c r="B4450" s="2" t="str">
        <f t="shared" si="2"/>
        <v/>
      </c>
      <c r="C4450" s="2" t="str">
        <f t="shared" si="3"/>
        <v>SP500</v>
      </c>
      <c r="D4450" s="2">
        <f t="shared" si="4"/>
        <v>4707.42</v>
      </c>
      <c r="E4450" s="2">
        <f t="shared" si="5"/>
        <v>4707.42</v>
      </c>
      <c r="G4450" s="10">
        <f t="shared" si="9"/>
        <v>42432.64583</v>
      </c>
      <c r="H4450" s="6" t="str">
        <f t="shared" si="6"/>
        <v/>
      </c>
      <c r="I4450" s="2">
        <f t="shared" si="7"/>
        <v>1426.89</v>
      </c>
      <c r="M4450" s="10">
        <f>IFERROR(__xludf.DUMMYFUNCTION("""COMPUTED_VALUE"""),44434.66666666667)</f>
        <v>44434.66667</v>
      </c>
      <c r="N4450" s="2">
        <f>IFERROR(__xludf.DUMMYFUNCTION("""COMPUTED_VALUE"""),14945.81)</f>
        <v>14945.81</v>
      </c>
      <c r="P4450" s="10">
        <f t="shared" si="10"/>
        <v>39247.64583</v>
      </c>
      <c r="Q4450" s="15">
        <v>1769.18</v>
      </c>
      <c r="R4450" s="18">
        <v>39247.0</v>
      </c>
    </row>
    <row r="4451">
      <c r="A4451" s="10">
        <f t="shared" si="8"/>
        <v>42433.66667</v>
      </c>
      <c r="B4451" s="2" t="str">
        <f t="shared" si="2"/>
        <v/>
      </c>
      <c r="C4451" s="2" t="str">
        <f t="shared" si="3"/>
        <v>SP500</v>
      </c>
      <c r="D4451" s="2">
        <f t="shared" si="4"/>
        <v>4717.02</v>
      </c>
      <c r="E4451" s="2">
        <f t="shared" si="5"/>
        <v>4717.02</v>
      </c>
      <c r="G4451" s="10">
        <f t="shared" si="9"/>
        <v>42433.64583</v>
      </c>
      <c r="H4451" s="6" t="str">
        <f t="shared" si="6"/>
        <v/>
      </c>
      <c r="I4451" s="2">
        <f t="shared" si="7"/>
        <v>1426.89</v>
      </c>
      <c r="M4451" s="10">
        <f>IFERROR(__xludf.DUMMYFUNCTION("""COMPUTED_VALUE"""),44435.66666666667)</f>
        <v>44435.66667</v>
      </c>
      <c r="N4451" s="2">
        <f>IFERROR(__xludf.DUMMYFUNCTION("""COMPUTED_VALUE"""),15129.5)</f>
        <v>15129.5</v>
      </c>
      <c r="P4451" s="10">
        <f t="shared" si="10"/>
        <v>39246.64583</v>
      </c>
      <c r="Q4451" s="15">
        <v>1721.99</v>
      </c>
      <c r="R4451" s="18">
        <v>39246.0</v>
      </c>
    </row>
    <row r="4452">
      <c r="A4452" s="10">
        <f t="shared" si="8"/>
        <v>42434.66667</v>
      </c>
      <c r="B4452" s="2" t="str">
        <f t="shared" si="2"/>
        <v/>
      </c>
      <c r="C4452" s="2" t="str">
        <f t="shared" si="3"/>
        <v>SP500</v>
      </c>
      <c r="D4452" s="2" t="str">
        <f t="shared" si="4"/>
        <v/>
      </c>
      <c r="E4452" s="2">
        <f t="shared" si="5"/>
        <v>4717.02</v>
      </c>
      <c r="G4452" s="10">
        <f t="shared" si="9"/>
        <v>42434.64583</v>
      </c>
      <c r="H4452" s="6" t="str">
        <f t="shared" si="6"/>
        <v/>
      </c>
      <c r="I4452" s="2">
        <f t="shared" si="7"/>
        <v>1426.89</v>
      </c>
      <c r="M4452" s="10">
        <f>IFERROR(__xludf.DUMMYFUNCTION("""COMPUTED_VALUE"""),44438.66666666667)</f>
        <v>44438.66667</v>
      </c>
      <c r="N4452" s="2">
        <f>IFERROR(__xludf.DUMMYFUNCTION("""COMPUTED_VALUE"""),15265.89)</f>
        <v>15265.89</v>
      </c>
      <c r="P4452" s="10">
        <f t="shared" si="10"/>
        <v>39245.64583</v>
      </c>
      <c r="Q4452" s="15">
        <v>1729.88</v>
      </c>
      <c r="R4452" s="18">
        <v>39245.0</v>
      </c>
    </row>
    <row r="4453">
      <c r="A4453" s="10">
        <f t="shared" si="8"/>
        <v>42435.66667</v>
      </c>
      <c r="B4453" s="2" t="str">
        <f t="shared" si="2"/>
        <v/>
      </c>
      <c r="C4453" s="2" t="str">
        <f t="shared" si="3"/>
        <v>SP500</v>
      </c>
      <c r="D4453" s="2" t="str">
        <f t="shared" si="4"/>
        <v/>
      </c>
      <c r="E4453" s="2">
        <f t="shared" si="5"/>
        <v>4717.02</v>
      </c>
      <c r="G4453" s="10">
        <f t="shared" si="9"/>
        <v>42435.64583</v>
      </c>
      <c r="H4453" s="6" t="str">
        <f t="shared" si="6"/>
        <v/>
      </c>
      <c r="I4453" s="2">
        <f t="shared" si="7"/>
        <v>1426.89</v>
      </c>
      <c r="M4453" s="10">
        <f>IFERROR(__xludf.DUMMYFUNCTION("""COMPUTED_VALUE"""),44439.66666666667)</f>
        <v>44439.66667</v>
      </c>
      <c r="N4453" s="2">
        <f>IFERROR(__xludf.DUMMYFUNCTION("""COMPUTED_VALUE"""),15259.24)</f>
        <v>15259.24</v>
      </c>
      <c r="P4453" s="10">
        <f t="shared" si="10"/>
        <v>39244.64583</v>
      </c>
      <c r="Q4453" s="15">
        <v>1716.56</v>
      </c>
      <c r="R4453" s="18">
        <v>39244.0</v>
      </c>
    </row>
    <row r="4454">
      <c r="A4454" s="10">
        <f t="shared" si="8"/>
        <v>42436.66667</v>
      </c>
      <c r="B4454" s="2" t="str">
        <f t="shared" si="2"/>
        <v/>
      </c>
      <c r="C4454" s="2" t="str">
        <f t="shared" si="3"/>
        <v>SP500</v>
      </c>
      <c r="D4454" s="2">
        <f t="shared" si="4"/>
        <v>4708.25</v>
      </c>
      <c r="E4454" s="2">
        <f t="shared" si="5"/>
        <v>4708.25</v>
      </c>
      <c r="G4454" s="10">
        <f t="shared" si="9"/>
        <v>42436.64583</v>
      </c>
      <c r="H4454" s="6" t="str">
        <f t="shared" si="6"/>
        <v/>
      </c>
      <c r="I4454" s="2">
        <f t="shared" si="7"/>
        <v>1426.89</v>
      </c>
      <c r="M4454" s="10">
        <f>IFERROR(__xludf.DUMMYFUNCTION("""COMPUTED_VALUE"""),44440.66666666667)</f>
        <v>44440.66667</v>
      </c>
      <c r="N4454" s="2">
        <f>IFERROR(__xludf.DUMMYFUNCTION("""COMPUTED_VALUE"""),15309.38)</f>
        <v>15309.38</v>
      </c>
      <c r="P4454" s="10">
        <f t="shared" si="10"/>
        <v>39241.64583</v>
      </c>
      <c r="Q4454" s="15">
        <v>1727.28</v>
      </c>
      <c r="R4454" s="18">
        <v>39241.0</v>
      </c>
    </row>
    <row r="4455">
      <c r="A4455" s="10">
        <f t="shared" si="8"/>
        <v>42437.66667</v>
      </c>
      <c r="B4455" s="2" t="str">
        <f t="shared" si="2"/>
        <v/>
      </c>
      <c r="C4455" s="2" t="str">
        <f t="shared" si="3"/>
        <v>SP500</v>
      </c>
      <c r="D4455" s="2">
        <f t="shared" si="4"/>
        <v>4648.82</v>
      </c>
      <c r="E4455" s="2">
        <f t="shared" si="5"/>
        <v>4648.82</v>
      </c>
      <c r="G4455" s="10">
        <f t="shared" si="9"/>
        <v>42437.64583</v>
      </c>
      <c r="H4455" s="6" t="str">
        <f t="shared" si="6"/>
        <v/>
      </c>
      <c r="I4455" s="2">
        <f t="shared" si="7"/>
        <v>1426.89</v>
      </c>
      <c r="M4455" s="10">
        <f>IFERROR(__xludf.DUMMYFUNCTION("""COMPUTED_VALUE"""),44441.66666666667)</f>
        <v>44441.66667</v>
      </c>
      <c r="N4455" s="2">
        <f>IFERROR(__xludf.DUMMYFUNCTION("""COMPUTED_VALUE"""),15331.18)</f>
        <v>15331.18</v>
      </c>
      <c r="P4455" s="10">
        <f t="shared" si="10"/>
        <v>39240.64583</v>
      </c>
      <c r="Q4455" s="15">
        <v>1753.04</v>
      </c>
      <c r="R4455" s="18">
        <v>39240.0</v>
      </c>
    </row>
    <row r="4456">
      <c r="A4456" s="10">
        <f t="shared" si="8"/>
        <v>42438.66667</v>
      </c>
      <c r="B4456" s="2" t="str">
        <f t="shared" si="2"/>
        <v/>
      </c>
      <c r="C4456" s="2" t="str">
        <f t="shared" si="3"/>
        <v>SP500</v>
      </c>
      <c r="D4456" s="2">
        <f t="shared" si="4"/>
        <v>4674.38</v>
      </c>
      <c r="E4456" s="2">
        <f t="shared" si="5"/>
        <v>4674.38</v>
      </c>
      <c r="G4456" s="10">
        <f t="shared" si="9"/>
        <v>42438.64583</v>
      </c>
      <c r="H4456" s="6" t="str">
        <f t="shared" si="6"/>
        <v/>
      </c>
      <c r="I4456" s="2">
        <f t="shared" si="7"/>
        <v>1426.89</v>
      </c>
      <c r="M4456" s="10">
        <f>IFERROR(__xludf.DUMMYFUNCTION("""COMPUTED_VALUE"""),44442.66666666667)</f>
        <v>44442.66667</v>
      </c>
      <c r="N4456" s="2">
        <f>IFERROR(__xludf.DUMMYFUNCTION("""COMPUTED_VALUE"""),15363.52)</f>
        <v>15363.52</v>
      </c>
      <c r="P4456" s="10">
        <f t="shared" si="10"/>
        <v>39238.64583</v>
      </c>
      <c r="Q4456" s="15">
        <v>1742.19</v>
      </c>
      <c r="R4456" s="18">
        <v>39238.0</v>
      </c>
    </row>
    <row r="4457">
      <c r="A4457" s="10">
        <f t="shared" si="8"/>
        <v>42439.66667</v>
      </c>
      <c r="B4457" s="2" t="str">
        <f t="shared" si="2"/>
        <v/>
      </c>
      <c r="C4457" s="2" t="str">
        <f t="shared" si="3"/>
        <v>SP500</v>
      </c>
      <c r="D4457" s="2">
        <f t="shared" si="4"/>
        <v>4662.16</v>
      </c>
      <c r="E4457" s="2">
        <f t="shared" si="5"/>
        <v>4662.16</v>
      </c>
      <c r="G4457" s="10">
        <f t="shared" si="9"/>
        <v>42439.64583</v>
      </c>
      <c r="H4457" s="6" t="str">
        <f t="shared" si="6"/>
        <v/>
      </c>
      <c r="I4457" s="2">
        <f t="shared" si="7"/>
        <v>1426.89</v>
      </c>
      <c r="M4457" s="10">
        <f>IFERROR(__xludf.DUMMYFUNCTION("""COMPUTED_VALUE"""),44446.66666666667)</f>
        <v>44446.66667</v>
      </c>
      <c r="N4457" s="2">
        <f>IFERROR(__xludf.DUMMYFUNCTION("""COMPUTED_VALUE"""),15374.33)</f>
        <v>15374.33</v>
      </c>
      <c r="P4457" s="10">
        <f t="shared" si="10"/>
        <v>39237.64583</v>
      </c>
      <c r="Q4457" s="15">
        <v>1737.59</v>
      </c>
      <c r="R4457" s="18">
        <v>39237.0</v>
      </c>
    </row>
    <row r="4458">
      <c r="A4458" s="10">
        <f t="shared" si="8"/>
        <v>42440.66667</v>
      </c>
      <c r="B4458" s="2" t="str">
        <f t="shared" si="2"/>
        <v/>
      </c>
      <c r="C4458" s="2" t="str">
        <f t="shared" si="3"/>
        <v>SP500</v>
      </c>
      <c r="D4458" s="2">
        <f t="shared" si="4"/>
        <v>4748.47</v>
      </c>
      <c r="E4458" s="2">
        <f t="shared" si="5"/>
        <v>4748.47</v>
      </c>
      <c r="G4458" s="10">
        <f t="shared" si="9"/>
        <v>42440.64583</v>
      </c>
      <c r="H4458" s="6" t="str">
        <f t="shared" si="6"/>
        <v/>
      </c>
      <c r="I4458" s="2">
        <f t="shared" si="7"/>
        <v>1426.89</v>
      </c>
      <c r="M4458" s="10">
        <f>IFERROR(__xludf.DUMMYFUNCTION("""COMPUTED_VALUE"""),44447.66666666667)</f>
        <v>44447.66667</v>
      </c>
      <c r="N4458" s="2">
        <f>IFERROR(__xludf.DUMMYFUNCTION("""COMPUTED_VALUE"""),15286.64)</f>
        <v>15286.64</v>
      </c>
      <c r="P4458" s="10">
        <f t="shared" si="10"/>
        <v>39234.64583</v>
      </c>
      <c r="Q4458" s="15">
        <v>1716.24</v>
      </c>
      <c r="R4458" s="18">
        <v>39234.0</v>
      </c>
    </row>
    <row r="4459">
      <c r="A4459" s="10">
        <f t="shared" si="8"/>
        <v>42441.66667</v>
      </c>
      <c r="B4459" s="2" t="str">
        <f t="shared" si="2"/>
        <v/>
      </c>
      <c r="C4459" s="2" t="str">
        <f t="shared" si="3"/>
        <v>SP500</v>
      </c>
      <c r="D4459" s="2" t="str">
        <f t="shared" si="4"/>
        <v/>
      </c>
      <c r="E4459" s="2">
        <f t="shared" si="5"/>
        <v>4748.47</v>
      </c>
      <c r="G4459" s="10">
        <f t="shared" si="9"/>
        <v>42441.64583</v>
      </c>
      <c r="H4459" s="6" t="str">
        <f t="shared" si="6"/>
        <v/>
      </c>
      <c r="I4459" s="2">
        <f t="shared" si="7"/>
        <v>1426.89</v>
      </c>
      <c r="M4459" s="10">
        <f>IFERROR(__xludf.DUMMYFUNCTION("""COMPUTED_VALUE"""),44448.66666666667)</f>
        <v>44448.66667</v>
      </c>
      <c r="N4459" s="2">
        <f>IFERROR(__xludf.DUMMYFUNCTION("""COMPUTED_VALUE"""),15248.25)</f>
        <v>15248.25</v>
      </c>
      <c r="P4459" s="10">
        <f t="shared" si="10"/>
        <v>39233.64583</v>
      </c>
      <c r="Q4459" s="15">
        <v>1700.91</v>
      </c>
      <c r="R4459" s="18">
        <v>39233.0</v>
      </c>
    </row>
    <row r="4460">
      <c r="A4460" s="10">
        <f t="shared" si="8"/>
        <v>42442.66667</v>
      </c>
      <c r="B4460" s="2" t="str">
        <f t="shared" si="2"/>
        <v/>
      </c>
      <c r="C4460" s="2" t="str">
        <f t="shared" si="3"/>
        <v>SP500</v>
      </c>
      <c r="D4460" s="2" t="str">
        <f t="shared" si="4"/>
        <v/>
      </c>
      <c r="E4460" s="2">
        <f t="shared" si="5"/>
        <v>4748.47</v>
      </c>
      <c r="G4460" s="10">
        <f t="shared" si="9"/>
        <v>42442.64583</v>
      </c>
      <c r="H4460" s="6" t="str">
        <f t="shared" si="6"/>
        <v/>
      </c>
      <c r="I4460" s="2">
        <f t="shared" si="7"/>
        <v>1426.89</v>
      </c>
      <c r="M4460" s="10">
        <f>IFERROR(__xludf.DUMMYFUNCTION("""COMPUTED_VALUE"""),44449.66666666667)</f>
        <v>44449.66667</v>
      </c>
      <c r="N4460" s="2">
        <f>IFERROR(__xludf.DUMMYFUNCTION("""COMPUTED_VALUE"""),15115.49)</f>
        <v>15115.49</v>
      </c>
      <c r="P4460" s="10">
        <f t="shared" si="10"/>
        <v>39232.64583</v>
      </c>
      <c r="Q4460" s="15">
        <v>1662.72</v>
      </c>
      <c r="R4460" s="18">
        <v>39232.0</v>
      </c>
    </row>
    <row r="4461">
      <c r="A4461" s="10">
        <f t="shared" si="8"/>
        <v>42443.66667</v>
      </c>
      <c r="B4461" s="2" t="str">
        <f t="shared" si="2"/>
        <v/>
      </c>
      <c r="C4461" s="2" t="str">
        <f t="shared" si="3"/>
        <v>SP500</v>
      </c>
      <c r="D4461" s="2">
        <f t="shared" si="4"/>
        <v>4750.28</v>
      </c>
      <c r="E4461" s="2">
        <f t="shared" si="5"/>
        <v>4750.28</v>
      </c>
      <c r="G4461" s="10">
        <f t="shared" si="9"/>
        <v>42443.64583</v>
      </c>
      <c r="H4461" s="6" t="str">
        <f t="shared" si="6"/>
        <v/>
      </c>
      <c r="I4461" s="2">
        <f t="shared" si="7"/>
        <v>1426.89</v>
      </c>
      <c r="M4461" s="10">
        <f>IFERROR(__xludf.DUMMYFUNCTION("""COMPUTED_VALUE"""),44452.66666666667)</f>
        <v>44452.66667</v>
      </c>
      <c r="N4461" s="2">
        <f>IFERROR(__xludf.DUMMYFUNCTION("""COMPUTED_VALUE"""),15105.58)</f>
        <v>15105.58</v>
      </c>
      <c r="P4461" s="10">
        <f t="shared" si="10"/>
        <v>39231.64583</v>
      </c>
      <c r="Q4461" s="15">
        <v>1661.8</v>
      </c>
      <c r="R4461" s="18">
        <v>39231.0</v>
      </c>
    </row>
    <row r="4462">
      <c r="A4462" s="10">
        <f t="shared" si="8"/>
        <v>42444.66667</v>
      </c>
      <c r="B4462" s="2" t="str">
        <f t="shared" si="2"/>
        <v/>
      </c>
      <c r="C4462" s="2" t="str">
        <f t="shared" si="3"/>
        <v>SP500</v>
      </c>
      <c r="D4462" s="2">
        <f t="shared" si="4"/>
        <v>4728.67</v>
      </c>
      <c r="E4462" s="2">
        <f t="shared" si="5"/>
        <v>4728.67</v>
      </c>
      <c r="G4462" s="10">
        <f t="shared" si="9"/>
        <v>42444.64583</v>
      </c>
      <c r="H4462" s="6" t="str">
        <f t="shared" si="6"/>
        <v/>
      </c>
      <c r="I4462" s="2">
        <f t="shared" si="7"/>
        <v>1426.89</v>
      </c>
      <c r="M4462" s="10">
        <f>IFERROR(__xludf.DUMMYFUNCTION("""COMPUTED_VALUE"""),44453.66666666667)</f>
        <v>44453.66667</v>
      </c>
      <c r="N4462" s="2">
        <f>IFERROR(__xludf.DUMMYFUNCTION("""COMPUTED_VALUE"""),15037.76)</f>
        <v>15037.76</v>
      </c>
      <c r="P4462" s="10">
        <f t="shared" si="10"/>
        <v>39230.64583</v>
      </c>
      <c r="Q4462" s="15">
        <v>1657.91</v>
      </c>
      <c r="R4462" s="18">
        <v>39230.0</v>
      </c>
    </row>
    <row r="4463">
      <c r="A4463" s="10">
        <f t="shared" si="8"/>
        <v>42445.66667</v>
      </c>
      <c r="B4463" s="2" t="str">
        <f t="shared" si="2"/>
        <v/>
      </c>
      <c r="C4463" s="2" t="str">
        <f t="shared" si="3"/>
        <v>SP500</v>
      </c>
      <c r="D4463" s="2">
        <f t="shared" si="4"/>
        <v>4763.97</v>
      </c>
      <c r="E4463" s="2">
        <f t="shared" si="5"/>
        <v>4763.97</v>
      </c>
      <c r="G4463" s="10">
        <f t="shared" si="9"/>
        <v>42445.64583</v>
      </c>
      <c r="H4463" s="6" t="str">
        <f t="shared" si="6"/>
        <v/>
      </c>
      <c r="I4463" s="2">
        <f t="shared" si="7"/>
        <v>1426.89</v>
      </c>
      <c r="M4463" s="10">
        <f>IFERROR(__xludf.DUMMYFUNCTION("""COMPUTED_VALUE"""),44454.66666666667)</f>
        <v>44454.66667</v>
      </c>
      <c r="N4463" s="2">
        <f>IFERROR(__xludf.DUMMYFUNCTION("""COMPUTED_VALUE"""),15161.53)</f>
        <v>15161.53</v>
      </c>
      <c r="P4463" s="10">
        <f t="shared" si="10"/>
        <v>39227.64583</v>
      </c>
      <c r="Q4463" s="15">
        <v>1644.56</v>
      </c>
      <c r="R4463" s="18">
        <v>39227.0</v>
      </c>
    </row>
    <row r="4464">
      <c r="A4464" s="10">
        <f t="shared" si="8"/>
        <v>42446.66667</v>
      </c>
      <c r="B4464" s="2" t="str">
        <f t="shared" si="2"/>
        <v/>
      </c>
      <c r="C4464" s="2" t="str">
        <f t="shared" si="3"/>
        <v>SP500</v>
      </c>
      <c r="D4464" s="2">
        <f t="shared" si="4"/>
        <v>4774.99</v>
      </c>
      <c r="E4464" s="2">
        <f t="shared" si="5"/>
        <v>4774.99</v>
      </c>
      <c r="G4464" s="10">
        <f t="shared" si="9"/>
        <v>42446.64583</v>
      </c>
      <c r="H4464" s="6" t="str">
        <f t="shared" si="6"/>
        <v/>
      </c>
      <c r="I4464" s="2">
        <f t="shared" si="7"/>
        <v>1426.89</v>
      </c>
      <c r="M4464" s="10">
        <f>IFERROR(__xludf.DUMMYFUNCTION("""COMPUTED_VALUE"""),44455.66666666667)</f>
        <v>44455.66667</v>
      </c>
      <c r="N4464" s="2">
        <f>IFERROR(__xludf.DUMMYFUNCTION("""COMPUTED_VALUE"""),15181.92)</f>
        <v>15181.92</v>
      </c>
      <c r="P4464" s="10">
        <f t="shared" si="10"/>
        <v>39225.64583</v>
      </c>
      <c r="Q4464" s="15">
        <v>1646.59</v>
      </c>
      <c r="R4464" s="18">
        <v>39225.0</v>
      </c>
    </row>
    <row r="4465">
      <c r="A4465" s="10">
        <f t="shared" si="8"/>
        <v>42447.66667</v>
      </c>
      <c r="B4465" s="2" t="str">
        <f t="shared" si="2"/>
        <v/>
      </c>
      <c r="C4465" s="2" t="str">
        <f t="shared" si="3"/>
        <v>SP500</v>
      </c>
      <c r="D4465" s="2">
        <f t="shared" si="4"/>
        <v>4795.65</v>
      </c>
      <c r="E4465" s="2">
        <f t="shared" si="5"/>
        <v>4795.65</v>
      </c>
      <c r="G4465" s="10">
        <f t="shared" si="9"/>
        <v>42447.64583</v>
      </c>
      <c r="H4465" s="6" t="str">
        <f t="shared" si="6"/>
        <v/>
      </c>
      <c r="I4465" s="2">
        <f t="shared" si="7"/>
        <v>1426.89</v>
      </c>
      <c r="M4465" s="10">
        <f>IFERROR(__xludf.DUMMYFUNCTION("""COMPUTED_VALUE"""),44456.66666666667)</f>
        <v>44456.66667</v>
      </c>
      <c r="N4465" s="2">
        <f>IFERROR(__xludf.DUMMYFUNCTION("""COMPUTED_VALUE"""),15043.97)</f>
        <v>15043.97</v>
      </c>
      <c r="P4465" s="10">
        <f t="shared" si="10"/>
        <v>39224.64583</v>
      </c>
      <c r="Q4465" s="15">
        <v>1642.88</v>
      </c>
      <c r="R4465" s="18">
        <v>39224.0</v>
      </c>
    </row>
    <row r="4466">
      <c r="A4466" s="10">
        <f t="shared" si="8"/>
        <v>42448.66667</v>
      </c>
      <c r="B4466" s="2" t="str">
        <f t="shared" si="2"/>
        <v/>
      </c>
      <c r="C4466" s="2" t="str">
        <f t="shared" si="3"/>
        <v>SP500</v>
      </c>
      <c r="D4466" s="2" t="str">
        <f t="shared" si="4"/>
        <v/>
      </c>
      <c r="E4466" s="2">
        <f t="shared" si="5"/>
        <v>4795.65</v>
      </c>
      <c r="G4466" s="10">
        <f t="shared" si="9"/>
        <v>42448.64583</v>
      </c>
      <c r="H4466" s="6" t="str">
        <f t="shared" si="6"/>
        <v/>
      </c>
      <c r="I4466" s="2">
        <f t="shared" si="7"/>
        <v>1426.89</v>
      </c>
      <c r="M4466" s="10">
        <f>IFERROR(__xludf.DUMMYFUNCTION("""COMPUTED_VALUE"""),44459.66666666667)</f>
        <v>44459.66667</v>
      </c>
      <c r="N4466" s="2">
        <f>IFERROR(__xludf.DUMMYFUNCTION("""COMPUTED_VALUE"""),14713.9)</f>
        <v>14713.9</v>
      </c>
      <c r="P4466" s="10">
        <f t="shared" si="10"/>
        <v>39223.64583</v>
      </c>
      <c r="Q4466" s="15">
        <v>1628.2</v>
      </c>
      <c r="R4466" s="18">
        <v>39223.0</v>
      </c>
    </row>
    <row r="4467">
      <c r="A4467" s="10">
        <f t="shared" si="8"/>
        <v>42449.66667</v>
      </c>
      <c r="B4467" s="2" t="str">
        <f t="shared" si="2"/>
        <v/>
      </c>
      <c r="C4467" s="2" t="str">
        <f t="shared" si="3"/>
        <v>SP500</v>
      </c>
      <c r="D4467" s="2" t="str">
        <f t="shared" si="4"/>
        <v/>
      </c>
      <c r="E4467" s="2">
        <f t="shared" si="5"/>
        <v>4795.65</v>
      </c>
      <c r="G4467" s="10">
        <f t="shared" si="9"/>
        <v>42449.64583</v>
      </c>
      <c r="H4467" s="6" t="str">
        <f t="shared" si="6"/>
        <v/>
      </c>
      <c r="I4467" s="2">
        <f t="shared" si="7"/>
        <v>1426.89</v>
      </c>
      <c r="M4467" s="10">
        <f>IFERROR(__xludf.DUMMYFUNCTION("""COMPUTED_VALUE"""),44460.66666666667)</f>
        <v>44460.66667</v>
      </c>
      <c r="N4467" s="2">
        <f>IFERROR(__xludf.DUMMYFUNCTION("""COMPUTED_VALUE"""),14746.4)</f>
        <v>14746.4</v>
      </c>
      <c r="P4467" s="10">
        <f t="shared" si="10"/>
        <v>39220.64583</v>
      </c>
      <c r="Q4467" s="15">
        <v>1612.25</v>
      </c>
      <c r="R4467" s="18">
        <v>39220.0</v>
      </c>
    </row>
    <row r="4468">
      <c r="A4468" s="10">
        <f t="shared" si="8"/>
        <v>42450.66667</v>
      </c>
      <c r="B4468" s="2" t="str">
        <f t="shared" si="2"/>
        <v/>
      </c>
      <c r="C4468" s="2" t="str">
        <f t="shared" si="3"/>
        <v>SP500</v>
      </c>
      <c r="D4468" s="2">
        <f t="shared" si="4"/>
        <v>4808.87</v>
      </c>
      <c r="E4468" s="2">
        <f t="shared" si="5"/>
        <v>4808.87</v>
      </c>
      <c r="G4468" s="10">
        <f t="shared" si="9"/>
        <v>42450.64583</v>
      </c>
      <c r="H4468" s="6" t="str">
        <f t="shared" si="6"/>
        <v/>
      </c>
      <c r="I4468" s="2">
        <f t="shared" si="7"/>
        <v>1426.89</v>
      </c>
      <c r="M4468" s="10">
        <f>IFERROR(__xludf.DUMMYFUNCTION("""COMPUTED_VALUE"""),44461.66666666667)</f>
        <v>44461.66667</v>
      </c>
      <c r="N4468" s="2">
        <f>IFERROR(__xludf.DUMMYFUNCTION("""COMPUTED_VALUE"""),14896.85)</f>
        <v>14896.85</v>
      </c>
      <c r="P4468" s="10">
        <f t="shared" si="10"/>
        <v>39219.64583</v>
      </c>
      <c r="Q4468" s="15">
        <v>1615.58</v>
      </c>
      <c r="R4468" s="18">
        <v>39219.0</v>
      </c>
    </row>
    <row r="4469">
      <c r="A4469" s="10">
        <f t="shared" si="8"/>
        <v>42451.66667</v>
      </c>
      <c r="B4469" s="2" t="str">
        <f t="shared" si="2"/>
        <v/>
      </c>
      <c r="C4469" s="2" t="str">
        <f t="shared" si="3"/>
        <v>SP500</v>
      </c>
      <c r="D4469" s="2">
        <f t="shared" si="4"/>
        <v>4821.66</v>
      </c>
      <c r="E4469" s="2">
        <f t="shared" si="5"/>
        <v>4821.66</v>
      </c>
      <c r="G4469" s="10">
        <f t="shared" si="9"/>
        <v>42451.64583</v>
      </c>
      <c r="H4469" s="6" t="str">
        <f t="shared" si="6"/>
        <v/>
      </c>
      <c r="I4469" s="2">
        <f t="shared" si="7"/>
        <v>1426.89</v>
      </c>
      <c r="M4469" s="10">
        <f>IFERROR(__xludf.DUMMYFUNCTION("""COMPUTED_VALUE"""),44462.66666666667)</f>
        <v>44462.66667</v>
      </c>
      <c r="N4469" s="2">
        <f>IFERROR(__xludf.DUMMYFUNCTION("""COMPUTED_VALUE"""),15052.24)</f>
        <v>15052.24</v>
      </c>
      <c r="P4469" s="10">
        <f t="shared" si="10"/>
        <v>39218.64583</v>
      </c>
      <c r="Q4469" s="15">
        <v>1600.6</v>
      </c>
      <c r="R4469" s="18">
        <v>39218.0</v>
      </c>
    </row>
    <row r="4470">
      <c r="A4470" s="10">
        <f t="shared" si="8"/>
        <v>42452.66667</v>
      </c>
      <c r="B4470" s="2" t="str">
        <f t="shared" si="2"/>
        <v/>
      </c>
      <c r="C4470" s="2" t="str">
        <f t="shared" si="3"/>
        <v>SP500</v>
      </c>
      <c r="D4470" s="2">
        <f t="shared" si="4"/>
        <v>4768.86</v>
      </c>
      <c r="E4470" s="2">
        <f t="shared" si="5"/>
        <v>4768.86</v>
      </c>
      <c r="G4470" s="10">
        <f t="shared" si="9"/>
        <v>42452.64583</v>
      </c>
      <c r="H4470" s="6" t="str">
        <f t="shared" si="6"/>
        <v/>
      </c>
      <c r="I4470" s="2">
        <f t="shared" si="7"/>
        <v>1426.89</v>
      </c>
      <c r="M4470" s="10">
        <f>IFERROR(__xludf.DUMMYFUNCTION("""COMPUTED_VALUE"""),44463.66666666667)</f>
        <v>44463.66667</v>
      </c>
      <c r="N4470" s="2">
        <f>IFERROR(__xludf.DUMMYFUNCTION("""COMPUTED_VALUE"""),15047.7)</f>
        <v>15047.7</v>
      </c>
      <c r="P4470" s="10">
        <f t="shared" si="10"/>
        <v>39217.64583</v>
      </c>
      <c r="Q4470" s="15">
        <v>1589.37</v>
      </c>
      <c r="R4470" s="18">
        <v>39217.0</v>
      </c>
    </row>
    <row r="4471">
      <c r="A4471" s="10">
        <f t="shared" si="8"/>
        <v>42453.66667</v>
      </c>
      <c r="B4471" s="2" t="str">
        <f t="shared" si="2"/>
        <v/>
      </c>
      <c r="C4471" s="2" t="str">
        <f t="shared" si="3"/>
        <v>SP500</v>
      </c>
      <c r="D4471" s="2">
        <f t="shared" si="4"/>
        <v>4773.5</v>
      </c>
      <c r="E4471" s="2">
        <f t="shared" si="5"/>
        <v>4773.5</v>
      </c>
      <c r="G4471" s="10">
        <f t="shared" si="9"/>
        <v>42453.64583</v>
      </c>
      <c r="H4471" s="6" t="str">
        <f t="shared" si="6"/>
        <v/>
      </c>
      <c r="I4471" s="2">
        <f t="shared" si="7"/>
        <v>1426.89</v>
      </c>
      <c r="M4471" s="10">
        <f>IFERROR(__xludf.DUMMYFUNCTION("""COMPUTED_VALUE"""),44466.66666666667)</f>
        <v>44466.66667</v>
      </c>
      <c r="N4471" s="2">
        <f>IFERROR(__xludf.DUMMYFUNCTION("""COMPUTED_VALUE"""),14969.97)</f>
        <v>14969.97</v>
      </c>
      <c r="P4471" s="10">
        <f t="shared" si="10"/>
        <v>39216.64583</v>
      </c>
      <c r="Q4471" s="15">
        <v>1605.77</v>
      </c>
      <c r="R4471" s="18">
        <v>39216.0</v>
      </c>
    </row>
    <row r="4472">
      <c r="A4472" s="10">
        <f t="shared" si="8"/>
        <v>42454.66667</v>
      </c>
      <c r="B4472" s="2" t="str">
        <f t="shared" si="2"/>
        <v/>
      </c>
      <c r="C4472" s="2" t="str">
        <f t="shared" si="3"/>
        <v>SP500</v>
      </c>
      <c r="D4472" s="2" t="str">
        <f t="shared" si="4"/>
        <v/>
      </c>
      <c r="E4472" s="2">
        <f t="shared" si="5"/>
        <v>4773.5</v>
      </c>
      <c r="G4472" s="10">
        <f t="shared" si="9"/>
        <v>42454.64583</v>
      </c>
      <c r="H4472" s="6" t="str">
        <f t="shared" si="6"/>
        <v/>
      </c>
      <c r="I4472" s="2">
        <f t="shared" si="7"/>
        <v>1426.89</v>
      </c>
      <c r="M4472" s="10">
        <f>IFERROR(__xludf.DUMMYFUNCTION("""COMPUTED_VALUE"""),44467.66666666667)</f>
        <v>44467.66667</v>
      </c>
      <c r="N4472" s="2">
        <f>IFERROR(__xludf.DUMMYFUNCTION("""COMPUTED_VALUE"""),14546.68)</f>
        <v>14546.68</v>
      </c>
      <c r="P4472" s="10">
        <f t="shared" si="10"/>
        <v>39213.64583</v>
      </c>
      <c r="Q4472" s="15">
        <v>1603.56</v>
      </c>
      <c r="R4472" s="18">
        <v>39213.0</v>
      </c>
    </row>
    <row r="4473">
      <c r="A4473" s="10">
        <f t="shared" si="8"/>
        <v>42455.66667</v>
      </c>
      <c r="B4473" s="2" t="str">
        <f t="shared" si="2"/>
        <v/>
      </c>
      <c r="C4473" s="2" t="str">
        <f t="shared" si="3"/>
        <v>SP500</v>
      </c>
      <c r="D4473" s="2" t="str">
        <f t="shared" si="4"/>
        <v/>
      </c>
      <c r="E4473" s="2">
        <f t="shared" si="5"/>
        <v>4773.5</v>
      </c>
      <c r="G4473" s="10">
        <f t="shared" si="9"/>
        <v>42455.64583</v>
      </c>
      <c r="H4473" s="6" t="str">
        <f t="shared" si="6"/>
        <v/>
      </c>
      <c r="I4473" s="2">
        <f t="shared" si="7"/>
        <v>1426.89</v>
      </c>
      <c r="M4473" s="10">
        <f>IFERROR(__xludf.DUMMYFUNCTION("""COMPUTED_VALUE"""),44468.66666666667)</f>
        <v>44468.66667</v>
      </c>
      <c r="N4473" s="2">
        <f>IFERROR(__xludf.DUMMYFUNCTION("""COMPUTED_VALUE"""),14512.44)</f>
        <v>14512.44</v>
      </c>
      <c r="P4473" s="10">
        <f t="shared" si="10"/>
        <v>39212.64583</v>
      </c>
      <c r="Q4473" s="15">
        <v>1599.68</v>
      </c>
      <c r="R4473" s="18">
        <v>39212.0</v>
      </c>
    </row>
    <row r="4474">
      <c r="A4474" s="10">
        <f t="shared" si="8"/>
        <v>42456.66667</v>
      </c>
      <c r="B4474" s="2" t="str">
        <f t="shared" si="2"/>
        <v/>
      </c>
      <c r="C4474" s="2" t="str">
        <f t="shared" si="3"/>
        <v>SP500</v>
      </c>
      <c r="D4474" s="2" t="str">
        <f t="shared" si="4"/>
        <v/>
      </c>
      <c r="E4474" s="2">
        <f t="shared" si="5"/>
        <v>4773.5</v>
      </c>
      <c r="G4474" s="10">
        <f t="shared" si="9"/>
        <v>42456.64583</v>
      </c>
      <c r="H4474" s="6" t="str">
        <f t="shared" si="6"/>
        <v/>
      </c>
      <c r="I4474" s="2">
        <f t="shared" si="7"/>
        <v>1426.89</v>
      </c>
      <c r="M4474" s="10">
        <f>IFERROR(__xludf.DUMMYFUNCTION("""COMPUTED_VALUE"""),44469.66666666667)</f>
        <v>44469.66667</v>
      </c>
      <c r="N4474" s="2">
        <f>IFERROR(__xludf.DUMMYFUNCTION("""COMPUTED_VALUE"""),14448.58)</f>
        <v>14448.58</v>
      </c>
      <c r="P4474" s="10">
        <f t="shared" si="10"/>
        <v>39211.64583</v>
      </c>
      <c r="Q4474" s="15">
        <v>1593.42</v>
      </c>
      <c r="R4474" s="18">
        <v>39211.0</v>
      </c>
    </row>
    <row r="4475">
      <c r="A4475" s="10">
        <f t="shared" si="8"/>
        <v>42457.66667</v>
      </c>
      <c r="B4475" s="2" t="str">
        <f t="shared" si="2"/>
        <v/>
      </c>
      <c r="C4475" s="2" t="str">
        <f t="shared" si="3"/>
        <v>SP500</v>
      </c>
      <c r="D4475" s="2">
        <f t="shared" si="4"/>
        <v>4766.79</v>
      </c>
      <c r="E4475" s="2">
        <f t="shared" si="5"/>
        <v>4766.79</v>
      </c>
      <c r="G4475" s="10">
        <f t="shared" si="9"/>
        <v>42457.64583</v>
      </c>
      <c r="H4475" s="6" t="str">
        <f t="shared" si="6"/>
        <v/>
      </c>
      <c r="I4475" s="2">
        <f t="shared" si="7"/>
        <v>1426.89</v>
      </c>
      <c r="M4475" s="10">
        <f>IFERROR(__xludf.DUMMYFUNCTION("""COMPUTED_VALUE"""),44470.66666666667)</f>
        <v>44470.66667</v>
      </c>
      <c r="N4475" s="2">
        <f>IFERROR(__xludf.DUMMYFUNCTION("""COMPUTED_VALUE"""),14566.7)</f>
        <v>14566.7</v>
      </c>
      <c r="P4475" s="10">
        <f t="shared" si="10"/>
        <v>39210.64583</v>
      </c>
      <c r="Q4475" s="15">
        <v>1582.65</v>
      </c>
      <c r="R4475" s="18">
        <v>39210.0</v>
      </c>
    </row>
    <row r="4476">
      <c r="A4476" s="10">
        <f t="shared" si="8"/>
        <v>42458.66667</v>
      </c>
      <c r="B4476" s="2" t="str">
        <f t="shared" si="2"/>
        <v/>
      </c>
      <c r="C4476" s="2" t="str">
        <f t="shared" si="3"/>
        <v>SP500</v>
      </c>
      <c r="D4476" s="2">
        <f t="shared" si="4"/>
        <v>4846.62</v>
      </c>
      <c r="E4476" s="2">
        <f t="shared" si="5"/>
        <v>4846.62</v>
      </c>
      <c r="G4476" s="10">
        <f t="shared" si="9"/>
        <v>42458.64583</v>
      </c>
      <c r="H4476" s="6" t="str">
        <f t="shared" si="6"/>
        <v/>
      </c>
      <c r="I4476" s="2">
        <f t="shared" si="7"/>
        <v>1426.89</v>
      </c>
      <c r="M4476" s="10">
        <f>IFERROR(__xludf.DUMMYFUNCTION("""COMPUTED_VALUE"""),44473.66666666667)</f>
        <v>44473.66667</v>
      </c>
      <c r="N4476" s="2">
        <f>IFERROR(__xludf.DUMMYFUNCTION("""COMPUTED_VALUE"""),14255.49)</f>
        <v>14255.49</v>
      </c>
      <c r="P4476" s="10">
        <f t="shared" si="10"/>
        <v>39209.64583</v>
      </c>
      <c r="Q4476" s="15">
        <v>1584.46</v>
      </c>
      <c r="R4476" s="18">
        <v>39209.0</v>
      </c>
    </row>
    <row r="4477">
      <c r="A4477" s="10">
        <f t="shared" si="8"/>
        <v>42459.66667</v>
      </c>
      <c r="B4477" s="2" t="str">
        <f t="shared" si="2"/>
        <v/>
      </c>
      <c r="C4477" s="2" t="str">
        <f t="shared" si="3"/>
        <v>SP500</v>
      </c>
      <c r="D4477" s="2">
        <f t="shared" si="4"/>
        <v>4869.29</v>
      </c>
      <c r="E4477" s="2">
        <f t="shared" si="5"/>
        <v>4869.29</v>
      </c>
      <c r="G4477" s="10">
        <f t="shared" si="9"/>
        <v>42459.64583</v>
      </c>
      <c r="H4477" s="6" t="str">
        <f t="shared" si="6"/>
        <v/>
      </c>
      <c r="I4477" s="2">
        <f t="shared" si="7"/>
        <v>1426.89</v>
      </c>
      <c r="M4477" s="10">
        <f>IFERROR(__xludf.DUMMYFUNCTION("""COMPUTED_VALUE"""),44474.66666666667)</f>
        <v>44474.66667</v>
      </c>
      <c r="N4477" s="2">
        <f>IFERROR(__xludf.DUMMYFUNCTION("""COMPUTED_VALUE"""),14433.83)</f>
        <v>14433.83</v>
      </c>
      <c r="P4477" s="10">
        <f t="shared" si="10"/>
        <v>39206.64583</v>
      </c>
      <c r="Q4477" s="15">
        <v>1567.74</v>
      </c>
      <c r="R4477" s="18">
        <v>39206.0</v>
      </c>
    </row>
    <row r="4478">
      <c r="A4478" s="10">
        <f t="shared" si="8"/>
        <v>42460.66667</v>
      </c>
      <c r="B4478" s="2" t="str">
        <f t="shared" si="2"/>
        <v/>
      </c>
      <c r="C4478" s="2" t="str">
        <f t="shared" si="3"/>
        <v>SP500</v>
      </c>
      <c r="D4478" s="2">
        <f t="shared" si="4"/>
        <v>4869.85</v>
      </c>
      <c r="E4478" s="2">
        <f t="shared" si="5"/>
        <v>4869.85</v>
      </c>
      <c r="G4478" s="10">
        <f t="shared" si="9"/>
        <v>42460.64583</v>
      </c>
      <c r="H4478" s="6" t="str">
        <f t="shared" si="6"/>
        <v/>
      </c>
      <c r="I4478" s="2">
        <f t="shared" si="7"/>
        <v>1426.89</v>
      </c>
      <c r="M4478" s="10">
        <f>IFERROR(__xludf.DUMMYFUNCTION("""COMPUTED_VALUE"""),44475.66666666667)</f>
        <v>44475.66667</v>
      </c>
      <c r="N4478" s="2">
        <f>IFERROR(__xludf.DUMMYFUNCTION("""COMPUTED_VALUE"""),14501.91)</f>
        <v>14501.91</v>
      </c>
      <c r="P4478" s="10">
        <f t="shared" si="10"/>
        <v>39205.64583</v>
      </c>
      <c r="Q4478" s="15">
        <v>1559.86</v>
      </c>
      <c r="R4478" s="18">
        <v>39205.0</v>
      </c>
    </row>
    <row r="4479">
      <c r="A4479" s="10">
        <f t="shared" si="8"/>
        <v>42461.66667</v>
      </c>
      <c r="B4479" s="2" t="str">
        <f t="shared" si="2"/>
        <v/>
      </c>
      <c r="C4479" s="2" t="str">
        <f t="shared" si="3"/>
        <v>SP500</v>
      </c>
      <c r="D4479" s="2">
        <f t="shared" si="4"/>
        <v>4914.54</v>
      </c>
      <c r="E4479" s="2">
        <f t="shared" si="5"/>
        <v>4914.54</v>
      </c>
      <c r="G4479" s="10">
        <f t="shared" si="9"/>
        <v>42461.64583</v>
      </c>
      <c r="H4479" s="6" t="str">
        <f t="shared" si="6"/>
        <v/>
      </c>
      <c r="I4479" s="2">
        <f t="shared" si="7"/>
        <v>1426.89</v>
      </c>
      <c r="M4479" s="10">
        <f>IFERROR(__xludf.DUMMYFUNCTION("""COMPUTED_VALUE"""),44476.66666666667)</f>
        <v>44476.66667</v>
      </c>
      <c r="N4479" s="2">
        <f>IFERROR(__xludf.DUMMYFUNCTION("""COMPUTED_VALUE"""),14654.02)</f>
        <v>14654.02</v>
      </c>
      <c r="P4479" s="10">
        <f t="shared" si="10"/>
        <v>39204.64583</v>
      </c>
      <c r="Q4479" s="15">
        <v>1553.3</v>
      </c>
      <c r="R4479" s="18">
        <v>39204.0</v>
      </c>
    </row>
    <row r="4480">
      <c r="A4480" s="10">
        <f t="shared" si="8"/>
        <v>42462.66667</v>
      </c>
      <c r="B4480" s="2" t="str">
        <f t="shared" si="2"/>
        <v/>
      </c>
      <c r="C4480" s="2" t="str">
        <f t="shared" si="3"/>
        <v>SP500</v>
      </c>
      <c r="D4480" s="2" t="str">
        <f t="shared" si="4"/>
        <v/>
      </c>
      <c r="E4480" s="2">
        <f t="shared" si="5"/>
        <v>4914.54</v>
      </c>
      <c r="G4480" s="10">
        <f t="shared" si="9"/>
        <v>42462.64583</v>
      </c>
      <c r="H4480" s="6" t="str">
        <f t="shared" si="6"/>
        <v/>
      </c>
      <c r="I4480" s="2">
        <f t="shared" si="7"/>
        <v>1426.89</v>
      </c>
      <c r="M4480" s="10">
        <f>IFERROR(__xludf.DUMMYFUNCTION("""COMPUTED_VALUE"""),44477.66666666667)</f>
        <v>44477.66667</v>
      </c>
      <c r="N4480" s="2">
        <f>IFERROR(__xludf.DUMMYFUNCTION("""COMPUTED_VALUE"""),14579.54)</f>
        <v>14579.54</v>
      </c>
      <c r="P4480" s="10">
        <f t="shared" si="10"/>
        <v>39202.64583</v>
      </c>
      <c r="Q4480" s="15">
        <v>1542.24</v>
      </c>
      <c r="R4480" s="18">
        <v>39202.0</v>
      </c>
    </row>
    <row r="4481">
      <c r="A4481" s="10">
        <f t="shared" si="8"/>
        <v>42463.66667</v>
      </c>
      <c r="B4481" s="2" t="str">
        <f t="shared" si="2"/>
        <v/>
      </c>
      <c r="C4481" s="2" t="str">
        <f t="shared" si="3"/>
        <v>SP500</v>
      </c>
      <c r="D4481" s="2" t="str">
        <f t="shared" si="4"/>
        <v/>
      </c>
      <c r="E4481" s="2">
        <f t="shared" si="5"/>
        <v>4914.54</v>
      </c>
      <c r="G4481" s="10">
        <f t="shared" si="9"/>
        <v>42463.64583</v>
      </c>
      <c r="H4481" s="6" t="str">
        <f t="shared" si="6"/>
        <v/>
      </c>
      <c r="I4481" s="2">
        <f t="shared" si="7"/>
        <v>1426.89</v>
      </c>
      <c r="M4481" s="10">
        <f>IFERROR(__xludf.DUMMYFUNCTION("""COMPUTED_VALUE"""),44480.66666666667)</f>
        <v>44480.66667</v>
      </c>
      <c r="N4481" s="2">
        <f>IFERROR(__xludf.DUMMYFUNCTION("""COMPUTED_VALUE"""),14486.2)</f>
        <v>14486.2</v>
      </c>
      <c r="P4481" s="10">
        <f t="shared" si="10"/>
        <v>39199.64583</v>
      </c>
      <c r="Q4481" s="15">
        <v>1542.52</v>
      </c>
      <c r="R4481" s="18">
        <v>39199.0</v>
      </c>
    </row>
    <row r="4482">
      <c r="A4482" s="10">
        <f t="shared" si="8"/>
        <v>42464.66667</v>
      </c>
      <c r="B4482" s="2" t="str">
        <f t="shared" si="2"/>
        <v/>
      </c>
      <c r="C4482" s="2" t="str">
        <f t="shared" si="3"/>
        <v>SP500</v>
      </c>
      <c r="D4482" s="2">
        <f t="shared" si="4"/>
        <v>4891.8</v>
      </c>
      <c r="E4482" s="2">
        <f t="shared" si="5"/>
        <v>4891.8</v>
      </c>
      <c r="G4482" s="10">
        <f t="shared" si="9"/>
        <v>42464.64583</v>
      </c>
      <c r="H4482" s="6" t="str">
        <f t="shared" si="6"/>
        <v/>
      </c>
      <c r="I4482" s="2">
        <f t="shared" si="7"/>
        <v>1426.89</v>
      </c>
      <c r="M4482" s="10">
        <f>IFERROR(__xludf.DUMMYFUNCTION("""COMPUTED_VALUE"""),44481.66666666667)</f>
        <v>44481.66667</v>
      </c>
      <c r="N4482" s="2">
        <f>IFERROR(__xludf.DUMMYFUNCTION("""COMPUTED_VALUE"""),14465.93)</f>
        <v>14465.93</v>
      </c>
      <c r="P4482" s="10">
        <f t="shared" si="10"/>
        <v>39198.64583</v>
      </c>
      <c r="Q4482" s="15">
        <v>1553.13</v>
      </c>
      <c r="R4482" s="18">
        <v>39198.0</v>
      </c>
    </row>
    <row r="4483">
      <c r="A4483" s="10">
        <f t="shared" si="8"/>
        <v>42465.66667</v>
      </c>
      <c r="B4483" s="2" t="str">
        <f t="shared" si="2"/>
        <v/>
      </c>
      <c r="C4483" s="2" t="str">
        <f t="shared" si="3"/>
        <v>SP500</v>
      </c>
      <c r="D4483" s="2">
        <f t="shared" si="4"/>
        <v>4843.93</v>
      </c>
      <c r="E4483" s="2">
        <f t="shared" si="5"/>
        <v>4843.93</v>
      </c>
      <c r="G4483" s="10">
        <f t="shared" si="9"/>
        <v>42465.64583</v>
      </c>
      <c r="H4483" s="6" t="str">
        <f t="shared" si="6"/>
        <v/>
      </c>
      <c r="I4483" s="2">
        <f t="shared" si="7"/>
        <v>1426.89</v>
      </c>
      <c r="M4483" s="10">
        <f>IFERROR(__xludf.DUMMYFUNCTION("""COMPUTED_VALUE"""),44482.66666666667)</f>
        <v>44482.66667</v>
      </c>
      <c r="N4483" s="2">
        <f>IFERROR(__xludf.DUMMYFUNCTION("""COMPUTED_VALUE"""),14571.64)</f>
        <v>14571.64</v>
      </c>
      <c r="P4483" s="10">
        <f t="shared" si="10"/>
        <v>39197.64583</v>
      </c>
      <c r="Q4483" s="15">
        <v>1545.55</v>
      </c>
      <c r="R4483" s="18">
        <v>39197.0</v>
      </c>
    </row>
    <row r="4484">
      <c r="A4484" s="10">
        <f t="shared" si="8"/>
        <v>42466.66667</v>
      </c>
      <c r="B4484" s="2" t="str">
        <f t="shared" si="2"/>
        <v/>
      </c>
      <c r="C4484" s="2" t="str">
        <f t="shared" si="3"/>
        <v>SP500</v>
      </c>
      <c r="D4484" s="2">
        <f t="shared" si="4"/>
        <v>4920.72</v>
      </c>
      <c r="E4484" s="2">
        <f t="shared" si="5"/>
        <v>4920.72</v>
      </c>
      <c r="G4484" s="10">
        <f t="shared" si="9"/>
        <v>42466.64583</v>
      </c>
      <c r="H4484" s="6" t="str">
        <f t="shared" si="6"/>
        <v/>
      </c>
      <c r="I4484" s="2">
        <f t="shared" si="7"/>
        <v>1426.89</v>
      </c>
      <c r="M4484" s="10">
        <f>IFERROR(__xludf.DUMMYFUNCTION("""COMPUTED_VALUE"""),44483.66666666667)</f>
        <v>44483.66667</v>
      </c>
      <c r="N4484" s="2">
        <f>IFERROR(__xludf.DUMMYFUNCTION("""COMPUTED_VALUE"""),14823.43)</f>
        <v>14823.43</v>
      </c>
      <c r="P4484" s="10">
        <f t="shared" si="10"/>
        <v>39196.64583</v>
      </c>
      <c r="Q4484" s="15">
        <v>1556.71</v>
      </c>
      <c r="R4484" s="18">
        <v>39196.0</v>
      </c>
    </row>
    <row r="4485">
      <c r="A4485" s="10">
        <f t="shared" si="8"/>
        <v>42467.66667</v>
      </c>
      <c r="B4485" s="2" t="str">
        <f t="shared" si="2"/>
        <v/>
      </c>
      <c r="C4485" s="2" t="str">
        <f t="shared" si="3"/>
        <v>SP500</v>
      </c>
      <c r="D4485" s="2">
        <f t="shared" si="4"/>
        <v>4848.37</v>
      </c>
      <c r="E4485" s="2">
        <f t="shared" si="5"/>
        <v>4848.37</v>
      </c>
      <c r="G4485" s="10">
        <f t="shared" si="9"/>
        <v>42467.64583</v>
      </c>
      <c r="H4485" s="6" t="str">
        <f t="shared" si="6"/>
        <v/>
      </c>
      <c r="I4485" s="2">
        <f t="shared" si="7"/>
        <v>1426.89</v>
      </c>
      <c r="M4485" s="10">
        <f>IFERROR(__xludf.DUMMYFUNCTION("""COMPUTED_VALUE"""),44484.66666666667)</f>
        <v>44484.66667</v>
      </c>
      <c r="N4485" s="2">
        <f>IFERROR(__xludf.DUMMYFUNCTION("""COMPUTED_VALUE"""),14897.34)</f>
        <v>14897.34</v>
      </c>
      <c r="P4485" s="10">
        <f t="shared" si="10"/>
        <v>39195.64583</v>
      </c>
      <c r="Q4485" s="15">
        <v>1544.35</v>
      </c>
      <c r="R4485" s="18">
        <v>39195.0</v>
      </c>
    </row>
    <row r="4486">
      <c r="A4486" s="10">
        <f t="shared" si="8"/>
        <v>42468.66667</v>
      </c>
      <c r="B4486" s="2" t="str">
        <f t="shared" si="2"/>
        <v/>
      </c>
      <c r="C4486" s="2" t="str">
        <f t="shared" si="3"/>
        <v>SP500</v>
      </c>
      <c r="D4486" s="2">
        <f t="shared" si="4"/>
        <v>4850.69</v>
      </c>
      <c r="E4486" s="2">
        <f t="shared" si="5"/>
        <v>4850.69</v>
      </c>
      <c r="G4486" s="10">
        <f t="shared" si="9"/>
        <v>42468.64583</v>
      </c>
      <c r="H4486" s="6" t="str">
        <f t="shared" si="6"/>
        <v/>
      </c>
      <c r="I4486" s="2">
        <f t="shared" si="7"/>
        <v>1426.89</v>
      </c>
      <c r="M4486" s="10">
        <f>IFERROR(__xludf.DUMMYFUNCTION("""COMPUTED_VALUE"""),44487.66666666667)</f>
        <v>44487.66667</v>
      </c>
      <c r="N4486" s="2">
        <f>IFERROR(__xludf.DUMMYFUNCTION("""COMPUTED_VALUE"""),15021.81)</f>
        <v>15021.81</v>
      </c>
      <c r="P4486" s="10">
        <f t="shared" si="10"/>
        <v>39192.64583</v>
      </c>
      <c r="Q4486" s="15">
        <v>1533.08</v>
      </c>
      <c r="R4486" s="18">
        <v>39192.0</v>
      </c>
    </row>
    <row r="4487">
      <c r="A4487" s="10">
        <f t="shared" si="8"/>
        <v>42469.66667</v>
      </c>
      <c r="B4487" s="2" t="str">
        <f t="shared" si="2"/>
        <v/>
      </c>
      <c r="C4487" s="2" t="str">
        <f t="shared" si="3"/>
        <v>SP500</v>
      </c>
      <c r="D4487" s="2" t="str">
        <f t="shared" si="4"/>
        <v/>
      </c>
      <c r="E4487" s="2">
        <f t="shared" si="5"/>
        <v>4850.69</v>
      </c>
      <c r="G4487" s="10">
        <f t="shared" si="9"/>
        <v>42469.64583</v>
      </c>
      <c r="H4487" s="6" t="str">
        <f t="shared" si="6"/>
        <v/>
      </c>
      <c r="I4487" s="2">
        <f t="shared" si="7"/>
        <v>1426.89</v>
      </c>
      <c r="M4487" s="10">
        <f>IFERROR(__xludf.DUMMYFUNCTION("""COMPUTED_VALUE"""),44488.66666666667)</f>
        <v>44488.66667</v>
      </c>
      <c r="N4487" s="2">
        <f>IFERROR(__xludf.DUMMYFUNCTION("""COMPUTED_VALUE"""),15129.09)</f>
        <v>15129.09</v>
      </c>
      <c r="P4487" s="10">
        <f t="shared" si="10"/>
        <v>39191.64583</v>
      </c>
      <c r="Q4487" s="15">
        <v>1513.66</v>
      </c>
      <c r="R4487" s="18">
        <v>39191.0</v>
      </c>
    </row>
    <row r="4488">
      <c r="A4488" s="10">
        <f t="shared" si="8"/>
        <v>42470.66667</v>
      </c>
      <c r="B4488" s="2" t="str">
        <f t="shared" si="2"/>
        <v/>
      </c>
      <c r="C4488" s="2" t="str">
        <f t="shared" si="3"/>
        <v>SP500</v>
      </c>
      <c r="D4488" s="2" t="str">
        <f t="shared" si="4"/>
        <v/>
      </c>
      <c r="E4488" s="2">
        <f t="shared" si="5"/>
        <v>4850.69</v>
      </c>
      <c r="G4488" s="10">
        <f t="shared" si="9"/>
        <v>42470.64583</v>
      </c>
      <c r="H4488" s="6" t="str">
        <f t="shared" si="6"/>
        <v/>
      </c>
      <c r="I4488" s="2">
        <f t="shared" si="7"/>
        <v>1426.89</v>
      </c>
      <c r="M4488" s="10">
        <f>IFERROR(__xludf.DUMMYFUNCTION("""COMPUTED_VALUE"""),44489.66666666667)</f>
        <v>44489.66667</v>
      </c>
      <c r="N4488" s="2">
        <f>IFERROR(__xludf.DUMMYFUNCTION("""COMPUTED_VALUE"""),15121.68)</f>
        <v>15121.68</v>
      </c>
      <c r="P4488" s="10">
        <f t="shared" si="10"/>
        <v>39190.64583</v>
      </c>
      <c r="Q4488" s="15">
        <v>1534.58</v>
      </c>
      <c r="R4488" s="18">
        <v>39190.0</v>
      </c>
    </row>
    <row r="4489">
      <c r="A4489" s="10">
        <f t="shared" si="8"/>
        <v>42471.66667</v>
      </c>
      <c r="B4489" s="2" t="str">
        <f t="shared" si="2"/>
        <v/>
      </c>
      <c r="C4489" s="2" t="str">
        <f t="shared" si="3"/>
        <v>SP500</v>
      </c>
      <c r="D4489" s="2">
        <f t="shared" si="4"/>
        <v>4833.4</v>
      </c>
      <c r="E4489" s="2">
        <f t="shared" si="5"/>
        <v>4833.4</v>
      </c>
      <c r="G4489" s="10">
        <f t="shared" si="9"/>
        <v>42471.64583</v>
      </c>
      <c r="H4489" s="6" t="str">
        <f t="shared" si="6"/>
        <v/>
      </c>
      <c r="I4489" s="2">
        <f t="shared" si="7"/>
        <v>1426.89</v>
      </c>
      <c r="M4489" s="10">
        <f>IFERROR(__xludf.DUMMYFUNCTION("""COMPUTED_VALUE"""),44490.66666666667)</f>
        <v>44490.66667</v>
      </c>
      <c r="N4489" s="2">
        <f>IFERROR(__xludf.DUMMYFUNCTION("""COMPUTED_VALUE"""),15215.7)</f>
        <v>15215.7</v>
      </c>
      <c r="P4489" s="10">
        <f t="shared" si="10"/>
        <v>39189.64583</v>
      </c>
      <c r="Q4489" s="15">
        <v>1528.66</v>
      </c>
      <c r="R4489" s="18">
        <v>39189.0</v>
      </c>
    </row>
    <row r="4490">
      <c r="A4490" s="10">
        <f t="shared" si="8"/>
        <v>42472.66667</v>
      </c>
      <c r="B4490" s="2" t="str">
        <f t="shared" si="2"/>
        <v/>
      </c>
      <c r="C4490" s="2" t="str">
        <f t="shared" si="3"/>
        <v>SP500</v>
      </c>
      <c r="D4490" s="2">
        <f t="shared" si="4"/>
        <v>4872.09</v>
      </c>
      <c r="E4490" s="2">
        <f t="shared" si="5"/>
        <v>4872.09</v>
      </c>
      <c r="G4490" s="10">
        <f t="shared" si="9"/>
        <v>42472.64583</v>
      </c>
      <c r="H4490" s="6" t="str">
        <f t="shared" si="6"/>
        <v/>
      </c>
      <c r="I4490" s="2">
        <f t="shared" si="7"/>
        <v>1426.89</v>
      </c>
      <c r="M4490" s="10">
        <f>IFERROR(__xludf.DUMMYFUNCTION("""COMPUTED_VALUE"""),44491.66666666667)</f>
        <v>44491.66667</v>
      </c>
      <c r="N4490" s="2">
        <f>IFERROR(__xludf.DUMMYFUNCTION("""COMPUTED_VALUE"""),15090.2)</f>
        <v>15090.2</v>
      </c>
      <c r="P4490" s="10">
        <f t="shared" si="10"/>
        <v>39188.64583</v>
      </c>
      <c r="Q4490" s="15">
        <v>1532.04</v>
      </c>
      <c r="R4490" s="18">
        <v>39188.0</v>
      </c>
    </row>
    <row r="4491">
      <c r="A4491" s="10">
        <f t="shared" si="8"/>
        <v>42473.66667</v>
      </c>
      <c r="B4491" s="2" t="str">
        <f t="shared" si="2"/>
        <v/>
      </c>
      <c r="C4491" s="2" t="str">
        <f t="shared" si="3"/>
        <v>SP500</v>
      </c>
      <c r="D4491" s="2">
        <f t="shared" si="4"/>
        <v>4947.42</v>
      </c>
      <c r="E4491" s="2">
        <f t="shared" si="5"/>
        <v>4947.42</v>
      </c>
      <c r="G4491" s="10">
        <f t="shared" si="9"/>
        <v>42473.64583</v>
      </c>
      <c r="H4491" s="6" t="str">
        <f t="shared" si="6"/>
        <v/>
      </c>
      <c r="I4491" s="2">
        <f t="shared" si="7"/>
        <v>1426.89</v>
      </c>
      <c r="M4491" s="10">
        <f>IFERROR(__xludf.DUMMYFUNCTION("""COMPUTED_VALUE"""),44494.66666666667)</f>
        <v>44494.66667</v>
      </c>
      <c r="N4491" s="2">
        <f>IFERROR(__xludf.DUMMYFUNCTION("""COMPUTED_VALUE"""),15226.71)</f>
        <v>15226.71</v>
      </c>
      <c r="P4491" s="10">
        <f t="shared" si="10"/>
        <v>39185.64583</v>
      </c>
      <c r="Q4491" s="15">
        <v>1520.78</v>
      </c>
      <c r="R4491" s="18">
        <v>39185.0</v>
      </c>
    </row>
    <row r="4492">
      <c r="A4492" s="10">
        <f t="shared" si="8"/>
        <v>42474.66667</v>
      </c>
      <c r="B4492" s="2" t="str">
        <f t="shared" si="2"/>
        <v/>
      </c>
      <c r="C4492" s="2" t="str">
        <f t="shared" si="3"/>
        <v>SP500</v>
      </c>
      <c r="D4492" s="2">
        <f t="shared" si="4"/>
        <v>4945.89</v>
      </c>
      <c r="E4492" s="2">
        <f t="shared" si="5"/>
        <v>4945.89</v>
      </c>
      <c r="G4492" s="10">
        <f t="shared" si="9"/>
        <v>42474.64583</v>
      </c>
      <c r="H4492" s="6" t="str">
        <f t="shared" si="6"/>
        <v/>
      </c>
      <c r="I4492" s="2">
        <f t="shared" si="7"/>
        <v>1426.89</v>
      </c>
      <c r="M4492" s="10">
        <f>IFERROR(__xludf.DUMMYFUNCTION("""COMPUTED_VALUE"""),44495.66666666667)</f>
        <v>44495.66667</v>
      </c>
      <c r="N4492" s="2">
        <f>IFERROR(__xludf.DUMMYFUNCTION("""COMPUTED_VALUE"""),15235.72)</f>
        <v>15235.72</v>
      </c>
      <c r="P4492" s="10">
        <f t="shared" si="10"/>
        <v>39184.64583</v>
      </c>
      <c r="Q4492" s="15">
        <v>1525.61</v>
      </c>
      <c r="R4492" s="18">
        <v>39184.0</v>
      </c>
    </row>
    <row r="4493">
      <c r="A4493" s="10">
        <f t="shared" si="8"/>
        <v>42475.66667</v>
      </c>
      <c r="B4493" s="2" t="str">
        <f t="shared" si="2"/>
        <v/>
      </c>
      <c r="C4493" s="2" t="str">
        <f t="shared" si="3"/>
        <v>SP500</v>
      </c>
      <c r="D4493" s="2">
        <f t="shared" si="4"/>
        <v>4938.22</v>
      </c>
      <c r="E4493" s="2">
        <f t="shared" si="5"/>
        <v>4938.22</v>
      </c>
      <c r="G4493" s="10">
        <f t="shared" si="9"/>
        <v>42475.64583</v>
      </c>
      <c r="H4493" s="6" t="str">
        <f t="shared" si="6"/>
        <v/>
      </c>
      <c r="I4493" s="2">
        <f t="shared" si="7"/>
        <v>1426.89</v>
      </c>
      <c r="M4493" s="10">
        <f>IFERROR(__xludf.DUMMYFUNCTION("""COMPUTED_VALUE"""),44496.66666666667)</f>
        <v>44496.66667</v>
      </c>
      <c r="N4493" s="2">
        <f>IFERROR(__xludf.DUMMYFUNCTION("""COMPUTED_VALUE"""),15235.84)</f>
        <v>15235.84</v>
      </c>
      <c r="P4493" s="10">
        <f t="shared" si="10"/>
        <v>39183.64583</v>
      </c>
      <c r="Q4493" s="15">
        <v>1513.42</v>
      </c>
      <c r="R4493" s="18">
        <v>39183.0</v>
      </c>
    </row>
    <row r="4494">
      <c r="A4494" s="10">
        <f t="shared" si="8"/>
        <v>42476.66667</v>
      </c>
      <c r="B4494" s="2" t="str">
        <f t="shared" si="2"/>
        <v/>
      </c>
      <c r="C4494" s="2" t="str">
        <f t="shared" si="3"/>
        <v>SP500</v>
      </c>
      <c r="D4494" s="2" t="str">
        <f t="shared" si="4"/>
        <v/>
      </c>
      <c r="E4494" s="2">
        <f t="shared" si="5"/>
        <v>4938.22</v>
      </c>
      <c r="G4494" s="10">
        <f t="shared" si="9"/>
        <v>42476.64583</v>
      </c>
      <c r="H4494" s="6" t="str">
        <f t="shared" si="6"/>
        <v/>
      </c>
      <c r="I4494" s="2">
        <f t="shared" si="7"/>
        <v>1426.89</v>
      </c>
      <c r="M4494" s="10">
        <f>IFERROR(__xludf.DUMMYFUNCTION("""COMPUTED_VALUE"""),44497.66666666667)</f>
        <v>44497.66667</v>
      </c>
      <c r="N4494" s="2">
        <f>IFERROR(__xludf.DUMMYFUNCTION("""COMPUTED_VALUE"""),15448.12)</f>
        <v>15448.12</v>
      </c>
      <c r="P4494" s="10">
        <f t="shared" si="10"/>
        <v>39182.64583</v>
      </c>
      <c r="Q4494" s="15">
        <v>1499.16</v>
      </c>
      <c r="R4494" s="18">
        <v>39182.0</v>
      </c>
    </row>
    <row r="4495">
      <c r="A4495" s="10">
        <f t="shared" si="8"/>
        <v>42477.66667</v>
      </c>
      <c r="B4495" s="2" t="str">
        <f t="shared" si="2"/>
        <v/>
      </c>
      <c r="C4495" s="2" t="str">
        <f t="shared" si="3"/>
        <v>SP500</v>
      </c>
      <c r="D4495" s="2" t="str">
        <f t="shared" si="4"/>
        <v/>
      </c>
      <c r="E4495" s="2">
        <f t="shared" si="5"/>
        <v>4938.22</v>
      </c>
      <c r="G4495" s="10">
        <f t="shared" si="9"/>
        <v>42477.64583</v>
      </c>
      <c r="H4495" s="6" t="str">
        <f t="shared" si="6"/>
        <v/>
      </c>
      <c r="I4495" s="2">
        <f t="shared" si="7"/>
        <v>1426.89</v>
      </c>
      <c r="M4495" s="10">
        <f>IFERROR(__xludf.DUMMYFUNCTION("""COMPUTED_VALUE"""),44498.66666666667)</f>
        <v>44498.66667</v>
      </c>
      <c r="N4495" s="2">
        <f>IFERROR(__xludf.DUMMYFUNCTION("""COMPUTED_VALUE"""),15498.39)</f>
        <v>15498.39</v>
      </c>
      <c r="P4495" s="10">
        <f t="shared" si="10"/>
        <v>39181.64583</v>
      </c>
      <c r="Q4495" s="15">
        <v>1501.06</v>
      </c>
      <c r="R4495" s="18">
        <v>39181.0</v>
      </c>
    </row>
    <row r="4496">
      <c r="A4496" s="10">
        <f t="shared" si="8"/>
        <v>42478.66667</v>
      </c>
      <c r="B4496" s="2" t="str">
        <f t="shared" si="2"/>
        <v/>
      </c>
      <c r="C4496" s="2" t="str">
        <f t="shared" si="3"/>
        <v>SP500</v>
      </c>
      <c r="D4496" s="2">
        <f t="shared" si="4"/>
        <v>4960.02</v>
      </c>
      <c r="E4496" s="2">
        <f t="shared" si="5"/>
        <v>4960.02</v>
      </c>
      <c r="G4496" s="10">
        <f t="shared" si="9"/>
        <v>42478.64583</v>
      </c>
      <c r="H4496" s="6" t="str">
        <f t="shared" si="6"/>
        <v/>
      </c>
      <c r="I4496" s="2">
        <f t="shared" si="7"/>
        <v>1426.89</v>
      </c>
      <c r="M4496" s="10">
        <f>IFERROR(__xludf.DUMMYFUNCTION("""COMPUTED_VALUE"""),44501.66666666667)</f>
        <v>44501.66667</v>
      </c>
      <c r="N4496" s="2">
        <f>IFERROR(__xludf.DUMMYFUNCTION("""COMPUTED_VALUE"""),15595.92)</f>
        <v>15595.92</v>
      </c>
      <c r="P4496" s="10">
        <f t="shared" si="10"/>
        <v>39178.64583</v>
      </c>
      <c r="Q4496" s="15">
        <v>1484.15</v>
      </c>
      <c r="R4496" s="18">
        <v>39178.0</v>
      </c>
    </row>
    <row r="4497">
      <c r="A4497" s="10">
        <f t="shared" si="8"/>
        <v>42479.66667</v>
      </c>
      <c r="B4497" s="2" t="str">
        <f t="shared" si="2"/>
        <v/>
      </c>
      <c r="C4497" s="2" t="str">
        <f t="shared" si="3"/>
        <v>SP500</v>
      </c>
      <c r="D4497" s="2">
        <f t="shared" si="4"/>
        <v>4940.33</v>
      </c>
      <c r="E4497" s="2">
        <f t="shared" si="5"/>
        <v>4940.33</v>
      </c>
      <c r="G4497" s="10">
        <f t="shared" si="9"/>
        <v>42479.64583</v>
      </c>
      <c r="H4497" s="6" t="str">
        <f t="shared" si="6"/>
        <v/>
      </c>
      <c r="I4497" s="2">
        <f t="shared" si="7"/>
        <v>1426.89</v>
      </c>
      <c r="M4497" s="10">
        <f>IFERROR(__xludf.DUMMYFUNCTION("""COMPUTED_VALUE"""),44502.66666666667)</f>
        <v>44502.66667</v>
      </c>
      <c r="N4497" s="2">
        <f>IFERROR(__xludf.DUMMYFUNCTION("""COMPUTED_VALUE"""),15649.6)</f>
        <v>15649.6</v>
      </c>
      <c r="P4497" s="10">
        <f t="shared" si="10"/>
        <v>39177.64583</v>
      </c>
      <c r="Q4497" s="15">
        <v>1482.04</v>
      </c>
      <c r="R4497" s="18">
        <v>39177.0</v>
      </c>
    </row>
    <row r="4498">
      <c r="A4498" s="10">
        <f t="shared" si="8"/>
        <v>42480.66667</v>
      </c>
      <c r="B4498" s="2" t="str">
        <f t="shared" si="2"/>
        <v/>
      </c>
      <c r="C4498" s="2" t="str">
        <f t="shared" si="3"/>
        <v>SP500</v>
      </c>
      <c r="D4498" s="2">
        <f t="shared" si="4"/>
        <v>4948.13</v>
      </c>
      <c r="E4498" s="2">
        <f t="shared" si="5"/>
        <v>4948.13</v>
      </c>
      <c r="G4498" s="10">
        <f t="shared" si="9"/>
        <v>42480.64583</v>
      </c>
      <c r="H4498" s="6" t="str">
        <f t="shared" si="6"/>
        <v/>
      </c>
      <c r="I4498" s="2">
        <f t="shared" si="7"/>
        <v>1426.89</v>
      </c>
      <c r="M4498" s="10">
        <f>IFERROR(__xludf.DUMMYFUNCTION("""COMPUTED_VALUE"""),44503.66666666667)</f>
        <v>44503.66667</v>
      </c>
      <c r="N4498" s="2">
        <f>IFERROR(__xludf.DUMMYFUNCTION("""COMPUTED_VALUE"""),15811.58)</f>
        <v>15811.58</v>
      </c>
      <c r="P4498" s="10">
        <f t="shared" si="10"/>
        <v>39176.64583</v>
      </c>
      <c r="Q4498" s="15">
        <v>1483.41</v>
      </c>
      <c r="R4498" s="18">
        <v>39176.0</v>
      </c>
    </row>
    <row r="4499">
      <c r="A4499" s="10">
        <f t="shared" si="8"/>
        <v>42481.66667</v>
      </c>
      <c r="B4499" s="2" t="str">
        <f t="shared" si="2"/>
        <v/>
      </c>
      <c r="C4499" s="2" t="str">
        <f t="shared" si="3"/>
        <v>SP500</v>
      </c>
      <c r="D4499" s="2">
        <f t="shared" si="4"/>
        <v>4945.89</v>
      </c>
      <c r="E4499" s="2">
        <f t="shared" si="5"/>
        <v>4945.89</v>
      </c>
      <c r="G4499" s="10">
        <f t="shared" si="9"/>
        <v>42481.64583</v>
      </c>
      <c r="H4499" s="6" t="str">
        <f t="shared" si="6"/>
        <v/>
      </c>
      <c r="I4499" s="2">
        <f t="shared" si="7"/>
        <v>1426.89</v>
      </c>
      <c r="M4499" s="10">
        <f>IFERROR(__xludf.DUMMYFUNCTION("""COMPUTED_VALUE"""),44504.66666666667)</f>
        <v>44504.66667</v>
      </c>
      <c r="N4499" s="2">
        <f>IFERROR(__xludf.DUMMYFUNCTION("""COMPUTED_VALUE"""),15940.31)</f>
        <v>15940.31</v>
      </c>
      <c r="P4499" s="10">
        <f t="shared" si="10"/>
        <v>39175.64583</v>
      </c>
      <c r="Q4499" s="15">
        <v>1463.75</v>
      </c>
      <c r="R4499" s="18">
        <v>39175.0</v>
      </c>
    </row>
    <row r="4500">
      <c r="A4500" s="10">
        <f t="shared" si="8"/>
        <v>42482.66667</v>
      </c>
      <c r="B4500" s="2" t="str">
        <f t="shared" si="2"/>
        <v/>
      </c>
      <c r="C4500" s="2" t="str">
        <f t="shared" si="3"/>
        <v>SP500</v>
      </c>
      <c r="D4500" s="2">
        <f t="shared" si="4"/>
        <v>4906.23</v>
      </c>
      <c r="E4500" s="2">
        <f t="shared" si="5"/>
        <v>4906.23</v>
      </c>
      <c r="G4500" s="10">
        <f t="shared" si="9"/>
        <v>42482.64583</v>
      </c>
      <c r="H4500" s="6" t="str">
        <f t="shared" si="6"/>
        <v/>
      </c>
      <c r="I4500" s="2">
        <f t="shared" si="7"/>
        <v>1426.89</v>
      </c>
      <c r="M4500" s="10">
        <f>IFERROR(__xludf.DUMMYFUNCTION("""COMPUTED_VALUE"""),44505.66666666667)</f>
        <v>44505.66667</v>
      </c>
      <c r="N4500" s="2">
        <f>IFERROR(__xludf.DUMMYFUNCTION("""COMPUTED_VALUE"""),15971.59)</f>
        <v>15971.59</v>
      </c>
      <c r="P4500" s="10">
        <f t="shared" si="10"/>
        <v>39174.64583</v>
      </c>
      <c r="Q4500" s="15">
        <v>1459.53</v>
      </c>
      <c r="R4500" s="18">
        <v>39174.0</v>
      </c>
    </row>
    <row r="4501">
      <c r="A4501" s="10">
        <f t="shared" si="8"/>
        <v>42483.66667</v>
      </c>
      <c r="B4501" s="2" t="str">
        <f t="shared" si="2"/>
        <v/>
      </c>
      <c r="C4501" s="2" t="str">
        <f t="shared" si="3"/>
        <v>SP500</v>
      </c>
      <c r="D4501" s="2" t="str">
        <f t="shared" si="4"/>
        <v/>
      </c>
      <c r="E4501" s="2">
        <f t="shared" si="5"/>
        <v>4906.23</v>
      </c>
      <c r="G4501" s="10">
        <f t="shared" si="9"/>
        <v>42483.64583</v>
      </c>
      <c r="H4501" s="6" t="str">
        <f t="shared" si="6"/>
        <v/>
      </c>
      <c r="I4501" s="2">
        <f t="shared" si="7"/>
        <v>1426.89</v>
      </c>
      <c r="M4501" s="10">
        <f>IFERROR(__xludf.DUMMYFUNCTION("""COMPUTED_VALUE"""),44508.66666666667)</f>
        <v>44508.66667</v>
      </c>
      <c r="N4501" s="2">
        <f>IFERROR(__xludf.DUMMYFUNCTION("""COMPUTED_VALUE"""),15982.36)</f>
        <v>15982.36</v>
      </c>
      <c r="P4501" s="10">
        <f t="shared" si="10"/>
        <v>39171.64583</v>
      </c>
      <c r="Q4501" s="15">
        <v>1452.55</v>
      </c>
      <c r="R4501" s="18">
        <v>39171.0</v>
      </c>
    </row>
    <row r="4502">
      <c r="A4502" s="10">
        <f t="shared" si="8"/>
        <v>42484.66667</v>
      </c>
      <c r="B4502" s="2" t="str">
        <f t="shared" si="2"/>
        <v/>
      </c>
      <c r="C4502" s="2" t="str">
        <f t="shared" si="3"/>
        <v>SP500</v>
      </c>
      <c r="D4502" s="2" t="str">
        <f t="shared" si="4"/>
        <v/>
      </c>
      <c r="E4502" s="2">
        <f t="shared" si="5"/>
        <v>4906.23</v>
      </c>
      <c r="G4502" s="10">
        <f t="shared" si="9"/>
        <v>42484.64583</v>
      </c>
      <c r="H4502" s="6" t="str">
        <f t="shared" si="6"/>
        <v/>
      </c>
      <c r="I4502" s="2">
        <f t="shared" si="7"/>
        <v>1426.89</v>
      </c>
      <c r="M4502" s="10">
        <f>IFERROR(__xludf.DUMMYFUNCTION("""COMPUTED_VALUE"""),44509.66666666667)</f>
        <v>44509.66667</v>
      </c>
      <c r="N4502" s="2">
        <f>IFERROR(__xludf.DUMMYFUNCTION("""COMPUTED_VALUE"""),15886.54)</f>
        <v>15886.54</v>
      </c>
      <c r="P4502" s="10">
        <f t="shared" si="10"/>
        <v>39170.64583</v>
      </c>
      <c r="Q4502" s="15">
        <v>1450.95</v>
      </c>
      <c r="R4502" s="18">
        <v>39170.0</v>
      </c>
    </row>
    <row r="4503">
      <c r="A4503" s="10">
        <f t="shared" si="8"/>
        <v>42485.66667</v>
      </c>
      <c r="B4503" s="2" t="str">
        <f t="shared" si="2"/>
        <v/>
      </c>
      <c r="C4503" s="2" t="str">
        <f t="shared" si="3"/>
        <v>SP500</v>
      </c>
      <c r="D4503" s="2">
        <f t="shared" si="4"/>
        <v>4895.79</v>
      </c>
      <c r="E4503" s="2">
        <f t="shared" si="5"/>
        <v>4895.79</v>
      </c>
      <c r="G4503" s="10">
        <f t="shared" si="9"/>
        <v>42485.64583</v>
      </c>
      <c r="H4503" s="6" t="str">
        <f t="shared" si="6"/>
        <v/>
      </c>
      <c r="I4503" s="2">
        <f t="shared" si="7"/>
        <v>1426.89</v>
      </c>
      <c r="M4503" s="10">
        <f>IFERROR(__xludf.DUMMYFUNCTION("""COMPUTED_VALUE"""),44510.66666666667)</f>
        <v>44510.66667</v>
      </c>
      <c r="N4503" s="2">
        <f>IFERROR(__xludf.DUMMYFUNCTION("""COMPUTED_VALUE"""),15622.71)</f>
        <v>15622.71</v>
      </c>
      <c r="P4503" s="10">
        <f t="shared" si="10"/>
        <v>39169.64583</v>
      </c>
      <c r="Q4503" s="15">
        <v>1439.74</v>
      </c>
      <c r="R4503" s="18">
        <v>39169.0</v>
      </c>
    </row>
    <row r="4504">
      <c r="A4504" s="10">
        <f t="shared" si="8"/>
        <v>42486.66667</v>
      </c>
      <c r="B4504" s="2" t="str">
        <f t="shared" si="2"/>
        <v/>
      </c>
      <c r="C4504" s="2" t="str">
        <f t="shared" si="3"/>
        <v>SP500</v>
      </c>
      <c r="D4504" s="2">
        <f t="shared" si="4"/>
        <v>4888.28</v>
      </c>
      <c r="E4504" s="2">
        <f t="shared" si="5"/>
        <v>4888.28</v>
      </c>
      <c r="G4504" s="10">
        <f t="shared" si="9"/>
        <v>42486.64583</v>
      </c>
      <c r="H4504" s="6" t="str">
        <f t="shared" si="6"/>
        <v/>
      </c>
      <c r="I4504" s="2">
        <f t="shared" si="7"/>
        <v>1426.89</v>
      </c>
      <c r="M4504" s="10">
        <f>IFERROR(__xludf.DUMMYFUNCTION("""COMPUTED_VALUE"""),44511.66666666667)</f>
        <v>44511.66667</v>
      </c>
      <c r="N4504" s="2">
        <f>IFERROR(__xludf.DUMMYFUNCTION("""COMPUTED_VALUE"""),15704.28)</f>
        <v>15704.28</v>
      </c>
      <c r="P4504" s="10">
        <f t="shared" si="10"/>
        <v>39168.64583</v>
      </c>
      <c r="Q4504" s="15">
        <v>1453.23</v>
      </c>
      <c r="R4504" s="18">
        <v>39168.0</v>
      </c>
    </row>
    <row r="4505">
      <c r="A4505" s="10">
        <f t="shared" si="8"/>
        <v>42487.66667</v>
      </c>
      <c r="B4505" s="2" t="str">
        <f t="shared" si="2"/>
        <v/>
      </c>
      <c r="C4505" s="2" t="str">
        <f t="shared" si="3"/>
        <v>SP500</v>
      </c>
      <c r="D4505" s="2">
        <f t="shared" si="4"/>
        <v>4863.14</v>
      </c>
      <c r="E4505" s="2">
        <f t="shared" si="5"/>
        <v>4863.14</v>
      </c>
      <c r="G4505" s="10">
        <f t="shared" si="9"/>
        <v>42487.64583</v>
      </c>
      <c r="H4505" s="6" t="str">
        <f t="shared" si="6"/>
        <v/>
      </c>
      <c r="I4505" s="2">
        <f t="shared" si="7"/>
        <v>1426.89</v>
      </c>
      <c r="M4505" s="10">
        <f>IFERROR(__xludf.DUMMYFUNCTION("""COMPUTED_VALUE"""),44512.66666666667)</f>
        <v>44512.66667</v>
      </c>
      <c r="N4505" s="2">
        <f>IFERROR(__xludf.DUMMYFUNCTION("""COMPUTED_VALUE"""),15860.96)</f>
        <v>15860.96</v>
      </c>
      <c r="P4505" s="10">
        <f t="shared" si="10"/>
        <v>39167.64583</v>
      </c>
      <c r="Q4505" s="15">
        <v>1449.77</v>
      </c>
      <c r="R4505" s="18">
        <v>39167.0</v>
      </c>
    </row>
    <row r="4506">
      <c r="A4506" s="10">
        <f t="shared" si="8"/>
        <v>42488.66667</v>
      </c>
      <c r="B4506" s="2" t="str">
        <f t="shared" si="2"/>
        <v/>
      </c>
      <c r="C4506" s="2" t="str">
        <f t="shared" si="3"/>
        <v>SP500</v>
      </c>
      <c r="D4506" s="2">
        <f t="shared" si="4"/>
        <v>4805.29</v>
      </c>
      <c r="E4506" s="2">
        <f t="shared" si="5"/>
        <v>4805.29</v>
      </c>
      <c r="G4506" s="10">
        <f t="shared" si="9"/>
        <v>42488.64583</v>
      </c>
      <c r="H4506" s="6" t="str">
        <f t="shared" si="6"/>
        <v/>
      </c>
      <c r="I4506" s="2">
        <f t="shared" si="7"/>
        <v>1426.89</v>
      </c>
      <c r="M4506" s="10">
        <f>IFERROR(__xludf.DUMMYFUNCTION("""COMPUTED_VALUE"""),44515.66666666667)</f>
        <v>44515.66667</v>
      </c>
      <c r="N4506" s="2">
        <f>IFERROR(__xludf.DUMMYFUNCTION("""COMPUTED_VALUE"""),15853.85)</f>
        <v>15853.85</v>
      </c>
      <c r="P4506" s="10">
        <f t="shared" si="10"/>
        <v>39164.64583</v>
      </c>
      <c r="Q4506" s="15">
        <v>1447.38</v>
      </c>
      <c r="R4506" s="18">
        <v>39164.0</v>
      </c>
    </row>
    <row r="4507">
      <c r="A4507" s="10">
        <f t="shared" si="8"/>
        <v>42489.66667</v>
      </c>
      <c r="B4507" s="2" t="str">
        <f t="shared" si="2"/>
        <v/>
      </c>
      <c r="C4507" s="2" t="str">
        <f t="shared" si="3"/>
        <v>SP500</v>
      </c>
      <c r="D4507" s="2">
        <f t="shared" si="4"/>
        <v>4775.36</v>
      </c>
      <c r="E4507" s="2">
        <f t="shared" si="5"/>
        <v>4775.36</v>
      </c>
      <c r="G4507" s="10">
        <f t="shared" si="9"/>
        <v>42489.64583</v>
      </c>
      <c r="H4507" s="6" t="str">
        <f t="shared" si="6"/>
        <v/>
      </c>
      <c r="I4507" s="2">
        <f t="shared" si="7"/>
        <v>1426.89</v>
      </c>
      <c r="M4507" s="10">
        <f>IFERROR(__xludf.DUMMYFUNCTION("""COMPUTED_VALUE"""),44516.66666666667)</f>
        <v>44516.66667</v>
      </c>
      <c r="N4507" s="2">
        <f>IFERROR(__xludf.DUMMYFUNCTION("""COMPUTED_VALUE"""),15973.86)</f>
        <v>15973.86</v>
      </c>
      <c r="P4507" s="10">
        <f t="shared" si="10"/>
        <v>39163.64583</v>
      </c>
      <c r="Q4507" s="15">
        <v>1448.53</v>
      </c>
      <c r="R4507" s="18">
        <v>39163.0</v>
      </c>
    </row>
    <row r="4508">
      <c r="A4508" s="10">
        <f t="shared" si="8"/>
        <v>42490.66667</v>
      </c>
      <c r="B4508" s="2" t="str">
        <f t="shared" si="2"/>
        <v/>
      </c>
      <c r="C4508" s="2" t="str">
        <f t="shared" si="3"/>
        <v>SP500</v>
      </c>
      <c r="D4508" s="2" t="str">
        <f t="shared" si="4"/>
        <v/>
      </c>
      <c r="E4508" s="2">
        <f t="shared" si="5"/>
        <v>4775.36</v>
      </c>
      <c r="G4508" s="10">
        <f t="shared" si="9"/>
        <v>42490.64583</v>
      </c>
      <c r="H4508" s="6" t="str">
        <f t="shared" si="6"/>
        <v/>
      </c>
      <c r="I4508" s="2">
        <f t="shared" si="7"/>
        <v>1426.89</v>
      </c>
      <c r="M4508" s="10">
        <f>IFERROR(__xludf.DUMMYFUNCTION("""COMPUTED_VALUE"""),44517.66666666667)</f>
        <v>44517.66667</v>
      </c>
      <c r="N4508" s="2">
        <f>IFERROR(__xludf.DUMMYFUNCTION("""COMPUTED_VALUE"""),15921.57)</f>
        <v>15921.57</v>
      </c>
      <c r="P4508" s="10">
        <f t="shared" si="10"/>
        <v>39162.64583</v>
      </c>
      <c r="Q4508" s="15">
        <v>1442.85</v>
      </c>
      <c r="R4508" s="18">
        <v>39162.0</v>
      </c>
    </row>
    <row r="4509">
      <c r="A4509" s="10">
        <f t="shared" si="8"/>
        <v>42491.66667</v>
      </c>
      <c r="B4509" s="2" t="str">
        <f t="shared" si="2"/>
        <v/>
      </c>
      <c r="C4509" s="2" t="str">
        <f t="shared" si="3"/>
        <v>SP500</v>
      </c>
      <c r="D4509" s="2" t="str">
        <f t="shared" si="4"/>
        <v/>
      </c>
      <c r="E4509" s="2">
        <f t="shared" si="5"/>
        <v>4775.36</v>
      </c>
      <c r="G4509" s="10">
        <f t="shared" si="9"/>
        <v>42491.64583</v>
      </c>
      <c r="H4509" s="6" t="str">
        <f t="shared" si="6"/>
        <v/>
      </c>
      <c r="I4509" s="2">
        <f t="shared" si="7"/>
        <v>1426.89</v>
      </c>
      <c r="M4509" s="10">
        <f>IFERROR(__xludf.DUMMYFUNCTION("""COMPUTED_VALUE"""),44518.66666666667)</f>
        <v>44518.66667</v>
      </c>
      <c r="N4509" s="2">
        <f>IFERROR(__xludf.DUMMYFUNCTION("""COMPUTED_VALUE"""),15993.71)</f>
        <v>15993.71</v>
      </c>
      <c r="P4509" s="10">
        <f t="shared" si="10"/>
        <v>39161.64583</v>
      </c>
      <c r="Q4509" s="15">
        <v>1444.17</v>
      </c>
      <c r="R4509" s="18">
        <v>39161.0</v>
      </c>
    </row>
    <row r="4510">
      <c r="A4510" s="10">
        <f t="shared" si="8"/>
        <v>42492.66667</v>
      </c>
      <c r="B4510" s="2" t="str">
        <f t="shared" si="2"/>
        <v/>
      </c>
      <c r="C4510" s="2" t="str">
        <f t="shared" si="3"/>
        <v>SP500</v>
      </c>
      <c r="D4510" s="2">
        <f t="shared" si="4"/>
        <v>4817.59</v>
      </c>
      <c r="E4510" s="2">
        <f t="shared" si="5"/>
        <v>4817.59</v>
      </c>
      <c r="G4510" s="10">
        <f t="shared" si="9"/>
        <v>42492.64583</v>
      </c>
      <c r="H4510" s="6" t="str">
        <f t="shared" si="6"/>
        <v/>
      </c>
      <c r="I4510" s="2">
        <f t="shared" si="7"/>
        <v>1426.89</v>
      </c>
      <c r="M4510" s="10">
        <f>IFERROR(__xludf.DUMMYFUNCTION("""COMPUTED_VALUE"""),44519.66666666667)</f>
        <v>44519.66667</v>
      </c>
      <c r="N4510" s="2">
        <f>IFERROR(__xludf.DUMMYFUNCTION("""COMPUTED_VALUE"""),16057.44)</f>
        <v>16057.44</v>
      </c>
      <c r="P4510" s="10">
        <f t="shared" si="10"/>
        <v>39160.64583</v>
      </c>
      <c r="Q4510" s="15">
        <v>1443.39</v>
      </c>
      <c r="R4510" s="18">
        <v>39160.0</v>
      </c>
    </row>
    <row r="4511">
      <c r="A4511" s="10">
        <f t="shared" si="8"/>
        <v>42493.66667</v>
      </c>
      <c r="B4511" s="2" t="str">
        <f t="shared" si="2"/>
        <v/>
      </c>
      <c r="C4511" s="2" t="str">
        <f t="shared" si="3"/>
        <v>SP500</v>
      </c>
      <c r="D4511" s="2">
        <f t="shared" si="4"/>
        <v>4763.22</v>
      </c>
      <c r="E4511" s="2">
        <f t="shared" si="5"/>
        <v>4763.22</v>
      </c>
      <c r="G4511" s="10">
        <f t="shared" si="9"/>
        <v>42493.64583</v>
      </c>
      <c r="H4511" s="6" t="str">
        <f t="shared" si="6"/>
        <v/>
      </c>
      <c r="I4511" s="2">
        <f t="shared" si="7"/>
        <v>1426.89</v>
      </c>
      <c r="M4511" s="10">
        <f>IFERROR(__xludf.DUMMYFUNCTION("""COMPUTED_VALUE"""),44522.66666666667)</f>
        <v>44522.66667</v>
      </c>
      <c r="N4511" s="2">
        <f>IFERROR(__xludf.DUMMYFUNCTION("""COMPUTED_VALUE"""),15854.76)</f>
        <v>15854.76</v>
      </c>
      <c r="P4511" s="10">
        <f t="shared" si="10"/>
        <v>39157.64583</v>
      </c>
      <c r="Q4511" s="15">
        <v>1427.88</v>
      </c>
      <c r="R4511" s="18">
        <v>39157.0</v>
      </c>
    </row>
    <row r="4512">
      <c r="A4512" s="10">
        <f t="shared" si="8"/>
        <v>42494.66667</v>
      </c>
      <c r="B4512" s="2" t="str">
        <f t="shared" si="2"/>
        <v/>
      </c>
      <c r="C4512" s="2" t="str">
        <f t="shared" si="3"/>
        <v>SP500</v>
      </c>
      <c r="D4512" s="2">
        <f t="shared" si="4"/>
        <v>4725.64</v>
      </c>
      <c r="E4512" s="2">
        <f t="shared" si="5"/>
        <v>4725.64</v>
      </c>
      <c r="G4512" s="10">
        <f t="shared" si="9"/>
        <v>42494.64583</v>
      </c>
      <c r="H4512" s="6" t="str">
        <f t="shared" si="6"/>
        <v/>
      </c>
      <c r="I4512" s="2">
        <f t="shared" si="7"/>
        <v>1426.89</v>
      </c>
      <c r="M4512" s="10">
        <f>IFERROR(__xludf.DUMMYFUNCTION("""COMPUTED_VALUE"""),44523.66666666667)</f>
        <v>44523.66667</v>
      </c>
      <c r="N4512" s="2">
        <f>IFERROR(__xludf.DUMMYFUNCTION("""COMPUTED_VALUE"""),15775.14)</f>
        <v>15775.14</v>
      </c>
      <c r="P4512" s="10">
        <f t="shared" si="10"/>
        <v>39156.64583</v>
      </c>
      <c r="Q4512" s="15">
        <v>1426.93</v>
      </c>
      <c r="R4512" s="18">
        <v>39156.0</v>
      </c>
    </row>
    <row r="4513">
      <c r="A4513" s="10">
        <f t="shared" si="8"/>
        <v>42495.66667</v>
      </c>
      <c r="B4513" s="2" t="str">
        <f t="shared" si="2"/>
        <v/>
      </c>
      <c r="C4513" s="2" t="str">
        <f t="shared" si="3"/>
        <v>SP500</v>
      </c>
      <c r="D4513" s="2">
        <f t="shared" si="4"/>
        <v>4717.09</v>
      </c>
      <c r="E4513" s="2">
        <f t="shared" si="5"/>
        <v>4717.09</v>
      </c>
      <c r="G4513" s="10">
        <f t="shared" si="9"/>
        <v>42495.64583</v>
      </c>
      <c r="H4513" s="6" t="str">
        <f t="shared" si="6"/>
        <v/>
      </c>
      <c r="I4513" s="2">
        <f t="shared" si="7"/>
        <v>1426.89</v>
      </c>
      <c r="M4513" s="10">
        <f>IFERROR(__xludf.DUMMYFUNCTION("""COMPUTED_VALUE"""),44524.66666666667)</f>
        <v>44524.66667</v>
      </c>
      <c r="N4513" s="2">
        <f>IFERROR(__xludf.DUMMYFUNCTION("""COMPUTED_VALUE"""),15845.23)</f>
        <v>15845.23</v>
      </c>
      <c r="P4513" s="10">
        <f t="shared" si="10"/>
        <v>39155.64583</v>
      </c>
      <c r="Q4513" s="15">
        <v>1407.37</v>
      </c>
      <c r="R4513" s="18">
        <v>39155.0</v>
      </c>
    </row>
    <row r="4514">
      <c r="A4514" s="10">
        <f t="shared" si="8"/>
        <v>42496.66667</v>
      </c>
      <c r="B4514" s="2" t="str">
        <f t="shared" si="2"/>
        <v/>
      </c>
      <c r="C4514" s="2" t="str">
        <f t="shared" si="3"/>
        <v>SP500</v>
      </c>
      <c r="D4514" s="2">
        <f t="shared" si="4"/>
        <v>4736.16</v>
      </c>
      <c r="E4514" s="2">
        <f t="shared" si="5"/>
        <v>4736.16</v>
      </c>
      <c r="G4514" s="10">
        <f t="shared" si="9"/>
        <v>42496.64583</v>
      </c>
      <c r="H4514" s="6" t="str">
        <f t="shared" si="6"/>
        <v/>
      </c>
      <c r="I4514" s="2">
        <f t="shared" si="7"/>
        <v>1426.89</v>
      </c>
      <c r="M4514" s="10">
        <f>IFERROR(__xludf.DUMMYFUNCTION("""COMPUTED_VALUE"""),44526.54166666667)</f>
        <v>44526.54167</v>
      </c>
      <c r="N4514" s="2">
        <f>IFERROR(__xludf.DUMMYFUNCTION("""COMPUTED_VALUE"""),15491.66)</f>
        <v>15491.66</v>
      </c>
      <c r="P4514" s="10">
        <f t="shared" si="10"/>
        <v>39154.64583</v>
      </c>
      <c r="Q4514" s="15">
        <v>1436.05</v>
      </c>
      <c r="R4514" s="18">
        <v>39154.0</v>
      </c>
    </row>
    <row r="4515">
      <c r="A4515" s="10">
        <f t="shared" si="8"/>
        <v>42497.66667</v>
      </c>
      <c r="B4515" s="2" t="str">
        <f t="shared" si="2"/>
        <v/>
      </c>
      <c r="C4515" s="2" t="str">
        <f t="shared" si="3"/>
        <v>SP500</v>
      </c>
      <c r="D4515" s="2" t="str">
        <f t="shared" si="4"/>
        <v/>
      </c>
      <c r="E4515" s="2">
        <f t="shared" si="5"/>
        <v>4736.16</v>
      </c>
      <c r="G4515" s="10">
        <f t="shared" si="9"/>
        <v>42497.64583</v>
      </c>
      <c r="H4515" s="6" t="str">
        <f t="shared" si="6"/>
        <v/>
      </c>
      <c r="I4515" s="2">
        <f t="shared" si="7"/>
        <v>1426.89</v>
      </c>
      <c r="M4515" s="10">
        <f>IFERROR(__xludf.DUMMYFUNCTION("""COMPUTED_VALUE"""),44529.66666666667)</f>
        <v>44529.66667</v>
      </c>
      <c r="N4515" s="2">
        <f>IFERROR(__xludf.DUMMYFUNCTION("""COMPUTED_VALUE"""),15782.83)</f>
        <v>15782.83</v>
      </c>
      <c r="P4515" s="10">
        <f t="shared" si="10"/>
        <v>39153.64583</v>
      </c>
      <c r="Q4515" s="15">
        <v>1441.33</v>
      </c>
      <c r="R4515" s="18">
        <v>39153.0</v>
      </c>
    </row>
    <row r="4516">
      <c r="A4516" s="10">
        <f t="shared" si="8"/>
        <v>42498.66667</v>
      </c>
      <c r="B4516" s="2" t="str">
        <f t="shared" si="2"/>
        <v/>
      </c>
      <c r="C4516" s="2" t="str">
        <f t="shared" si="3"/>
        <v>SP500</v>
      </c>
      <c r="D4516" s="2" t="str">
        <f t="shared" si="4"/>
        <v/>
      </c>
      <c r="E4516" s="2">
        <f t="shared" si="5"/>
        <v>4736.16</v>
      </c>
      <c r="G4516" s="10">
        <f t="shared" si="9"/>
        <v>42498.64583</v>
      </c>
      <c r="H4516" s="6" t="str">
        <f t="shared" si="6"/>
        <v/>
      </c>
      <c r="I4516" s="2">
        <f t="shared" si="7"/>
        <v>1426.89</v>
      </c>
      <c r="M4516" s="10">
        <f>IFERROR(__xludf.DUMMYFUNCTION("""COMPUTED_VALUE"""),44530.66666666667)</f>
        <v>44530.66667</v>
      </c>
      <c r="N4516" s="2">
        <f>IFERROR(__xludf.DUMMYFUNCTION("""COMPUTED_VALUE"""),15537.69)</f>
        <v>15537.69</v>
      </c>
      <c r="P4516" s="10">
        <f t="shared" si="10"/>
        <v>39150.64583</v>
      </c>
      <c r="Q4516" s="15">
        <v>1423.58</v>
      </c>
      <c r="R4516" s="18">
        <v>39150.0</v>
      </c>
    </row>
    <row r="4517">
      <c r="A4517" s="10">
        <f t="shared" si="8"/>
        <v>42499.66667</v>
      </c>
      <c r="B4517" s="2" t="str">
        <f t="shared" si="2"/>
        <v/>
      </c>
      <c r="C4517" s="2" t="str">
        <f t="shared" si="3"/>
        <v>SP500</v>
      </c>
      <c r="D4517" s="2">
        <f t="shared" si="4"/>
        <v>4750.21</v>
      </c>
      <c r="E4517" s="2">
        <f t="shared" si="5"/>
        <v>4750.21</v>
      </c>
      <c r="G4517" s="10">
        <f t="shared" si="9"/>
        <v>42499.64583</v>
      </c>
      <c r="H4517" s="6" t="str">
        <f t="shared" si="6"/>
        <v/>
      </c>
      <c r="I4517" s="2">
        <f t="shared" si="7"/>
        <v>1426.89</v>
      </c>
      <c r="M4517" s="10">
        <f>IFERROR(__xludf.DUMMYFUNCTION("""COMPUTED_VALUE"""),44531.66666666667)</f>
        <v>44531.66667</v>
      </c>
      <c r="N4517" s="2">
        <f>IFERROR(__xludf.DUMMYFUNCTION("""COMPUTED_VALUE"""),15254.05)</f>
        <v>15254.05</v>
      </c>
      <c r="P4517" s="10">
        <f t="shared" si="10"/>
        <v>39149.64583</v>
      </c>
      <c r="Q4517" s="15">
        <v>1423.89</v>
      </c>
      <c r="R4517" s="18">
        <v>39149.0</v>
      </c>
    </row>
    <row r="4518">
      <c r="A4518" s="10">
        <f t="shared" si="8"/>
        <v>42500.66667</v>
      </c>
      <c r="B4518" s="2" t="str">
        <f t="shared" si="2"/>
        <v/>
      </c>
      <c r="C4518" s="2" t="str">
        <f t="shared" si="3"/>
        <v>SP500</v>
      </c>
      <c r="D4518" s="2">
        <f t="shared" si="4"/>
        <v>4809.88</v>
      </c>
      <c r="E4518" s="2">
        <f t="shared" si="5"/>
        <v>4809.88</v>
      </c>
      <c r="G4518" s="10">
        <f t="shared" si="9"/>
        <v>42500.64583</v>
      </c>
      <c r="H4518" s="6" t="str">
        <f t="shared" si="6"/>
        <v/>
      </c>
      <c r="I4518" s="2">
        <f t="shared" si="7"/>
        <v>1426.89</v>
      </c>
      <c r="M4518" s="10">
        <f>IFERROR(__xludf.DUMMYFUNCTION("""COMPUTED_VALUE"""),44532.66666666667)</f>
        <v>44532.66667</v>
      </c>
      <c r="N4518" s="2">
        <f>IFERROR(__xludf.DUMMYFUNCTION("""COMPUTED_VALUE"""),15381.32)</f>
        <v>15381.32</v>
      </c>
      <c r="P4518" s="10">
        <f t="shared" si="10"/>
        <v>39148.64583</v>
      </c>
      <c r="Q4518" s="15">
        <v>1410.95</v>
      </c>
      <c r="R4518" s="18">
        <v>39148.0</v>
      </c>
    </row>
    <row r="4519">
      <c r="A4519" s="10">
        <f t="shared" si="8"/>
        <v>42501.66667</v>
      </c>
      <c r="B4519" s="2" t="str">
        <f t="shared" si="2"/>
        <v/>
      </c>
      <c r="C4519" s="2" t="str">
        <f t="shared" si="3"/>
        <v>SP500</v>
      </c>
      <c r="D4519" s="2">
        <f t="shared" si="4"/>
        <v>4760.69</v>
      </c>
      <c r="E4519" s="2">
        <f t="shared" si="5"/>
        <v>4760.69</v>
      </c>
      <c r="G4519" s="10">
        <f t="shared" si="9"/>
        <v>42501.64583</v>
      </c>
      <c r="H4519" s="6" t="str">
        <f t="shared" si="6"/>
        <v/>
      </c>
      <c r="I4519" s="2">
        <f t="shared" si="7"/>
        <v>1426.89</v>
      </c>
      <c r="M4519" s="10">
        <f>IFERROR(__xludf.DUMMYFUNCTION("""COMPUTED_VALUE"""),44533.66666666667)</f>
        <v>44533.66667</v>
      </c>
      <c r="N4519" s="2">
        <f>IFERROR(__xludf.DUMMYFUNCTION("""COMPUTED_VALUE"""),15085.47)</f>
        <v>15085.47</v>
      </c>
      <c r="P4519" s="10">
        <f t="shared" si="10"/>
        <v>39147.64583</v>
      </c>
      <c r="Q4519" s="15">
        <v>1402.93</v>
      </c>
      <c r="R4519" s="18">
        <v>39147.0</v>
      </c>
    </row>
    <row r="4520">
      <c r="A4520" s="10">
        <f t="shared" si="8"/>
        <v>42502.66667</v>
      </c>
      <c r="B4520" s="2" t="str">
        <f t="shared" si="2"/>
        <v/>
      </c>
      <c r="C4520" s="2" t="str">
        <f t="shared" si="3"/>
        <v>SP500</v>
      </c>
      <c r="D4520" s="2">
        <f t="shared" si="4"/>
        <v>4737.33</v>
      </c>
      <c r="E4520" s="2">
        <f t="shared" si="5"/>
        <v>4737.33</v>
      </c>
      <c r="G4520" s="10">
        <f t="shared" si="9"/>
        <v>42502.64583</v>
      </c>
      <c r="H4520" s="6" t="str">
        <f t="shared" si="6"/>
        <v/>
      </c>
      <c r="I4520" s="2">
        <f t="shared" si="7"/>
        <v>1426.89</v>
      </c>
      <c r="M4520" s="10">
        <f>IFERROR(__xludf.DUMMYFUNCTION("""COMPUTED_VALUE"""),44536.66666666667)</f>
        <v>44536.66667</v>
      </c>
      <c r="N4520" s="2">
        <f>IFERROR(__xludf.DUMMYFUNCTION("""COMPUTED_VALUE"""),15225.15)</f>
        <v>15225.15</v>
      </c>
      <c r="P4520" s="10">
        <f t="shared" si="10"/>
        <v>39146.64583</v>
      </c>
      <c r="Q4520" s="15">
        <v>1376.15</v>
      </c>
      <c r="R4520" s="18">
        <v>39146.0</v>
      </c>
    </row>
    <row r="4521">
      <c r="A4521" s="10">
        <f t="shared" si="8"/>
        <v>42503.66667</v>
      </c>
      <c r="B4521" s="2" t="str">
        <f t="shared" si="2"/>
        <v/>
      </c>
      <c r="C4521" s="2" t="str">
        <f t="shared" si="3"/>
        <v>SP500</v>
      </c>
      <c r="D4521" s="2">
        <f t="shared" si="4"/>
        <v>4717.68</v>
      </c>
      <c r="E4521" s="2">
        <f t="shared" si="5"/>
        <v>4717.68</v>
      </c>
      <c r="G4521" s="10">
        <f t="shared" si="9"/>
        <v>42503.64583</v>
      </c>
      <c r="H4521" s="6" t="str">
        <f t="shared" si="6"/>
        <v/>
      </c>
      <c r="I4521" s="2">
        <f t="shared" si="7"/>
        <v>1426.89</v>
      </c>
      <c r="M4521" s="10">
        <f>IFERROR(__xludf.DUMMYFUNCTION("""COMPUTED_VALUE"""),44537.66666666667)</f>
        <v>44537.66667</v>
      </c>
      <c r="N4521" s="2">
        <f>IFERROR(__xludf.DUMMYFUNCTION("""COMPUTED_VALUE"""),15686.92)</f>
        <v>15686.92</v>
      </c>
      <c r="P4521" s="10">
        <f t="shared" si="10"/>
        <v>39143.64583</v>
      </c>
      <c r="Q4521" s="15">
        <v>1414.47</v>
      </c>
      <c r="R4521" s="18">
        <v>39143.0</v>
      </c>
    </row>
    <row r="4522">
      <c r="A4522" s="10">
        <f t="shared" si="8"/>
        <v>42504.66667</v>
      </c>
      <c r="B4522" s="2" t="str">
        <f t="shared" si="2"/>
        <v/>
      </c>
      <c r="C4522" s="2" t="str">
        <f t="shared" si="3"/>
        <v>SP500</v>
      </c>
      <c r="D4522" s="2" t="str">
        <f t="shared" si="4"/>
        <v/>
      </c>
      <c r="E4522" s="2">
        <f t="shared" si="5"/>
        <v>4717.68</v>
      </c>
      <c r="G4522" s="10">
        <f t="shared" si="9"/>
        <v>42504.64583</v>
      </c>
      <c r="H4522" s="6" t="str">
        <f t="shared" si="6"/>
        <v/>
      </c>
      <c r="I4522" s="2">
        <f t="shared" si="7"/>
        <v>1426.89</v>
      </c>
      <c r="M4522" s="10">
        <f>IFERROR(__xludf.DUMMYFUNCTION("""COMPUTED_VALUE"""),44538.66666666667)</f>
        <v>44538.66667</v>
      </c>
      <c r="N4522" s="2">
        <f>IFERROR(__xludf.DUMMYFUNCTION("""COMPUTED_VALUE"""),15786.99)</f>
        <v>15786.99</v>
      </c>
      <c r="P4522" s="10">
        <f t="shared" si="10"/>
        <v>39141.64583</v>
      </c>
      <c r="Q4522" s="15">
        <v>1417.34</v>
      </c>
      <c r="R4522" s="18">
        <v>39141.0</v>
      </c>
    </row>
    <row r="4523">
      <c r="A4523" s="10">
        <f t="shared" si="8"/>
        <v>42505.66667</v>
      </c>
      <c r="B4523" s="2" t="str">
        <f t="shared" si="2"/>
        <v/>
      </c>
      <c r="C4523" s="2" t="str">
        <f t="shared" si="3"/>
        <v>SP500</v>
      </c>
      <c r="D4523" s="2" t="str">
        <f t="shared" si="4"/>
        <v/>
      </c>
      <c r="E4523" s="2">
        <f t="shared" si="5"/>
        <v>4717.68</v>
      </c>
      <c r="G4523" s="10">
        <f t="shared" si="9"/>
        <v>42505.64583</v>
      </c>
      <c r="H4523" s="6" t="str">
        <f t="shared" si="6"/>
        <v/>
      </c>
      <c r="I4523" s="2">
        <f t="shared" si="7"/>
        <v>1426.89</v>
      </c>
      <c r="M4523" s="10">
        <f>IFERROR(__xludf.DUMMYFUNCTION("""COMPUTED_VALUE"""),44539.66666666667)</f>
        <v>44539.66667</v>
      </c>
      <c r="N4523" s="2">
        <f>IFERROR(__xludf.DUMMYFUNCTION("""COMPUTED_VALUE"""),15517.37)</f>
        <v>15517.37</v>
      </c>
      <c r="P4523" s="10">
        <f t="shared" si="10"/>
        <v>39140.64583</v>
      </c>
      <c r="Q4523" s="15">
        <v>1454.6</v>
      </c>
      <c r="R4523" s="18">
        <v>39140.0</v>
      </c>
    </row>
    <row r="4524">
      <c r="A4524" s="10">
        <f t="shared" si="8"/>
        <v>42506.66667</v>
      </c>
      <c r="B4524" s="2" t="str">
        <f t="shared" si="2"/>
        <v/>
      </c>
      <c r="C4524" s="2" t="str">
        <f t="shared" si="3"/>
        <v>SP500</v>
      </c>
      <c r="D4524" s="2">
        <f t="shared" si="4"/>
        <v>4775.46</v>
      </c>
      <c r="E4524" s="2">
        <f t="shared" si="5"/>
        <v>4775.46</v>
      </c>
      <c r="G4524" s="10">
        <f t="shared" si="9"/>
        <v>42506.64583</v>
      </c>
      <c r="H4524" s="6" t="str">
        <f t="shared" si="6"/>
        <v/>
      </c>
      <c r="I4524" s="2">
        <f t="shared" si="7"/>
        <v>1426.89</v>
      </c>
      <c r="M4524" s="10">
        <f>IFERROR(__xludf.DUMMYFUNCTION("""COMPUTED_VALUE"""),44540.66666666667)</f>
        <v>44540.66667</v>
      </c>
      <c r="N4524" s="2">
        <f>IFERROR(__xludf.DUMMYFUNCTION("""COMPUTED_VALUE"""),15630.6)</f>
        <v>15630.6</v>
      </c>
      <c r="P4524" s="10">
        <f t="shared" si="10"/>
        <v>39139.64583</v>
      </c>
      <c r="Q4524" s="15">
        <v>1470.03</v>
      </c>
      <c r="R4524" s="18">
        <v>39139.0</v>
      </c>
    </row>
    <row r="4525">
      <c r="A4525" s="10">
        <f t="shared" si="8"/>
        <v>42507.66667</v>
      </c>
      <c r="B4525" s="2" t="str">
        <f t="shared" si="2"/>
        <v/>
      </c>
      <c r="C4525" s="2" t="str">
        <f t="shared" si="3"/>
        <v>SP500</v>
      </c>
      <c r="D4525" s="2">
        <f t="shared" si="4"/>
        <v>4715.73</v>
      </c>
      <c r="E4525" s="2">
        <f t="shared" si="5"/>
        <v>4715.73</v>
      </c>
      <c r="G4525" s="10">
        <f t="shared" si="9"/>
        <v>42507.64583</v>
      </c>
      <c r="H4525" s="6" t="str">
        <f t="shared" si="6"/>
        <v/>
      </c>
      <c r="I4525" s="2">
        <f t="shared" si="7"/>
        <v>1426.89</v>
      </c>
      <c r="M4525" s="10">
        <f>IFERROR(__xludf.DUMMYFUNCTION("""COMPUTED_VALUE"""),44543.66666666667)</f>
        <v>44543.66667</v>
      </c>
      <c r="N4525" s="2">
        <f>IFERROR(__xludf.DUMMYFUNCTION("""COMPUTED_VALUE"""),15413.28)</f>
        <v>15413.28</v>
      </c>
      <c r="P4525" s="10">
        <f t="shared" si="10"/>
        <v>39136.64583</v>
      </c>
      <c r="Q4525" s="15">
        <v>1469.88</v>
      </c>
      <c r="R4525" s="18">
        <v>39136.0</v>
      </c>
    </row>
    <row r="4526">
      <c r="A4526" s="10">
        <f t="shared" si="8"/>
        <v>42508.66667</v>
      </c>
      <c r="B4526" s="2" t="str">
        <f t="shared" si="2"/>
        <v/>
      </c>
      <c r="C4526" s="2" t="str">
        <f t="shared" si="3"/>
        <v>SP500</v>
      </c>
      <c r="D4526" s="2">
        <f t="shared" si="4"/>
        <v>4739.12</v>
      </c>
      <c r="E4526" s="2">
        <f t="shared" si="5"/>
        <v>4739.12</v>
      </c>
      <c r="G4526" s="10">
        <f t="shared" si="9"/>
        <v>42508.64583</v>
      </c>
      <c r="H4526" s="6" t="str">
        <f t="shared" si="6"/>
        <v/>
      </c>
      <c r="I4526" s="2">
        <f t="shared" si="7"/>
        <v>1426.89</v>
      </c>
      <c r="M4526" s="10">
        <f>IFERROR(__xludf.DUMMYFUNCTION("""COMPUTED_VALUE"""),44544.66666666667)</f>
        <v>44544.66667</v>
      </c>
      <c r="N4526" s="2">
        <f>IFERROR(__xludf.DUMMYFUNCTION("""COMPUTED_VALUE"""),15237.64)</f>
        <v>15237.64</v>
      </c>
      <c r="P4526" s="10">
        <f t="shared" si="10"/>
        <v>39135.64583</v>
      </c>
      <c r="Q4526" s="15">
        <v>1465.41</v>
      </c>
      <c r="R4526" s="18">
        <v>39135.0</v>
      </c>
    </row>
    <row r="4527">
      <c r="A4527" s="10">
        <f t="shared" si="8"/>
        <v>42509.66667</v>
      </c>
      <c r="B4527" s="2" t="str">
        <f t="shared" si="2"/>
        <v/>
      </c>
      <c r="C4527" s="2" t="str">
        <f t="shared" si="3"/>
        <v>SP500</v>
      </c>
      <c r="D4527" s="2">
        <f t="shared" si="4"/>
        <v>4712.53</v>
      </c>
      <c r="E4527" s="2">
        <f t="shared" si="5"/>
        <v>4712.53</v>
      </c>
      <c r="G4527" s="10">
        <f t="shared" si="9"/>
        <v>42509.64583</v>
      </c>
      <c r="H4527" s="6" t="str">
        <f t="shared" si="6"/>
        <v/>
      </c>
      <c r="I4527" s="2">
        <f t="shared" si="7"/>
        <v>1426.89</v>
      </c>
      <c r="M4527" s="10">
        <f>IFERROR(__xludf.DUMMYFUNCTION("""COMPUTED_VALUE"""),44545.66666666667)</f>
        <v>44545.66667</v>
      </c>
      <c r="N4527" s="2">
        <f>IFERROR(__xludf.DUMMYFUNCTION("""COMPUTED_VALUE"""),15565.58)</f>
        <v>15565.58</v>
      </c>
      <c r="P4527" s="10">
        <f t="shared" si="10"/>
        <v>39134.64583</v>
      </c>
      <c r="Q4527" s="15">
        <v>1451.38</v>
      </c>
      <c r="R4527" s="18">
        <v>39134.0</v>
      </c>
    </row>
    <row r="4528">
      <c r="A4528" s="10">
        <f t="shared" si="8"/>
        <v>42510.66667</v>
      </c>
      <c r="B4528" s="2" t="str">
        <f t="shared" si="2"/>
        <v/>
      </c>
      <c r="C4528" s="2" t="str">
        <f t="shared" si="3"/>
        <v>SP500</v>
      </c>
      <c r="D4528" s="2">
        <f t="shared" si="4"/>
        <v>4769.56</v>
      </c>
      <c r="E4528" s="2">
        <f t="shared" si="5"/>
        <v>4769.56</v>
      </c>
      <c r="G4528" s="10">
        <f t="shared" si="9"/>
        <v>42510.64583</v>
      </c>
      <c r="H4528" s="6" t="str">
        <f t="shared" si="6"/>
        <v/>
      </c>
      <c r="I4528" s="2">
        <f t="shared" si="7"/>
        <v>1426.89</v>
      </c>
      <c r="M4528" s="10">
        <f>IFERROR(__xludf.DUMMYFUNCTION("""COMPUTED_VALUE"""),44546.66666666667)</f>
        <v>44546.66667</v>
      </c>
      <c r="N4528" s="2">
        <f>IFERROR(__xludf.DUMMYFUNCTION("""COMPUTED_VALUE"""),15180.44)</f>
        <v>15180.44</v>
      </c>
      <c r="P4528" s="10">
        <f t="shared" si="10"/>
        <v>39133.64583</v>
      </c>
      <c r="Q4528" s="15">
        <v>1452.96</v>
      </c>
      <c r="R4528" s="18">
        <v>39133.0</v>
      </c>
    </row>
    <row r="4529">
      <c r="A4529" s="10">
        <f t="shared" si="8"/>
        <v>42511.66667</v>
      </c>
      <c r="B4529" s="2" t="str">
        <f t="shared" si="2"/>
        <v/>
      </c>
      <c r="C4529" s="2" t="str">
        <f t="shared" si="3"/>
        <v>SP500</v>
      </c>
      <c r="D4529" s="2" t="str">
        <f t="shared" si="4"/>
        <v/>
      </c>
      <c r="E4529" s="2">
        <f t="shared" si="5"/>
        <v>4769.56</v>
      </c>
      <c r="G4529" s="10">
        <f t="shared" si="9"/>
        <v>42511.64583</v>
      </c>
      <c r="H4529" s="6" t="str">
        <f t="shared" si="6"/>
        <v/>
      </c>
      <c r="I4529" s="2">
        <f t="shared" si="7"/>
        <v>1426.89</v>
      </c>
      <c r="M4529" s="10">
        <f>IFERROR(__xludf.DUMMYFUNCTION("""COMPUTED_VALUE"""),44547.66666666667)</f>
        <v>44547.66667</v>
      </c>
      <c r="N4529" s="2">
        <f>IFERROR(__xludf.DUMMYFUNCTION("""COMPUTED_VALUE"""),15169.68)</f>
        <v>15169.68</v>
      </c>
      <c r="P4529" s="10">
        <f t="shared" si="10"/>
        <v>39129.64583</v>
      </c>
      <c r="Q4529" s="15">
        <v>1448.81</v>
      </c>
      <c r="R4529" s="18">
        <v>39129.0</v>
      </c>
    </row>
    <row r="4530">
      <c r="A4530" s="10">
        <f t="shared" si="8"/>
        <v>42512.66667</v>
      </c>
      <c r="B4530" s="2" t="str">
        <f t="shared" si="2"/>
        <v/>
      </c>
      <c r="C4530" s="2" t="str">
        <f t="shared" si="3"/>
        <v>SP500</v>
      </c>
      <c r="D4530" s="2" t="str">
        <f t="shared" si="4"/>
        <v/>
      </c>
      <c r="E4530" s="2">
        <f t="shared" si="5"/>
        <v>4769.56</v>
      </c>
      <c r="G4530" s="10">
        <f t="shared" si="9"/>
        <v>42512.64583</v>
      </c>
      <c r="H4530" s="6" t="str">
        <f t="shared" si="6"/>
        <v/>
      </c>
      <c r="I4530" s="2">
        <f t="shared" si="7"/>
        <v>1426.89</v>
      </c>
      <c r="M4530" s="10">
        <f>IFERROR(__xludf.DUMMYFUNCTION("""COMPUTED_VALUE"""),44550.66666666667)</f>
        <v>44550.66667</v>
      </c>
      <c r="N4530" s="2">
        <f>IFERROR(__xludf.DUMMYFUNCTION("""COMPUTED_VALUE"""),14980.94)</f>
        <v>14980.94</v>
      </c>
      <c r="P4530" s="10">
        <f t="shared" si="10"/>
        <v>39128.64583</v>
      </c>
      <c r="Q4530" s="15">
        <v>1443.63</v>
      </c>
      <c r="R4530" s="18">
        <v>39128.0</v>
      </c>
    </row>
    <row r="4531">
      <c r="A4531" s="10">
        <f t="shared" si="8"/>
        <v>42513.66667</v>
      </c>
      <c r="B4531" s="2" t="str">
        <f t="shared" si="2"/>
        <v/>
      </c>
      <c r="C4531" s="2" t="str">
        <f t="shared" si="3"/>
        <v>SP500</v>
      </c>
      <c r="D4531" s="2">
        <f t="shared" si="4"/>
        <v>4765.78</v>
      </c>
      <c r="E4531" s="2">
        <f t="shared" si="5"/>
        <v>4765.78</v>
      </c>
      <c r="G4531" s="10">
        <f t="shared" si="9"/>
        <v>42513.64583</v>
      </c>
      <c r="H4531" s="6" t="str">
        <f t="shared" si="6"/>
        <v/>
      </c>
      <c r="I4531" s="2">
        <f t="shared" si="7"/>
        <v>1426.89</v>
      </c>
      <c r="M4531" s="10">
        <f>IFERROR(__xludf.DUMMYFUNCTION("""COMPUTED_VALUE"""),44551.66666666667)</f>
        <v>44551.66667</v>
      </c>
      <c r="N4531" s="2">
        <f>IFERROR(__xludf.DUMMYFUNCTION("""COMPUTED_VALUE"""),15341.09)</f>
        <v>15341.09</v>
      </c>
      <c r="P4531" s="10">
        <f t="shared" si="10"/>
        <v>39127.64583</v>
      </c>
      <c r="Q4531" s="15">
        <v>1436.1</v>
      </c>
      <c r="R4531" s="18">
        <v>39127.0</v>
      </c>
    </row>
    <row r="4532">
      <c r="A4532" s="10">
        <f t="shared" si="8"/>
        <v>42514.66667</v>
      </c>
      <c r="B4532" s="2" t="str">
        <f t="shared" si="2"/>
        <v/>
      </c>
      <c r="C4532" s="2" t="str">
        <f t="shared" si="3"/>
        <v>SP500</v>
      </c>
      <c r="D4532" s="2">
        <f t="shared" si="4"/>
        <v>4861.06</v>
      </c>
      <c r="E4532" s="2">
        <f t="shared" si="5"/>
        <v>4861.06</v>
      </c>
      <c r="G4532" s="10">
        <f t="shared" si="9"/>
        <v>42514.64583</v>
      </c>
      <c r="H4532" s="6" t="str">
        <f t="shared" si="6"/>
        <v/>
      </c>
      <c r="I4532" s="2">
        <f t="shared" si="7"/>
        <v>1426.89</v>
      </c>
      <c r="M4532" s="10">
        <f>IFERROR(__xludf.DUMMYFUNCTION("""COMPUTED_VALUE"""),44552.66666666667)</f>
        <v>44552.66667</v>
      </c>
      <c r="N4532" s="2">
        <f>IFERROR(__xludf.DUMMYFUNCTION("""COMPUTED_VALUE"""),15521.89)</f>
        <v>15521.89</v>
      </c>
      <c r="P4532" s="10">
        <f t="shared" si="10"/>
        <v>39126.64583</v>
      </c>
      <c r="Q4532" s="15">
        <v>1418.44</v>
      </c>
      <c r="R4532" s="18">
        <v>39126.0</v>
      </c>
    </row>
    <row r="4533">
      <c r="A4533" s="10">
        <f t="shared" si="8"/>
        <v>42515.66667</v>
      </c>
      <c r="B4533" s="2" t="str">
        <f t="shared" si="2"/>
        <v/>
      </c>
      <c r="C4533" s="2" t="str">
        <f t="shared" si="3"/>
        <v>SP500</v>
      </c>
      <c r="D4533" s="2">
        <f t="shared" si="4"/>
        <v>4894.89</v>
      </c>
      <c r="E4533" s="2">
        <f t="shared" si="5"/>
        <v>4894.89</v>
      </c>
      <c r="G4533" s="10">
        <f t="shared" si="9"/>
        <v>42515.64583</v>
      </c>
      <c r="H4533" s="6" t="str">
        <f t="shared" si="6"/>
        <v/>
      </c>
      <c r="I4533" s="2">
        <f t="shared" si="7"/>
        <v>1426.89</v>
      </c>
      <c r="M4533" s="10">
        <f>IFERROR(__xludf.DUMMYFUNCTION("""COMPUTED_VALUE"""),44553.66666666667)</f>
        <v>44553.66667</v>
      </c>
      <c r="N4533" s="2">
        <f>IFERROR(__xludf.DUMMYFUNCTION("""COMPUTED_VALUE"""),15653.37)</f>
        <v>15653.37</v>
      </c>
      <c r="P4533" s="10">
        <f t="shared" si="10"/>
        <v>39125.64583</v>
      </c>
      <c r="Q4533" s="15">
        <v>1414.29</v>
      </c>
      <c r="R4533" s="18">
        <v>39125.0</v>
      </c>
    </row>
    <row r="4534">
      <c r="A4534" s="10">
        <f t="shared" si="8"/>
        <v>42516.66667</v>
      </c>
      <c r="B4534" s="2" t="str">
        <f t="shared" si="2"/>
        <v/>
      </c>
      <c r="C4534" s="2" t="str">
        <f t="shared" si="3"/>
        <v>SP500</v>
      </c>
      <c r="D4534" s="2">
        <f t="shared" si="4"/>
        <v>4901.77</v>
      </c>
      <c r="E4534" s="2">
        <f t="shared" si="5"/>
        <v>4901.77</v>
      </c>
      <c r="G4534" s="10">
        <f t="shared" si="9"/>
        <v>42516.64583</v>
      </c>
      <c r="H4534" s="6" t="str">
        <f t="shared" si="6"/>
        <v/>
      </c>
      <c r="I4534" s="2">
        <f t="shared" si="7"/>
        <v>1426.89</v>
      </c>
      <c r="M4534" s="10">
        <f>IFERROR(__xludf.DUMMYFUNCTION("""COMPUTED_VALUE"""),44557.66666666667)</f>
        <v>44557.66667</v>
      </c>
      <c r="N4534" s="2">
        <f>IFERROR(__xludf.DUMMYFUNCTION("""COMPUTED_VALUE"""),15871.26)</f>
        <v>15871.26</v>
      </c>
      <c r="P4534" s="10">
        <f t="shared" si="10"/>
        <v>39122.64583</v>
      </c>
      <c r="Q4534" s="15">
        <v>1427.68</v>
      </c>
      <c r="R4534" s="18">
        <v>39122.0</v>
      </c>
    </row>
    <row r="4535">
      <c r="A4535" s="10">
        <f t="shared" si="8"/>
        <v>42517.66667</v>
      </c>
      <c r="B4535" s="2" t="str">
        <f t="shared" si="2"/>
        <v/>
      </c>
      <c r="C4535" s="2" t="str">
        <f t="shared" si="3"/>
        <v>SP500</v>
      </c>
      <c r="D4535" s="2">
        <f t="shared" si="4"/>
        <v>4933.5</v>
      </c>
      <c r="E4535" s="2">
        <f t="shared" si="5"/>
        <v>4933.5</v>
      </c>
      <c r="G4535" s="10">
        <f t="shared" si="9"/>
        <v>42517.64583</v>
      </c>
      <c r="H4535" s="6" t="str">
        <f t="shared" si="6"/>
        <v/>
      </c>
      <c r="I4535" s="2">
        <f t="shared" si="7"/>
        <v>1426.89</v>
      </c>
      <c r="M4535" s="10">
        <f>IFERROR(__xludf.DUMMYFUNCTION("""COMPUTED_VALUE"""),44558.66666666667)</f>
        <v>44558.66667</v>
      </c>
      <c r="N4535" s="2">
        <f>IFERROR(__xludf.DUMMYFUNCTION("""COMPUTED_VALUE"""),15781.72)</f>
        <v>15781.72</v>
      </c>
      <c r="P4535" s="10">
        <f t="shared" si="10"/>
        <v>39121.64583</v>
      </c>
      <c r="Q4535" s="15">
        <v>1423.58</v>
      </c>
      <c r="R4535" s="18">
        <v>39121.0</v>
      </c>
    </row>
    <row r="4536">
      <c r="A4536" s="10">
        <f t="shared" si="8"/>
        <v>42518.66667</v>
      </c>
      <c r="B4536" s="2" t="str">
        <f t="shared" si="2"/>
        <v/>
      </c>
      <c r="C4536" s="2" t="str">
        <f t="shared" si="3"/>
        <v>SP500</v>
      </c>
      <c r="D4536" s="2" t="str">
        <f t="shared" si="4"/>
        <v/>
      </c>
      <c r="E4536" s="2">
        <f t="shared" si="5"/>
        <v>4933.5</v>
      </c>
      <c r="G4536" s="10">
        <f t="shared" si="9"/>
        <v>42518.64583</v>
      </c>
      <c r="H4536" s="6" t="str">
        <f t="shared" si="6"/>
        <v/>
      </c>
      <c r="I4536" s="2">
        <f t="shared" si="7"/>
        <v>1426.89</v>
      </c>
      <c r="M4536" s="10">
        <f>IFERROR(__xludf.DUMMYFUNCTION("""COMPUTED_VALUE"""),44559.66666666667)</f>
        <v>44559.66667</v>
      </c>
      <c r="N4536" s="2">
        <f>IFERROR(__xludf.DUMMYFUNCTION("""COMPUTED_VALUE"""),15766.22)</f>
        <v>15766.22</v>
      </c>
      <c r="P4536" s="10">
        <f t="shared" si="10"/>
        <v>39120.64583</v>
      </c>
      <c r="Q4536" s="15">
        <v>1426.29</v>
      </c>
      <c r="R4536" s="18">
        <v>39120.0</v>
      </c>
    </row>
    <row r="4537">
      <c r="A4537" s="10">
        <f t="shared" si="8"/>
        <v>42519.66667</v>
      </c>
      <c r="B4537" s="2" t="str">
        <f t="shared" si="2"/>
        <v/>
      </c>
      <c r="C4537" s="2" t="str">
        <f t="shared" si="3"/>
        <v>SP500</v>
      </c>
      <c r="D4537" s="2" t="str">
        <f t="shared" si="4"/>
        <v/>
      </c>
      <c r="E4537" s="2">
        <f t="shared" si="5"/>
        <v>4933.5</v>
      </c>
      <c r="G4537" s="10">
        <f t="shared" si="9"/>
        <v>42519.64583</v>
      </c>
      <c r="H4537" s="6" t="str">
        <f t="shared" si="6"/>
        <v/>
      </c>
      <c r="I4537" s="2">
        <f t="shared" si="7"/>
        <v>1426.89</v>
      </c>
      <c r="M4537" s="10">
        <f>IFERROR(__xludf.DUMMYFUNCTION("""COMPUTED_VALUE"""),44560.66666666667)</f>
        <v>44560.66667</v>
      </c>
      <c r="N4537" s="2">
        <f>IFERROR(__xludf.DUMMYFUNCTION("""COMPUTED_VALUE"""),15741.56)</f>
        <v>15741.56</v>
      </c>
      <c r="P4537" s="10">
        <f t="shared" si="10"/>
        <v>39119.64583</v>
      </c>
      <c r="Q4537" s="15">
        <v>1428.58</v>
      </c>
      <c r="R4537" s="18">
        <v>39119.0</v>
      </c>
    </row>
    <row r="4538">
      <c r="A4538" s="10">
        <f t="shared" si="8"/>
        <v>42520.66667</v>
      </c>
      <c r="B4538" s="2" t="str">
        <f t="shared" si="2"/>
        <v/>
      </c>
      <c r="C4538" s="2" t="str">
        <f t="shared" si="3"/>
        <v>SP500</v>
      </c>
      <c r="D4538" s="2" t="str">
        <f t="shared" si="4"/>
        <v/>
      </c>
      <c r="E4538" s="2">
        <f t="shared" si="5"/>
        <v>4933.5</v>
      </c>
      <c r="G4538" s="10">
        <f t="shared" si="9"/>
        <v>42520.64583</v>
      </c>
      <c r="H4538" s="6" t="str">
        <f t="shared" si="6"/>
        <v/>
      </c>
      <c r="I4538" s="2">
        <f t="shared" si="7"/>
        <v>1426.89</v>
      </c>
      <c r="M4538" s="10">
        <f>IFERROR(__xludf.DUMMYFUNCTION("""COMPUTED_VALUE"""),44561.66666666667)</f>
        <v>44561.66667</v>
      </c>
      <c r="N4538" s="2">
        <f>IFERROR(__xludf.DUMMYFUNCTION("""COMPUTED_VALUE"""),15644.97)</f>
        <v>15644.97</v>
      </c>
      <c r="P4538" s="10">
        <f t="shared" si="10"/>
        <v>39118.64583</v>
      </c>
      <c r="Q4538" s="15">
        <v>1417.95</v>
      </c>
      <c r="R4538" s="18">
        <v>39118.0</v>
      </c>
    </row>
    <row r="4539">
      <c r="A4539" s="10">
        <f t="shared" si="8"/>
        <v>42521.66667</v>
      </c>
      <c r="B4539" s="2" t="str">
        <f t="shared" si="2"/>
        <v/>
      </c>
      <c r="C4539" s="2" t="str">
        <f t="shared" si="3"/>
        <v>SP500</v>
      </c>
      <c r="D4539" s="2">
        <f t="shared" si="4"/>
        <v>4948.05</v>
      </c>
      <c r="E4539" s="2">
        <f t="shared" si="5"/>
        <v>4948.05</v>
      </c>
      <c r="G4539" s="10">
        <f t="shared" si="9"/>
        <v>42521.64583</v>
      </c>
      <c r="H4539" s="6" t="str">
        <f t="shared" si="6"/>
        <v/>
      </c>
      <c r="I4539" s="2">
        <f t="shared" si="7"/>
        <v>1426.89</v>
      </c>
      <c r="M4539" s="10">
        <f>IFERROR(__xludf.DUMMYFUNCTION("""COMPUTED_VALUE"""),44564.66666666667)</f>
        <v>44564.66667</v>
      </c>
      <c r="N4539" s="2">
        <f>IFERROR(__xludf.DUMMYFUNCTION("""COMPUTED_VALUE"""),15832.8)</f>
        <v>15832.8</v>
      </c>
      <c r="P4539" s="10">
        <f t="shared" si="10"/>
        <v>39115.64583</v>
      </c>
      <c r="Q4539" s="15">
        <v>1413.14</v>
      </c>
      <c r="R4539" s="18">
        <v>39115.0</v>
      </c>
    </row>
    <row r="4540">
      <c r="A4540" s="10">
        <f t="shared" si="8"/>
        <v>42522.66667</v>
      </c>
      <c r="B4540" s="2" t="str">
        <f t="shared" si="2"/>
        <v/>
      </c>
      <c r="C4540" s="2" t="str">
        <f t="shared" si="3"/>
        <v>SP500</v>
      </c>
      <c r="D4540" s="2">
        <f t="shared" si="4"/>
        <v>4952.25</v>
      </c>
      <c r="E4540" s="2">
        <f t="shared" si="5"/>
        <v>4952.25</v>
      </c>
      <c r="G4540" s="10">
        <f t="shared" si="9"/>
        <v>42522.64583</v>
      </c>
      <c r="H4540" s="6" t="str">
        <f t="shared" si="6"/>
        <v/>
      </c>
      <c r="I4540" s="2">
        <f t="shared" si="7"/>
        <v>1426.89</v>
      </c>
      <c r="M4540" s="10">
        <f>IFERROR(__xludf.DUMMYFUNCTION("""COMPUTED_VALUE"""),44565.66666666667)</f>
        <v>44565.66667</v>
      </c>
      <c r="N4540" s="2">
        <f>IFERROR(__xludf.DUMMYFUNCTION("""COMPUTED_VALUE"""),15622.72)</f>
        <v>15622.72</v>
      </c>
      <c r="P4540" s="10">
        <f t="shared" si="10"/>
        <v>39114.64583</v>
      </c>
      <c r="Q4540" s="15">
        <v>1382.9</v>
      </c>
      <c r="R4540" s="18">
        <v>39114.0</v>
      </c>
    </row>
    <row r="4541">
      <c r="A4541" s="10">
        <f t="shared" si="8"/>
        <v>42523.66667</v>
      </c>
      <c r="B4541" s="2" t="str">
        <f t="shared" si="2"/>
        <v/>
      </c>
      <c r="C4541" s="2" t="str">
        <f t="shared" si="3"/>
        <v>SP500</v>
      </c>
      <c r="D4541" s="2">
        <f t="shared" si="4"/>
        <v>4971.36</v>
      </c>
      <c r="E4541" s="2">
        <f t="shared" si="5"/>
        <v>4971.36</v>
      </c>
      <c r="G4541" s="10">
        <f t="shared" si="9"/>
        <v>42523.64583</v>
      </c>
      <c r="H4541" s="6" t="str">
        <f t="shared" si="6"/>
        <v/>
      </c>
      <c r="I4541" s="2">
        <f t="shared" si="7"/>
        <v>1426.89</v>
      </c>
      <c r="M4541" s="10">
        <f>IFERROR(__xludf.DUMMYFUNCTION("""COMPUTED_VALUE"""),44566.66666666667)</f>
        <v>44566.66667</v>
      </c>
      <c r="N4541" s="2">
        <f>IFERROR(__xludf.DUMMYFUNCTION("""COMPUTED_VALUE"""),15100.17)</f>
        <v>15100.17</v>
      </c>
      <c r="P4541" s="10">
        <f t="shared" si="10"/>
        <v>39113.64583</v>
      </c>
      <c r="Q4541" s="15">
        <v>1360.23</v>
      </c>
      <c r="R4541" s="18">
        <v>39113.0</v>
      </c>
    </row>
    <row r="4542">
      <c r="A4542" s="10">
        <f t="shared" si="8"/>
        <v>42524.66667</v>
      </c>
      <c r="B4542" s="2" t="str">
        <f t="shared" si="2"/>
        <v/>
      </c>
      <c r="C4542" s="2" t="str">
        <f t="shared" si="3"/>
        <v>SP500</v>
      </c>
      <c r="D4542" s="2">
        <f t="shared" si="4"/>
        <v>4942.52</v>
      </c>
      <c r="E4542" s="2">
        <f t="shared" si="5"/>
        <v>4942.52</v>
      </c>
      <c r="G4542" s="10">
        <f t="shared" si="9"/>
        <v>42524.64583</v>
      </c>
      <c r="H4542" s="6" t="str">
        <f t="shared" si="6"/>
        <v/>
      </c>
      <c r="I4542" s="2">
        <f t="shared" si="7"/>
        <v>1426.89</v>
      </c>
      <c r="M4542" s="10">
        <f>IFERROR(__xludf.DUMMYFUNCTION("""COMPUTED_VALUE"""),44567.66666666667)</f>
        <v>44567.66667</v>
      </c>
      <c r="N4542" s="2">
        <f>IFERROR(__xludf.DUMMYFUNCTION("""COMPUTED_VALUE"""),15080.87)</f>
        <v>15080.87</v>
      </c>
      <c r="P4542" s="10">
        <f t="shared" si="10"/>
        <v>39112.64583</v>
      </c>
      <c r="Q4542" s="15">
        <v>1370.72</v>
      </c>
      <c r="R4542" s="18">
        <v>39112.0</v>
      </c>
    </row>
    <row r="4543">
      <c r="A4543" s="10">
        <f t="shared" si="8"/>
        <v>42525.66667</v>
      </c>
      <c r="B4543" s="2" t="str">
        <f t="shared" si="2"/>
        <v/>
      </c>
      <c r="C4543" s="2" t="str">
        <f t="shared" si="3"/>
        <v>SP500</v>
      </c>
      <c r="D4543" s="2" t="str">
        <f t="shared" si="4"/>
        <v/>
      </c>
      <c r="E4543" s="2">
        <f t="shared" si="5"/>
        <v>4942.52</v>
      </c>
      <c r="G4543" s="10">
        <f t="shared" si="9"/>
        <v>42525.64583</v>
      </c>
      <c r="H4543" s="6" t="str">
        <f t="shared" si="6"/>
        <v/>
      </c>
      <c r="I4543" s="2">
        <f t="shared" si="7"/>
        <v>1426.89</v>
      </c>
      <c r="M4543" s="10">
        <f>IFERROR(__xludf.DUMMYFUNCTION("""COMPUTED_VALUE"""),44568.66666666667)</f>
        <v>44568.66667</v>
      </c>
      <c r="N4543" s="2">
        <f>IFERROR(__xludf.DUMMYFUNCTION("""COMPUTED_VALUE"""),14935.9)</f>
        <v>14935.9</v>
      </c>
      <c r="P4543" s="10">
        <f t="shared" si="10"/>
        <v>39111.64583</v>
      </c>
      <c r="Q4543" s="15">
        <v>1363.1</v>
      </c>
      <c r="R4543" s="18">
        <v>39111.0</v>
      </c>
    </row>
    <row r="4544">
      <c r="A4544" s="10">
        <f t="shared" si="8"/>
        <v>42526.66667</v>
      </c>
      <c r="B4544" s="2" t="str">
        <f t="shared" si="2"/>
        <v/>
      </c>
      <c r="C4544" s="2" t="str">
        <f t="shared" si="3"/>
        <v>SP500</v>
      </c>
      <c r="D4544" s="2" t="str">
        <f t="shared" si="4"/>
        <v/>
      </c>
      <c r="E4544" s="2">
        <f t="shared" si="5"/>
        <v>4942.52</v>
      </c>
      <c r="G4544" s="10">
        <f t="shared" si="9"/>
        <v>42526.64583</v>
      </c>
      <c r="H4544" s="6" t="str">
        <f t="shared" si="6"/>
        <v/>
      </c>
      <c r="I4544" s="2">
        <f t="shared" si="7"/>
        <v>1426.89</v>
      </c>
      <c r="M4544" s="10">
        <f>IFERROR(__xludf.DUMMYFUNCTION("""COMPUTED_VALUE"""),44571.66666666667)</f>
        <v>44571.66667</v>
      </c>
      <c r="N4544" s="2">
        <f>IFERROR(__xludf.DUMMYFUNCTION("""COMPUTED_VALUE"""),14942.83)</f>
        <v>14942.83</v>
      </c>
      <c r="P4544" s="10">
        <f t="shared" si="10"/>
        <v>39108.64583</v>
      </c>
      <c r="Q4544" s="15">
        <v>1371.33</v>
      </c>
      <c r="R4544" s="18">
        <v>39108.0</v>
      </c>
    </row>
    <row r="4545">
      <c r="A4545" s="10">
        <f t="shared" si="8"/>
        <v>42527.66667</v>
      </c>
      <c r="B4545" s="2" t="str">
        <f t="shared" si="2"/>
        <v/>
      </c>
      <c r="C4545" s="2" t="str">
        <f t="shared" si="3"/>
        <v>SP500</v>
      </c>
      <c r="D4545" s="2">
        <f t="shared" si="4"/>
        <v>4968.71</v>
      </c>
      <c r="E4545" s="2">
        <f t="shared" si="5"/>
        <v>4968.71</v>
      </c>
      <c r="G4545" s="10">
        <f t="shared" si="9"/>
        <v>42527.64583</v>
      </c>
      <c r="H4545" s="6" t="str">
        <f t="shared" si="6"/>
        <v/>
      </c>
      <c r="I4545" s="2">
        <f t="shared" si="7"/>
        <v>1426.89</v>
      </c>
      <c r="M4545" s="10">
        <f>IFERROR(__xludf.DUMMYFUNCTION("""COMPUTED_VALUE"""),44572.66666666667)</f>
        <v>44572.66667</v>
      </c>
      <c r="N4545" s="2">
        <f>IFERROR(__xludf.DUMMYFUNCTION("""COMPUTED_VALUE"""),15153.45)</f>
        <v>15153.45</v>
      </c>
      <c r="P4545" s="10">
        <f t="shared" si="10"/>
        <v>39107.64583</v>
      </c>
      <c r="Q4545" s="15">
        <v>1382.36</v>
      </c>
      <c r="R4545" s="18">
        <v>39107.0</v>
      </c>
    </row>
    <row r="4546">
      <c r="A4546" s="10">
        <f t="shared" si="8"/>
        <v>42528.66667</v>
      </c>
      <c r="B4546" s="2" t="str">
        <f t="shared" si="2"/>
        <v/>
      </c>
      <c r="C4546" s="2" t="str">
        <f t="shared" si="3"/>
        <v>SP500</v>
      </c>
      <c r="D4546" s="2">
        <f t="shared" si="4"/>
        <v>4961.75</v>
      </c>
      <c r="E4546" s="2">
        <f t="shared" si="5"/>
        <v>4961.75</v>
      </c>
      <c r="G4546" s="10">
        <f t="shared" si="9"/>
        <v>42528.64583</v>
      </c>
      <c r="H4546" s="6" t="str">
        <f t="shared" si="6"/>
        <v/>
      </c>
      <c r="I4546" s="2">
        <f t="shared" si="7"/>
        <v>1426.89</v>
      </c>
      <c r="M4546" s="10">
        <f>IFERROR(__xludf.DUMMYFUNCTION("""COMPUTED_VALUE"""),44573.66666666667)</f>
        <v>44573.66667</v>
      </c>
      <c r="N4546" s="2">
        <f>IFERROR(__xludf.DUMMYFUNCTION("""COMPUTED_VALUE"""),15188.39)</f>
        <v>15188.39</v>
      </c>
      <c r="P4546" s="10">
        <f t="shared" si="10"/>
        <v>39106.64583</v>
      </c>
      <c r="Q4546" s="15">
        <v>1383.06</v>
      </c>
      <c r="R4546" s="18">
        <v>39106.0</v>
      </c>
    </row>
    <row r="4547">
      <c r="A4547" s="10">
        <f t="shared" si="8"/>
        <v>42529.66667</v>
      </c>
      <c r="B4547" s="2" t="str">
        <f t="shared" si="2"/>
        <v/>
      </c>
      <c r="C4547" s="2" t="str">
        <f t="shared" si="3"/>
        <v>SP500</v>
      </c>
      <c r="D4547" s="2">
        <f t="shared" si="4"/>
        <v>4974.64</v>
      </c>
      <c r="E4547" s="2">
        <f t="shared" si="5"/>
        <v>4974.64</v>
      </c>
      <c r="G4547" s="10">
        <f t="shared" si="9"/>
        <v>42529.64583</v>
      </c>
      <c r="H4547" s="6" t="str">
        <f t="shared" si="6"/>
        <v/>
      </c>
      <c r="I4547" s="2">
        <f t="shared" si="7"/>
        <v>1426.89</v>
      </c>
      <c r="M4547" s="10">
        <f>IFERROR(__xludf.DUMMYFUNCTION("""COMPUTED_VALUE"""),44574.66666666667)</f>
        <v>44574.66667</v>
      </c>
      <c r="N4547" s="2">
        <f>IFERROR(__xludf.DUMMYFUNCTION("""COMPUTED_VALUE"""),14806.81)</f>
        <v>14806.81</v>
      </c>
      <c r="P4547" s="10">
        <f t="shared" si="10"/>
        <v>39105.64583</v>
      </c>
      <c r="Q4547" s="15">
        <v>1363.09</v>
      </c>
      <c r="R4547" s="18">
        <v>39105.0</v>
      </c>
    </row>
    <row r="4548">
      <c r="A4548" s="10">
        <f t="shared" si="8"/>
        <v>42530.66667</v>
      </c>
      <c r="B4548" s="2" t="str">
        <f t="shared" si="2"/>
        <v/>
      </c>
      <c r="C4548" s="2" t="str">
        <f t="shared" si="3"/>
        <v>SP500</v>
      </c>
      <c r="D4548" s="2">
        <f t="shared" si="4"/>
        <v>4958.62</v>
      </c>
      <c r="E4548" s="2">
        <f t="shared" si="5"/>
        <v>4958.62</v>
      </c>
      <c r="G4548" s="10">
        <f t="shared" si="9"/>
        <v>42530.64583</v>
      </c>
      <c r="H4548" s="6" t="str">
        <f t="shared" si="6"/>
        <v/>
      </c>
      <c r="I4548" s="2">
        <f t="shared" si="7"/>
        <v>1426.89</v>
      </c>
      <c r="M4548" s="10">
        <f>IFERROR(__xludf.DUMMYFUNCTION("""COMPUTED_VALUE"""),44575.66666666667)</f>
        <v>44575.66667</v>
      </c>
      <c r="N4548" s="2">
        <f>IFERROR(__xludf.DUMMYFUNCTION("""COMPUTED_VALUE"""),14893.75)</f>
        <v>14893.75</v>
      </c>
      <c r="P4548" s="10">
        <f t="shared" si="10"/>
        <v>39104.64583</v>
      </c>
      <c r="Q4548" s="15">
        <v>1363.41</v>
      </c>
      <c r="R4548" s="18">
        <v>39104.0</v>
      </c>
    </row>
    <row r="4549">
      <c r="A4549" s="10">
        <f t="shared" si="8"/>
        <v>42531.66667</v>
      </c>
      <c r="B4549" s="2" t="str">
        <f t="shared" si="2"/>
        <v/>
      </c>
      <c r="C4549" s="2" t="str">
        <f t="shared" si="3"/>
        <v>SP500</v>
      </c>
      <c r="D4549" s="2">
        <f t="shared" si="4"/>
        <v>4894.55</v>
      </c>
      <c r="E4549" s="2">
        <f t="shared" si="5"/>
        <v>4894.55</v>
      </c>
      <c r="G4549" s="10">
        <f t="shared" si="9"/>
        <v>42531.64583</v>
      </c>
      <c r="H4549" s="6" t="str">
        <f t="shared" si="6"/>
        <v/>
      </c>
      <c r="I4549" s="2">
        <f t="shared" si="7"/>
        <v>1426.89</v>
      </c>
      <c r="M4549" s="10">
        <f>IFERROR(__xludf.DUMMYFUNCTION("""COMPUTED_VALUE"""),44579.66666666667)</f>
        <v>44579.66667</v>
      </c>
      <c r="N4549" s="2">
        <f>IFERROR(__xludf.DUMMYFUNCTION("""COMPUTED_VALUE"""),14506.9)</f>
        <v>14506.9</v>
      </c>
      <c r="P4549" s="10">
        <f t="shared" si="10"/>
        <v>39101.64583</v>
      </c>
      <c r="Q4549" s="15">
        <v>1360.56</v>
      </c>
      <c r="R4549" s="18">
        <v>39101.0</v>
      </c>
    </row>
    <row r="4550">
      <c r="A4550" s="10">
        <f t="shared" si="8"/>
        <v>42532.66667</v>
      </c>
      <c r="B4550" s="2" t="str">
        <f t="shared" si="2"/>
        <v/>
      </c>
      <c r="C4550" s="2" t="str">
        <f t="shared" si="3"/>
        <v>SP500</v>
      </c>
      <c r="D4550" s="2" t="str">
        <f t="shared" si="4"/>
        <v/>
      </c>
      <c r="E4550" s="2">
        <f t="shared" si="5"/>
        <v>4894.55</v>
      </c>
      <c r="G4550" s="10">
        <f t="shared" si="9"/>
        <v>42532.64583</v>
      </c>
      <c r="H4550" s="6" t="str">
        <f t="shared" si="6"/>
        <v/>
      </c>
      <c r="I4550" s="2">
        <f t="shared" si="7"/>
        <v>1426.89</v>
      </c>
      <c r="M4550" s="10">
        <f>IFERROR(__xludf.DUMMYFUNCTION("""COMPUTED_VALUE"""),44580.66666666667)</f>
        <v>44580.66667</v>
      </c>
      <c r="N4550" s="2">
        <f>IFERROR(__xludf.DUMMYFUNCTION("""COMPUTED_VALUE"""),14340.26)</f>
        <v>14340.26</v>
      </c>
      <c r="P4550" s="10">
        <f t="shared" si="10"/>
        <v>39100.64583</v>
      </c>
      <c r="Q4550" s="15">
        <v>1383.21</v>
      </c>
      <c r="R4550" s="18">
        <v>39100.0</v>
      </c>
    </row>
    <row r="4551">
      <c r="A4551" s="10">
        <f t="shared" si="8"/>
        <v>42533.66667</v>
      </c>
      <c r="B4551" s="2" t="str">
        <f t="shared" si="2"/>
        <v/>
      </c>
      <c r="C4551" s="2" t="str">
        <f t="shared" si="3"/>
        <v>SP500</v>
      </c>
      <c r="D4551" s="2" t="str">
        <f t="shared" si="4"/>
        <v/>
      </c>
      <c r="E4551" s="2">
        <f t="shared" si="5"/>
        <v>4894.55</v>
      </c>
      <c r="G4551" s="10">
        <f t="shared" si="9"/>
        <v>42533.64583</v>
      </c>
      <c r="H4551" s="6" t="str">
        <f t="shared" si="6"/>
        <v/>
      </c>
      <c r="I4551" s="2">
        <f t="shared" si="7"/>
        <v>1426.89</v>
      </c>
      <c r="M4551" s="10">
        <f>IFERROR(__xludf.DUMMYFUNCTION("""COMPUTED_VALUE"""),44581.66666666667)</f>
        <v>44581.66667</v>
      </c>
      <c r="N4551" s="2">
        <f>IFERROR(__xludf.DUMMYFUNCTION("""COMPUTED_VALUE"""),14154.02)</f>
        <v>14154.02</v>
      </c>
      <c r="P4551" s="10">
        <f t="shared" si="10"/>
        <v>39099.64583</v>
      </c>
      <c r="Q4551" s="15">
        <v>1379.48</v>
      </c>
      <c r="R4551" s="18">
        <v>39099.0</v>
      </c>
    </row>
    <row r="4552">
      <c r="A4552" s="10">
        <f t="shared" si="8"/>
        <v>42534.66667</v>
      </c>
      <c r="B4552" s="2" t="str">
        <f t="shared" si="2"/>
        <v/>
      </c>
      <c r="C4552" s="2" t="str">
        <f t="shared" si="3"/>
        <v>SP500</v>
      </c>
      <c r="D4552" s="2">
        <f t="shared" si="4"/>
        <v>4848.44</v>
      </c>
      <c r="E4552" s="2">
        <f t="shared" si="5"/>
        <v>4848.44</v>
      </c>
      <c r="G4552" s="10">
        <f t="shared" si="9"/>
        <v>42534.64583</v>
      </c>
      <c r="H4552" s="6" t="str">
        <f t="shared" si="6"/>
        <v/>
      </c>
      <c r="I4552" s="2">
        <f t="shared" si="7"/>
        <v>1426.89</v>
      </c>
      <c r="M4552" s="10">
        <f>IFERROR(__xludf.DUMMYFUNCTION("""COMPUTED_VALUE"""),44582.66666666667)</f>
        <v>44582.66667</v>
      </c>
      <c r="N4552" s="2">
        <f>IFERROR(__xludf.DUMMYFUNCTION("""COMPUTED_VALUE"""),13768.92)</f>
        <v>13768.92</v>
      </c>
      <c r="P4552" s="10">
        <f t="shared" si="10"/>
        <v>39098.64583</v>
      </c>
      <c r="Q4552" s="15">
        <v>1389.71</v>
      </c>
      <c r="R4552" s="18">
        <v>39098.0</v>
      </c>
    </row>
    <row r="4553">
      <c r="A4553" s="10">
        <f t="shared" si="8"/>
        <v>42535.66667</v>
      </c>
      <c r="B4553" s="2" t="str">
        <f t="shared" si="2"/>
        <v/>
      </c>
      <c r="C4553" s="2" t="str">
        <f t="shared" si="3"/>
        <v>SP500</v>
      </c>
      <c r="D4553" s="2">
        <f t="shared" si="4"/>
        <v>4843.55</v>
      </c>
      <c r="E4553" s="2">
        <f t="shared" si="5"/>
        <v>4843.55</v>
      </c>
      <c r="G4553" s="10">
        <f t="shared" si="9"/>
        <v>42535.64583</v>
      </c>
      <c r="H4553" s="6" t="str">
        <f t="shared" si="6"/>
        <v/>
      </c>
      <c r="I4553" s="2">
        <f t="shared" si="7"/>
        <v>1426.89</v>
      </c>
      <c r="M4553" s="10">
        <f>IFERROR(__xludf.DUMMYFUNCTION("""COMPUTED_VALUE"""),44585.66666666667)</f>
        <v>44585.66667</v>
      </c>
      <c r="N4553" s="2">
        <f>IFERROR(__xludf.DUMMYFUNCTION("""COMPUTED_VALUE"""),13855.13)</f>
        <v>13855.13</v>
      </c>
      <c r="P4553" s="10">
        <f t="shared" si="10"/>
        <v>39097.64583</v>
      </c>
      <c r="Q4553" s="15">
        <v>1390.96</v>
      </c>
      <c r="R4553" s="18">
        <v>39097.0</v>
      </c>
    </row>
    <row r="4554">
      <c r="A4554" s="10">
        <f t="shared" si="8"/>
        <v>42536.66667</v>
      </c>
      <c r="B4554" s="2" t="str">
        <f t="shared" si="2"/>
        <v/>
      </c>
      <c r="C4554" s="2" t="str">
        <f t="shared" si="3"/>
        <v>SP500</v>
      </c>
      <c r="D4554" s="2">
        <f t="shared" si="4"/>
        <v>4834.93</v>
      </c>
      <c r="E4554" s="2">
        <f t="shared" si="5"/>
        <v>4834.93</v>
      </c>
      <c r="G4554" s="10">
        <f t="shared" si="9"/>
        <v>42536.64583</v>
      </c>
      <c r="H4554" s="6" t="str">
        <f t="shared" si="6"/>
        <v/>
      </c>
      <c r="I4554" s="2">
        <f t="shared" si="7"/>
        <v>1426.89</v>
      </c>
      <c r="M4554" s="10">
        <f>IFERROR(__xludf.DUMMYFUNCTION("""COMPUTED_VALUE"""),44586.66666666667)</f>
        <v>44586.66667</v>
      </c>
      <c r="N4554" s="2">
        <f>IFERROR(__xludf.DUMMYFUNCTION("""COMPUTED_VALUE"""),13539.3)</f>
        <v>13539.3</v>
      </c>
      <c r="P4554" s="10">
        <f t="shared" si="10"/>
        <v>39094.64583</v>
      </c>
      <c r="Q4554" s="15">
        <v>1388.37</v>
      </c>
      <c r="R4554" s="18">
        <v>39094.0</v>
      </c>
    </row>
    <row r="4555">
      <c r="A4555" s="10">
        <f t="shared" si="8"/>
        <v>42537.66667</v>
      </c>
      <c r="B4555" s="2" t="str">
        <f t="shared" si="2"/>
        <v/>
      </c>
      <c r="C4555" s="2" t="str">
        <f t="shared" si="3"/>
        <v>SP500</v>
      </c>
      <c r="D4555" s="2">
        <f t="shared" si="4"/>
        <v>4844.92</v>
      </c>
      <c r="E4555" s="2">
        <f t="shared" si="5"/>
        <v>4844.92</v>
      </c>
      <c r="G4555" s="10">
        <f t="shared" si="9"/>
        <v>42537.64583</v>
      </c>
      <c r="H4555" s="6" t="str">
        <f t="shared" si="6"/>
        <v/>
      </c>
      <c r="I4555" s="2">
        <f t="shared" si="7"/>
        <v>1426.89</v>
      </c>
      <c r="M4555" s="10">
        <f>IFERROR(__xludf.DUMMYFUNCTION("""COMPUTED_VALUE"""),44587.66666666667)</f>
        <v>44587.66667</v>
      </c>
      <c r="N4555" s="2">
        <f>IFERROR(__xludf.DUMMYFUNCTION("""COMPUTED_VALUE"""),13542.12)</f>
        <v>13542.12</v>
      </c>
      <c r="P4555" s="10">
        <f t="shared" si="10"/>
        <v>39093.64583</v>
      </c>
      <c r="Q4555" s="15">
        <v>1365.31</v>
      </c>
      <c r="R4555" s="18">
        <v>39093.0</v>
      </c>
    </row>
    <row r="4556">
      <c r="A4556" s="10">
        <f t="shared" si="8"/>
        <v>42538.66667</v>
      </c>
      <c r="B4556" s="2" t="str">
        <f t="shared" si="2"/>
        <v/>
      </c>
      <c r="C4556" s="2" t="str">
        <f t="shared" si="3"/>
        <v>SP500</v>
      </c>
      <c r="D4556" s="2">
        <f t="shared" si="4"/>
        <v>4800.34</v>
      </c>
      <c r="E4556" s="2">
        <f t="shared" si="5"/>
        <v>4800.34</v>
      </c>
      <c r="G4556" s="10">
        <f t="shared" si="9"/>
        <v>42538.64583</v>
      </c>
      <c r="H4556" s="6" t="str">
        <f t="shared" si="6"/>
        <v/>
      </c>
      <c r="I4556" s="2">
        <f t="shared" si="7"/>
        <v>1426.89</v>
      </c>
      <c r="M4556" s="10">
        <f>IFERROR(__xludf.DUMMYFUNCTION("""COMPUTED_VALUE"""),44588.66666666667)</f>
        <v>44588.66667</v>
      </c>
      <c r="N4556" s="2">
        <f>IFERROR(__xludf.DUMMYFUNCTION("""COMPUTED_VALUE"""),13352.78)</f>
        <v>13352.78</v>
      </c>
      <c r="P4556" s="10">
        <f t="shared" si="10"/>
        <v>39092.64583</v>
      </c>
      <c r="Q4556" s="15">
        <v>1355.79</v>
      </c>
      <c r="R4556" s="18">
        <v>39092.0</v>
      </c>
    </row>
    <row r="4557">
      <c r="A4557" s="10">
        <f t="shared" si="8"/>
        <v>42539.66667</v>
      </c>
      <c r="B4557" s="2" t="str">
        <f t="shared" si="2"/>
        <v/>
      </c>
      <c r="C4557" s="2" t="str">
        <f t="shared" si="3"/>
        <v>SP500</v>
      </c>
      <c r="D4557" s="2" t="str">
        <f t="shared" si="4"/>
        <v/>
      </c>
      <c r="E4557" s="2">
        <f t="shared" si="5"/>
        <v>4800.34</v>
      </c>
      <c r="G4557" s="10">
        <f t="shared" si="9"/>
        <v>42539.64583</v>
      </c>
      <c r="H4557" s="6" t="str">
        <f t="shared" si="6"/>
        <v/>
      </c>
      <c r="I4557" s="2">
        <f t="shared" si="7"/>
        <v>1426.89</v>
      </c>
      <c r="M4557" s="10">
        <f>IFERROR(__xludf.DUMMYFUNCTION("""COMPUTED_VALUE"""),44589.66666666667)</f>
        <v>44589.66667</v>
      </c>
      <c r="N4557" s="2">
        <f>IFERROR(__xludf.DUMMYFUNCTION("""COMPUTED_VALUE"""),13770.57)</f>
        <v>13770.57</v>
      </c>
      <c r="P4557" s="10">
        <f t="shared" si="10"/>
        <v>39091.64583</v>
      </c>
      <c r="Q4557" s="15">
        <v>1374.34</v>
      </c>
      <c r="R4557" s="18">
        <v>39091.0</v>
      </c>
    </row>
    <row r="4558">
      <c r="A4558" s="10">
        <f t="shared" si="8"/>
        <v>42540.66667</v>
      </c>
      <c r="B4558" s="2" t="str">
        <f t="shared" si="2"/>
        <v/>
      </c>
      <c r="C4558" s="2" t="str">
        <f t="shared" si="3"/>
        <v>SP500</v>
      </c>
      <c r="D4558" s="2" t="str">
        <f t="shared" si="4"/>
        <v/>
      </c>
      <c r="E4558" s="2">
        <f t="shared" si="5"/>
        <v>4800.34</v>
      </c>
      <c r="G4558" s="10">
        <f t="shared" si="9"/>
        <v>42540.64583</v>
      </c>
      <c r="H4558" s="6" t="str">
        <f t="shared" si="6"/>
        <v/>
      </c>
      <c r="I4558" s="2">
        <f t="shared" si="7"/>
        <v>1426.89</v>
      </c>
      <c r="M4558" s="10">
        <f>IFERROR(__xludf.DUMMYFUNCTION("""COMPUTED_VALUE"""),44592.66666666667)</f>
        <v>44592.66667</v>
      </c>
      <c r="N4558" s="2">
        <f>IFERROR(__xludf.DUMMYFUNCTION("""COMPUTED_VALUE"""),14239.88)</f>
        <v>14239.88</v>
      </c>
      <c r="P4558" s="10">
        <f t="shared" si="10"/>
        <v>39090.64583</v>
      </c>
      <c r="Q4558" s="15">
        <v>1370.81</v>
      </c>
      <c r="R4558" s="18">
        <v>39090.0</v>
      </c>
    </row>
    <row r="4559">
      <c r="A4559" s="10">
        <f t="shared" si="8"/>
        <v>42541.66667</v>
      </c>
      <c r="B4559" s="2" t="str">
        <f t="shared" si="2"/>
        <v/>
      </c>
      <c r="C4559" s="2" t="str">
        <f t="shared" si="3"/>
        <v>SP500</v>
      </c>
      <c r="D4559" s="2">
        <f t="shared" si="4"/>
        <v>4837.21</v>
      </c>
      <c r="E4559" s="2">
        <f t="shared" si="5"/>
        <v>4837.21</v>
      </c>
      <c r="G4559" s="10">
        <f t="shared" si="9"/>
        <v>42541.64583</v>
      </c>
      <c r="H4559" s="6" t="str">
        <f t="shared" si="6"/>
        <v/>
      </c>
      <c r="I4559" s="2">
        <f t="shared" si="7"/>
        <v>1426.89</v>
      </c>
      <c r="M4559" s="10">
        <f>IFERROR(__xludf.DUMMYFUNCTION("""COMPUTED_VALUE"""),44593.66666666667)</f>
        <v>44593.66667</v>
      </c>
      <c r="N4559" s="2">
        <f>IFERROR(__xludf.DUMMYFUNCTION("""COMPUTED_VALUE"""),14346.0)</f>
        <v>14346</v>
      </c>
      <c r="P4559" s="10">
        <f t="shared" si="10"/>
        <v>39087.64583</v>
      </c>
      <c r="Q4559" s="15">
        <v>1385.76</v>
      </c>
      <c r="R4559" s="18">
        <v>39087.0</v>
      </c>
    </row>
    <row r="4560">
      <c r="A4560" s="10">
        <f t="shared" si="8"/>
        <v>42542.66667</v>
      </c>
      <c r="B4560" s="2" t="str">
        <f t="shared" si="2"/>
        <v/>
      </c>
      <c r="C4560" s="2" t="str">
        <f t="shared" si="3"/>
        <v>SP500</v>
      </c>
      <c r="D4560" s="2">
        <f t="shared" si="4"/>
        <v>4843.76</v>
      </c>
      <c r="E4560" s="2">
        <f t="shared" si="5"/>
        <v>4843.76</v>
      </c>
      <c r="G4560" s="10">
        <f t="shared" si="9"/>
        <v>42542.64583</v>
      </c>
      <c r="H4560" s="6" t="str">
        <f t="shared" si="6"/>
        <v/>
      </c>
      <c r="I4560" s="2">
        <f t="shared" si="7"/>
        <v>1426.89</v>
      </c>
      <c r="M4560" s="10">
        <f>IFERROR(__xludf.DUMMYFUNCTION("""COMPUTED_VALUE"""),44594.66666666667)</f>
        <v>44594.66667</v>
      </c>
      <c r="N4560" s="2">
        <f>IFERROR(__xludf.DUMMYFUNCTION("""COMPUTED_VALUE"""),14417.55)</f>
        <v>14417.55</v>
      </c>
      <c r="P4560" s="10">
        <f t="shared" si="10"/>
        <v>39086.64583</v>
      </c>
      <c r="Q4560" s="15">
        <v>1397.29</v>
      </c>
      <c r="R4560" s="18">
        <v>39086.0</v>
      </c>
    </row>
    <row r="4561">
      <c r="A4561" s="10">
        <f t="shared" si="8"/>
        <v>42543.66667</v>
      </c>
      <c r="B4561" s="2" t="str">
        <f t="shared" si="2"/>
        <v/>
      </c>
      <c r="C4561" s="2" t="str">
        <f t="shared" si="3"/>
        <v>SP500</v>
      </c>
      <c r="D4561" s="2">
        <f t="shared" si="4"/>
        <v>4833.32</v>
      </c>
      <c r="E4561" s="2">
        <f t="shared" si="5"/>
        <v>4833.32</v>
      </c>
      <c r="G4561" s="10">
        <f t="shared" si="9"/>
        <v>42543.64583</v>
      </c>
      <c r="H4561" s="6" t="str">
        <f t="shared" si="6"/>
        <v/>
      </c>
      <c r="I4561" s="2">
        <f t="shared" si="7"/>
        <v>1426.89</v>
      </c>
      <c r="M4561" s="10">
        <f>IFERROR(__xludf.DUMMYFUNCTION("""COMPUTED_VALUE"""),44595.66666666667)</f>
        <v>44595.66667</v>
      </c>
      <c r="N4561" s="2">
        <f>IFERROR(__xludf.DUMMYFUNCTION("""COMPUTED_VALUE"""),13878.82)</f>
        <v>13878.82</v>
      </c>
      <c r="P4561" s="10">
        <f t="shared" si="10"/>
        <v>39085.64583</v>
      </c>
      <c r="Q4561" s="15">
        <v>1409.35</v>
      </c>
      <c r="R4561" s="18">
        <v>39085.0</v>
      </c>
    </row>
    <row r="4562">
      <c r="A4562" s="10">
        <f t="shared" si="8"/>
        <v>42544.66667</v>
      </c>
      <c r="B4562" s="2" t="str">
        <f t="shared" si="2"/>
        <v/>
      </c>
      <c r="C4562" s="2" t="str">
        <f t="shared" si="3"/>
        <v>SP500</v>
      </c>
      <c r="D4562" s="2">
        <f t="shared" si="4"/>
        <v>4910.04</v>
      </c>
      <c r="E4562" s="2">
        <f t="shared" si="5"/>
        <v>4910.04</v>
      </c>
      <c r="G4562" s="10">
        <f t="shared" si="9"/>
        <v>42544.64583</v>
      </c>
      <c r="H4562" s="6" t="str">
        <f t="shared" si="6"/>
        <v/>
      </c>
      <c r="I4562" s="2">
        <f t="shared" si="7"/>
        <v>1426.89</v>
      </c>
      <c r="M4562" s="10">
        <f>IFERROR(__xludf.DUMMYFUNCTION("""COMPUTED_VALUE"""),44596.66666666667)</f>
        <v>44596.66667</v>
      </c>
      <c r="N4562" s="2">
        <f>IFERROR(__xludf.DUMMYFUNCTION("""COMPUTED_VALUE"""),14098.01)</f>
        <v>14098.01</v>
      </c>
      <c r="P4562" s="10">
        <f t="shared" si="10"/>
        <v>39084.64583</v>
      </c>
      <c r="Q4562" s="15">
        <v>1435.26</v>
      </c>
      <c r="R4562" s="18">
        <v>39084.0</v>
      </c>
    </row>
    <row r="4563">
      <c r="A4563" s="10">
        <f t="shared" si="8"/>
        <v>42545.66667</v>
      </c>
      <c r="B4563" s="2" t="str">
        <f t="shared" si="2"/>
        <v/>
      </c>
      <c r="C4563" s="2" t="str">
        <f t="shared" si="3"/>
        <v>SP500</v>
      </c>
      <c r="D4563" s="2">
        <f t="shared" si="4"/>
        <v>4707.98</v>
      </c>
      <c r="E4563" s="2">
        <f t="shared" si="5"/>
        <v>4707.98</v>
      </c>
      <c r="G4563" s="10">
        <f t="shared" si="9"/>
        <v>42545.64583</v>
      </c>
      <c r="H4563" s="6" t="str">
        <f t="shared" si="6"/>
        <v/>
      </c>
      <c r="I4563" s="2">
        <f t="shared" si="7"/>
        <v>1426.89</v>
      </c>
      <c r="M4563" s="10">
        <f>IFERROR(__xludf.DUMMYFUNCTION("""COMPUTED_VALUE"""),44599.66666666667)</f>
        <v>44599.66667</v>
      </c>
      <c r="N4563" s="2">
        <f>IFERROR(__xludf.DUMMYFUNCTION("""COMPUTED_VALUE"""),14015.67)</f>
        <v>14015.67</v>
      </c>
      <c r="P4563" s="10">
        <f t="shared" si="10"/>
        <v>39079.64583</v>
      </c>
      <c r="Q4563" s="14">
        <v>1434.46</v>
      </c>
      <c r="R4563" s="16">
        <v>39079.0</v>
      </c>
    </row>
    <row r="4564">
      <c r="A4564" s="10">
        <f t="shared" si="8"/>
        <v>42546.66667</v>
      </c>
      <c r="B4564" s="2" t="str">
        <f t="shared" si="2"/>
        <v/>
      </c>
      <c r="C4564" s="2" t="str">
        <f t="shared" si="3"/>
        <v>SP500</v>
      </c>
      <c r="D4564" s="2" t="str">
        <f t="shared" si="4"/>
        <v/>
      </c>
      <c r="E4564" s="2">
        <f t="shared" si="5"/>
        <v>4707.98</v>
      </c>
      <c r="G4564" s="10">
        <f t="shared" si="9"/>
        <v>42546.64583</v>
      </c>
      <c r="H4564" s="6" t="str">
        <f t="shared" si="6"/>
        <v/>
      </c>
      <c r="I4564" s="2">
        <f t="shared" si="7"/>
        <v>1426.89</v>
      </c>
      <c r="M4564" s="10">
        <f>IFERROR(__xludf.DUMMYFUNCTION("""COMPUTED_VALUE"""),44600.66666666667)</f>
        <v>44600.66667</v>
      </c>
      <c r="N4564" s="2">
        <f>IFERROR(__xludf.DUMMYFUNCTION("""COMPUTED_VALUE"""),14194.46)</f>
        <v>14194.46</v>
      </c>
      <c r="P4564" s="10">
        <f t="shared" si="10"/>
        <v>39078.64583</v>
      </c>
      <c r="Q4564" s="15">
        <v>1425.1</v>
      </c>
      <c r="R4564" s="17">
        <v>39078.0</v>
      </c>
    </row>
    <row r="4565">
      <c r="A4565" s="10">
        <f t="shared" si="8"/>
        <v>42547.66667</v>
      </c>
      <c r="B4565" s="2" t="str">
        <f t="shared" si="2"/>
        <v/>
      </c>
      <c r="C4565" s="2" t="str">
        <f t="shared" si="3"/>
        <v>SP500</v>
      </c>
      <c r="D4565" s="2" t="str">
        <f t="shared" si="4"/>
        <v/>
      </c>
      <c r="E4565" s="2">
        <f t="shared" si="5"/>
        <v>4707.98</v>
      </c>
      <c r="G4565" s="10">
        <f t="shared" si="9"/>
        <v>42547.64583</v>
      </c>
      <c r="H4565" s="6" t="str">
        <f t="shared" si="6"/>
        <v/>
      </c>
      <c r="I4565" s="2">
        <f t="shared" si="7"/>
        <v>1426.89</v>
      </c>
      <c r="M4565" s="10">
        <f>IFERROR(__xludf.DUMMYFUNCTION("""COMPUTED_VALUE"""),44601.66666666667)</f>
        <v>44601.66667</v>
      </c>
      <c r="N4565" s="2">
        <f>IFERROR(__xludf.DUMMYFUNCTION("""COMPUTED_VALUE"""),14490.37)</f>
        <v>14490.37</v>
      </c>
      <c r="P4565" s="10">
        <f t="shared" si="10"/>
        <v>39077.64583</v>
      </c>
      <c r="Q4565" s="15">
        <v>1433.92</v>
      </c>
      <c r="R4565" s="17">
        <v>39077.0</v>
      </c>
    </row>
    <row r="4566">
      <c r="A4566" s="10">
        <f t="shared" si="8"/>
        <v>42548.66667</v>
      </c>
      <c r="B4566" s="2" t="str">
        <f t="shared" si="2"/>
        <v/>
      </c>
      <c r="C4566" s="2" t="str">
        <f t="shared" si="3"/>
        <v>SP500</v>
      </c>
      <c r="D4566" s="2">
        <f t="shared" si="4"/>
        <v>4594.44</v>
      </c>
      <c r="E4566" s="2">
        <f t="shared" si="5"/>
        <v>4594.44</v>
      </c>
      <c r="G4566" s="10">
        <f t="shared" si="9"/>
        <v>42548.64583</v>
      </c>
      <c r="H4566" s="6" t="str">
        <f t="shared" si="6"/>
        <v/>
      </c>
      <c r="I4566" s="2">
        <f t="shared" si="7"/>
        <v>1426.89</v>
      </c>
      <c r="M4566" s="10">
        <f>IFERROR(__xludf.DUMMYFUNCTION("""COMPUTED_VALUE"""),44602.66666666667)</f>
        <v>44602.66667</v>
      </c>
      <c r="N4566" s="2">
        <f>IFERROR(__xludf.DUMMYFUNCTION("""COMPUTED_VALUE"""),14185.64)</f>
        <v>14185.64</v>
      </c>
      <c r="P4566" s="10">
        <f t="shared" si="10"/>
        <v>39073.64583</v>
      </c>
      <c r="Q4566" s="15">
        <v>1437.49</v>
      </c>
      <c r="R4566" s="17">
        <v>39073.0</v>
      </c>
    </row>
    <row r="4567">
      <c r="A4567" s="10">
        <f t="shared" si="8"/>
        <v>42549.66667</v>
      </c>
      <c r="B4567" s="2" t="str">
        <f t="shared" si="2"/>
        <v/>
      </c>
      <c r="C4567" s="2" t="str">
        <f t="shared" si="3"/>
        <v>SP500</v>
      </c>
      <c r="D4567" s="2">
        <f t="shared" si="4"/>
        <v>4691.87</v>
      </c>
      <c r="E4567" s="2">
        <f t="shared" si="5"/>
        <v>4691.87</v>
      </c>
      <c r="G4567" s="10">
        <f t="shared" si="9"/>
        <v>42549.64583</v>
      </c>
      <c r="H4567" s="6" t="str">
        <f t="shared" si="6"/>
        <v/>
      </c>
      <c r="I4567" s="2">
        <f t="shared" si="7"/>
        <v>1426.89</v>
      </c>
      <c r="M4567" s="10">
        <f>IFERROR(__xludf.DUMMYFUNCTION("""COMPUTED_VALUE"""),44603.66666666667)</f>
        <v>44603.66667</v>
      </c>
      <c r="N4567" s="2">
        <f>IFERROR(__xludf.DUMMYFUNCTION("""COMPUTED_VALUE"""),13791.15)</f>
        <v>13791.15</v>
      </c>
      <c r="P4567" s="10">
        <f t="shared" si="10"/>
        <v>39072.64583</v>
      </c>
      <c r="Q4567" s="15">
        <v>1436.47</v>
      </c>
      <c r="R4567" s="17">
        <v>39072.0</v>
      </c>
    </row>
    <row r="4568">
      <c r="A4568" s="10">
        <f t="shared" si="8"/>
        <v>42550.66667</v>
      </c>
      <c r="B4568" s="2" t="str">
        <f t="shared" si="2"/>
        <v/>
      </c>
      <c r="C4568" s="2" t="str">
        <f t="shared" si="3"/>
        <v>SP500</v>
      </c>
      <c r="D4568" s="2">
        <f t="shared" si="4"/>
        <v>4779.25</v>
      </c>
      <c r="E4568" s="2">
        <f t="shared" si="5"/>
        <v>4779.25</v>
      </c>
      <c r="G4568" s="10">
        <f t="shared" si="9"/>
        <v>42550.64583</v>
      </c>
      <c r="H4568" s="6" t="str">
        <f t="shared" si="6"/>
        <v/>
      </c>
      <c r="I4568" s="2">
        <f t="shared" si="7"/>
        <v>1426.89</v>
      </c>
      <c r="M4568" s="10">
        <f>IFERROR(__xludf.DUMMYFUNCTION("""COMPUTED_VALUE"""),44606.66666666667)</f>
        <v>44606.66667</v>
      </c>
      <c r="N4568" s="2">
        <f>IFERROR(__xludf.DUMMYFUNCTION("""COMPUTED_VALUE"""),13790.92)</f>
        <v>13790.92</v>
      </c>
      <c r="P4568" s="10">
        <f t="shared" si="10"/>
        <v>39071.64583</v>
      </c>
      <c r="Q4568" s="15">
        <v>1442.28</v>
      </c>
      <c r="R4568" s="17">
        <v>39071.0</v>
      </c>
    </row>
    <row r="4569">
      <c r="A4569" s="10">
        <f t="shared" si="8"/>
        <v>42551.66667</v>
      </c>
      <c r="B4569" s="2" t="str">
        <f t="shared" si="2"/>
        <v/>
      </c>
      <c r="C4569" s="2" t="str">
        <f t="shared" si="3"/>
        <v>SP500</v>
      </c>
      <c r="D4569" s="2">
        <f t="shared" si="4"/>
        <v>4842.67</v>
      </c>
      <c r="E4569" s="2">
        <f t="shared" si="5"/>
        <v>4842.67</v>
      </c>
      <c r="G4569" s="10">
        <f t="shared" si="9"/>
        <v>42551.64583</v>
      </c>
      <c r="H4569" s="6" t="str">
        <f t="shared" si="6"/>
        <v/>
      </c>
      <c r="I4569" s="2">
        <f t="shared" si="7"/>
        <v>1426.89</v>
      </c>
      <c r="M4569" s="10">
        <f>IFERROR(__xludf.DUMMYFUNCTION("""COMPUTED_VALUE"""),44607.66666666667)</f>
        <v>44607.66667</v>
      </c>
      <c r="N4569" s="2">
        <f>IFERROR(__xludf.DUMMYFUNCTION("""COMPUTED_VALUE"""),14139.76)</f>
        <v>14139.76</v>
      </c>
      <c r="P4569" s="10">
        <f t="shared" si="10"/>
        <v>39070.64583</v>
      </c>
      <c r="Q4569" s="15">
        <v>1427.76</v>
      </c>
      <c r="R4569" s="17">
        <v>39070.0</v>
      </c>
    </row>
    <row r="4570">
      <c r="A4570" s="10">
        <f t="shared" si="8"/>
        <v>42552.66667</v>
      </c>
      <c r="B4570" s="2" t="str">
        <f t="shared" si="2"/>
        <v/>
      </c>
      <c r="C4570" s="2" t="str">
        <f t="shared" si="3"/>
        <v>SP500</v>
      </c>
      <c r="D4570" s="2">
        <f t="shared" si="4"/>
        <v>4862.57</v>
      </c>
      <c r="E4570" s="2">
        <f t="shared" si="5"/>
        <v>4862.57</v>
      </c>
      <c r="G4570" s="10">
        <f t="shared" si="9"/>
        <v>42552.64583</v>
      </c>
      <c r="H4570" s="6" t="str">
        <f t="shared" si="6"/>
        <v/>
      </c>
      <c r="I4570" s="2">
        <f t="shared" si="7"/>
        <v>1426.89</v>
      </c>
      <c r="M4570" s="10">
        <f>IFERROR(__xludf.DUMMYFUNCTION("""COMPUTED_VALUE"""),44608.66666666667)</f>
        <v>44608.66667</v>
      </c>
      <c r="N4570" s="2">
        <f>IFERROR(__xludf.DUMMYFUNCTION("""COMPUTED_VALUE"""),14124.1)</f>
        <v>14124.1</v>
      </c>
      <c r="P4570" s="10">
        <f t="shared" si="10"/>
        <v>39069.64583</v>
      </c>
      <c r="Q4570" s="15">
        <v>1433.23</v>
      </c>
      <c r="R4570" s="17">
        <v>39069.0</v>
      </c>
    </row>
    <row r="4571">
      <c r="A4571" s="10">
        <f t="shared" si="8"/>
        <v>42553.66667</v>
      </c>
      <c r="B4571" s="2" t="str">
        <f t="shared" si="2"/>
        <v/>
      </c>
      <c r="C4571" s="2" t="str">
        <f t="shared" si="3"/>
        <v>SP500</v>
      </c>
      <c r="D4571" s="2" t="str">
        <f t="shared" si="4"/>
        <v/>
      </c>
      <c r="E4571" s="2">
        <f t="shared" si="5"/>
        <v>4862.57</v>
      </c>
      <c r="G4571" s="10">
        <f t="shared" si="9"/>
        <v>42553.64583</v>
      </c>
      <c r="H4571" s="6" t="str">
        <f t="shared" si="6"/>
        <v/>
      </c>
      <c r="I4571" s="2">
        <f t="shared" si="7"/>
        <v>1426.89</v>
      </c>
      <c r="M4571" s="10">
        <f>IFERROR(__xludf.DUMMYFUNCTION("""COMPUTED_VALUE"""),44609.66666666667)</f>
        <v>44609.66667</v>
      </c>
      <c r="N4571" s="2">
        <f>IFERROR(__xludf.DUMMYFUNCTION("""COMPUTED_VALUE"""),13716.72)</f>
        <v>13716.72</v>
      </c>
      <c r="P4571" s="10">
        <f t="shared" si="10"/>
        <v>39066.64583</v>
      </c>
      <c r="Q4571" s="15">
        <v>1421.87</v>
      </c>
      <c r="R4571" s="17">
        <v>39066.0</v>
      </c>
    </row>
    <row r="4572">
      <c r="A4572" s="10">
        <f t="shared" si="8"/>
        <v>42554.66667</v>
      </c>
      <c r="B4572" s="2" t="str">
        <f t="shared" si="2"/>
        <v/>
      </c>
      <c r="C4572" s="2" t="str">
        <f t="shared" si="3"/>
        <v>SP500</v>
      </c>
      <c r="D4572" s="2" t="str">
        <f t="shared" si="4"/>
        <v/>
      </c>
      <c r="E4572" s="2">
        <f t="shared" si="5"/>
        <v>4862.57</v>
      </c>
      <c r="G4572" s="10">
        <f t="shared" si="9"/>
        <v>42554.64583</v>
      </c>
      <c r="H4572" s="6" t="str">
        <f t="shared" si="6"/>
        <v/>
      </c>
      <c r="I4572" s="2">
        <f t="shared" si="7"/>
        <v>1426.89</v>
      </c>
      <c r="M4572" s="10">
        <f>IFERROR(__xludf.DUMMYFUNCTION("""COMPUTED_VALUE"""),44610.66666666667)</f>
        <v>44610.66667</v>
      </c>
      <c r="N4572" s="2">
        <f>IFERROR(__xludf.DUMMYFUNCTION("""COMPUTED_VALUE"""),13548.07)</f>
        <v>13548.07</v>
      </c>
      <c r="P4572" s="10">
        <f t="shared" si="10"/>
        <v>39065.64583</v>
      </c>
      <c r="Q4572" s="15">
        <v>1418.38</v>
      </c>
      <c r="R4572" s="17">
        <v>39065.0</v>
      </c>
    </row>
    <row r="4573">
      <c r="A4573" s="10">
        <f t="shared" si="8"/>
        <v>42555.66667</v>
      </c>
      <c r="B4573" s="2" t="str">
        <f t="shared" si="2"/>
        <v/>
      </c>
      <c r="C4573" s="2" t="str">
        <f t="shared" si="3"/>
        <v>SP500</v>
      </c>
      <c r="D4573" s="2" t="str">
        <f t="shared" si="4"/>
        <v/>
      </c>
      <c r="E4573" s="2">
        <f t="shared" si="5"/>
        <v>4862.57</v>
      </c>
      <c r="G4573" s="10">
        <f t="shared" si="9"/>
        <v>42555.64583</v>
      </c>
      <c r="H4573" s="6" t="str">
        <f t="shared" si="6"/>
        <v/>
      </c>
      <c r="I4573" s="2">
        <f t="shared" si="7"/>
        <v>1426.89</v>
      </c>
      <c r="M4573" s="10">
        <f>IFERROR(__xludf.DUMMYFUNCTION("""COMPUTED_VALUE"""),44614.66666666667)</f>
        <v>44614.66667</v>
      </c>
      <c r="N4573" s="2">
        <f>IFERROR(__xludf.DUMMYFUNCTION("""COMPUTED_VALUE"""),13381.52)</f>
        <v>13381.52</v>
      </c>
      <c r="P4573" s="10">
        <f t="shared" si="10"/>
        <v>39064.64583</v>
      </c>
      <c r="Q4573" s="15">
        <v>1383.28</v>
      </c>
      <c r="R4573" s="17">
        <v>39064.0</v>
      </c>
    </row>
    <row r="4574">
      <c r="A4574" s="10">
        <f t="shared" si="8"/>
        <v>42556.66667</v>
      </c>
      <c r="B4574" s="2" t="str">
        <f t="shared" si="2"/>
        <v/>
      </c>
      <c r="C4574" s="2" t="str">
        <f t="shared" si="3"/>
        <v>SP500</v>
      </c>
      <c r="D4574" s="2">
        <f t="shared" si="4"/>
        <v>4822.9</v>
      </c>
      <c r="E4574" s="2">
        <f t="shared" si="5"/>
        <v>4822.9</v>
      </c>
      <c r="G4574" s="10">
        <f t="shared" si="9"/>
        <v>42556.64583</v>
      </c>
      <c r="H4574" s="6" t="str">
        <f t="shared" si="6"/>
        <v/>
      </c>
      <c r="I4574" s="2">
        <f t="shared" si="7"/>
        <v>1426.89</v>
      </c>
      <c r="M4574" s="10">
        <f>IFERROR(__xludf.DUMMYFUNCTION("""COMPUTED_VALUE"""),44615.66666666667)</f>
        <v>44615.66667</v>
      </c>
      <c r="N4574" s="2">
        <f>IFERROR(__xludf.DUMMYFUNCTION("""COMPUTED_VALUE"""),13037.49)</f>
        <v>13037.49</v>
      </c>
      <c r="P4574" s="10">
        <f t="shared" si="10"/>
        <v>39063.64583</v>
      </c>
      <c r="Q4574" s="15">
        <v>1376.98</v>
      </c>
      <c r="R4574" s="17">
        <v>39063.0</v>
      </c>
    </row>
    <row r="4575">
      <c r="A4575" s="10">
        <f t="shared" si="8"/>
        <v>42557.66667</v>
      </c>
      <c r="B4575" s="2" t="str">
        <f t="shared" si="2"/>
        <v/>
      </c>
      <c r="C4575" s="2" t="str">
        <f t="shared" si="3"/>
        <v>SP500</v>
      </c>
      <c r="D4575" s="2">
        <f t="shared" si="4"/>
        <v>4859.16</v>
      </c>
      <c r="E4575" s="2">
        <f t="shared" si="5"/>
        <v>4859.16</v>
      </c>
      <c r="G4575" s="10">
        <f t="shared" si="9"/>
        <v>42557.64583</v>
      </c>
      <c r="H4575" s="6" t="str">
        <f t="shared" si="6"/>
        <v/>
      </c>
      <c r="I4575" s="2">
        <f t="shared" si="7"/>
        <v>1426.89</v>
      </c>
      <c r="M4575" s="10">
        <f>IFERROR(__xludf.DUMMYFUNCTION("""COMPUTED_VALUE"""),44616.66666666667)</f>
        <v>44616.66667</v>
      </c>
      <c r="N4575" s="2">
        <f>IFERROR(__xludf.DUMMYFUNCTION("""COMPUTED_VALUE"""),13473.59)</f>
        <v>13473.59</v>
      </c>
      <c r="P4575" s="10">
        <f t="shared" si="10"/>
        <v>39062.64583</v>
      </c>
      <c r="Q4575" s="15">
        <v>1390.73</v>
      </c>
      <c r="R4575" s="17">
        <v>39062.0</v>
      </c>
    </row>
    <row r="4576">
      <c r="A4576" s="10">
        <f t="shared" si="8"/>
        <v>42558.66667</v>
      </c>
      <c r="B4576" s="2" t="str">
        <f t="shared" si="2"/>
        <v/>
      </c>
      <c r="C4576" s="2" t="str">
        <f t="shared" si="3"/>
        <v>SP500</v>
      </c>
      <c r="D4576" s="2">
        <f t="shared" si="4"/>
        <v>4876.81</v>
      </c>
      <c r="E4576" s="2">
        <f t="shared" si="5"/>
        <v>4876.81</v>
      </c>
      <c r="G4576" s="10">
        <f t="shared" si="9"/>
        <v>42558.64583</v>
      </c>
      <c r="H4576" s="6" t="str">
        <f t="shared" si="6"/>
        <v/>
      </c>
      <c r="I4576" s="2">
        <f t="shared" si="7"/>
        <v>1426.89</v>
      </c>
      <c r="M4576" s="10">
        <f>IFERROR(__xludf.DUMMYFUNCTION("""COMPUTED_VALUE"""),44617.66666666667)</f>
        <v>44617.66667</v>
      </c>
      <c r="N4576" s="2">
        <f>IFERROR(__xludf.DUMMYFUNCTION("""COMPUTED_VALUE"""),13694.62)</f>
        <v>13694.62</v>
      </c>
      <c r="P4576" s="10">
        <f t="shared" si="10"/>
        <v>39059.64583</v>
      </c>
      <c r="Q4576" s="15">
        <v>1390.43</v>
      </c>
      <c r="R4576" s="18">
        <v>39059.0</v>
      </c>
    </row>
    <row r="4577">
      <c r="A4577" s="10">
        <f t="shared" si="8"/>
        <v>42559.66667</v>
      </c>
      <c r="B4577" s="2" t="str">
        <f t="shared" si="2"/>
        <v/>
      </c>
      <c r="C4577" s="2" t="str">
        <f t="shared" si="3"/>
        <v>SP500</v>
      </c>
      <c r="D4577" s="2">
        <f t="shared" si="4"/>
        <v>4956.76</v>
      </c>
      <c r="E4577" s="2">
        <f t="shared" si="5"/>
        <v>4956.76</v>
      </c>
      <c r="G4577" s="10">
        <f t="shared" si="9"/>
        <v>42559.64583</v>
      </c>
      <c r="H4577" s="6" t="str">
        <f t="shared" si="6"/>
        <v/>
      </c>
      <c r="I4577" s="2">
        <f t="shared" si="7"/>
        <v>1426.89</v>
      </c>
      <c r="M4577" s="10">
        <f>IFERROR(__xludf.DUMMYFUNCTION("""COMPUTED_VALUE"""),44620.66666666667)</f>
        <v>44620.66667</v>
      </c>
      <c r="N4577" s="2">
        <f>IFERROR(__xludf.DUMMYFUNCTION("""COMPUTED_VALUE"""),13751.4)</f>
        <v>13751.4</v>
      </c>
      <c r="P4577" s="10">
        <f t="shared" si="10"/>
        <v>39058.64583</v>
      </c>
      <c r="Q4577" s="15">
        <v>1410.3</v>
      </c>
      <c r="R4577" s="18">
        <v>39058.0</v>
      </c>
    </row>
    <row r="4578">
      <c r="A4578" s="10">
        <f t="shared" si="8"/>
        <v>42560.66667</v>
      </c>
      <c r="B4578" s="2" t="str">
        <f t="shared" si="2"/>
        <v/>
      </c>
      <c r="C4578" s="2" t="str">
        <f t="shared" si="3"/>
        <v>SP500</v>
      </c>
      <c r="D4578" s="2" t="str">
        <f t="shared" si="4"/>
        <v/>
      </c>
      <c r="E4578" s="2">
        <f t="shared" si="5"/>
        <v>4956.76</v>
      </c>
      <c r="G4578" s="10">
        <f t="shared" si="9"/>
        <v>42560.64583</v>
      </c>
      <c r="H4578" s="6" t="str">
        <f t="shared" si="6"/>
        <v/>
      </c>
      <c r="I4578" s="2">
        <f t="shared" si="7"/>
        <v>1426.89</v>
      </c>
      <c r="M4578" s="10">
        <f>IFERROR(__xludf.DUMMYFUNCTION("""COMPUTED_VALUE"""),44621.66666666667)</f>
        <v>44621.66667</v>
      </c>
      <c r="N4578" s="2">
        <f>IFERROR(__xludf.DUMMYFUNCTION("""COMPUTED_VALUE"""),13532.46)</f>
        <v>13532.46</v>
      </c>
      <c r="P4578" s="10">
        <f t="shared" si="10"/>
        <v>39057.64583</v>
      </c>
      <c r="Q4578" s="15">
        <v>1413.73</v>
      </c>
      <c r="R4578" s="18">
        <v>39057.0</v>
      </c>
    </row>
    <row r="4579">
      <c r="A4579" s="10">
        <f t="shared" si="8"/>
        <v>42561.66667</v>
      </c>
      <c r="B4579" s="2" t="str">
        <f t="shared" si="2"/>
        <v/>
      </c>
      <c r="C4579" s="2" t="str">
        <f t="shared" si="3"/>
        <v>SP500</v>
      </c>
      <c r="D4579" s="2" t="str">
        <f t="shared" si="4"/>
        <v/>
      </c>
      <c r="E4579" s="2">
        <f t="shared" si="5"/>
        <v>4956.76</v>
      </c>
      <c r="G4579" s="10">
        <f t="shared" si="9"/>
        <v>42561.64583</v>
      </c>
      <c r="H4579" s="6" t="str">
        <f t="shared" si="6"/>
        <v/>
      </c>
      <c r="I4579" s="2">
        <f t="shared" si="7"/>
        <v>1426.89</v>
      </c>
      <c r="M4579" s="10">
        <f>IFERROR(__xludf.DUMMYFUNCTION("""COMPUTED_VALUE"""),44622.66666666667)</f>
        <v>44622.66667</v>
      </c>
      <c r="N4579" s="2">
        <f>IFERROR(__xludf.DUMMYFUNCTION("""COMPUTED_VALUE"""),13752.02)</f>
        <v>13752.02</v>
      </c>
      <c r="P4579" s="10">
        <f t="shared" si="10"/>
        <v>39056.64583</v>
      </c>
      <c r="Q4579" s="15">
        <v>1420.59</v>
      </c>
      <c r="R4579" s="18">
        <v>39056.0</v>
      </c>
    </row>
    <row r="4580">
      <c r="A4580" s="10">
        <f t="shared" si="8"/>
        <v>42562.66667</v>
      </c>
      <c r="B4580" s="2" t="str">
        <f t="shared" si="2"/>
        <v/>
      </c>
      <c r="C4580" s="2" t="str">
        <f t="shared" si="3"/>
        <v>SP500</v>
      </c>
      <c r="D4580" s="2">
        <f t="shared" si="4"/>
        <v>4988.64</v>
      </c>
      <c r="E4580" s="2">
        <f t="shared" si="5"/>
        <v>4988.64</v>
      </c>
      <c r="G4580" s="10">
        <f t="shared" si="9"/>
        <v>42562.64583</v>
      </c>
      <c r="H4580" s="6" t="str">
        <f t="shared" si="6"/>
        <v/>
      </c>
      <c r="I4580" s="2">
        <f t="shared" si="7"/>
        <v>1426.89</v>
      </c>
      <c r="M4580" s="10">
        <f>IFERROR(__xludf.DUMMYFUNCTION("""COMPUTED_VALUE"""),44623.66666666667)</f>
        <v>44623.66667</v>
      </c>
      <c r="N4580" s="2">
        <f>IFERROR(__xludf.DUMMYFUNCTION("""COMPUTED_VALUE"""),13537.94)</f>
        <v>13537.94</v>
      </c>
      <c r="P4580" s="10">
        <f t="shared" si="10"/>
        <v>39055.64583</v>
      </c>
      <c r="Q4580" s="15">
        <v>1426.46</v>
      </c>
      <c r="R4580" s="18">
        <v>39055.0</v>
      </c>
    </row>
    <row r="4581">
      <c r="A4581" s="10">
        <f t="shared" si="8"/>
        <v>42563.66667</v>
      </c>
      <c r="B4581" s="2" t="str">
        <f t="shared" si="2"/>
        <v/>
      </c>
      <c r="C4581" s="2" t="str">
        <f t="shared" si="3"/>
        <v>SP500</v>
      </c>
      <c r="D4581" s="2">
        <f t="shared" si="4"/>
        <v>5022.82</v>
      </c>
      <c r="E4581" s="2">
        <f t="shared" si="5"/>
        <v>5022.82</v>
      </c>
      <c r="G4581" s="10">
        <f t="shared" si="9"/>
        <v>42563.64583</v>
      </c>
      <c r="H4581" s="6" t="str">
        <f t="shared" si="6"/>
        <v/>
      </c>
      <c r="I4581" s="2">
        <f t="shared" si="7"/>
        <v>1426.89</v>
      </c>
      <c r="M4581" s="10">
        <f>IFERROR(__xludf.DUMMYFUNCTION("""COMPUTED_VALUE"""),44624.66666666667)</f>
        <v>44624.66667</v>
      </c>
      <c r="N4581" s="2">
        <f>IFERROR(__xludf.DUMMYFUNCTION("""COMPUTED_VALUE"""),13313.44)</f>
        <v>13313.44</v>
      </c>
      <c r="P4581" s="10">
        <f t="shared" si="10"/>
        <v>39052.64583</v>
      </c>
      <c r="Q4581" s="15">
        <v>1434.36</v>
      </c>
      <c r="R4581" s="18">
        <v>39052.0</v>
      </c>
    </row>
    <row r="4582">
      <c r="A4582" s="10">
        <f t="shared" si="8"/>
        <v>42564.66667</v>
      </c>
      <c r="B4582" s="2" t="str">
        <f t="shared" si="2"/>
        <v/>
      </c>
      <c r="C4582" s="2" t="str">
        <f t="shared" si="3"/>
        <v>SP500</v>
      </c>
      <c r="D4582" s="2">
        <f t="shared" si="4"/>
        <v>5005.73</v>
      </c>
      <c r="E4582" s="2">
        <f t="shared" si="5"/>
        <v>5005.73</v>
      </c>
      <c r="G4582" s="10">
        <f t="shared" si="9"/>
        <v>42564.64583</v>
      </c>
      <c r="H4582" s="6" t="str">
        <f t="shared" si="6"/>
        <v/>
      </c>
      <c r="I4582" s="2">
        <f t="shared" si="7"/>
        <v>1426.89</v>
      </c>
      <c r="M4582" s="10">
        <f>IFERROR(__xludf.DUMMYFUNCTION("""COMPUTED_VALUE"""),44627.66666666667)</f>
        <v>44627.66667</v>
      </c>
      <c r="N4582" s="2">
        <f>IFERROR(__xludf.DUMMYFUNCTION("""COMPUTED_VALUE"""),12830.96)</f>
        <v>12830.96</v>
      </c>
      <c r="P4582" s="10">
        <f t="shared" si="10"/>
        <v>39051.64583</v>
      </c>
      <c r="Q4582" s="15">
        <v>1432.21</v>
      </c>
      <c r="R4582" s="17">
        <v>39051.0</v>
      </c>
    </row>
    <row r="4583">
      <c r="A4583" s="10">
        <f t="shared" si="8"/>
        <v>42565.66667</v>
      </c>
      <c r="B4583" s="2" t="str">
        <f t="shared" si="2"/>
        <v/>
      </c>
      <c r="C4583" s="2" t="str">
        <f t="shared" si="3"/>
        <v>SP500</v>
      </c>
      <c r="D4583" s="2">
        <f t="shared" si="4"/>
        <v>5034.06</v>
      </c>
      <c r="E4583" s="2">
        <f t="shared" si="5"/>
        <v>5034.06</v>
      </c>
      <c r="G4583" s="10">
        <f t="shared" si="9"/>
        <v>42565.64583</v>
      </c>
      <c r="H4583" s="6" t="str">
        <f t="shared" si="6"/>
        <v/>
      </c>
      <c r="I4583" s="2">
        <f t="shared" si="7"/>
        <v>1426.89</v>
      </c>
      <c r="M4583" s="10">
        <f>IFERROR(__xludf.DUMMYFUNCTION("""COMPUTED_VALUE"""),44628.66666666667)</f>
        <v>44628.66667</v>
      </c>
      <c r="N4583" s="2">
        <f>IFERROR(__xludf.DUMMYFUNCTION("""COMPUTED_VALUE"""),12795.55)</f>
        <v>12795.55</v>
      </c>
      <c r="P4583" s="10">
        <f t="shared" si="10"/>
        <v>39050.64583</v>
      </c>
      <c r="Q4583" s="15">
        <v>1422.55</v>
      </c>
      <c r="R4583" s="17">
        <v>39050.0</v>
      </c>
    </row>
    <row r="4584">
      <c r="A4584" s="10">
        <f t="shared" si="8"/>
        <v>42566.66667</v>
      </c>
      <c r="B4584" s="2" t="str">
        <f t="shared" si="2"/>
        <v/>
      </c>
      <c r="C4584" s="2" t="str">
        <f t="shared" si="3"/>
        <v>SP500</v>
      </c>
      <c r="D4584" s="2">
        <f t="shared" si="4"/>
        <v>5029.59</v>
      </c>
      <c r="E4584" s="2">
        <f t="shared" si="5"/>
        <v>5029.59</v>
      </c>
      <c r="G4584" s="10">
        <f t="shared" si="9"/>
        <v>42566.64583</v>
      </c>
      <c r="H4584" s="6" t="str">
        <f t="shared" si="6"/>
        <v/>
      </c>
      <c r="I4584" s="2">
        <f t="shared" si="7"/>
        <v>1426.89</v>
      </c>
      <c r="M4584" s="10">
        <f>IFERROR(__xludf.DUMMYFUNCTION("""COMPUTED_VALUE"""),44629.66666666667)</f>
        <v>44629.66667</v>
      </c>
      <c r="N4584" s="2">
        <f>IFERROR(__xludf.DUMMYFUNCTION("""COMPUTED_VALUE"""),13255.55)</f>
        <v>13255.55</v>
      </c>
      <c r="P4584" s="10">
        <f t="shared" si="10"/>
        <v>39049.64583</v>
      </c>
      <c r="Q4584" s="15">
        <v>1411.47</v>
      </c>
      <c r="R4584" s="17">
        <v>39049.0</v>
      </c>
    </row>
    <row r="4585">
      <c r="A4585" s="10">
        <f t="shared" si="8"/>
        <v>42567.66667</v>
      </c>
      <c r="B4585" s="2" t="str">
        <f t="shared" si="2"/>
        <v/>
      </c>
      <c r="C4585" s="2" t="str">
        <f t="shared" si="3"/>
        <v>SP500</v>
      </c>
      <c r="D4585" s="2" t="str">
        <f t="shared" si="4"/>
        <v/>
      </c>
      <c r="E4585" s="2">
        <f t="shared" si="5"/>
        <v>5029.59</v>
      </c>
      <c r="G4585" s="10">
        <f t="shared" si="9"/>
        <v>42567.64583</v>
      </c>
      <c r="H4585" s="6" t="str">
        <f t="shared" si="6"/>
        <v/>
      </c>
      <c r="I4585" s="2">
        <f t="shared" si="7"/>
        <v>1426.89</v>
      </c>
      <c r="M4585" s="10">
        <f>IFERROR(__xludf.DUMMYFUNCTION("""COMPUTED_VALUE"""),44630.66666666667)</f>
        <v>44630.66667</v>
      </c>
      <c r="N4585" s="2">
        <f>IFERROR(__xludf.DUMMYFUNCTION("""COMPUTED_VALUE"""),13129.96)</f>
        <v>13129.96</v>
      </c>
      <c r="P4585" s="10">
        <f t="shared" si="10"/>
        <v>39048.64583</v>
      </c>
      <c r="Q4585" s="15">
        <v>1425.13</v>
      </c>
      <c r="R4585" s="17">
        <v>39048.0</v>
      </c>
    </row>
    <row r="4586">
      <c r="A4586" s="10">
        <f t="shared" si="8"/>
        <v>42568.66667</v>
      </c>
      <c r="B4586" s="2" t="str">
        <f t="shared" si="2"/>
        <v/>
      </c>
      <c r="C4586" s="2" t="str">
        <f t="shared" si="3"/>
        <v>SP500</v>
      </c>
      <c r="D4586" s="2" t="str">
        <f t="shared" si="4"/>
        <v/>
      </c>
      <c r="E4586" s="2">
        <f t="shared" si="5"/>
        <v>5029.59</v>
      </c>
      <c r="G4586" s="10">
        <f t="shared" si="9"/>
        <v>42568.64583</v>
      </c>
      <c r="H4586" s="6" t="str">
        <f t="shared" si="6"/>
        <v/>
      </c>
      <c r="I4586" s="2">
        <f t="shared" si="7"/>
        <v>1426.89</v>
      </c>
      <c r="M4586" s="10">
        <f>IFERROR(__xludf.DUMMYFUNCTION("""COMPUTED_VALUE"""),44631.66666666667)</f>
        <v>44631.66667</v>
      </c>
      <c r="N4586" s="2">
        <f>IFERROR(__xludf.DUMMYFUNCTION("""COMPUTED_VALUE"""),12843.81)</f>
        <v>12843.81</v>
      </c>
      <c r="P4586" s="10">
        <f t="shared" si="10"/>
        <v>39045.64583</v>
      </c>
      <c r="Q4586" s="15">
        <v>1421.73</v>
      </c>
      <c r="R4586" s="17">
        <v>39045.0</v>
      </c>
    </row>
    <row r="4587">
      <c r="A4587" s="10">
        <f t="shared" si="8"/>
        <v>42569.66667</v>
      </c>
      <c r="B4587" s="2" t="str">
        <f t="shared" si="2"/>
        <v/>
      </c>
      <c r="C4587" s="2" t="str">
        <f t="shared" si="3"/>
        <v>SP500</v>
      </c>
      <c r="D4587" s="2">
        <f t="shared" si="4"/>
        <v>5055.78</v>
      </c>
      <c r="E4587" s="2">
        <f t="shared" si="5"/>
        <v>5055.78</v>
      </c>
      <c r="G4587" s="10">
        <f t="shared" si="9"/>
        <v>42569.64583</v>
      </c>
      <c r="H4587" s="6" t="str">
        <f t="shared" si="6"/>
        <v/>
      </c>
      <c r="I4587" s="2">
        <f t="shared" si="7"/>
        <v>1426.89</v>
      </c>
      <c r="M4587" s="10">
        <f>IFERROR(__xludf.DUMMYFUNCTION("""COMPUTED_VALUE"""),44634.66666666667)</f>
        <v>44634.66667</v>
      </c>
      <c r="N4587" s="2">
        <f>IFERROR(__xludf.DUMMYFUNCTION("""COMPUTED_VALUE"""),12581.22)</f>
        <v>12581.22</v>
      </c>
      <c r="P4587" s="10">
        <f t="shared" si="10"/>
        <v>39044.64583</v>
      </c>
      <c r="Q4587" s="15">
        <v>1419.23</v>
      </c>
      <c r="R4587" s="17">
        <v>39044.0</v>
      </c>
    </row>
    <row r="4588">
      <c r="A4588" s="10">
        <f t="shared" si="8"/>
        <v>42570.66667</v>
      </c>
      <c r="B4588" s="2" t="str">
        <f t="shared" si="2"/>
        <v/>
      </c>
      <c r="C4588" s="2" t="str">
        <f t="shared" si="3"/>
        <v>SP500</v>
      </c>
      <c r="D4588" s="2">
        <f t="shared" si="4"/>
        <v>5036.37</v>
      </c>
      <c r="E4588" s="2">
        <f t="shared" si="5"/>
        <v>5036.37</v>
      </c>
      <c r="G4588" s="10">
        <f t="shared" si="9"/>
        <v>42570.64583</v>
      </c>
      <c r="H4588" s="6" t="str">
        <f t="shared" si="6"/>
        <v/>
      </c>
      <c r="I4588" s="2">
        <f t="shared" si="7"/>
        <v>1426.89</v>
      </c>
      <c r="M4588" s="10">
        <f>IFERROR(__xludf.DUMMYFUNCTION("""COMPUTED_VALUE"""),44635.66666666667)</f>
        <v>44635.66667</v>
      </c>
      <c r="N4588" s="2">
        <f>IFERROR(__xludf.DUMMYFUNCTION("""COMPUTED_VALUE"""),12948.62)</f>
        <v>12948.62</v>
      </c>
      <c r="P4588" s="10">
        <f t="shared" si="10"/>
        <v>39043.64583</v>
      </c>
      <c r="Q4588" s="15">
        <v>1422.54</v>
      </c>
      <c r="R4588" s="17">
        <v>39043.0</v>
      </c>
    </row>
    <row r="4589">
      <c r="A4589" s="10">
        <f t="shared" si="8"/>
        <v>42571.66667</v>
      </c>
      <c r="B4589" s="2" t="str">
        <f t="shared" si="2"/>
        <v/>
      </c>
      <c r="C4589" s="2" t="str">
        <f t="shared" si="3"/>
        <v>SP500</v>
      </c>
      <c r="D4589" s="2">
        <f t="shared" si="4"/>
        <v>5089.93</v>
      </c>
      <c r="E4589" s="2">
        <f t="shared" si="5"/>
        <v>5089.93</v>
      </c>
      <c r="G4589" s="10">
        <f t="shared" si="9"/>
        <v>42571.64583</v>
      </c>
      <c r="H4589" s="6" t="str">
        <f t="shared" si="6"/>
        <v/>
      </c>
      <c r="I4589" s="2">
        <f t="shared" si="7"/>
        <v>1426.89</v>
      </c>
      <c r="M4589" s="10">
        <f>IFERROR(__xludf.DUMMYFUNCTION("""COMPUTED_VALUE"""),44636.66666666667)</f>
        <v>44636.66667</v>
      </c>
      <c r="N4589" s="2">
        <f>IFERROR(__xludf.DUMMYFUNCTION("""COMPUTED_VALUE"""),13436.55)</f>
        <v>13436.55</v>
      </c>
      <c r="P4589" s="10">
        <f t="shared" si="10"/>
        <v>39042.64583</v>
      </c>
      <c r="Q4589" s="15">
        <v>1405.9</v>
      </c>
      <c r="R4589" s="17">
        <v>39042.0</v>
      </c>
    </row>
    <row r="4590">
      <c r="A4590" s="10">
        <f t="shared" si="8"/>
        <v>42572.66667</v>
      </c>
      <c r="B4590" s="2" t="str">
        <f t="shared" si="2"/>
        <v/>
      </c>
      <c r="C4590" s="2" t="str">
        <f t="shared" si="3"/>
        <v>SP500</v>
      </c>
      <c r="D4590" s="2">
        <f t="shared" si="4"/>
        <v>5073.9</v>
      </c>
      <c r="E4590" s="2">
        <f t="shared" si="5"/>
        <v>5073.9</v>
      </c>
      <c r="G4590" s="10">
        <f t="shared" si="9"/>
        <v>42572.64583</v>
      </c>
      <c r="H4590" s="6" t="str">
        <f t="shared" si="6"/>
        <v/>
      </c>
      <c r="I4590" s="2">
        <f t="shared" si="7"/>
        <v>1426.89</v>
      </c>
      <c r="M4590" s="10">
        <f>IFERROR(__xludf.DUMMYFUNCTION("""COMPUTED_VALUE"""),44637.66666666667)</f>
        <v>44637.66667</v>
      </c>
      <c r="N4590" s="2">
        <f>IFERROR(__xludf.DUMMYFUNCTION("""COMPUTED_VALUE"""),13614.78)</f>
        <v>13614.78</v>
      </c>
      <c r="P4590" s="10">
        <f t="shared" si="10"/>
        <v>39041.64583</v>
      </c>
      <c r="Q4590" s="15">
        <v>1402.21</v>
      </c>
      <c r="R4590" s="17">
        <v>39041.0</v>
      </c>
    </row>
    <row r="4591">
      <c r="A4591" s="10">
        <f t="shared" si="8"/>
        <v>42573.66667</v>
      </c>
      <c r="B4591" s="2" t="str">
        <f t="shared" si="2"/>
        <v/>
      </c>
      <c r="C4591" s="2" t="str">
        <f t="shared" si="3"/>
        <v>SP500</v>
      </c>
      <c r="D4591" s="2">
        <f t="shared" si="4"/>
        <v>5100.16</v>
      </c>
      <c r="E4591" s="2">
        <f t="shared" si="5"/>
        <v>5100.16</v>
      </c>
      <c r="G4591" s="10">
        <f t="shared" si="9"/>
        <v>42573.64583</v>
      </c>
      <c r="H4591" s="6" t="str">
        <f t="shared" si="6"/>
        <v/>
      </c>
      <c r="I4591" s="2">
        <f t="shared" si="7"/>
        <v>1426.89</v>
      </c>
      <c r="M4591" s="10">
        <f>IFERROR(__xludf.DUMMYFUNCTION("""COMPUTED_VALUE"""),44638.66666666667)</f>
        <v>44638.66667</v>
      </c>
      <c r="N4591" s="2">
        <f>IFERROR(__xludf.DUMMYFUNCTION("""COMPUTED_VALUE"""),13893.84)</f>
        <v>13893.84</v>
      </c>
      <c r="P4591" s="10">
        <f t="shared" si="10"/>
        <v>39038.64583</v>
      </c>
      <c r="Q4591" s="15">
        <v>1412.22</v>
      </c>
      <c r="R4591" s="17">
        <v>39038.0</v>
      </c>
    </row>
    <row r="4592">
      <c r="A4592" s="10">
        <f t="shared" si="8"/>
        <v>42574.66667</v>
      </c>
      <c r="B4592" s="2" t="str">
        <f t="shared" si="2"/>
        <v/>
      </c>
      <c r="C4592" s="2" t="str">
        <f t="shared" si="3"/>
        <v>SP500</v>
      </c>
      <c r="D4592" s="2" t="str">
        <f t="shared" si="4"/>
        <v/>
      </c>
      <c r="E4592" s="2">
        <f t="shared" si="5"/>
        <v>5100.16</v>
      </c>
      <c r="G4592" s="10">
        <f t="shared" si="9"/>
        <v>42574.64583</v>
      </c>
      <c r="H4592" s="6" t="str">
        <f t="shared" si="6"/>
        <v/>
      </c>
      <c r="I4592" s="2">
        <f t="shared" si="7"/>
        <v>1426.89</v>
      </c>
      <c r="M4592" s="10">
        <f>IFERROR(__xludf.DUMMYFUNCTION("""COMPUTED_VALUE"""),44641.66666666667)</f>
        <v>44641.66667</v>
      </c>
      <c r="N4592" s="2">
        <f>IFERROR(__xludf.DUMMYFUNCTION("""COMPUTED_VALUE"""),13838.46)</f>
        <v>13838.46</v>
      </c>
      <c r="P4592" s="10">
        <f t="shared" si="10"/>
        <v>39037.64583</v>
      </c>
      <c r="Q4592" s="15">
        <v>1410.75</v>
      </c>
      <c r="R4592" s="17">
        <v>39037.0</v>
      </c>
    </row>
    <row r="4593">
      <c r="A4593" s="10">
        <f t="shared" si="8"/>
        <v>42575.66667</v>
      </c>
      <c r="B4593" s="2" t="str">
        <f t="shared" si="2"/>
        <v/>
      </c>
      <c r="C4593" s="2" t="str">
        <f t="shared" si="3"/>
        <v>SP500</v>
      </c>
      <c r="D4593" s="2" t="str">
        <f t="shared" si="4"/>
        <v/>
      </c>
      <c r="E4593" s="2">
        <f t="shared" si="5"/>
        <v>5100.16</v>
      </c>
      <c r="G4593" s="10">
        <f t="shared" si="9"/>
        <v>42575.64583</v>
      </c>
      <c r="H4593" s="6" t="str">
        <f t="shared" si="6"/>
        <v/>
      </c>
      <c r="I4593" s="2">
        <f t="shared" si="7"/>
        <v>1426.89</v>
      </c>
      <c r="M4593" s="10">
        <f>IFERROR(__xludf.DUMMYFUNCTION("""COMPUTED_VALUE"""),44642.66666666667)</f>
        <v>44642.66667</v>
      </c>
      <c r="N4593" s="2">
        <f>IFERROR(__xludf.DUMMYFUNCTION("""COMPUTED_VALUE"""),14108.82)</f>
        <v>14108.82</v>
      </c>
      <c r="P4593" s="10">
        <f t="shared" si="10"/>
        <v>39036.64583</v>
      </c>
      <c r="Q4593" s="15">
        <v>1412.54</v>
      </c>
      <c r="R4593" s="17">
        <v>39036.0</v>
      </c>
    </row>
    <row r="4594">
      <c r="A4594" s="10">
        <f t="shared" si="8"/>
        <v>42576.66667</v>
      </c>
      <c r="B4594" s="2" t="str">
        <f t="shared" si="2"/>
        <v/>
      </c>
      <c r="C4594" s="2" t="str">
        <f t="shared" si="3"/>
        <v>SP500</v>
      </c>
      <c r="D4594" s="2">
        <f t="shared" si="4"/>
        <v>5097.63</v>
      </c>
      <c r="E4594" s="2">
        <f t="shared" si="5"/>
        <v>5097.63</v>
      </c>
      <c r="G4594" s="10">
        <f t="shared" si="9"/>
        <v>42576.64583</v>
      </c>
      <c r="H4594" s="6" t="str">
        <f t="shared" si="6"/>
        <v/>
      </c>
      <c r="I4594" s="2">
        <f t="shared" si="7"/>
        <v>1426.89</v>
      </c>
      <c r="M4594" s="10">
        <f>IFERROR(__xludf.DUMMYFUNCTION("""COMPUTED_VALUE"""),44643.66666666667)</f>
        <v>44643.66667</v>
      </c>
      <c r="N4594" s="2">
        <f>IFERROR(__xludf.DUMMYFUNCTION("""COMPUTED_VALUE"""),13922.6)</f>
        <v>13922.6</v>
      </c>
      <c r="P4594" s="10">
        <f t="shared" si="10"/>
        <v>39035.64583</v>
      </c>
      <c r="Q4594" s="15">
        <v>1407.37</v>
      </c>
      <c r="R4594" s="17">
        <v>39035.0</v>
      </c>
    </row>
    <row r="4595">
      <c r="A4595" s="10">
        <f t="shared" si="8"/>
        <v>42577.66667</v>
      </c>
      <c r="B4595" s="2" t="str">
        <f t="shared" si="2"/>
        <v/>
      </c>
      <c r="C4595" s="2" t="str">
        <f t="shared" si="3"/>
        <v>SP500</v>
      </c>
      <c r="D4595" s="2">
        <f t="shared" si="4"/>
        <v>5110.05</v>
      </c>
      <c r="E4595" s="2">
        <f t="shared" si="5"/>
        <v>5110.05</v>
      </c>
      <c r="G4595" s="10">
        <f t="shared" si="9"/>
        <v>42577.64583</v>
      </c>
      <c r="H4595" s="6" t="str">
        <f t="shared" si="6"/>
        <v/>
      </c>
      <c r="I4595" s="2">
        <f t="shared" si="7"/>
        <v>1426.89</v>
      </c>
      <c r="M4595" s="10">
        <f>IFERROR(__xludf.DUMMYFUNCTION("""COMPUTED_VALUE"""),44644.66666666667)</f>
        <v>44644.66667</v>
      </c>
      <c r="N4595" s="2">
        <f>IFERROR(__xludf.DUMMYFUNCTION("""COMPUTED_VALUE"""),14191.84)</f>
        <v>14191.84</v>
      </c>
      <c r="P4595" s="10">
        <f t="shared" si="10"/>
        <v>39034.64583</v>
      </c>
      <c r="Q4595" s="15">
        <v>1396.69</v>
      </c>
      <c r="R4595" s="17">
        <v>39034.0</v>
      </c>
    </row>
    <row r="4596">
      <c r="A4596" s="10">
        <f t="shared" si="8"/>
        <v>42578.66667</v>
      </c>
      <c r="B4596" s="2" t="str">
        <f t="shared" si="2"/>
        <v/>
      </c>
      <c r="C4596" s="2" t="str">
        <f t="shared" si="3"/>
        <v>SP500</v>
      </c>
      <c r="D4596" s="2">
        <f t="shared" si="4"/>
        <v>5139.81</v>
      </c>
      <c r="E4596" s="2">
        <f t="shared" si="5"/>
        <v>5139.81</v>
      </c>
      <c r="G4596" s="10">
        <f t="shared" si="9"/>
        <v>42578.64583</v>
      </c>
      <c r="H4596" s="6" t="str">
        <f t="shared" si="6"/>
        <v/>
      </c>
      <c r="I4596" s="2">
        <f t="shared" si="7"/>
        <v>1426.89</v>
      </c>
      <c r="M4596" s="10">
        <f>IFERROR(__xludf.DUMMYFUNCTION("""COMPUTED_VALUE"""),44645.66666666667)</f>
        <v>44645.66667</v>
      </c>
      <c r="N4596" s="2">
        <f>IFERROR(__xludf.DUMMYFUNCTION("""COMPUTED_VALUE"""),14169.3)</f>
        <v>14169.3</v>
      </c>
      <c r="P4596" s="10">
        <f t="shared" si="10"/>
        <v>39031.64583</v>
      </c>
      <c r="Q4596" s="15">
        <v>1395.73</v>
      </c>
      <c r="R4596" s="17">
        <v>39031.0</v>
      </c>
    </row>
    <row r="4597">
      <c r="A4597" s="10">
        <f t="shared" si="8"/>
        <v>42579.66667</v>
      </c>
      <c r="B4597" s="2" t="str">
        <f t="shared" si="2"/>
        <v/>
      </c>
      <c r="C4597" s="2" t="str">
        <f t="shared" si="3"/>
        <v>SP500</v>
      </c>
      <c r="D4597" s="2">
        <f t="shared" si="4"/>
        <v>5154.98</v>
      </c>
      <c r="E4597" s="2">
        <f t="shared" si="5"/>
        <v>5154.98</v>
      </c>
      <c r="G4597" s="10">
        <f t="shared" si="9"/>
        <v>42579.64583</v>
      </c>
      <c r="H4597" s="6" t="str">
        <f t="shared" si="6"/>
        <v/>
      </c>
      <c r="I4597" s="2">
        <f t="shared" si="7"/>
        <v>1426.89</v>
      </c>
      <c r="M4597" s="10">
        <f>IFERROR(__xludf.DUMMYFUNCTION("""COMPUTED_VALUE"""),44648.66666666667)</f>
        <v>44648.66667</v>
      </c>
      <c r="N4597" s="2">
        <f>IFERROR(__xludf.DUMMYFUNCTION("""COMPUTED_VALUE"""),14354.9)</f>
        <v>14354.9</v>
      </c>
      <c r="P4597" s="10">
        <f t="shared" si="10"/>
        <v>39030.64583</v>
      </c>
      <c r="Q4597" s="15">
        <v>1399.44</v>
      </c>
      <c r="R4597" s="18">
        <v>39030.0</v>
      </c>
    </row>
    <row r="4598">
      <c r="A4598" s="10">
        <f t="shared" si="8"/>
        <v>42580.66667</v>
      </c>
      <c r="B4598" s="2" t="str">
        <f t="shared" si="2"/>
        <v/>
      </c>
      <c r="C4598" s="2" t="str">
        <f t="shared" si="3"/>
        <v>SP500</v>
      </c>
      <c r="D4598" s="2">
        <f t="shared" si="4"/>
        <v>5162.13</v>
      </c>
      <c r="E4598" s="2">
        <f t="shared" si="5"/>
        <v>5162.13</v>
      </c>
      <c r="G4598" s="10">
        <f t="shared" si="9"/>
        <v>42580.64583</v>
      </c>
      <c r="H4598" s="6" t="str">
        <f t="shared" si="6"/>
        <v/>
      </c>
      <c r="I4598" s="2">
        <f t="shared" si="7"/>
        <v>1426.89</v>
      </c>
      <c r="M4598" s="10">
        <f>IFERROR(__xludf.DUMMYFUNCTION("""COMPUTED_VALUE"""),44649.66666666667)</f>
        <v>44649.66667</v>
      </c>
      <c r="N4598" s="2">
        <f>IFERROR(__xludf.DUMMYFUNCTION("""COMPUTED_VALUE"""),14619.64)</f>
        <v>14619.64</v>
      </c>
      <c r="P4598" s="10">
        <f t="shared" si="10"/>
        <v>39029.64583</v>
      </c>
      <c r="Q4598" s="15">
        <v>1380.07</v>
      </c>
      <c r="R4598" s="18">
        <v>39029.0</v>
      </c>
    </row>
    <row r="4599">
      <c r="A4599" s="10">
        <f t="shared" si="8"/>
        <v>42581.66667</v>
      </c>
      <c r="B4599" s="2" t="str">
        <f t="shared" si="2"/>
        <v/>
      </c>
      <c r="C4599" s="2" t="str">
        <f t="shared" si="3"/>
        <v>SP500</v>
      </c>
      <c r="D4599" s="2" t="str">
        <f t="shared" si="4"/>
        <v/>
      </c>
      <c r="E4599" s="2">
        <f t="shared" si="5"/>
        <v>5162.13</v>
      </c>
      <c r="G4599" s="10">
        <f t="shared" si="9"/>
        <v>42581.64583</v>
      </c>
      <c r="H4599" s="6" t="str">
        <f t="shared" si="6"/>
        <v/>
      </c>
      <c r="I4599" s="2">
        <f t="shared" si="7"/>
        <v>1426.89</v>
      </c>
      <c r="M4599" s="10">
        <f>IFERROR(__xludf.DUMMYFUNCTION("""COMPUTED_VALUE"""),44650.66666666667)</f>
        <v>44650.66667</v>
      </c>
      <c r="N4599" s="2">
        <f>IFERROR(__xludf.DUMMYFUNCTION("""COMPUTED_VALUE"""),14442.28)</f>
        <v>14442.28</v>
      </c>
      <c r="P4599" s="10">
        <f t="shared" si="10"/>
        <v>39028.64583</v>
      </c>
      <c r="Q4599" s="15">
        <v>1387.44</v>
      </c>
      <c r="R4599" s="18">
        <v>39028.0</v>
      </c>
    </row>
    <row r="4600">
      <c r="A4600" s="10">
        <f t="shared" si="8"/>
        <v>42582.66667</v>
      </c>
      <c r="B4600" s="2" t="str">
        <f t="shared" si="2"/>
        <v/>
      </c>
      <c r="C4600" s="2" t="str">
        <f t="shared" si="3"/>
        <v>SP500</v>
      </c>
      <c r="D4600" s="2" t="str">
        <f t="shared" si="4"/>
        <v/>
      </c>
      <c r="E4600" s="2">
        <f t="shared" si="5"/>
        <v>5162.13</v>
      </c>
      <c r="G4600" s="10">
        <f t="shared" si="9"/>
        <v>42582.64583</v>
      </c>
      <c r="H4600" s="6" t="str">
        <f t="shared" si="6"/>
        <v/>
      </c>
      <c r="I4600" s="2">
        <f t="shared" si="7"/>
        <v>1426.89</v>
      </c>
      <c r="M4600" s="10">
        <f>IFERROR(__xludf.DUMMYFUNCTION("""COMPUTED_VALUE"""),44651.66666666667)</f>
        <v>44651.66667</v>
      </c>
      <c r="N4600" s="2">
        <f>IFERROR(__xludf.DUMMYFUNCTION("""COMPUTED_VALUE"""),14220.52)</f>
        <v>14220.52</v>
      </c>
      <c r="P4600" s="10">
        <f t="shared" si="10"/>
        <v>39027.64583</v>
      </c>
      <c r="Q4600" s="15">
        <v>1379.19</v>
      </c>
      <c r="R4600" s="18">
        <v>39027.0</v>
      </c>
    </row>
    <row r="4601">
      <c r="A4601" s="10">
        <f t="shared" si="8"/>
        <v>42583.66667</v>
      </c>
      <c r="B4601" s="2" t="str">
        <f t="shared" si="2"/>
        <v/>
      </c>
      <c r="C4601" s="2" t="str">
        <f t="shared" si="3"/>
        <v>SP500</v>
      </c>
      <c r="D4601" s="2">
        <f t="shared" si="4"/>
        <v>5184.2</v>
      </c>
      <c r="E4601" s="2">
        <f t="shared" si="5"/>
        <v>5184.2</v>
      </c>
      <c r="G4601" s="10">
        <f t="shared" si="9"/>
        <v>42583.64583</v>
      </c>
      <c r="H4601" s="6" t="str">
        <f t="shared" si="6"/>
        <v/>
      </c>
      <c r="I4601" s="2">
        <f t="shared" si="7"/>
        <v>1426.89</v>
      </c>
      <c r="M4601" s="10">
        <f>IFERROR(__xludf.DUMMYFUNCTION("""COMPUTED_VALUE"""),44652.66666666667)</f>
        <v>44652.66667</v>
      </c>
      <c r="N4601" s="2">
        <f>IFERROR(__xludf.DUMMYFUNCTION("""COMPUTED_VALUE"""),14261.5)</f>
        <v>14261.5</v>
      </c>
      <c r="P4601" s="10">
        <f t="shared" si="10"/>
        <v>39024.64583</v>
      </c>
      <c r="Q4601" s="15">
        <v>1383.88</v>
      </c>
      <c r="R4601" s="18">
        <v>39024.0</v>
      </c>
    </row>
    <row r="4602">
      <c r="A4602" s="10">
        <f t="shared" si="8"/>
        <v>42584.66667</v>
      </c>
      <c r="B4602" s="2" t="str">
        <f t="shared" si="2"/>
        <v/>
      </c>
      <c r="C4602" s="2" t="str">
        <f t="shared" si="3"/>
        <v>SP500</v>
      </c>
      <c r="D4602" s="2">
        <f t="shared" si="4"/>
        <v>5137.73</v>
      </c>
      <c r="E4602" s="2">
        <f t="shared" si="5"/>
        <v>5137.73</v>
      </c>
      <c r="G4602" s="10">
        <f t="shared" si="9"/>
        <v>42584.64583</v>
      </c>
      <c r="H4602" s="6" t="str">
        <f t="shared" si="6"/>
        <v/>
      </c>
      <c r="I4602" s="2">
        <f t="shared" si="7"/>
        <v>1426.89</v>
      </c>
      <c r="M4602" s="10">
        <f>IFERROR(__xludf.DUMMYFUNCTION("""COMPUTED_VALUE"""),44655.66666666667)</f>
        <v>44655.66667</v>
      </c>
      <c r="N4602" s="2">
        <f>IFERROR(__xludf.DUMMYFUNCTION("""COMPUTED_VALUE"""),14532.55)</f>
        <v>14532.55</v>
      </c>
      <c r="P4602" s="10">
        <f t="shared" si="10"/>
        <v>39023.64583</v>
      </c>
      <c r="Q4602" s="15">
        <v>1383.73</v>
      </c>
      <c r="R4602" s="18">
        <v>39023.0</v>
      </c>
    </row>
    <row r="4603">
      <c r="A4603" s="10">
        <f t="shared" si="8"/>
        <v>42585.66667</v>
      </c>
      <c r="B4603" s="2" t="str">
        <f t="shared" si="2"/>
        <v/>
      </c>
      <c r="C4603" s="2" t="str">
        <f t="shared" si="3"/>
        <v>SP500</v>
      </c>
      <c r="D4603" s="2">
        <f t="shared" si="4"/>
        <v>5159.74</v>
      </c>
      <c r="E4603" s="2">
        <f t="shared" si="5"/>
        <v>5159.74</v>
      </c>
      <c r="G4603" s="10">
        <f t="shared" si="9"/>
        <v>42585.64583</v>
      </c>
      <c r="H4603" s="6" t="str">
        <f t="shared" si="6"/>
        <v/>
      </c>
      <c r="I4603" s="2">
        <f t="shared" si="7"/>
        <v>1426.89</v>
      </c>
      <c r="M4603" s="10">
        <f>IFERROR(__xludf.DUMMYFUNCTION("""COMPUTED_VALUE"""),44656.66666666667)</f>
        <v>44656.66667</v>
      </c>
      <c r="N4603" s="2">
        <f>IFERROR(__xludf.DUMMYFUNCTION("""COMPUTED_VALUE"""),14204.17)</f>
        <v>14204.17</v>
      </c>
      <c r="P4603" s="10">
        <f t="shared" si="10"/>
        <v>39022.64583</v>
      </c>
      <c r="Q4603" s="15">
        <v>1374.35</v>
      </c>
      <c r="R4603" s="18">
        <v>39022.0</v>
      </c>
    </row>
    <row r="4604">
      <c r="A4604" s="10">
        <f t="shared" si="8"/>
        <v>42586.66667</v>
      </c>
      <c r="B4604" s="2" t="str">
        <f t="shared" si="2"/>
        <v/>
      </c>
      <c r="C4604" s="2" t="str">
        <f t="shared" si="3"/>
        <v>SP500</v>
      </c>
      <c r="D4604" s="2">
        <f t="shared" si="4"/>
        <v>5166.25</v>
      </c>
      <c r="E4604" s="2">
        <f t="shared" si="5"/>
        <v>5166.25</v>
      </c>
      <c r="G4604" s="10">
        <f t="shared" si="9"/>
        <v>42586.64583</v>
      </c>
      <c r="H4604" s="6" t="str">
        <f t="shared" si="6"/>
        <v/>
      </c>
      <c r="I4604" s="2">
        <f t="shared" si="7"/>
        <v>1426.89</v>
      </c>
      <c r="M4604" s="10">
        <f>IFERROR(__xludf.DUMMYFUNCTION("""COMPUTED_VALUE"""),44657.66666666667)</f>
        <v>44657.66667</v>
      </c>
      <c r="N4604" s="2">
        <f>IFERROR(__xludf.DUMMYFUNCTION("""COMPUTED_VALUE"""),13888.82)</f>
        <v>13888.82</v>
      </c>
      <c r="P4604" s="10">
        <f t="shared" si="10"/>
        <v>39021.64583</v>
      </c>
      <c r="Q4604" s="15">
        <v>1364.55</v>
      </c>
      <c r="R4604" s="17">
        <v>39021.0</v>
      </c>
    </row>
    <row r="4605">
      <c r="A4605" s="10">
        <f t="shared" si="8"/>
        <v>42587.66667</v>
      </c>
      <c r="B4605" s="2" t="str">
        <f t="shared" si="2"/>
        <v/>
      </c>
      <c r="C4605" s="2" t="str">
        <f t="shared" si="3"/>
        <v>SP500</v>
      </c>
      <c r="D4605" s="2">
        <f t="shared" si="4"/>
        <v>5221.12</v>
      </c>
      <c r="E4605" s="2">
        <f t="shared" si="5"/>
        <v>5221.12</v>
      </c>
      <c r="G4605" s="10">
        <f t="shared" si="9"/>
        <v>42587.64583</v>
      </c>
      <c r="H4605" s="6" t="str">
        <f t="shared" si="6"/>
        <v/>
      </c>
      <c r="I4605" s="2">
        <f t="shared" si="7"/>
        <v>1426.89</v>
      </c>
      <c r="M4605" s="10">
        <f>IFERROR(__xludf.DUMMYFUNCTION("""COMPUTED_VALUE"""),44658.66666666667)</f>
        <v>44658.66667</v>
      </c>
      <c r="N4605" s="2">
        <f>IFERROR(__xludf.DUMMYFUNCTION("""COMPUTED_VALUE"""),13897.3)</f>
        <v>13897.3</v>
      </c>
      <c r="P4605" s="10">
        <f t="shared" si="10"/>
        <v>39020.64583</v>
      </c>
      <c r="Q4605" s="15">
        <v>1356.11</v>
      </c>
      <c r="R4605" s="17">
        <v>39020.0</v>
      </c>
    </row>
    <row r="4606">
      <c r="A4606" s="10">
        <f t="shared" si="8"/>
        <v>42588.66667</v>
      </c>
      <c r="B4606" s="2" t="str">
        <f t="shared" si="2"/>
        <v/>
      </c>
      <c r="C4606" s="2" t="str">
        <f t="shared" si="3"/>
        <v>SP500</v>
      </c>
      <c r="D4606" s="2" t="str">
        <f t="shared" si="4"/>
        <v/>
      </c>
      <c r="E4606" s="2">
        <f t="shared" si="5"/>
        <v>5221.12</v>
      </c>
      <c r="G4606" s="10">
        <f t="shared" si="9"/>
        <v>42588.64583</v>
      </c>
      <c r="H4606" s="6" t="str">
        <f t="shared" si="6"/>
        <v/>
      </c>
      <c r="I4606" s="2">
        <f t="shared" si="7"/>
        <v>1426.89</v>
      </c>
      <c r="M4606" s="10">
        <f>IFERROR(__xludf.DUMMYFUNCTION("""COMPUTED_VALUE"""),44659.66666666667)</f>
        <v>44659.66667</v>
      </c>
      <c r="N4606" s="2">
        <f>IFERROR(__xludf.DUMMYFUNCTION("""COMPUTED_VALUE"""),13711.0)</f>
        <v>13711</v>
      </c>
      <c r="P4606" s="10">
        <f t="shared" si="10"/>
        <v>39017.64583</v>
      </c>
      <c r="Q4606" s="15">
        <v>1369.09</v>
      </c>
      <c r="R4606" s="17">
        <v>39017.0</v>
      </c>
    </row>
    <row r="4607">
      <c r="A4607" s="10">
        <f t="shared" si="8"/>
        <v>42589.66667</v>
      </c>
      <c r="B4607" s="2" t="str">
        <f t="shared" si="2"/>
        <v/>
      </c>
      <c r="C4607" s="2" t="str">
        <f t="shared" si="3"/>
        <v>SP500</v>
      </c>
      <c r="D4607" s="2" t="str">
        <f t="shared" si="4"/>
        <v/>
      </c>
      <c r="E4607" s="2">
        <f t="shared" si="5"/>
        <v>5221.12</v>
      </c>
      <c r="G4607" s="10">
        <f t="shared" si="9"/>
        <v>42589.64583</v>
      </c>
      <c r="H4607" s="6" t="str">
        <f t="shared" si="6"/>
        <v/>
      </c>
      <c r="I4607" s="2">
        <f t="shared" si="7"/>
        <v>1426.89</v>
      </c>
      <c r="M4607" s="10">
        <f>IFERROR(__xludf.DUMMYFUNCTION("""COMPUTED_VALUE"""),44662.66666666667)</f>
        <v>44662.66667</v>
      </c>
      <c r="N4607" s="2">
        <f>IFERROR(__xludf.DUMMYFUNCTION("""COMPUTED_VALUE"""),13411.96)</f>
        <v>13411.96</v>
      </c>
      <c r="P4607" s="10">
        <f t="shared" si="10"/>
        <v>39016.64583</v>
      </c>
      <c r="Q4607" s="15">
        <v>1373.65</v>
      </c>
      <c r="R4607" s="17">
        <v>39016.0</v>
      </c>
    </row>
    <row r="4608">
      <c r="A4608" s="10">
        <f t="shared" si="8"/>
        <v>42590.66667</v>
      </c>
      <c r="B4608" s="2" t="str">
        <f t="shared" si="2"/>
        <v/>
      </c>
      <c r="C4608" s="2" t="str">
        <f t="shared" si="3"/>
        <v>SP500</v>
      </c>
      <c r="D4608" s="2">
        <f t="shared" si="4"/>
        <v>5213.14</v>
      </c>
      <c r="E4608" s="2">
        <f t="shared" si="5"/>
        <v>5213.14</v>
      </c>
      <c r="G4608" s="10">
        <f t="shared" si="9"/>
        <v>42590.64583</v>
      </c>
      <c r="H4608" s="6" t="str">
        <f t="shared" si="6"/>
        <v/>
      </c>
      <c r="I4608" s="2">
        <f t="shared" si="7"/>
        <v>1426.89</v>
      </c>
      <c r="M4608" s="10">
        <f>IFERROR(__xludf.DUMMYFUNCTION("""COMPUTED_VALUE"""),44663.66666666667)</f>
        <v>44663.66667</v>
      </c>
      <c r="N4608" s="2">
        <f>IFERROR(__xludf.DUMMYFUNCTION("""COMPUTED_VALUE"""),13371.57)</f>
        <v>13371.57</v>
      </c>
      <c r="P4608" s="10">
        <f t="shared" si="10"/>
        <v>39015.64583</v>
      </c>
      <c r="Q4608" s="15">
        <v>1371.43</v>
      </c>
      <c r="R4608" s="17">
        <v>39015.0</v>
      </c>
    </row>
    <row r="4609">
      <c r="A4609" s="10">
        <f t="shared" si="8"/>
        <v>42591.66667</v>
      </c>
      <c r="B4609" s="2" t="str">
        <f t="shared" si="2"/>
        <v/>
      </c>
      <c r="C4609" s="2" t="str">
        <f t="shared" si="3"/>
        <v>SP500</v>
      </c>
      <c r="D4609" s="2">
        <f t="shared" si="4"/>
        <v>5225.48</v>
      </c>
      <c r="E4609" s="2">
        <f t="shared" si="5"/>
        <v>5225.48</v>
      </c>
      <c r="G4609" s="10">
        <f t="shared" si="9"/>
        <v>42591.64583</v>
      </c>
      <c r="H4609" s="6" t="str">
        <f t="shared" si="6"/>
        <v/>
      </c>
      <c r="I4609" s="2">
        <f t="shared" si="7"/>
        <v>1426.89</v>
      </c>
      <c r="M4609" s="10">
        <f>IFERROR(__xludf.DUMMYFUNCTION("""COMPUTED_VALUE"""),44664.66666666667)</f>
        <v>44664.66667</v>
      </c>
      <c r="N4609" s="2">
        <f>IFERROR(__xludf.DUMMYFUNCTION("""COMPUTED_VALUE"""),13643.59)</f>
        <v>13643.59</v>
      </c>
      <c r="P4609" s="10">
        <f t="shared" si="10"/>
        <v>39014.64583</v>
      </c>
      <c r="Q4609" s="15">
        <v>1366.5</v>
      </c>
      <c r="R4609" s="17">
        <v>39014.0</v>
      </c>
    </row>
    <row r="4610">
      <c r="A4610" s="10">
        <f t="shared" si="8"/>
        <v>42592.66667</v>
      </c>
      <c r="B4610" s="2" t="str">
        <f t="shared" si="2"/>
        <v/>
      </c>
      <c r="C4610" s="2" t="str">
        <f t="shared" si="3"/>
        <v>SP500</v>
      </c>
      <c r="D4610" s="2">
        <f t="shared" si="4"/>
        <v>5204.58</v>
      </c>
      <c r="E4610" s="2">
        <f t="shared" si="5"/>
        <v>5204.58</v>
      </c>
      <c r="G4610" s="10">
        <f t="shared" si="9"/>
        <v>42592.64583</v>
      </c>
      <c r="H4610" s="6" t="str">
        <f t="shared" si="6"/>
        <v/>
      </c>
      <c r="I4610" s="2">
        <f t="shared" si="7"/>
        <v>1426.89</v>
      </c>
      <c r="M4610" s="10">
        <f>IFERROR(__xludf.DUMMYFUNCTION("""COMPUTED_VALUE"""),44665.66666666667)</f>
        <v>44665.66667</v>
      </c>
      <c r="N4610" s="2">
        <f>IFERROR(__xludf.DUMMYFUNCTION("""COMPUTED_VALUE"""),13351.08)</f>
        <v>13351.08</v>
      </c>
      <c r="P4610" s="10">
        <f t="shared" si="10"/>
        <v>39013.64583</v>
      </c>
      <c r="Q4610" s="15">
        <v>1364.95</v>
      </c>
      <c r="R4610" s="17">
        <v>39013.0</v>
      </c>
    </row>
    <row r="4611">
      <c r="A4611" s="10">
        <f t="shared" si="8"/>
        <v>42593.66667</v>
      </c>
      <c r="B4611" s="2" t="str">
        <f t="shared" si="2"/>
        <v/>
      </c>
      <c r="C4611" s="2" t="str">
        <f t="shared" si="3"/>
        <v>SP500</v>
      </c>
      <c r="D4611" s="2">
        <f t="shared" si="4"/>
        <v>5228.4</v>
      </c>
      <c r="E4611" s="2">
        <f t="shared" si="5"/>
        <v>5228.4</v>
      </c>
      <c r="G4611" s="10">
        <f t="shared" si="9"/>
        <v>42593.64583</v>
      </c>
      <c r="H4611" s="6" t="str">
        <f t="shared" si="6"/>
        <v/>
      </c>
      <c r="I4611" s="2">
        <f t="shared" si="7"/>
        <v>1426.89</v>
      </c>
      <c r="M4611" s="10">
        <f>IFERROR(__xludf.DUMMYFUNCTION("""COMPUTED_VALUE"""),44669.66666666667)</f>
        <v>44669.66667</v>
      </c>
      <c r="N4611" s="2">
        <f>IFERROR(__xludf.DUMMYFUNCTION("""COMPUTED_VALUE"""),13332.36)</f>
        <v>13332.36</v>
      </c>
      <c r="P4611" s="10">
        <f t="shared" si="10"/>
        <v>39010.64583</v>
      </c>
      <c r="Q4611" s="15">
        <v>1364.24</v>
      </c>
      <c r="R4611" s="17">
        <v>39010.0</v>
      </c>
    </row>
    <row r="4612">
      <c r="A4612" s="10">
        <f t="shared" si="8"/>
        <v>42594.66667</v>
      </c>
      <c r="B4612" s="2" t="str">
        <f t="shared" si="2"/>
        <v/>
      </c>
      <c r="C4612" s="2" t="str">
        <f t="shared" si="3"/>
        <v>SP500</v>
      </c>
      <c r="D4612" s="2">
        <f t="shared" si="4"/>
        <v>5232.89</v>
      </c>
      <c r="E4612" s="2">
        <f t="shared" si="5"/>
        <v>5232.89</v>
      </c>
      <c r="G4612" s="10">
        <f t="shared" si="9"/>
        <v>42594.64583</v>
      </c>
      <c r="H4612" s="6" t="str">
        <f t="shared" si="6"/>
        <v/>
      </c>
      <c r="I4612" s="2">
        <f t="shared" si="7"/>
        <v>1426.89</v>
      </c>
      <c r="M4612" s="10">
        <f>IFERROR(__xludf.DUMMYFUNCTION("""COMPUTED_VALUE"""),44670.66666666667)</f>
        <v>44670.66667</v>
      </c>
      <c r="N4612" s="2">
        <f>IFERROR(__xludf.DUMMYFUNCTION("""COMPUTED_VALUE"""),13619.66)</f>
        <v>13619.66</v>
      </c>
      <c r="P4612" s="10">
        <f t="shared" si="10"/>
        <v>39009.64583</v>
      </c>
      <c r="Q4612" s="15">
        <v>1354.06</v>
      </c>
      <c r="R4612" s="17">
        <v>39009.0</v>
      </c>
    </row>
    <row r="4613">
      <c r="A4613" s="10">
        <f t="shared" si="8"/>
        <v>42595.66667</v>
      </c>
      <c r="B4613" s="2" t="str">
        <f t="shared" si="2"/>
        <v/>
      </c>
      <c r="C4613" s="2" t="str">
        <f t="shared" si="3"/>
        <v>SP500</v>
      </c>
      <c r="D4613" s="2" t="str">
        <f t="shared" si="4"/>
        <v/>
      </c>
      <c r="E4613" s="2">
        <f t="shared" si="5"/>
        <v>5232.89</v>
      </c>
      <c r="G4613" s="10">
        <f t="shared" si="9"/>
        <v>42595.64583</v>
      </c>
      <c r="H4613" s="6" t="str">
        <f t="shared" si="6"/>
        <v/>
      </c>
      <c r="I4613" s="2">
        <f t="shared" si="7"/>
        <v>1426.89</v>
      </c>
      <c r="M4613" s="10">
        <f>IFERROR(__xludf.DUMMYFUNCTION("""COMPUTED_VALUE"""),44671.66666666667)</f>
        <v>44671.66667</v>
      </c>
      <c r="N4613" s="2">
        <f>IFERROR(__xludf.DUMMYFUNCTION("""COMPUTED_VALUE"""),13453.07)</f>
        <v>13453.07</v>
      </c>
      <c r="P4613" s="10">
        <f t="shared" si="10"/>
        <v>39008.64583</v>
      </c>
      <c r="Q4613" s="15">
        <v>1354.26</v>
      </c>
      <c r="R4613" s="17">
        <v>39008.0</v>
      </c>
    </row>
    <row r="4614">
      <c r="A4614" s="10">
        <f t="shared" si="8"/>
        <v>42596.66667</v>
      </c>
      <c r="B4614" s="2" t="str">
        <f t="shared" si="2"/>
        <v/>
      </c>
      <c r="C4614" s="2" t="str">
        <f t="shared" si="3"/>
        <v>SP500</v>
      </c>
      <c r="D4614" s="2" t="str">
        <f t="shared" si="4"/>
        <v/>
      </c>
      <c r="E4614" s="2">
        <f t="shared" si="5"/>
        <v>5232.89</v>
      </c>
      <c r="G4614" s="10">
        <f t="shared" si="9"/>
        <v>42596.64583</v>
      </c>
      <c r="H4614" s="6" t="str">
        <f t="shared" si="6"/>
        <v/>
      </c>
      <c r="I4614" s="2">
        <f t="shared" si="7"/>
        <v>1426.89</v>
      </c>
      <c r="M4614" s="10">
        <f>IFERROR(__xludf.DUMMYFUNCTION("""COMPUTED_VALUE"""),44672.66666666667)</f>
        <v>44672.66667</v>
      </c>
      <c r="N4614" s="2">
        <f>IFERROR(__xludf.DUMMYFUNCTION("""COMPUTED_VALUE"""),13174.65)</f>
        <v>13174.65</v>
      </c>
      <c r="P4614" s="10">
        <f t="shared" si="10"/>
        <v>39007.64583</v>
      </c>
      <c r="Q4614" s="15">
        <v>1351.3</v>
      </c>
      <c r="R4614" s="17">
        <v>39007.0</v>
      </c>
    </row>
    <row r="4615">
      <c r="A4615" s="10">
        <f t="shared" si="8"/>
        <v>42597.66667</v>
      </c>
      <c r="B4615" s="2" t="str">
        <f t="shared" si="2"/>
        <v/>
      </c>
      <c r="C4615" s="2" t="str">
        <f t="shared" si="3"/>
        <v>SP500</v>
      </c>
      <c r="D4615" s="2">
        <f t="shared" si="4"/>
        <v>5262.02</v>
      </c>
      <c r="E4615" s="2">
        <f t="shared" si="5"/>
        <v>5262.02</v>
      </c>
      <c r="G4615" s="10">
        <f t="shared" si="9"/>
        <v>42597.64583</v>
      </c>
      <c r="H4615" s="6" t="str">
        <f t="shared" si="6"/>
        <v/>
      </c>
      <c r="I4615" s="2">
        <f t="shared" si="7"/>
        <v>1426.89</v>
      </c>
      <c r="M4615" s="10">
        <f>IFERROR(__xludf.DUMMYFUNCTION("""COMPUTED_VALUE"""),44673.66666666667)</f>
        <v>44673.66667</v>
      </c>
      <c r="N4615" s="2">
        <f>IFERROR(__xludf.DUMMYFUNCTION("""COMPUTED_VALUE"""),12839.29)</f>
        <v>12839.29</v>
      </c>
      <c r="P4615" s="10">
        <f t="shared" si="10"/>
        <v>39006.64583</v>
      </c>
      <c r="Q4615" s="15">
        <v>1356.72</v>
      </c>
      <c r="R4615" s="17">
        <v>39006.0</v>
      </c>
    </row>
    <row r="4616">
      <c r="A4616" s="10">
        <f t="shared" si="8"/>
        <v>42598.66667</v>
      </c>
      <c r="B4616" s="2" t="str">
        <f t="shared" si="2"/>
        <v/>
      </c>
      <c r="C4616" s="2" t="str">
        <f t="shared" si="3"/>
        <v>SP500</v>
      </c>
      <c r="D4616" s="2">
        <f t="shared" si="4"/>
        <v>5227.11</v>
      </c>
      <c r="E4616" s="2">
        <f t="shared" si="5"/>
        <v>5227.11</v>
      </c>
      <c r="G4616" s="10">
        <f t="shared" si="9"/>
        <v>42598.64583</v>
      </c>
      <c r="H4616" s="6" t="str">
        <f t="shared" si="6"/>
        <v/>
      </c>
      <c r="I4616" s="2">
        <f t="shared" si="7"/>
        <v>1426.89</v>
      </c>
      <c r="M4616" s="10">
        <f>IFERROR(__xludf.DUMMYFUNCTION("""COMPUTED_VALUE"""),44676.66666666667)</f>
        <v>44676.66667</v>
      </c>
      <c r="N4616" s="2">
        <f>IFERROR(__xludf.DUMMYFUNCTION("""COMPUTED_VALUE"""),13004.85)</f>
        <v>13004.85</v>
      </c>
      <c r="P4616" s="10">
        <f t="shared" si="10"/>
        <v>39003.64583</v>
      </c>
      <c r="Q4616" s="15">
        <v>1348.6</v>
      </c>
      <c r="R4616" s="17">
        <v>39003.0</v>
      </c>
    </row>
    <row r="4617">
      <c r="A4617" s="10">
        <f t="shared" si="8"/>
        <v>42599.66667</v>
      </c>
      <c r="B4617" s="2" t="str">
        <f t="shared" si="2"/>
        <v/>
      </c>
      <c r="C4617" s="2" t="str">
        <f t="shared" si="3"/>
        <v>SP500</v>
      </c>
      <c r="D4617" s="2">
        <f t="shared" si="4"/>
        <v>5228.66</v>
      </c>
      <c r="E4617" s="2">
        <f t="shared" si="5"/>
        <v>5228.66</v>
      </c>
      <c r="G4617" s="10">
        <f t="shared" si="9"/>
        <v>42599.64583</v>
      </c>
      <c r="H4617" s="6" t="str">
        <f t="shared" si="6"/>
        <v/>
      </c>
      <c r="I4617" s="2">
        <f t="shared" si="7"/>
        <v>1426.89</v>
      </c>
      <c r="M4617" s="10">
        <f>IFERROR(__xludf.DUMMYFUNCTION("""COMPUTED_VALUE"""),44677.66666666667)</f>
        <v>44677.66667</v>
      </c>
      <c r="N4617" s="2">
        <f>IFERROR(__xludf.DUMMYFUNCTION("""COMPUTED_VALUE"""),12490.74)</f>
        <v>12490.74</v>
      </c>
      <c r="P4617" s="10">
        <f t="shared" si="10"/>
        <v>39002.64583</v>
      </c>
      <c r="Q4617" s="15">
        <v>1331.78</v>
      </c>
      <c r="R4617" s="17">
        <v>39002.0</v>
      </c>
    </row>
    <row r="4618">
      <c r="A4618" s="10">
        <f t="shared" si="8"/>
        <v>42600.66667</v>
      </c>
      <c r="B4618" s="2" t="str">
        <f t="shared" si="2"/>
        <v/>
      </c>
      <c r="C4618" s="2" t="str">
        <f t="shared" si="3"/>
        <v>SP500</v>
      </c>
      <c r="D4618" s="2">
        <f t="shared" si="4"/>
        <v>5240.15</v>
      </c>
      <c r="E4618" s="2">
        <f t="shared" si="5"/>
        <v>5240.15</v>
      </c>
      <c r="G4618" s="10">
        <f t="shared" si="9"/>
        <v>42600.64583</v>
      </c>
      <c r="H4618" s="6" t="str">
        <f t="shared" si="6"/>
        <v/>
      </c>
      <c r="I4618" s="2">
        <f t="shared" si="7"/>
        <v>1426.89</v>
      </c>
      <c r="M4618" s="10">
        <f>IFERROR(__xludf.DUMMYFUNCTION("""COMPUTED_VALUE"""),44678.66666666667)</f>
        <v>44678.66667</v>
      </c>
      <c r="N4618" s="2">
        <f>IFERROR(__xludf.DUMMYFUNCTION("""COMPUTED_VALUE"""),12488.93)</f>
        <v>12488.93</v>
      </c>
      <c r="P4618" s="10">
        <f t="shared" si="10"/>
        <v>39001.64583</v>
      </c>
      <c r="Q4618" s="15">
        <v>1325.49</v>
      </c>
      <c r="R4618" s="17">
        <v>39001.0</v>
      </c>
    </row>
    <row r="4619">
      <c r="A4619" s="10">
        <f t="shared" si="8"/>
        <v>42601.66667</v>
      </c>
      <c r="B4619" s="2" t="str">
        <f t="shared" si="2"/>
        <v/>
      </c>
      <c r="C4619" s="2" t="str">
        <f t="shared" si="3"/>
        <v>SP500</v>
      </c>
      <c r="D4619" s="2">
        <f t="shared" si="4"/>
        <v>5238.38</v>
      </c>
      <c r="E4619" s="2">
        <f t="shared" si="5"/>
        <v>5238.38</v>
      </c>
      <c r="G4619" s="10">
        <f t="shared" si="9"/>
        <v>42601.64583</v>
      </c>
      <c r="H4619" s="6" t="str">
        <f t="shared" si="6"/>
        <v/>
      </c>
      <c r="I4619" s="2">
        <f t="shared" si="7"/>
        <v>1426.89</v>
      </c>
      <c r="M4619" s="10">
        <f>IFERROR(__xludf.DUMMYFUNCTION("""COMPUTED_VALUE"""),44679.66666666667)</f>
        <v>44679.66667</v>
      </c>
      <c r="N4619" s="2">
        <f>IFERROR(__xludf.DUMMYFUNCTION("""COMPUTED_VALUE"""),12871.53)</f>
        <v>12871.53</v>
      </c>
      <c r="P4619" s="10">
        <f t="shared" si="10"/>
        <v>39000.64583</v>
      </c>
      <c r="Q4619" s="15">
        <v>1328.37</v>
      </c>
      <c r="R4619" s="17">
        <v>39000.0</v>
      </c>
    </row>
    <row r="4620">
      <c r="A4620" s="10">
        <f t="shared" si="8"/>
        <v>42602.66667</v>
      </c>
      <c r="B4620" s="2" t="str">
        <f t="shared" si="2"/>
        <v/>
      </c>
      <c r="C4620" s="2" t="str">
        <f t="shared" si="3"/>
        <v>SP500</v>
      </c>
      <c r="D4620" s="2" t="str">
        <f t="shared" si="4"/>
        <v/>
      </c>
      <c r="E4620" s="2">
        <f t="shared" si="5"/>
        <v>5238.38</v>
      </c>
      <c r="G4620" s="10">
        <f t="shared" si="9"/>
        <v>42602.64583</v>
      </c>
      <c r="H4620" s="6" t="str">
        <f t="shared" si="6"/>
        <v/>
      </c>
      <c r="I4620" s="2">
        <f t="shared" si="7"/>
        <v>1426.89</v>
      </c>
      <c r="M4620" s="10">
        <f>IFERROR(__xludf.DUMMYFUNCTION("""COMPUTED_VALUE"""),44680.66666666667)</f>
        <v>44680.66667</v>
      </c>
      <c r="N4620" s="2">
        <f>IFERROR(__xludf.DUMMYFUNCTION("""COMPUTED_VALUE"""),12334.64)</f>
        <v>12334.64</v>
      </c>
      <c r="P4620" s="10">
        <f t="shared" si="10"/>
        <v>38999.64583</v>
      </c>
      <c r="Q4620" s="15">
        <v>1319.4</v>
      </c>
      <c r="R4620" s="18">
        <v>38999.0</v>
      </c>
    </row>
    <row r="4621">
      <c r="A4621" s="10">
        <f t="shared" si="8"/>
        <v>42603.66667</v>
      </c>
      <c r="B4621" s="2" t="str">
        <f t="shared" si="2"/>
        <v/>
      </c>
      <c r="C4621" s="2" t="str">
        <f t="shared" si="3"/>
        <v>SP500</v>
      </c>
      <c r="D4621" s="2" t="str">
        <f t="shared" si="4"/>
        <v/>
      </c>
      <c r="E4621" s="2">
        <f t="shared" si="5"/>
        <v>5238.38</v>
      </c>
      <c r="G4621" s="10">
        <f t="shared" si="9"/>
        <v>42603.64583</v>
      </c>
      <c r="H4621" s="6" t="str">
        <f t="shared" si="6"/>
        <v/>
      </c>
      <c r="I4621" s="2">
        <f t="shared" si="7"/>
        <v>1426.89</v>
      </c>
      <c r="M4621" s="10">
        <f>IFERROR(__xludf.DUMMYFUNCTION("""COMPUTED_VALUE"""),44683.66666666667)</f>
        <v>44683.66667</v>
      </c>
      <c r="N4621" s="2">
        <f>IFERROR(__xludf.DUMMYFUNCTION("""COMPUTED_VALUE"""),12536.02)</f>
        <v>12536.02</v>
      </c>
      <c r="P4621" s="10">
        <f t="shared" si="10"/>
        <v>38994.64583</v>
      </c>
      <c r="Q4621" s="15">
        <v>1352.0</v>
      </c>
      <c r="R4621" s="18">
        <v>38994.0</v>
      </c>
    </row>
    <row r="4622">
      <c r="A4622" s="10">
        <f t="shared" si="8"/>
        <v>42604.66667</v>
      </c>
      <c r="B4622" s="2" t="str">
        <f t="shared" si="2"/>
        <v/>
      </c>
      <c r="C4622" s="2" t="str">
        <f t="shared" si="3"/>
        <v>SP500</v>
      </c>
      <c r="D4622" s="2">
        <f t="shared" si="4"/>
        <v>5244.6</v>
      </c>
      <c r="E4622" s="2">
        <f t="shared" si="5"/>
        <v>5244.6</v>
      </c>
      <c r="G4622" s="10">
        <f t="shared" si="9"/>
        <v>42604.64583</v>
      </c>
      <c r="H4622" s="6" t="str">
        <f t="shared" si="6"/>
        <v/>
      </c>
      <c r="I4622" s="2">
        <f t="shared" si="7"/>
        <v>1426.89</v>
      </c>
      <c r="M4622" s="10">
        <f>IFERROR(__xludf.DUMMYFUNCTION("""COMPUTED_VALUE"""),44684.66666666667)</f>
        <v>44684.66667</v>
      </c>
      <c r="N4622" s="2">
        <f>IFERROR(__xludf.DUMMYFUNCTION("""COMPUTED_VALUE"""),12563.76)</f>
        <v>12563.76</v>
      </c>
      <c r="P4622" s="10">
        <f t="shared" si="10"/>
        <v>38992.64583</v>
      </c>
      <c r="Q4622" s="15">
        <v>1374.22</v>
      </c>
      <c r="R4622" s="18">
        <v>38992.0</v>
      </c>
    </row>
    <row r="4623">
      <c r="A4623" s="10">
        <f t="shared" si="8"/>
        <v>42605.66667</v>
      </c>
      <c r="B4623" s="2" t="str">
        <f t="shared" si="2"/>
        <v/>
      </c>
      <c r="C4623" s="2" t="str">
        <f t="shared" si="3"/>
        <v>SP500</v>
      </c>
      <c r="D4623" s="2">
        <f t="shared" si="4"/>
        <v>5260.08</v>
      </c>
      <c r="E4623" s="2">
        <f t="shared" si="5"/>
        <v>5260.08</v>
      </c>
      <c r="G4623" s="10">
        <f t="shared" si="9"/>
        <v>42605.64583</v>
      </c>
      <c r="H4623" s="6" t="str">
        <f t="shared" si="6"/>
        <v/>
      </c>
      <c r="I4623" s="2">
        <f t="shared" si="7"/>
        <v>1426.89</v>
      </c>
      <c r="M4623" s="10">
        <f>IFERROR(__xludf.DUMMYFUNCTION("""COMPUTED_VALUE"""),44685.66666666667)</f>
        <v>44685.66667</v>
      </c>
      <c r="N4623" s="2">
        <f>IFERROR(__xludf.DUMMYFUNCTION("""COMPUTED_VALUE"""),12964.86)</f>
        <v>12964.86</v>
      </c>
      <c r="P4623" s="10">
        <f t="shared" si="10"/>
        <v>38989.64583</v>
      </c>
      <c r="Q4623" s="15">
        <v>1371.41</v>
      </c>
      <c r="R4623" s="18">
        <v>38989.0</v>
      </c>
    </row>
    <row r="4624">
      <c r="A4624" s="10">
        <f t="shared" si="8"/>
        <v>42606.66667</v>
      </c>
      <c r="B4624" s="2" t="str">
        <f t="shared" si="2"/>
        <v/>
      </c>
      <c r="C4624" s="2" t="str">
        <f t="shared" si="3"/>
        <v>SP500</v>
      </c>
      <c r="D4624" s="2">
        <f t="shared" si="4"/>
        <v>5217.69</v>
      </c>
      <c r="E4624" s="2">
        <f t="shared" si="5"/>
        <v>5217.69</v>
      </c>
      <c r="G4624" s="10">
        <f t="shared" si="9"/>
        <v>42606.64583</v>
      </c>
      <c r="H4624" s="6" t="str">
        <f t="shared" si="6"/>
        <v/>
      </c>
      <c r="I4624" s="2">
        <f t="shared" si="7"/>
        <v>1426.89</v>
      </c>
      <c r="M4624" s="10">
        <f>IFERROR(__xludf.DUMMYFUNCTION("""COMPUTED_VALUE"""),44686.66666666667)</f>
        <v>44686.66667</v>
      </c>
      <c r="N4624" s="2">
        <f>IFERROR(__xludf.DUMMYFUNCTION("""COMPUTED_VALUE"""),12317.69)</f>
        <v>12317.69</v>
      </c>
      <c r="P4624" s="10">
        <f t="shared" si="10"/>
        <v>38988.64583</v>
      </c>
      <c r="Q4624" s="15">
        <v>1371.43</v>
      </c>
      <c r="R4624" s="18">
        <v>38988.0</v>
      </c>
    </row>
    <row r="4625">
      <c r="A4625" s="10">
        <f t="shared" si="8"/>
        <v>42607.66667</v>
      </c>
      <c r="B4625" s="2" t="str">
        <f t="shared" si="2"/>
        <v/>
      </c>
      <c r="C4625" s="2" t="str">
        <f t="shared" si="3"/>
        <v>SP500</v>
      </c>
      <c r="D4625" s="2">
        <f t="shared" si="4"/>
        <v>5212.2</v>
      </c>
      <c r="E4625" s="2">
        <f t="shared" si="5"/>
        <v>5212.2</v>
      </c>
      <c r="G4625" s="10">
        <f t="shared" si="9"/>
        <v>42607.64583</v>
      </c>
      <c r="H4625" s="6" t="str">
        <f t="shared" si="6"/>
        <v/>
      </c>
      <c r="I4625" s="2">
        <f t="shared" si="7"/>
        <v>1426.89</v>
      </c>
      <c r="M4625" s="10">
        <f>IFERROR(__xludf.DUMMYFUNCTION("""COMPUTED_VALUE"""),44687.66666666667)</f>
        <v>44687.66667</v>
      </c>
      <c r="N4625" s="2">
        <f>IFERROR(__xludf.DUMMYFUNCTION("""COMPUTED_VALUE"""),12144.66)</f>
        <v>12144.66</v>
      </c>
      <c r="P4625" s="10">
        <f t="shared" si="10"/>
        <v>38987.64583</v>
      </c>
      <c r="Q4625" s="15">
        <v>1360.03</v>
      </c>
      <c r="R4625" s="18">
        <v>38987.0</v>
      </c>
    </row>
    <row r="4626">
      <c r="A4626" s="10">
        <f t="shared" si="8"/>
        <v>42608.66667</v>
      </c>
      <c r="B4626" s="2" t="str">
        <f t="shared" si="2"/>
        <v/>
      </c>
      <c r="C4626" s="2" t="str">
        <f t="shared" si="3"/>
        <v>SP500</v>
      </c>
      <c r="D4626" s="2">
        <f t="shared" si="4"/>
        <v>5218.92</v>
      </c>
      <c r="E4626" s="2">
        <f t="shared" si="5"/>
        <v>5218.92</v>
      </c>
      <c r="G4626" s="10">
        <f t="shared" si="9"/>
        <v>42608.64583</v>
      </c>
      <c r="H4626" s="6" t="str">
        <f t="shared" si="6"/>
        <v/>
      </c>
      <c r="I4626" s="2">
        <f t="shared" si="7"/>
        <v>1426.89</v>
      </c>
      <c r="M4626" s="10">
        <f>IFERROR(__xludf.DUMMYFUNCTION("""COMPUTED_VALUE"""),44690.66666666667)</f>
        <v>44690.66667</v>
      </c>
      <c r="N4626" s="2">
        <f>IFERROR(__xludf.DUMMYFUNCTION("""COMPUTED_VALUE"""),11623.25)</f>
        <v>11623.25</v>
      </c>
      <c r="P4626" s="10">
        <f t="shared" si="10"/>
        <v>38986.64583</v>
      </c>
      <c r="Q4626" s="15">
        <v>1343.97</v>
      </c>
      <c r="R4626" s="18">
        <v>38986.0</v>
      </c>
    </row>
    <row r="4627">
      <c r="A4627" s="10">
        <f t="shared" si="8"/>
        <v>42609.66667</v>
      </c>
      <c r="B4627" s="2" t="str">
        <f t="shared" si="2"/>
        <v/>
      </c>
      <c r="C4627" s="2" t="str">
        <f t="shared" si="3"/>
        <v>SP500</v>
      </c>
      <c r="D4627" s="2" t="str">
        <f t="shared" si="4"/>
        <v/>
      </c>
      <c r="E4627" s="2">
        <f t="shared" si="5"/>
        <v>5218.92</v>
      </c>
      <c r="G4627" s="10">
        <f t="shared" si="9"/>
        <v>42609.64583</v>
      </c>
      <c r="H4627" s="6" t="str">
        <f t="shared" si="6"/>
        <v/>
      </c>
      <c r="I4627" s="2">
        <f t="shared" si="7"/>
        <v>1426.89</v>
      </c>
      <c r="M4627" s="10">
        <f>IFERROR(__xludf.DUMMYFUNCTION("""COMPUTED_VALUE"""),44691.66666666667)</f>
        <v>44691.66667</v>
      </c>
      <c r="N4627" s="2">
        <f>IFERROR(__xludf.DUMMYFUNCTION("""COMPUTED_VALUE"""),11737.67)</f>
        <v>11737.67</v>
      </c>
      <c r="P4627" s="10">
        <f t="shared" si="10"/>
        <v>38985.64583</v>
      </c>
      <c r="Q4627" s="15">
        <v>1355.21</v>
      </c>
      <c r="R4627" s="18">
        <v>38985.0</v>
      </c>
    </row>
    <row r="4628">
      <c r="A4628" s="10">
        <f t="shared" si="8"/>
        <v>42610.66667</v>
      </c>
      <c r="B4628" s="2" t="str">
        <f t="shared" si="2"/>
        <v/>
      </c>
      <c r="C4628" s="2" t="str">
        <f t="shared" si="3"/>
        <v>SP500</v>
      </c>
      <c r="D4628" s="2" t="str">
        <f t="shared" si="4"/>
        <v/>
      </c>
      <c r="E4628" s="2">
        <f t="shared" si="5"/>
        <v>5218.92</v>
      </c>
      <c r="G4628" s="10">
        <f t="shared" si="9"/>
        <v>42610.64583</v>
      </c>
      <c r="H4628" s="6" t="str">
        <f t="shared" si="6"/>
        <v/>
      </c>
      <c r="I4628" s="2">
        <f t="shared" si="7"/>
        <v>1426.89</v>
      </c>
      <c r="M4628" s="10">
        <f>IFERROR(__xludf.DUMMYFUNCTION("""COMPUTED_VALUE"""),44692.66666666667)</f>
        <v>44692.66667</v>
      </c>
      <c r="N4628" s="2">
        <f>IFERROR(__xludf.DUMMYFUNCTION("""COMPUTED_VALUE"""),11364.24)</f>
        <v>11364.24</v>
      </c>
      <c r="P4628" s="10">
        <f t="shared" si="10"/>
        <v>38982.64583</v>
      </c>
      <c r="Q4628" s="15">
        <v>1348.38</v>
      </c>
      <c r="R4628" s="18">
        <v>38982.0</v>
      </c>
    </row>
    <row r="4629">
      <c r="A4629" s="10">
        <f t="shared" si="8"/>
        <v>42611.66667</v>
      </c>
      <c r="B4629" s="2" t="str">
        <f t="shared" si="2"/>
        <v/>
      </c>
      <c r="C4629" s="2" t="str">
        <f t="shared" si="3"/>
        <v>SP500</v>
      </c>
      <c r="D4629" s="2">
        <f t="shared" si="4"/>
        <v>5232.33</v>
      </c>
      <c r="E4629" s="2">
        <f t="shared" si="5"/>
        <v>5232.33</v>
      </c>
      <c r="G4629" s="10">
        <f t="shared" si="9"/>
        <v>42611.64583</v>
      </c>
      <c r="H4629" s="6" t="str">
        <f t="shared" si="6"/>
        <v/>
      </c>
      <c r="I4629" s="2">
        <f t="shared" si="7"/>
        <v>1426.89</v>
      </c>
      <c r="M4629" s="10">
        <f>IFERROR(__xludf.DUMMYFUNCTION("""COMPUTED_VALUE"""),44693.66666666667)</f>
        <v>44693.66667</v>
      </c>
      <c r="N4629" s="2">
        <f>IFERROR(__xludf.DUMMYFUNCTION("""COMPUTED_VALUE"""),11370.96)</f>
        <v>11370.96</v>
      </c>
      <c r="P4629" s="10">
        <f t="shared" si="10"/>
        <v>38981.64583</v>
      </c>
      <c r="Q4629" s="15">
        <v>1366.79</v>
      </c>
      <c r="R4629" s="18">
        <v>38981.0</v>
      </c>
    </row>
    <row r="4630">
      <c r="A4630" s="10">
        <f t="shared" si="8"/>
        <v>42612.66667</v>
      </c>
      <c r="B4630" s="2" t="str">
        <f t="shared" si="2"/>
        <v/>
      </c>
      <c r="C4630" s="2" t="str">
        <f t="shared" si="3"/>
        <v>SP500</v>
      </c>
      <c r="D4630" s="2">
        <f t="shared" si="4"/>
        <v>5222.99</v>
      </c>
      <c r="E4630" s="2">
        <f t="shared" si="5"/>
        <v>5222.99</v>
      </c>
      <c r="G4630" s="10">
        <f t="shared" si="9"/>
        <v>42612.64583</v>
      </c>
      <c r="H4630" s="6" t="str">
        <f t="shared" si="6"/>
        <v/>
      </c>
      <c r="I4630" s="2">
        <f t="shared" si="7"/>
        <v>1426.89</v>
      </c>
      <c r="M4630" s="10">
        <f>IFERROR(__xludf.DUMMYFUNCTION("""COMPUTED_VALUE"""),44694.66666666667)</f>
        <v>44694.66667</v>
      </c>
      <c r="N4630" s="2">
        <f>IFERROR(__xludf.DUMMYFUNCTION("""COMPUTED_VALUE"""),11805.0)</f>
        <v>11805</v>
      </c>
      <c r="P4630" s="10">
        <f t="shared" si="10"/>
        <v>38980.64583</v>
      </c>
      <c r="Q4630" s="15">
        <v>1366.44</v>
      </c>
      <c r="R4630" s="18">
        <v>38980.0</v>
      </c>
    </row>
    <row r="4631">
      <c r="A4631" s="10">
        <f t="shared" si="8"/>
        <v>42613.66667</v>
      </c>
      <c r="B4631" s="2" t="str">
        <f t="shared" si="2"/>
        <v/>
      </c>
      <c r="C4631" s="2" t="str">
        <f t="shared" si="3"/>
        <v>SP500</v>
      </c>
      <c r="D4631" s="2">
        <f t="shared" si="4"/>
        <v>5213.22</v>
      </c>
      <c r="E4631" s="2">
        <f t="shared" si="5"/>
        <v>5213.22</v>
      </c>
      <c r="G4631" s="10">
        <f t="shared" si="9"/>
        <v>42613.64583</v>
      </c>
      <c r="H4631" s="6" t="str">
        <f t="shared" si="6"/>
        <v/>
      </c>
      <c r="I4631" s="2">
        <f t="shared" si="7"/>
        <v>1426.89</v>
      </c>
      <c r="M4631" s="10">
        <f>IFERROR(__xludf.DUMMYFUNCTION("""COMPUTED_VALUE"""),44697.66666666667)</f>
        <v>44697.66667</v>
      </c>
      <c r="N4631" s="2">
        <f>IFERROR(__xludf.DUMMYFUNCTION("""COMPUTED_VALUE"""),11662.79)</f>
        <v>11662.79</v>
      </c>
      <c r="P4631" s="10">
        <f t="shared" si="10"/>
        <v>38979.64583</v>
      </c>
      <c r="Q4631" s="15">
        <v>1373.95</v>
      </c>
      <c r="R4631" s="18">
        <v>38979.0</v>
      </c>
    </row>
    <row r="4632">
      <c r="A4632" s="10">
        <f t="shared" si="8"/>
        <v>42614.66667</v>
      </c>
      <c r="B4632" s="2" t="str">
        <f t="shared" si="2"/>
        <v/>
      </c>
      <c r="C4632" s="2" t="str">
        <f t="shared" si="3"/>
        <v>SP500</v>
      </c>
      <c r="D4632" s="2">
        <f t="shared" si="4"/>
        <v>5227.21</v>
      </c>
      <c r="E4632" s="2">
        <f t="shared" si="5"/>
        <v>5227.21</v>
      </c>
      <c r="G4632" s="10">
        <f t="shared" si="9"/>
        <v>42614.64583</v>
      </c>
      <c r="H4632" s="6" t="str">
        <f t="shared" si="6"/>
        <v/>
      </c>
      <c r="I4632" s="2">
        <f t="shared" si="7"/>
        <v>1426.89</v>
      </c>
      <c r="M4632" s="10">
        <f>IFERROR(__xludf.DUMMYFUNCTION("""COMPUTED_VALUE"""),44698.66666666667)</f>
        <v>44698.66667</v>
      </c>
      <c r="N4632" s="2">
        <f>IFERROR(__xludf.DUMMYFUNCTION("""COMPUTED_VALUE"""),11984.52)</f>
        <v>11984.52</v>
      </c>
      <c r="P4632" s="10">
        <f t="shared" si="10"/>
        <v>38978.64583</v>
      </c>
      <c r="Q4632" s="15">
        <v>1374.3</v>
      </c>
      <c r="R4632" s="18">
        <v>38978.0</v>
      </c>
    </row>
    <row r="4633">
      <c r="A4633" s="10">
        <f t="shared" si="8"/>
        <v>42615.66667</v>
      </c>
      <c r="B4633" s="2" t="str">
        <f t="shared" si="2"/>
        <v/>
      </c>
      <c r="C4633" s="2" t="str">
        <f t="shared" si="3"/>
        <v>SP500</v>
      </c>
      <c r="D4633" s="2">
        <f t="shared" si="4"/>
        <v>5249.9</v>
      </c>
      <c r="E4633" s="2">
        <f t="shared" si="5"/>
        <v>5249.9</v>
      </c>
      <c r="G4633" s="10">
        <f t="shared" si="9"/>
        <v>42615.64583</v>
      </c>
      <c r="H4633" s="6" t="str">
        <f t="shared" si="6"/>
        <v/>
      </c>
      <c r="I4633" s="2">
        <f t="shared" si="7"/>
        <v>1426.89</v>
      </c>
      <c r="M4633" s="10">
        <f>IFERROR(__xludf.DUMMYFUNCTION("""COMPUTED_VALUE"""),44699.66666666667)</f>
        <v>44699.66667</v>
      </c>
      <c r="N4633" s="2">
        <f>IFERROR(__xludf.DUMMYFUNCTION("""COMPUTED_VALUE"""),11418.15)</f>
        <v>11418.15</v>
      </c>
      <c r="P4633" s="10">
        <f t="shared" si="10"/>
        <v>38975.64583</v>
      </c>
      <c r="Q4633" s="15">
        <v>1361.1</v>
      </c>
      <c r="R4633" s="18">
        <v>38975.0</v>
      </c>
    </row>
    <row r="4634">
      <c r="A4634" s="10">
        <f t="shared" si="8"/>
        <v>42616.66667</v>
      </c>
      <c r="B4634" s="2" t="str">
        <f t="shared" si="2"/>
        <v/>
      </c>
      <c r="C4634" s="2" t="str">
        <f t="shared" si="3"/>
        <v>SP500</v>
      </c>
      <c r="D4634" s="2" t="str">
        <f t="shared" si="4"/>
        <v/>
      </c>
      <c r="E4634" s="2">
        <f t="shared" si="5"/>
        <v>5249.9</v>
      </c>
      <c r="G4634" s="10">
        <f t="shared" si="9"/>
        <v>42616.64583</v>
      </c>
      <c r="H4634" s="6" t="str">
        <f t="shared" si="6"/>
        <v/>
      </c>
      <c r="I4634" s="2">
        <f t="shared" si="7"/>
        <v>1426.89</v>
      </c>
      <c r="M4634" s="10">
        <f>IFERROR(__xludf.DUMMYFUNCTION("""COMPUTED_VALUE"""),44700.66666666667)</f>
        <v>44700.66667</v>
      </c>
      <c r="N4634" s="2">
        <f>IFERROR(__xludf.DUMMYFUNCTION("""COMPUTED_VALUE"""),11388.5)</f>
        <v>11388.5</v>
      </c>
      <c r="P4634" s="10">
        <f t="shared" si="10"/>
        <v>38974.64583</v>
      </c>
      <c r="Q4634" s="15">
        <v>1358.75</v>
      </c>
      <c r="R4634" s="18">
        <v>38974.0</v>
      </c>
    </row>
    <row r="4635">
      <c r="A4635" s="10">
        <f t="shared" si="8"/>
        <v>42617.66667</v>
      </c>
      <c r="B4635" s="2" t="str">
        <f t="shared" si="2"/>
        <v/>
      </c>
      <c r="C4635" s="2" t="str">
        <f t="shared" si="3"/>
        <v>SP500</v>
      </c>
      <c r="D4635" s="2" t="str">
        <f t="shared" si="4"/>
        <v/>
      </c>
      <c r="E4635" s="2">
        <f t="shared" si="5"/>
        <v>5249.9</v>
      </c>
      <c r="G4635" s="10">
        <f t="shared" si="9"/>
        <v>42617.64583</v>
      </c>
      <c r="H4635" s="6" t="str">
        <f t="shared" si="6"/>
        <v/>
      </c>
      <c r="I4635" s="2">
        <f t="shared" si="7"/>
        <v>1426.89</v>
      </c>
      <c r="M4635" s="10">
        <f>IFERROR(__xludf.DUMMYFUNCTION("""COMPUTED_VALUE"""),44701.66666666667)</f>
        <v>44701.66667</v>
      </c>
      <c r="N4635" s="2">
        <f>IFERROR(__xludf.DUMMYFUNCTION("""COMPUTED_VALUE"""),11354.62)</f>
        <v>11354.62</v>
      </c>
      <c r="P4635" s="10">
        <f t="shared" si="10"/>
        <v>38973.64583</v>
      </c>
      <c r="Q4635" s="15">
        <v>1333.13</v>
      </c>
      <c r="R4635" s="18">
        <v>38973.0</v>
      </c>
    </row>
    <row r="4636">
      <c r="A4636" s="10">
        <f t="shared" si="8"/>
        <v>42618.66667</v>
      </c>
      <c r="B4636" s="2" t="str">
        <f t="shared" si="2"/>
        <v/>
      </c>
      <c r="C4636" s="2" t="str">
        <f t="shared" si="3"/>
        <v>SP500</v>
      </c>
      <c r="D4636" s="2" t="str">
        <f t="shared" si="4"/>
        <v/>
      </c>
      <c r="E4636" s="2">
        <f t="shared" si="5"/>
        <v>5249.9</v>
      </c>
      <c r="G4636" s="10">
        <f t="shared" si="9"/>
        <v>42618.64583</v>
      </c>
      <c r="H4636" s="6" t="str">
        <f t="shared" si="6"/>
        <v/>
      </c>
      <c r="I4636" s="2">
        <f t="shared" si="7"/>
        <v>1426.89</v>
      </c>
      <c r="M4636" s="10">
        <f>IFERROR(__xludf.DUMMYFUNCTION("""COMPUTED_VALUE"""),44704.66666666667)</f>
        <v>44704.66667</v>
      </c>
      <c r="N4636" s="2">
        <f>IFERROR(__xludf.DUMMYFUNCTION("""COMPUTED_VALUE"""),11535.28)</f>
        <v>11535.28</v>
      </c>
      <c r="P4636" s="10">
        <f t="shared" si="10"/>
        <v>38972.64583</v>
      </c>
      <c r="Q4636" s="15">
        <v>1328.04</v>
      </c>
      <c r="R4636" s="18">
        <v>38972.0</v>
      </c>
    </row>
    <row r="4637">
      <c r="A4637" s="10">
        <f t="shared" si="8"/>
        <v>42619.66667</v>
      </c>
      <c r="B4637" s="2" t="str">
        <f t="shared" si="2"/>
        <v/>
      </c>
      <c r="C4637" s="2" t="str">
        <f t="shared" si="3"/>
        <v>SP500</v>
      </c>
      <c r="D4637" s="2">
        <f t="shared" si="4"/>
        <v>5275.91</v>
      </c>
      <c r="E4637" s="2">
        <f t="shared" si="5"/>
        <v>5275.91</v>
      </c>
      <c r="G4637" s="10">
        <f t="shared" si="9"/>
        <v>42619.64583</v>
      </c>
      <c r="H4637" s="6" t="str">
        <f t="shared" si="6"/>
        <v/>
      </c>
      <c r="I4637" s="2">
        <f t="shared" si="7"/>
        <v>1426.89</v>
      </c>
      <c r="M4637" s="10">
        <f>IFERROR(__xludf.DUMMYFUNCTION("""COMPUTED_VALUE"""),44705.66666666667)</f>
        <v>44705.66667</v>
      </c>
      <c r="N4637" s="2">
        <f>IFERROR(__xludf.DUMMYFUNCTION("""COMPUTED_VALUE"""),11264.45)</f>
        <v>11264.45</v>
      </c>
      <c r="P4637" s="10">
        <f t="shared" si="10"/>
        <v>38971.64583</v>
      </c>
      <c r="Q4637" s="15">
        <v>1334.08</v>
      </c>
      <c r="R4637" s="18">
        <v>38971.0</v>
      </c>
    </row>
    <row r="4638">
      <c r="A4638" s="10">
        <f t="shared" si="8"/>
        <v>42620.66667</v>
      </c>
      <c r="B4638" s="2" t="str">
        <f t="shared" si="2"/>
        <v/>
      </c>
      <c r="C4638" s="2" t="str">
        <f t="shared" si="3"/>
        <v>SP500</v>
      </c>
      <c r="D4638" s="2">
        <f t="shared" si="4"/>
        <v>5283.93</v>
      </c>
      <c r="E4638" s="2">
        <f t="shared" si="5"/>
        <v>5283.93</v>
      </c>
      <c r="G4638" s="10">
        <f t="shared" si="9"/>
        <v>42620.64583</v>
      </c>
      <c r="H4638" s="6" t="str">
        <f t="shared" si="6"/>
        <v/>
      </c>
      <c r="I4638" s="2">
        <f t="shared" si="7"/>
        <v>1426.89</v>
      </c>
      <c r="M4638" s="10">
        <f>IFERROR(__xludf.DUMMYFUNCTION("""COMPUTED_VALUE"""),44706.66666666667)</f>
        <v>44706.66667</v>
      </c>
      <c r="N4638" s="2">
        <f>IFERROR(__xludf.DUMMYFUNCTION("""COMPUTED_VALUE"""),11434.74)</f>
        <v>11434.74</v>
      </c>
      <c r="P4638" s="10">
        <f t="shared" si="10"/>
        <v>38968.64583</v>
      </c>
      <c r="Q4638" s="15">
        <v>1354.89</v>
      </c>
      <c r="R4638" s="18">
        <v>38968.0</v>
      </c>
    </row>
    <row r="4639">
      <c r="A4639" s="10">
        <f t="shared" si="8"/>
        <v>42621.66667</v>
      </c>
      <c r="B4639" s="2" t="str">
        <f t="shared" si="2"/>
        <v/>
      </c>
      <c r="C4639" s="2" t="str">
        <f t="shared" si="3"/>
        <v>SP500</v>
      </c>
      <c r="D4639" s="2">
        <f t="shared" si="4"/>
        <v>5259.48</v>
      </c>
      <c r="E4639" s="2">
        <f t="shared" si="5"/>
        <v>5259.48</v>
      </c>
      <c r="G4639" s="10">
        <f t="shared" si="9"/>
        <v>42621.64583</v>
      </c>
      <c r="H4639" s="6" t="str">
        <f t="shared" si="6"/>
        <v/>
      </c>
      <c r="I4639" s="2">
        <f t="shared" si="7"/>
        <v>1426.89</v>
      </c>
      <c r="M4639" s="10">
        <f>IFERROR(__xludf.DUMMYFUNCTION("""COMPUTED_VALUE"""),44707.66666666667)</f>
        <v>44707.66667</v>
      </c>
      <c r="N4639" s="2">
        <f>IFERROR(__xludf.DUMMYFUNCTION("""COMPUTED_VALUE"""),11740.65)</f>
        <v>11740.65</v>
      </c>
      <c r="P4639" s="10">
        <f t="shared" si="10"/>
        <v>38967.64583</v>
      </c>
      <c r="Q4639" s="15">
        <v>1351.17</v>
      </c>
      <c r="R4639" s="18">
        <v>38967.0</v>
      </c>
    </row>
    <row r="4640">
      <c r="A4640" s="10">
        <f t="shared" si="8"/>
        <v>42622.66667</v>
      </c>
      <c r="B4640" s="2" t="str">
        <f t="shared" si="2"/>
        <v/>
      </c>
      <c r="C4640" s="2" t="str">
        <f t="shared" si="3"/>
        <v>SP500</v>
      </c>
      <c r="D4640" s="2">
        <f t="shared" si="4"/>
        <v>5125.91</v>
      </c>
      <c r="E4640" s="2">
        <f t="shared" si="5"/>
        <v>5125.91</v>
      </c>
      <c r="G4640" s="10">
        <f t="shared" si="9"/>
        <v>42622.64583</v>
      </c>
      <c r="H4640" s="6" t="str">
        <f t="shared" si="6"/>
        <v/>
      </c>
      <c r="I4640" s="2">
        <f t="shared" si="7"/>
        <v>1426.89</v>
      </c>
      <c r="M4640" s="10">
        <f>IFERROR(__xludf.DUMMYFUNCTION("""COMPUTED_VALUE"""),44708.66666666667)</f>
        <v>44708.66667</v>
      </c>
      <c r="N4640" s="2">
        <f>IFERROR(__xludf.DUMMYFUNCTION("""COMPUTED_VALUE"""),12131.13)</f>
        <v>12131.13</v>
      </c>
      <c r="P4640" s="10">
        <f t="shared" si="10"/>
        <v>38966.64583</v>
      </c>
      <c r="Q4640" s="15">
        <v>1357.01</v>
      </c>
      <c r="R4640" s="18">
        <v>38966.0</v>
      </c>
    </row>
    <row r="4641">
      <c r="A4641" s="10">
        <f t="shared" si="8"/>
        <v>42623.66667</v>
      </c>
      <c r="B4641" s="2" t="str">
        <f t="shared" si="2"/>
        <v/>
      </c>
      <c r="C4641" s="2" t="str">
        <f t="shared" si="3"/>
        <v>SP500</v>
      </c>
      <c r="D4641" s="2" t="str">
        <f t="shared" si="4"/>
        <v/>
      </c>
      <c r="E4641" s="2">
        <f t="shared" si="5"/>
        <v>5125.91</v>
      </c>
      <c r="G4641" s="10">
        <f t="shared" si="9"/>
        <v>42623.64583</v>
      </c>
      <c r="H4641" s="6" t="str">
        <f t="shared" si="6"/>
        <v/>
      </c>
      <c r="I4641" s="2">
        <f t="shared" si="7"/>
        <v>1426.89</v>
      </c>
      <c r="M4641" s="10">
        <f>IFERROR(__xludf.DUMMYFUNCTION("""COMPUTED_VALUE"""),44712.66666666667)</f>
        <v>44712.66667</v>
      </c>
      <c r="N4641" s="2">
        <f>IFERROR(__xludf.DUMMYFUNCTION("""COMPUTED_VALUE"""),12081.39)</f>
        <v>12081.39</v>
      </c>
      <c r="P4641" s="10">
        <f t="shared" si="10"/>
        <v>38965.64583</v>
      </c>
      <c r="Q4641" s="15">
        <v>1361.24</v>
      </c>
      <c r="R4641" s="18">
        <v>38965.0</v>
      </c>
    </row>
    <row r="4642">
      <c r="A4642" s="10">
        <f t="shared" si="8"/>
        <v>42624.66667</v>
      </c>
      <c r="B4642" s="2" t="str">
        <f t="shared" si="2"/>
        <v/>
      </c>
      <c r="C4642" s="2" t="str">
        <f t="shared" si="3"/>
        <v>SP500</v>
      </c>
      <c r="D4642" s="2" t="str">
        <f t="shared" si="4"/>
        <v/>
      </c>
      <c r="E4642" s="2">
        <f t="shared" si="5"/>
        <v>5125.91</v>
      </c>
      <c r="G4642" s="10">
        <f t="shared" si="9"/>
        <v>42624.64583</v>
      </c>
      <c r="H4642" s="6" t="str">
        <f t="shared" si="6"/>
        <v/>
      </c>
      <c r="I4642" s="2">
        <f t="shared" si="7"/>
        <v>1426.89</v>
      </c>
      <c r="M4642" s="10">
        <f>IFERROR(__xludf.DUMMYFUNCTION("""COMPUTED_VALUE"""),44713.66666666667)</f>
        <v>44713.66667</v>
      </c>
      <c r="N4642" s="2">
        <f>IFERROR(__xludf.DUMMYFUNCTION("""COMPUTED_VALUE"""),11994.46)</f>
        <v>11994.46</v>
      </c>
      <c r="P4642" s="10">
        <f t="shared" si="10"/>
        <v>38964.64583</v>
      </c>
      <c r="Q4642" s="15">
        <v>1359.06</v>
      </c>
      <c r="R4642" s="18">
        <v>38964.0</v>
      </c>
    </row>
    <row r="4643">
      <c r="A4643" s="10">
        <f t="shared" si="8"/>
        <v>42625.66667</v>
      </c>
      <c r="B4643" s="2" t="str">
        <f t="shared" si="2"/>
        <v/>
      </c>
      <c r="C4643" s="2" t="str">
        <f t="shared" si="3"/>
        <v>SP500</v>
      </c>
      <c r="D4643" s="2">
        <f t="shared" si="4"/>
        <v>5211.89</v>
      </c>
      <c r="E4643" s="2">
        <f t="shared" si="5"/>
        <v>5211.89</v>
      </c>
      <c r="G4643" s="10">
        <f t="shared" si="9"/>
        <v>42625.64583</v>
      </c>
      <c r="H4643" s="6" t="str">
        <f t="shared" si="6"/>
        <v/>
      </c>
      <c r="I4643" s="2">
        <f t="shared" si="7"/>
        <v>1426.89</v>
      </c>
      <c r="M4643" s="10">
        <f>IFERROR(__xludf.DUMMYFUNCTION("""COMPUTED_VALUE"""),44714.66666666667)</f>
        <v>44714.66667</v>
      </c>
      <c r="N4643" s="2">
        <f>IFERROR(__xludf.DUMMYFUNCTION("""COMPUTED_VALUE"""),12316.9)</f>
        <v>12316.9</v>
      </c>
      <c r="P4643" s="10">
        <f t="shared" si="10"/>
        <v>38961.64583</v>
      </c>
      <c r="Q4643" s="15">
        <v>1356.67</v>
      </c>
      <c r="R4643" s="18">
        <v>38961.0</v>
      </c>
    </row>
    <row r="4644">
      <c r="A4644" s="10">
        <f t="shared" si="8"/>
        <v>42626.66667</v>
      </c>
      <c r="B4644" s="2" t="str">
        <f t="shared" si="2"/>
        <v/>
      </c>
      <c r="C4644" s="2" t="str">
        <f t="shared" si="3"/>
        <v>SP500</v>
      </c>
      <c r="D4644" s="2">
        <f t="shared" si="4"/>
        <v>5155.25</v>
      </c>
      <c r="E4644" s="2">
        <f t="shared" si="5"/>
        <v>5155.25</v>
      </c>
      <c r="G4644" s="10">
        <f t="shared" si="9"/>
        <v>42626.64583</v>
      </c>
      <c r="H4644" s="6" t="str">
        <f t="shared" si="6"/>
        <v/>
      </c>
      <c r="I4644" s="2">
        <f t="shared" si="7"/>
        <v>1426.89</v>
      </c>
      <c r="M4644" s="10">
        <f>IFERROR(__xludf.DUMMYFUNCTION("""COMPUTED_VALUE"""),44715.66666666667)</f>
        <v>44715.66667</v>
      </c>
      <c r="N4644" s="2">
        <f>IFERROR(__xludf.DUMMYFUNCTION("""COMPUTED_VALUE"""),12012.73)</f>
        <v>12012.73</v>
      </c>
      <c r="P4644" s="10">
        <f t="shared" si="10"/>
        <v>38960.64583</v>
      </c>
      <c r="Q4644" s="15">
        <v>1352.74</v>
      </c>
      <c r="R4644" s="18">
        <v>38960.0</v>
      </c>
    </row>
    <row r="4645">
      <c r="A4645" s="10">
        <f t="shared" si="8"/>
        <v>42627.66667</v>
      </c>
      <c r="B4645" s="2" t="str">
        <f t="shared" si="2"/>
        <v/>
      </c>
      <c r="C4645" s="2" t="str">
        <f t="shared" si="3"/>
        <v>SP500</v>
      </c>
      <c r="D4645" s="2">
        <f t="shared" si="4"/>
        <v>5173.77</v>
      </c>
      <c r="E4645" s="2">
        <f t="shared" si="5"/>
        <v>5173.77</v>
      </c>
      <c r="G4645" s="10">
        <f t="shared" si="9"/>
        <v>42627.64583</v>
      </c>
      <c r="H4645" s="6" t="str">
        <f t="shared" si="6"/>
        <v/>
      </c>
      <c r="I4645" s="2">
        <f t="shared" si="7"/>
        <v>1426.89</v>
      </c>
      <c r="M4645" s="10">
        <f>IFERROR(__xludf.DUMMYFUNCTION("""COMPUTED_VALUE"""),44718.66666666667)</f>
        <v>44718.66667</v>
      </c>
      <c r="N4645" s="2">
        <f>IFERROR(__xludf.DUMMYFUNCTION("""COMPUTED_VALUE"""),12061.37)</f>
        <v>12061.37</v>
      </c>
      <c r="P4645" s="10">
        <f t="shared" si="10"/>
        <v>38959.64583</v>
      </c>
      <c r="Q4645" s="15">
        <v>1341.35</v>
      </c>
      <c r="R4645" s="18">
        <v>38959.0</v>
      </c>
    </row>
    <row r="4646">
      <c r="A4646" s="10">
        <f t="shared" si="8"/>
        <v>42628.66667</v>
      </c>
      <c r="B4646" s="2" t="str">
        <f t="shared" si="2"/>
        <v/>
      </c>
      <c r="C4646" s="2" t="str">
        <f t="shared" si="3"/>
        <v>SP500</v>
      </c>
      <c r="D4646" s="2">
        <f t="shared" si="4"/>
        <v>5249.69</v>
      </c>
      <c r="E4646" s="2">
        <f t="shared" si="5"/>
        <v>5249.69</v>
      </c>
      <c r="G4646" s="10">
        <f t="shared" si="9"/>
        <v>42628.64583</v>
      </c>
      <c r="H4646" s="6" t="str">
        <f t="shared" si="6"/>
        <v/>
      </c>
      <c r="I4646" s="2">
        <f t="shared" si="7"/>
        <v>1426.89</v>
      </c>
      <c r="M4646" s="10">
        <f>IFERROR(__xludf.DUMMYFUNCTION("""COMPUTED_VALUE"""),44719.66666666667)</f>
        <v>44719.66667</v>
      </c>
      <c r="N4646" s="2">
        <f>IFERROR(__xludf.DUMMYFUNCTION("""COMPUTED_VALUE"""),12175.23)</f>
        <v>12175.23</v>
      </c>
      <c r="P4646" s="10">
        <f t="shared" si="10"/>
        <v>38958.64583</v>
      </c>
      <c r="Q4646" s="15">
        <v>1344.61</v>
      </c>
      <c r="R4646" s="18">
        <v>38958.0</v>
      </c>
    </row>
    <row r="4647">
      <c r="A4647" s="10">
        <f t="shared" si="8"/>
        <v>42629.66667</v>
      </c>
      <c r="B4647" s="2" t="str">
        <f t="shared" si="2"/>
        <v/>
      </c>
      <c r="C4647" s="2" t="str">
        <f t="shared" si="3"/>
        <v>SP500</v>
      </c>
      <c r="D4647" s="2">
        <f t="shared" si="4"/>
        <v>5244.57</v>
      </c>
      <c r="E4647" s="2">
        <f t="shared" si="5"/>
        <v>5244.57</v>
      </c>
      <c r="G4647" s="10">
        <f t="shared" si="9"/>
        <v>42629.64583</v>
      </c>
      <c r="H4647" s="6" t="str">
        <f t="shared" si="6"/>
        <v/>
      </c>
      <c r="I4647" s="2">
        <f t="shared" si="7"/>
        <v>1426.89</v>
      </c>
      <c r="M4647" s="10">
        <f>IFERROR(__xludf.DUMMYFUNCTION("""COMPUTED_VALUE"""),44720.66666666667)</f>
        <v>44720.66667</v>
      </c>
      <c r="N4647" s="2">
        <f>IFERROR(__xludf.DUMMYFUNCTION("""COMPUTED_VALUE"""),12086.27)</f>
        <v>12086.27</v>
      </c>
      <c r="P4647" s="10">
        <f t="shared" si="10"/>
        <v>38957.64583</v>
      </c>
      <c r="Q4647" s="15">
        <v>1327.89</v>
      </c>
      <c r="R4647" s="18">
        <v>38957.0</v>
      </c>
    </row>
    <row r="4648">
      <c r="A4648" s="10">
        <f t="shared" si="8"/>
        <v>42630.66667</v>
      </c>
      <c r="B4648" s="2" t="str">
        <f t="shared" si="2"/>
        <v/>
      </c>
      <c r="C4648" s="2" t="str">
        <f t="shared" si="3"/>
        <v>SP500</v>
      </c>
      <c r="D4648" s="2" t="str">
        <f t="shared" si="4"/>
        <v/>
      </c>
      <c r="E4648" s="2">
        <f t="shared" si="5"/>
        <v>5244.57</v>
      </c>
      <c r="G4648" s="10">
        <f t="shared" si="9"/>
        <v>42630.64583</v>
      </c>
      <c r="H4648" s="6" t="str">
        <f t="shared" si="6"/>
        <v/>
      </c>
      <c r="I4648" s="2">
        <f t="shared" si="7"/>
        <v>1426.89</v>
      </c>
      <c r="M4648" s="10">
        <f>IFERROR(__xludf.DUMMYFUNCTION("""COMPUTED_VALUE"""),44721.66666666667)</f>
        <v>44721.66667</v>
      </c>
      <c r="N4648" s="2">
        <f>IFERROR(__xludf.DUMMYFUNCTION("""COMPUTED_VALUE"""),11754.23)</f>
        <v>11754.23</v>
      </c>
      <c r="P4648" s="10">
        <f t="shared" si="10"/>
        <v>38954.64583</v>
      </c>
      <c r="Q4648" s="15">
        <v>1329.35</v>
      </c>
      <c r="R4648" s="18">
        <v>38954.0</v>
      </c>
    </row>
    <row r="4649">
      <c r="A4649" s="10">
        <f t="shared" si="8"/>
        <v>42631.66667</v>
      </c>
      <c r="B4649" s="2" t="str">
        <f t="shared" si="2"/>
        <v/>
      </c>
      <c r="C4649" s="2" t="str">
        <f t="shared" si="3"/>
        <v>SP500</v>
      </c>
      <c r="D4649" s="2" t="str">
        <f t="shared" si="4"/>
        <v/>
      </c>
      <c r="E4649" s="2">
        <f t="shared" si="5"/>
        <v>5244.57</v>
      </c>
      <c r="G4649" s="10">
        <f t="shared" si="9"/>
        <v>42631.64583</v>
      </c>
      <c r="H4649" s="6" t="str">
        <f t="shared" si="6"/>
        <v/>
      </c>
      <c r="I4649" s="2">
        <f t="shared" si="7"/>
        <v>1426.89</v>
      </c>
      <c r="M4649" s="10">
        <f>IFERROR(__xludf.DUMMYFUNCTION("""COMPUTED_VALUE"""),44722.66666666667)</f>
        <v>44722.66667</v>
      </c>
      <c r="N4649" s="2">
        <f>IFERROR(__xludf.DUMMYFUNCTION("""COMPUTED_VALUE"""),11340.02)</f>
        <v>11340.02</v>
      </c>
      <c r="P4649" s="10">
        <f t="shared" si="10"/>
        <v>38953.64583</v>
      </c>
      <c r="Q4649" s="15">
        <v>1315.73</v>
      </c>
      <c r="R4649" s="18">
        <v>38953.0</v>
      </c>
    </row>
    <row r="4650">
      <c r="A4650" s="10">
        <f t="shared" si="8"/>
        <v>42632.66667</v>
      </c>
      <c r="B4650" s="2" t="str">
        <f t="shared" si="2"/>
        <v/>
      </c>
      <c r="C4650" s="2" t="str">
        <f t="shared" si="3"/>
        <v>SP500</v>
      </c>
      <c r="D4650" s="2">
        <f t="shared" si="4"/>
        <v>5235.03</v>
      </c>
      <c r="E4650" s="2">
        <f t="shared" si="5"/>
        <v>5235.03</v>
      </c>
      <c r="G4650" s="10">
        <f t="shared" si="9"/>
        <v>42632.64583</v>
      </c>
      <c r="H4650" s="6" t="str">
        <f t="shared" si="6"/>
        <v/>
      </c>
      <c r="I4650" s="2">
        <f t="shared" si="7"/>
        <v>1426.89</v>
      </c>
      <c r="M4650" s="10">
        <f>IFERROR(__xludf.DUMMYFUNCTION("""COMPUTED_VALUE"""),44725.66666666667)</f>
        <v>44725.66667</v>
      </c>
      <c r="N4650" s="2">
        <f>IFERROR(__xludf.DUMMYFUNCTION("""COMPUTED_VALUE"""),10809.23)</f>
        <v>10809.23</v>
      </c>
      <c r="P4650" s="10">
        <f t="shared" si="10"/>
        <v>38952.64583</v>
      </c>
      <c r="Q4650" s="15">
        <v>1324.95</v>
      </c>
      <c r="R4650" s="18">
        <v>38952.0</v>
      </c>
    </row>
    <row r="4651">
      <c r="A4651" s="10">
        <f t="shared" si="8"/>
        <v>42633.66667</v>
      </c>
      <c r="B4651" s="2" t="str">
        <f t="shared" si="2"/>
        <v/>
      </c>
      <c r="C4651" s="2" t="str">
        <f t="shared" si="3"/>
        <v>SP500</v>
      </c>
      <c r="D4651" s="2">
        <f t="shared" si="4"/>
        <v>5241.35</v>
      </c>
      <c r="E4651" s="2">
        <f t="shared" si="5"/>
        <v>5241.35</v>
      </c>
      <c r="G4651" s="10">
        <f t="shared" si="9"/>
        <v>42633.64583</v>
      </c>
      <c r="H4651" s="6" t="str">
        <f t="shared" si="6"/>
        <v/>
      </c>
      <c r="I4651" s="2">
        <f t="shared" si="7"/>
        <v>1426.89</v>
      </c>
      <c r="M4651" s="10">
        <f>IFERROR(__xludf.DUMMYFUNCTION("""COMPUTED_VALUE"""),44726.66666666667)</f>
        <v>44726.66667</v>
      </c>
      <c r="N4651" s="2">
        <f>IFERROR(__xludf.DUMMYFUNCTION("""COMPUTED_VALUE"""),10828.35)</f>
        <v>10828.35</v>
      </c>
      <c r="P4651" s="10">
        <f t="shared" si="10"/>
        <v>38951.64583</v>
      </c>
      <c r="Q4651" s="15">
        <v>1334.96</v>
      </c>
      <c r="R4651" s="18">
        <v>38951.0</v>
      </c>
    </row>
    <row r="4652">
      <c r="A4652" s="10">
        <f t="shared" si="8"/>
        <v>42634.66667</v>
      </c>
      <c r="B4652" s="2" t="str">
        <f t="shared" si="2"/>
        <v/>
      </c>
      <c r="C4652" s="2" t="str">
        <f t="shared" si="3"/>
        <v>SP500</v>
      </c>
      <c r="D4652" s="2">
        <f t="shared" si="4"/>
        <v>5295.18</v>
      </c>
      <c r="E4652" s="2">
        <f t="shared" si="5"/>
        <v>5295.18</v>
      </c>
      <c r="G4652" s="10">
        <f t="shared" si="9"/>
        <v>42634.64583</v>
      </c>
      <c r="H4652" s="6" t="str">
        <f t="shared" si="6"/>
        <v/>
      </c>
      <c r="I4652" s="2">
        <f t="shared" si="7"/>
        <v>1426.89</v>
      </c>
      <c r="M4652" s="10">
        <f>IFERROR(__xludf.DUMMYFUNCTION("""COMPUTED_VALUE"""),44727.66666666667)</f>
        <v>44727.66667</v>
      </c>
      <c r="N4652" s="2">
        <f>IFERROR(__xludf.DUMMYFUNCTION("""COMPUTED_VALUE"""),11099.16)</f>
        <v>11099.16</v>
      </c>
      <c r="P4652" s="10">
        <f t="shared" si="10"/>
        <v>38950.64583</v>
      </c>
      <c r="Q4652" s="15">
        <v>1321.67</v>
      </c>
      <c r="R4652" s="18">
        <v>38950.0</v>
      </c>
    </row>
    <row r="4653">
      <c r="A4653" s="10">
        <f t="shared" si="8"/>
        <v>42635.66667</v>
      </c>
      <c r="B4653" s="2" t="str">
        <f t="shared" si="2"/>
        <v/>
      </c>
      <c r="C4653" s="2" t="str">
        <f t="shared" si="3"/>
        <v>SP500</v>
      </c>
      <c r="D4653" s="2">
        <f t="shared" si="4"/>
        <v>5339.52</v>
      </c>
      <c r="E4653" s="2">
        <f t="shared" si="5"/>
        <v>5339.52</v>
      </c>
      <c r="G4653" s="10">
        <f t="shared" si="9"/>
        <v>42635.64583</v>
      </c>
      <c r="H4653" s="6" t="str">
        <f t="shared" si="6"/>
        <v/>
      </c>
      <c r="I4653" s="2">
        <f t="shared" si="7"/>
        <v>1426.89</v>
      </c>
      <c r="M4653" s="10">
        <f>IFERROR(__xludf.DUMMYFUNCTION("""COMPUTED_VALUE"""),44728.66666666667)</f>
        <v>44728.66667</v>
      </c>
      <c r="N4653" s="2">
        <f>IFERROR(__xludf.DUMMYFUNCTION("""COMPUTED_VALUE"""),10646.1)</f>
        <v>10646.1</v>
      </c>
      <c r="P4653" s="10">
        <f t="shared" si="10"/>
        <v>38947.64583</v>
      </c>
      <c r="Q4653" s="15">
        <v>1331.1</v>
      </c>
      <c r="R4653" s="18">
        <v>38947.0</v>
      </c>
    </row>
    <row r="4654">
      <c r="A4654" s="10">
        <f t="shared" si="8"/>
        <v>42636.66667</v>
      </c>
      <c r="B4654" s="2" t="str">
        <f t="shared" si="2"/>
        <v/>
      </c>
      <c r="C4654" s="2" t="str">
        <f t="shared" si="3"/>
        <v>SP500</v>
      </c>
      <c r="D4654" s="2">
        <f t="shared" si="4"/>
        <v>5305.75</v>
      </c>
      <c r="E4654" s="2">
        <f t="shared" si="5"/>
        <v>5305.75</v>
      </c>
      <c r="G4654" s="10">
        <f t="shared" si="9"/>
        <v>42636.64583</v>
      </c>
      <c r="H4654" s="6" t="str">
        <f t="shared" si="6"/>
        <v/>
      </c>
      <c r="I4654" s="2">
        <f t="shared" si="7"/>
        <v>1426.89</v>
      </c>
      <c r="M4654" s="10">
        <f>IFERROR(__xludf.DUMMYFUNCTION("""COMPUTED_VALUE"""),44729.66666666667)</f>
        <v>44729.66667</v>
      </c>
      <c r="N4654" s="2">
        <f>IFERROR(__xludf.DUMMYFUNCTION("""COMPUTED_VALUE"""),10798.35)</f>
        <v>10798.35</v>
      </c>
      <c r="P4654" s="10">
        <f t="shared" si="10"/>
        <v>38946.64583</v>
      </c>
      <c r="Q4654" s="15">
        <v>1327.78</v>
      </c>
      <c r="R4654" s="18">
        <v>38946.0</v>
      </c>
    </row>
    <row r="4655">
      <c r="A4655" s="10">
        <f t="shared" si="8"/>
        <v>42637.66667</v>
      </c>
      <c r="B4655" s="2" t="str">
        <f t="shared" si="2"/>
        <v/>
      </c>
      <c r="C4655" s="2" t="str">
        <f t="shared" si="3"/>
        <v>SP500</v>
      </c>
      <c r="D4655" s="2" t="str">
        <f t="shared" si="4"/>
        <v/>
      </c>
      <c r="E4655" s="2">
        <f t="shared" si="5"/>
        <v>5305.75</v>
      </c>
      <c r="G4655" s="10">
        <f t="shared" si="9"/>
        <v>42637.64583</v>
      </c>
      <c r="H4655" s="6" t="str">
        <f t="shared" si="6"/>
        <v/>
      </c>
      <c r="I4655" s="2">
        <f t="shared" si="7"/>
        <v>1426.89</v>
      </c>
      <c r="M4655" s="10">
        <f>IFERROR(__xludf.DUMMYFUNCTION("""COMPUTED_VALUE"""),44733.66666666667)</f>
        <v>44733.66667</v>
      </c>
      <c r="N4655" s="2">
        <f>IFERROR(__xludf.DUMMYFUNCTION("""COMPUTED_VALUE"""),11069.3)</f>
        <v>11069.3</v>
      </c>
      <c r="P4655" s="10">
        <f t="shared" si="10"/>
        <v>38945.64583</v>
      </c>
      <c r="Q4655" s="15">
        <v>1315.61</v>
      </c>
      <c r="R4655" s="18">
        <v>38945.0</v>
      </c>
    </row>
    <row r="4656">
      <c r="A4656" s="10">
        <f t="shared" si="8"/>
        <v>42638.66667</v>
      </c>
      <c r="B4656" s="2" t="str">
        <f t="shared" si="2"/>
        <v/>
      </c>
      <c r="C4656" s="2" t="str">
        <f t="shared" si="3"/>
        <v>SP500</v>
      </c>
      <c r="D4656" s="2" t="str">
        <f t="shared" si="4"/>
        <v/>
      </c>
      <c r="E4656" s="2">
        <f t="shared" si="5"/>
        <v>5305.75</v>
      </c>
      <c r="G4656" s="10">
        <f t="shared" si="9"/>
        <v>42638.64583</v>
      </c>
      <c r="H4656" s="6" t="str">
        <f t="shared" si="6"/>
        <v/>
      </c>
      <c r="I4656" s="2">
        <f t="shared" si="7"/>
        <v>1426.89</v>
      </c>
      <c r="M4656" s="10">
        <f>IFERROR(__xludf.DUMMYFUNCTION("""COMPUTED_VALUE"""),44734.66666666667)</f>
        <v>44734.66667</v>
      </c>
      <c r="N4656" s="2">
        <f>IFERROR(__xludf.DUMMYFUNCTION("""COMPUTED_VALUE"""),11053.08)</f>
        <v>11053.08</v>
      </c>
      <c r="P4656" s="10">
        <f t="shared" si="10"/>
        <v>38943.64583</v>
      </c>
      <c r="Q4656" s="15">
        <v>1295.11</v>
      </c>
      <c r="R4656" s="18">
        <v>38943.0</v>
      </c>
    </row>
    <row r="4657">
      <c r="A4657" s="10">
        <f t="shared" si="8"/>
        <v>42639.66667</v>
      </c>
      <c r="B4657" s="2" t="str">
        <f t="shared" si="2"/>
        <v/>
      </c>
      <c r="C4657" s="2" t="str">
        <f t="shared" si="3"/>
        <v>SP500</v>
      </c>
      <c r="D4657" s="2">
        <f t="shared" si="4"/>
        <v>5257.49</v>
      </c>
      <c r="E4657" s="2">
        <f t="shared" si="5"/>
        <v>5257.49</v>
      </c>
      <c r="G4657" s="10">
        <f t="shared" si="9"/>
        <v>42639.64583</v>
      </c>
      <c r="H4657" s="6" t="str">
        <f t="shared" si="6"/>
        <v/>
      </c>
      <c r="I4657" s="2">
        <f t="shared" si="7"/>
        <v>1426.89</v>
      </c>
      <c r="M4657" s="10">
        <f>IFERROR(__xludf.DUMMYFUNCTION("""COMPUTED_VALUE"""),44735.66666666667)</f>
        <v>44735.66667</v>
      </c>
      <c r="N4657" s="2">
        <f>IFERROR(__xludf.DUMMYFUNCTION("""COMPUTED_VALUE"""),11232.19)</f>
        <v>11232.19</v>
      </c>
      <c r="P4657" s="10">
        <f t="shared" si="10"/>
        <v>38940.64583</v>
      </c>
      <c r="Q4657" s="15">
        <v>1292.1</v>
      </c>
      <c r="R4657" s="18">
        <v>38940.0</v>
      </c>
    </row>
    <row r="4658">
      <c r="A4658" s="10">
        <f t="shared" si="8"/>
        <v>42640.66667</v>
      </c>
      <c r="B4658" s="2" t="str">
        <f t="shared" si="2"/>
        <v/>
      </c>
      <c r="C4658" s="2" t="str">
        <f t="shared" si="3"/>
        <v>SP500</v>
      </c>
      <c r="D4658" s="2">
        <f t="shared" si="4"/>
        <v>5305.71</v>
      </c>
      <c r="E4658" s="2">
        <f t="shared" si="5"/>
        <v>5305.71</v>
      </c>
      <c r="G4658" s="10">
        <f t="shared" si="9"/>
        <v>42640.64583</v>
      </c>
      <c r="H4658" s="6" t="str">
        <f t="shared" si="6"/>
        <v/>
      </c>
      <c r="I4658" s="2">
        <f t="shared" si="7"/>
        <v>1426.89</v>
      </c>
      <c r="M4658" s="10">
        <f>IFERROR(__xludf.DUMMYFUNCTION("""COMPUTED_VALUE"""),44736.66666666667)</f>
        <v>44736.66667</v>
      </c>
      <c r="N4658" s="2">
        <f>IFERROR(__xludf.DUMMYFUNCTION("""COMPUTED_VALUE"""),11607.62)</f>
        <v>11607.62</v>
      </c>
      <c r="P4658" s="10">
        <f t="shared" si="10"/>
        <v>38939.64583</v>
      </c>
      <c r="Q4658" s="15">
        <v>1304.31</v>
      </c>
      <c r="R4658" s="18">
        <v>38939.0</v>
      </c>
    </row>
    <row r="4659">
      <c r="A4659" s="10">
        <f t="shared" si="8"/>
        <v>42641.66667</v>
      </c>
      <c r="B4659" s="2" t="str">
        <f t="shared" si="2"/>
        <v/>
      </c>
      <c r="C4659" s="2" t="str">
        <f t="shared" si="3"/>
        <v>SP500</v>
      </c>
      <c r="D4659" s="2">
        <f t="shared" si="4"/>
        <v>5318.55</v>
      </c>
      <c r="E4659" s="2">
        <f t="shared" si="5"/>
        <v>5318.55</v>
      </c>
      <c r="G4659" s="10">
        <f t="shared" si="9"/>
        <v>42641.64583</v>
      </c>
      <c r="H4659" s="6" t="str">
        <f t="shared" si="6"/>
        <v/>
      </c>
      <c r="I4659" s="2">
        <f t="shared" si="7"/>
        <v>1426.89</v>
      </c>
      <c r="M4659" s="10">
        <f>IFERROR(__xludf.DUMMYFUNCTION("""COMPUTED_VALUE"""),44739.66666666667)</f>
        <v>44739.66667</v>
      </c>
      <c r="N4659" s="2">
        <f>IFERROR(__xludf.DUMMYFUNCTION("""COMPUTED_VALUE"""),11524.55)</f>
        <v>11524.55</v>
      </c>
      <c r="P4659" s="10">
        <f t="shared" si="10"/>
        <v>38938.64583</v>
      </c>
      <c r="Q4659" s="15">
        <v>1314.93</v>
      </c>
      <c r="R4659" s="18">
        <v>38938.0</v>
      </c>
    </row>
    <row r="4660">
      <c r="A4660" s="10">
        <f t="shared" si="8"/>
        <v>42642.66667</v>
      </c>
      <c r="B4660" s="2" t="str">
        <f t="shared" si="2"/>
        <v/>
      </c>
      <c r="C4660" s="2" t="str">
        <f t="shared" si="3"/>
        <v>SP500</v>
      </c>
      <c r="D4660" s="2">
        <f t="shared" si="4"/>
        <v>5269.15</v>
      </c>
      <c r="E4660" s="2">
        <f t="shared" si="5"/>
        <v>5269.15</v>
      </c>
      <c r="G4660" s="10">
        <f t="shared" si="9"/>
        <v>42642.64583</v>
      </c>
      <c r="H4660" s="6" t="str">
        <f t="shared" si="6"/>
        <v/>
      </c>
      <c r="I4660" s="2">
        <f t="shared" si="7"/>
        <v>1426.89</v>
      </c>
      <c r="M4660" s="10">
        <f>IFERROR(__xludf.DUMMYFUNCTION("""COMPUTED_VALUE"""),44740.66666666667)</f>
        <v>44740.66667</v>
      </c>
      <c r="N4660" s="2">
        <f>IFERROR(__xludf.DUMMYFUNCTION("""COMPUTED_VALUE"""),11181.54)</f>
        <v>11181.54</v>
      </c>
      <c r="P4660" s="10">
        <f t="shared" si="10"/>
        <v>38937.64583</v>
      </c>
      <c r="Q4660" s="15">
        <v>1311.1</v>
      </c>
      <c r="R4660" s="18">
        <v>38937.0</v>
      </c>
    </row>
    <row r="4661">
      <c r="A4661" s="10">
        <f t="shared" si="8"/>
        <v>42643.66667</v>
      </c>
      <c r="B4661" s="2" t="str">
        <f t="shared" si="2"/>
        <v/>
      </c>
      <c r="C4661" s="2" t="str">
        <f t="shared" si="3"/>
        <v>SP500</v>
      </c>
      <c r="D4661" s="2">
        <f t="shared" si="4"/>
        <v>5312</v>
      </c>
      <c r="E4661" s="2">
        <f t="shared" si="5"/>
        <v>5312</v>
      </c>
      <c r="G4661" s="10">
        <f t="shared" si="9"/>
        <v>42643.64583</v>
      </c>
      <c r="H4661" s="6" t="str">
        <f t="shared" si="6"/>
        <v/>
      </c>
      <c r="I4661" s="2">
        <f t="shared" si="7"/>
        <v>1426.89</v>
      </c>
      <c r="M4661" s="10">
        <f>IFERROR(__xludf.DUMMYFUNCTION("""COMPUTED_VALUE"""),44741.66666666667)</f>
        <v>44741.66667</v>
      </c>
      <c r="N4661" s="2">
        <f>IFERROR(__xludf.DUMMYFUNCTION("""COMPUTED_VALUE"""),11177.89)</f>
        <v>11177.89</v>
      </c>
      <c r="P4661" s="10">
        <f t="shared" si="10"/>
        <v>38936.64583</v>
      </c>
      <c r="Q4661" s="15">
        <v>1289.54</v>
      </c>
      <c r="R4661" s="18">
        <v>38936.0</v>
      </c>
    </row>
    <row r="4662">
      <c r="A4662" s="10">
        <f t="shared" si="8"/>
        <v>42644.66667</v>
      </c>
      <c r="B4662" s="2" t="str">
        <f t="shared" si="2"/>
        <v/>
      </c>
      <c r="C4662" s="2" t="str">
        <f t="shared" si="3"/>
        <v>SP500</v>
      </c>
      <c r="D4662" s="2" t="str">
        <f t="shared" si="4"/>
        <v/>
      </c>
      <c r="E4662" s="2">
        <f t="shared" si="5"/>
        <v>5312</v>
      </c>
      <c r="G4662" s="10">
        <f t="shared" si="9"/>
        <v>42644.64583</v>
      </c>
      <c r="H4662" s="6" t="str">
        <f t="shared" si="6"/>
        <v/>
      </c>
      <c r="I4662" s="2">
        <f t="shared" si="7"/>
        <v>1426.89</v>
      </c>
      <c r="M4662" s="10">
        <f>IFERROR(__xludf.DUMMYFUNCTION("""COMPUTED_VALUE"""),44742.66666666667)</f>
        <v>44742.66667</v>
      </c>
      <c r="N4662" s="2">
        <f>IFERROR(__xludf.DUMMYFUNCTION("""COMPUTED_VALUE"""),11028.74)</f>
        <v>11028.74</v>
      </c>
      <c r="P4662" s="10">
        <f t="shared" si="10"/>
        <v>38933.64583</v>
      </c>
      <c r="Q4662" s="15">
        <v>1304.51</v>
      </c>
      <c r="R4662" s="18">
        <v>38933.0</v>
      </c>
    </row>
    <row r="4663">
      <c r="A4663" s="10">
        <f t="shared" si="8"/>
        <v>42645.66667</v>
      </c>
      <c r="B4663" s="2" t="str">
        <f t="shared" si="2"/>
        <v/>
      </c>
      <c r="C4663" s="2" t="str">
        <f t="shared" si="3"/>
        <v>SP500</v>
      </c>
      <c r="D4663" s="2" t="str">
        <f t="shared" si="4"/>
        <v/>
      </c>
      <c r="E4663" s="2">
        <f t="shared" si="5"/>
        <v>5312</v>
      </c>
      <c r="G4663" s="10">
        <f t="shared" si="9"/>
        <v>42645.64583</v>
      </c>
      <c r="H4663" s="6" t="str">
        <f t="shared" si="6"/>
        <v/>
      </c>
      <c r="I4663" s="2">
        <f t="shared" si="7"/>
        <v>1426.89</v>
      </c>
      <c r="M4663" s="10">
        <f>IFERROR(__xludf.DUMMYFUNCTION("""COMPUTED_VALUE"""),44743.66666666667)</f>
        <v>44743.66667</v>
      </c>
      <c r="N4663" s="2">
        <f>IFERROR(__xludf.DUMMYFUNCTION("""COMPUTED_VALUE"""),11127.85)</f>
        <v>11127.85</v>
      </c>
      <c r="P4663" s="10">
        <f t="shared" si="10"/>
        <v>38932.64583</v>
      </c>
      <c r="Q4663" s="15">
        <v>1292.05</v>
      </c>
      <c r="R4663" s="18">
        <v>38932.0</v>
      </c>
    </row>
    <row r="4664">
      <c r="A4664" s="10">
        <f t="shared" si="8"/>
        <v>42646.66667</v>
      </c>
      <c r="B4664" s="2" t="str">
        <f t="shared" si="2"/>
        <v/>
      </c>
      <c r="C4664" s="2" t="str">
        <f t="shared" si="3"/>
        <v>SP500</v>
      </c>
      <c r="D4664" s="2">
        <f t="shared" si="4"/>
        <v>5300.87</v>
      </c>
      <c r="E4664" s="2">
        <f t="shared" si="5"/>
        <v>5300.87</v>
      </c>
      <c r="G4664" s="10">
        <f t="shared" si="9"/>
        <v>42646.64583</v>
      </c>
      <c r="H4664" s="6" t="str">
        <f t="shared" si="6"/>
        <v/>
      </c>
      <c r="I4664" s="2">
        <f t="shared" si="7"/>
        <v>1426.89</v>
      </c>
      <c r="M4664" s="10">
        <f>IFERROR(__xludf.DUMMYFUNCTION("""COMPUTED_VALUE"""),44747.66666666667)</f>
        <v>44747.66667</v>
      </c>
      <c r="N4664" s="2">
        <f>IFERROR(__xludf.DUMMYFUNCTION("""COMPUTED_VALUE"""),11322.24)</f>
        <v>11322.24</v>
      </c>
      <c r="P4664" s="10">
        <f t="shared" si="10"/>
        <v>38931.64583</v>
      </c>
      <c r="Q4664" s="15">
        <v>1295.11</v>
      </c>
      <c r="R4664" s="18">
        <v>38931.0</v>
      </c>
    </row>
    <row r="4665">
      <c r="A4665" s="10">
        <f t="shared" si="8"/>
        <v>42647.66667</v>
      </c>
      <c r="B4665" s="2" t="str">
        <f t="shared" si="2"/>
        <v/>
      </c>
      <c r="C4665" s="2" t="str">
        <f t="shared" si="3"/>
        <v>SP500</v>
      </c>
      <c r="D4665" s="2">
        <f t="shared" si="4"/>
        <v>5289.66</v>
      </c>
      <c r="E4665" s="2">
        <f t="shared" si="5"/>
        <v>5289.66</v>
      </c>
      <c r="G4665" s="10">
        <f t="shared" si="9"/>
        <v>42647.64583</v>
      </c>
      <c r="H4665" s="6" t="str">
        <f t="shared" si="6"/>
        <v/>
      </c>
      <c r="I4665" s="2">
        <f t="shared" si="7"/>
        <v>1426.89</v>
      </c>
      <c r="M4665" s="10">
        <f>IFERROR(__xludf.DUMMYFUNCTION("""COMPUTED_VALUE"""),44748.66666666667)</f>
        <v>44748.66667</v>
      </c>
      <c r="N4665" s="2">
        <f>IFERROR(__xludf.DUMMYFUNCTION("""COMPUTED_VALUE"""),11361.85)</f>
        <v>11361.85</v>
      </c>
      <c r="P4665" s="10">
        <f t="shared" si="10"/>
        <v>38930.64583</v>
      </c>
      <c r="Q4665" s="15">
        <v>1287.36</v>
      </c>
      <c r="R4665" s="18">
        <v>38930.0</v>
      </c>
    </row>
    <row r="4666">
      <c r="A4666" s="10">
        <f t="shared" si="8"/>
        <v>42648.66667</v>
      </c>
      <c r="B4666" s="2" t="str">
        <f t="shared" si="2"/>
        <v/>
      </c>
      <c r="C4666" s="2" t="str">
        <f t="shared" si="3"/>
        <v>SP500</v>
      </c>
      <c r="D4666" s="2">
        <f t="shared" si="4"/>
        <v>5316.02</v>
      </c>
      <c r="E4666" s="2">
        <f t="shared" si="5"/>
        <v>5316.02</v>
      </c>
      <c r="G4666" s="10">
        <f t="shared" si="9"/>
        <v>42648.64583</v>
      </c>
      <c r="H4666" s="6" t="str">
        <f t="shared" si="6"/>
        <v/>
      </c>
      <c r="I4666" s="2">
        <f t="shared" si="7"/>
        <v>1426.89</v>
      </c>
      <c r="M4666" s="10">
        <f>IFERROR(__xludf.DUMMYFUNCTION("""COMPUTED_VALUE"""),44749.66666666667)</f>
        <v>44749.66667</v>
      </c>
      <c r="N4666" s="2">
        <f>IFERROR(__xludf.DUMMYFUNCTION("""COMPUTED_VALUE"""),11621.35)</f>
        <v>11621.35</v>
      </c>
      <c r="P4666" s="10">
        <f t="shared" si="10"/>
        <v>38929.64583</v>
      </c>
      <c r="Q4666" s="15">
        <v>1297.82</v>
      </c>
      <c r="R4666" s="18">
        <v>38929.0</v>
      </c>
    </row>
    <row r="4667">
      <c r="A4667" s="10">
        <f t="shared" si="8"/>
        <v>42649.66667</v>
      </c>
      <c r="B4667" s="2" t="str">
        <f t="shared" si="2"/>
        <v/>
      </c>
      <c r="C4667" s="2" t="str">
        <f t="shared" si="3"/>
        <v>SP500</v>
      </c>
      <c r="D4667" s="2">
        <f t="shared" si="4"/>
        <v>5306.85</v>
      </c>
      <c r="E4667" s="2">
        <f t="shared" si="5"/>
        <v>5306.85</v>
      </c>
      <c r="G4667" s="10">
        <f t="shared" si="9"/>
        <v>42649.64583</v>
      </c>
      <c r="H4667" s="6" t="str">
        <f t="shared" si="6"/>
        <v/>
      </c>
      <c r="I4667" s="2">
        <f t="shared" si="7"/>
        <v>1426.89</v>
      </c>
      <c r="M4667" s="10">
        <f>IFERROR(__xludf.DUMMYFUNCTION("""COMPUTED_VALUE"""),44750.66666666667)</f>
        <v>44750.66667</v>
      </c>
      <c r="N4667" s="2">
        <f>IFERROR(__xludf.DUMMYFUNCTION("""COMPUTED_VALUE"""),11635.31)</f>
        <v>11635.31</v>
      </c>
      <c r="P4667" s="10">
        <f t="shared" si="10"/>
        <v>38926.64583</v>
      </c>
      <c r="Q4667" s="15">
        <v>1297.07</v>
      </c>
      <c r="R4667" s="18">
        <v>38926.0</v>
      </c>
    </row>
    <row r="4668">
      <c r="A4668" s="10">
        <f t="shared" si="8"/>
        <v>42650.66667</v>
      </c>
      <c r="B4668" s="2" t="str">
        <f t="shared" si="2"/>
        <v/>
      </c>
      <c r="C4668" s="2" t="str">
        <f t="shared" si="3"/>
        <v>SP500</v>
      </c>
      <c r="D4668" s="2">
        <f t="shared" si="4"/>
        <v>5292.4</v>
      </c>
      <c r="E4668" s="2">
        <f t="shared" si="5"/>
        <v>5292.4</v>
      </c>
      <c r="G4668" s="10">
        <f t="shared" si="9"/>
        <v>42650.64583</v>
      </c>
      <c r="H4668" s="6" t="str">
        <f t="shared" si="6"/>
        <v/>
      </c>
      <c r="I4668" s="2">
        <f t="shared" si="7"/>
        <v>1426.89</v>
      </c>
      <c r="M4668" s="10">
        <f>IFERROR(__xludf.DUMMYFUNCTION("""COMPUTED_VALUE"""),44753.66666666667)</f>
        <v>44753.66667</v>
      </c>
      <c r="N4668" s="2">
        <f>IFERROR(__xludf.DUMMYFUNCTION("""COMPUTED_VALUE"""),11372.6)</f>
        <v>11372.6</v>
      </c>
      <c r="P4668" s="10">
        <f t="shared" si="10"/>
        <v>38925.64583</v>
      </c>
      <c r="Q4668" s="15">
        <v>1296.27</v>
      </c>
      <c r="R4668" s="18">
        <v>38925.0</v>
      </c>
    </row>
    <row r="4669">
      <c r="A4669" s="10">
        <f t="shared" si="8"/>
        <v>42651.66667</v>
      </c>
      <c r="B4669" s="2" t="str">
        <f t="shared" si="2"/>
        <v/>
      </c>
      <c r="C4669" s="2" t="str">
        <f t="shared" si="3"/>
        <v>SP500</v>
      </c>
      <c r="D4669" s="2" t="str">
        <f t="shared" si="4"/>
        <v/>
      </c>
      <c r="E4669" s="2">
        <f t="shared" si="5"/>
        <v>5292.4</v>
      </c>
      <c r="G4669" s="10">
        <f t="shared" si="9"/>
        <v>42651.64583</v>
      </c>
      <c r="H4669" s="6" t="str">
        <f t="shared" si="6"/>
        <v/>
      </c>
      <c r="I4669" s="2">
        <f t="shared" si="7"/>
        <v>1426.89</v>
      </c>
      <c r="M4669" s="10">
        <f>IFERROR(__xludf.DUMMYFUNCTION("""COMPUTED_VALUE"""),44754.66666666667)</f>
        <v>44754.66667</v>
      </c>
      <c r="N4669" s="2">
        <f>IFERROR(__xludf.DUMMYFUNCTION("""COMPUTED_VALUE"""),11264.73)</f>
        <v>11264.73</v>
      </c>
      <c r="P4669" s="10">
        <f t="shared" si="10"/>
        <v>38924.64583</v>
      </c>
      <c r="Q4669" s="15">
        <v>1279.08</v>
      </c>
      <c r="R4669" s="18">
        <v>38924.0</v>
      </c>
    </row>
    <row r="4670">
      <c r="A4670" s="10">
        <f t="shared" si="8"/>
        <v>42652.66667</v>
      </c>
      <c r="B4670" s="2" t="str">
        <f t="shared" si="2"/>
        <v/>
      </c>
      <c r="C4670" s="2" t="str">
        <f t="shared" si="3"/>
        <v>SP500</v>
      </c>
      <c r="D4670" s="2" t="str">
        <f t="shared" si="4"/>
        <v/>
      </c>
      <c r="E4670" s="2">
        <f t="shared" si="5"/>
        <v>5292.4</v>
      </c>
      <c r="G4670" s="10">
        <f t="shared" si="9"/>
        <v>42652.64583</v>
      </c>
      <c r="H4670" s="6" t="str">
        <f t="shared" si="6"/>
        <v/>
      </c>
      <c r="I4670" s="2">
        <f t="shared" si="7"/>
        <v>1426.89</v>
      </c>
      <c r="M4670" s="10">
        <f>IFERROR(__xludf.DUMMYFUNCTION("""COMPUTED_VALUE"""),44755.66666666667)</f>
        <v>44755.66667</v>
      </c>
      <c r="N4670" s="2">
        <f>IFERROR(__xludf.DUMMYFUNCTION("""COMPUTED_VALUE"""),11247.58)</f>
        <v>11247.58</v>
      </c>
      <c r="P4670" s="10">
        <f t="shared" si="10"/>
        <v>38923.64583</v>
      </c>
      <c r="Q4670" s="15">
        <v>1279.77</v>
      </c>
      <c r="R4670" s="18">
        <v>38923.0</v>
      </c>
    </row>
    <row r="4671">
      <c r="A4671" s="10">
        <f t="shared" si="8"/>
        <v>42653.66667</v>
      </c>
      <c r="B4671" s="2" t="str">
        <f t="shared" si="2"/>
        <v/>
      </c>
      <c r="C4671" s="2" t="str">
        <f t="shared" si="3"/>
        <v>SP500</v>
      </c>
      <c r="D4671" s="2">
        <f t="shared" si="4"/>
        <v>5328.67</v>
      </c>
      <c r="E4671" s="2">
        <f t="shared" si="5"/>
        <v>5328.67</v>
      </c>
      <c r="G4671" s="10">
        <f t="shared" si="9"/>
        <v>42653.64583</v>
      </c>
      <c r="H4671" s="6" t="str">
        <f t="shared" si="6"/>
        <v/>
      </c>
      <c r="I4671" s="2">
        <f t="shared" si="7"/>
        <v>1426.89</v>
      </c>
      <c r="M4671" s="10">
        <f>IFERROR(__xludf.DUMMYFUNCTION("""COMPUTED_VALUE"""),44756.66666666667)</f>
        <v>44756.66667</v>
      </c>
      <c r="N4671" s="2">
        <f>IFERROR(__xludf.DUMMYFUNCTION("""COMPUTED_VALUE"""),11251.19)</f>
        <v>11251.19</v>
      </c>
      <c r="P4671" s="10">
        <f t="shared" si="10"/>
        <v>38922.64583</v>
      </c>
      <c r="Q4671" s="15">
        <v>1263.35</v>
      </c>
      <c r="R4671" s="18">
        <v>38922.0</v>
      </c>
    </row>
    <row r="4672">
      <c r="A4672" s="10">
        <f t="shared" si="8"/>
        <v>42654.66667</v>
      </c>
      <c r="B4672" s="2" t="str">
        <f t="shared" si="2"/>
        <v/>
      </c>
      <c r="C4672" s="2" t="str">
        <f t="shared" si="3"/>
        <v>SP500</v>
      </c>
      <c r="D4672" s="2">
        <f t="shared" si="4"/>
        <v>5246.79</v>
      </c>
      <c r="E4672" s="2">
        <f t="shared" si="5"/>
        <v>5246.79</v>
      </c>
      <c r="G4672" s="10">
        <f t="shared" si="9"/>
        <v>42654.64583</v>
      </c>
      <c r="H4672" s="6" t="str">
        <f t="shared" si="6"/>
        <v/>
      </c>
      <c r="I4672" s="2">
        <f t="shared" si="7"/>
        <v>1426.89</v>
      </c>
      <c r="M4672" s="10">
        <f>IFERROR(__xludf.DUMMYFUNCTION("""COMPUTED_VALUE"""),44757.66666666667)</f>
        <v>44757.66667</v>
      </c>
      <c r="N4672" s="2">
        <f>IFERROR(__xludf.DUMMYFUNCTION("""COMPUTED_VALUE"""),11452.42)</f>
        <v>11452.42</v>
      </c>
      <c r="P4672" s="10">
        <f t="shared" si="10"/>
        <v>38919.64583</v>
      </c>
      <c r="Q4672" s="15">
        <v>1271.33</v>
      </c>
      <c r="R4672" s="18">
        <v>38919.0</v>
      </c>
    </row>
    <row r="4673">
      <c r="A4673" s="10">
        <f t="shared" si="8"/>
        <v>42655.66667</v>
      </c>
      <c r="B4673" s="2" t="str">
        <f t="shared" si="2"/>
        <v/>
      </c>
      <c r="C4673" s="2" t="str">
        <f t="shared" si="3"/>
        <v>SP500</v>
      </c>
      <c r="D4673" s="2">
        <f t="shared" si="4"/>
        <v>5239.02</v>
      </c>
      <c r="E4673" s="2">
        <f t="shared" si="5"/>
        <v>5239.02</v>
      </c>
      <c r="G4673" s="10">
        <f t="shared" si="9"/>
        <v>42655.64583</v>
      </c>
      <c r="H4673" s="6" t="str">
        <f t="shared" si="6"/>
        <v/>
      </c>
      <c r="I4673" s="2">
        <f t="shared" si="7"/>
        <v>1426.89</v>
      </c>
      <c r="M4673" s="10">
        <f>IFERROR(__xludf.DUMMYFUNCTION("""COMPUTED_VALUE"""),44760.66666666667)</f>
        <v>44760.66667</v>
      </c>
      <c r="N4673" s="2">
        <f>IFERROR(__xludf.DUMMYFUNCTION("""COMPUTED_VALUE"""),11360.05)</f>
        <v>11360.05</v>
      </c>
      <c r="P4673" s="10">
        <f t="shared" si="10"/>
        <v>38918.64583</v>
      </c>
      <c r="Q4673" s="15">
        <v>1273.3</v>
      </c>
      <c r="R4673" s="18">
        <v>38918.0</v>
      </c>
    </row>
    <row r="4674">
      <c r="A4674" s="10">
        <f t="shared" si="8"/>
        <v>42656.66667</v>
      </c>
      <c r="B4674" s="2" t="str">
        <f t="shared" si="2"/>
        <v/>
      </c>
      <c r="C4674" s="2" t="str">
        <f t="shared" si="3"/>
        <v>SP500</v>
      </c>
      <c r="D4674" s="2">
        <f t="shared" si="4"/>
        <v>5213.33</v>
      </c>
      <c r="E4674" s="2">
        <f t="shared" si="5"/>
        <v>5213.33</v>
      </c>
      <c r="G4674" s="10">
        <f t="shared" si="9"/>
        <v>42656.64583</v>
      </c>
      <c r="H4674" s="6" t="str">
        <f t="shared" si="6"/>
        <v/>
      </c>
      <c r="I4674" s="2">
        <f t="shared" si="7"/>
        <v>1426.89</v>
      </c>
      <c r="M4674" s="10">
        <f>IFERROR(__xludf.DUMMYFUNCTION("""COMPUTED_VALUE"""),44761.66666666667)</f>
        <v>44761.66667</v>
      </c>
      <c r="N4674" s="2">
        <f>IFERROR(__xludf.DUMMYFUNCTION("""COMPUTED_VALUE"""),11713.15)</f>
        <v>11713.15</v>
      </c>
      <c r="P4674" s="10">
        <f t="shared" si="10"/>
        <v>38917.64583</v>
      </c>
      <c r="Q4674" s="15">
        <v>1233.65</v>
      </c>
      <c r="R4674" s="18">
        <v>38917.0</v>
      </c>
    </row>
    <row r="4675">
      <c r="A4675" s="10">
        <f t="shared" si="8"/>
        <v>42657.66667</v>
      </c>
      <c r="B4675" s="2" t="str">
        <f t="shared" si="2"/>
        <v/>
      </c>
      <c r="C4675" s="2" t="str">
        <f t="shared" si="3"/>
        <v>SP500</v>
      </c>
      <c r="D4675" s="2">
        <f t="shared" si="4"/>
        <v>5214.16</v>
      </c>
      <c r="E4675" s="2">
        <f t="shared" si="5"/>
        <v>5214.16</v>
      </c>
      <c r="G4675" s="10">
        <f t="shared" si="9"/>
        <v>42657.64583</v>
      </c>
      <c r="H4675" s="6" t="str">
        <f t="shared" si="6"/>
        <v/>
      </c>
      <c r="I4675" s="2">
        <f t="shared" si="7"/>
        <v>1426.89</v>
      </c>
      <c r="M4675" s="10">
        <f>IFERROR(__xludf.DUMMYFUNCTION("""COMPUTED_VALUE"""),44762.66666666667)</f>
        <v>44762.66667</v>
      </c>
      <c r="N4675" s="2">
        <f>IFERROR(__xludf.DUMMYFUNCTION("""COMPUTED_VALUE"""),11897.65)</f>
        <v>11897.65</v>
      </c>
      <c r="P4675" s="10">
        <f t="shared" si="10"/>
        <v>38916.64583</v>
      </c>
      <c r="Q4675" s="15">
        <v>1233.42</v>
      </c>
      <c r="R4675" s="18">
        <v>38916.0</v>
      </c>
    </row>
    <row r="4676">
      <c r="A4676" s="10">
        <f t="shared" si="8"/>
        <v>42658.66667</v>
      </c>
      <c r="B4676" s="2" t="str">
        <f t="shared" si="2"/>
        <v/>
      </c>
      <c r="C4676" s="2" t="str">
        <f t="shared" si="3"/>
        <v>SP500</v>
      </c>
      <c r="D4676" s="2" t="str">
        <f t="shared" si="4"/>
        <v/>
      </c>
      <c r="E4676" s="2">
        <f t="shared" si="5"/>
        <v>5214.16</v>
      </c>
      <c r="G4676" s="10">
        <f t="shared" si="9"/>
        <v>42658.64583</v>
      </c>
      <c r="H4676" s="6" t="str">
        <f t="shared" si="6"/>
        <v/>
      </c>
      <c r="I4676" s="2">
        <f t="shared" si="7"/>
        <v>1426.89</v>
      </c>
      <c r="M4676" s="10">
        <f>IFERROR(__xludf.DUMMYFUNCTION("""COMPUTED_VALUE"""),44763.66666666667)</f>
        <v>44763.66667</v>
      </c>
      <c r="N4676" s="2">
        <f>IFERROR(__xludf.DUMMYFUNCTION("""COMPUTED_VALUE"""),12059.61)</f>
        <v>12059.61</v>
      </c>
      <c r="P4676" s="10">
        <f t="shared" si="10"/>
        <v>38912.64583</v>
      </c>
      <c r="Q4676" s="15">
        <v>1255.13</v>
      </c>
      <c r="R4676" s="18">
        <v>38912.0</v>
      </c>
    </row>
    <row r="4677">
      <c r="A4677" s="10">
        <f t="shared" si="8"/>
        <v>42659.66667</v>
      </c>
      <c r="B4677" s="2" t="str">
        <f t="shared" si="2"/>
        <v/>
      </c>
      <c r="C4677" s="2" t="str">
        <f t="shared" si="3"/>
        <v>SP500</v>
      </c>
      <c r="D4677" s="2" t="str">
        <f t="shared" si="4"/>
        <v/>
      </c>
      <c r="E4677" s="2">
        <f t="shared" si="5"/>
        <v>5214.16</v>
      </c>
      <c r="G4677" s="10">
        <f t="shared" si="9"/>
        <v>42659.64583</v>
      </c>
      <c r="H4677" s="6" t="str">
        <f t="shared" si="6"/>
        <v/>
      </c>
      <c r="I4677" s="2">
        <f t="shared" si="7"/>
        <v>1426.89</v>
      </c>
      <c r="M4677" s="10">
        <f>IFERROR(__xludf.DUMMYFUNCTION("""COMPUTED_VALUE"""),44764.66666666667)</f>
        <v>44764.66667</v>
      </c>
      <c r="N4677" s="2">
        <f>IFERROR(__xludf.DUMMYFUNCTION("""COMPUTED_VALUE"""),11834.11)</f>
        <v>11834.11</v>
      </c>
      <c r="P4677" s="10">
        <f t="shared" si="10"/>
        <v>38911.64583</v>
      </c>
      <c r="Q4677" s="15">
        <v>1285.02</v>
      </c>
      <c r="R4677" s="18">
        <v>38911.0</v>
      </c>
    </row>
    <row r="4678">
      <c r="A4678" s="10">
        <f t="shared" si="8"/>
        <v>42660.66667</v>
      </c>
      <c r="B4678" s="2" t="str">
        <f t="shared" si="2"/>
        <v/>
      </c>
      <c r="C4678" s="2" t="str">
        <f t="shared" si="3"/>
        <v>SP500</v>
      </c>
      <c r="D4678" s="2">
        <f t="shared" si="4"/>
        <v>5199.82</v>
      </c>
      <c r="E4678" s="2">
        <f t="shared" si="5"/>
        <v>5199.82</v>
      </c>
      <c r="G4678" s="10">
        <f t="shared" si="9"/>
        <v>42660.64583</v>
      </c>
      <c r="H4678" s="6" t="str">
        <f t="shared" si="6"/>
        <v/>
      </c>
      <c r="I4678" s="2">
        <f t="shared" si="7"/>
        <v>1426.89</v>
      </c>
      <c r="M4678" s="10">
        <f>IFERROR(__xludf.DUMMYFUNCTION("""COMPUTED_VALUE"""),44767.66666666667)</f>
        <v>44767.66667</v>
      </c>
      <c r="N4678" s="2">
        <f>IFERROR(__xludf.DUMMYFUNCTION("""COMPUTED_VALUE"""),11782.67)</f>
        <v>11782.67</v>
      </c>
      <c r="P4678" s="10">
        <f t="shared" si="10"/>
        <v>38910.64583</v>
      </c>
      <c r="Q4678" s="15">
        <v>1296.69</v>
      </c>
      <c r="R4678" s="18">
        <v>38910.0</v>
      </c>
    </row>
    <row r="4679">
      <c r="A4679" s="10">
        <f t="shared" si="8"/>
        <v>42661.66667</v>
      </c>
      <c r="B4679" s="2" t="str">
        <f t="shared" si="2"/>
        <v/>
      </c>
      <c r="C4679" s="2" t="str">
        <f t="shared" si="3"/>
        <v>SP500</v>
      </c>
      <c r="D4679" s="2">
        <f t="shared" si="4"/>
        <v>5243.84</v>
      </c>
      <c r="E4679" s="2">
        <f t="shared" si="5"/>
        <v>5243.84</v>
      </c>
      <c r="G4679" s="10">
        <f t="shared" si="9"/>
        <v>42661.64583</v>
      </c>
      <c r="H4679" s="6" t="str">
        <f t="shared" si="6"/>
        <v/>
      </c>
      <c r="I4679" s="2">
        <f t="shared" si="7"/>
        <v>1426.89</v>
      </c>
      <c r="M4679" s="10">
        <f>IFERROR(__xludf.DUMMYFUNCTION("""COMPUTED_VALUE"""),44768.66666666667)</f>
        <v>44768.66667</v>
      </c>
      <c r="N4679" s="2">
        <f>IFERROR(__xludf.DUMMYFUNCTION("""COMPUTED_VALUE"""),11562.58)</f>
        <v>11562.58</v>
      </c>
      <c r="P4679" s="10">
        <f t="shared" si="10"/>
        <v>38909.64583</v>
      </c>
      <c r="Q4679" s="15">
        <v>1300.44</v>
      </c>
      <c r="R4679" s="18">
        <v>38909.0</v>
      </c>
    </row>
    <row r="4680">
      <c r="A4680" s="10">
        <f t="shared" si="8"/>
        <v>42662.66667</v>
      </c>
      <c r="B4680" s="2" t="str">
        <f t="shared" si="2"/>
        <v/>
      </c>
      <c r="C4680" s="2" t="str">
        <f t="shared" si="3"/>
        <v>SP500</v>
      </c>
      <c r="D4680" s="2">
        <f t="shared" si="4"/>
        <v>5246.41</v>
      </c>
      <c r="E4680" s="2">
        <f t="shared" si="5"/>
        <v>5246.41</v>
      </c>
      <c r="G4680" s="10">
        <f t="shared" si="9"/>
        <v>42662.64583</v>
      </c>
      <c r="H4680" s="6" t="str">
        <f t="shared" si="6"/>
        <v/>
      </c>
      <c r="I4680" s="2">
        <f t="shared" si="7"/>
        <v>1426.89</v>
      </c>
      <c r="M4680" s="10">
        <f>IFERROR(__xludf.DUMMYFUNCTION("""COMPUTED_VALUE"""),44769.66666666667)</f>
        <v>44769.66667</v>
      </c>
      <c r="N4680" s="2">
        <f>IFERROR(__xludf.DUMMYFUNCTION("""COMPUTED_VALUE"""),12032.42)</f>
        <v>12032.42</v>
      </c>
      <c r="P4680" s="10">
        <f t="shared" si="10"/>
        <v>38908.64583</v>
      </c>
      <c r="Q4680" s="15">
        <v>1299.29</v>
      </c>
      <c r="R4680" s="18">
        <v>38908.0</v>
      </c>
    </row>
    <row r="4681">
      <c r="A4681" s="10">
        <f t="shared" si="8"/>
        <v>42663.66667</v>
      </c>
      <c r="B4681" s="2" t="str">
        <f t="shared" si="2"/>
        <v/>
      </c>
      <c r="C4681" s="2" t="str">
        <f t="shared" si="3"/>
        <v>SP500</v>
      </c>
      <c r="D4681" s="2">
        <f t="shared" si="4"/>
        <v>5241.83</v>
      </c>
      <c r="E4681" s="2">
        <f t="shared" si="5"/>
        <v>5241.83</v>
      </c>
      <c r="G4681" s="10">
        <f t="shared" si="9"/>
        <v>42663.64583</v>
      </c>
      <c r="H4681" s="6" t="str">
        <f t="shared" si="6"/>
        <v/>
      </c>
      <c r="I4681" s="2">
        <f t="shared" si="7"/>
        <v>1426.89</v>
      </c>
      <c r="M4681" s="10">
        <f>IFERROR(__xludf.DUMMYFUNCTION("""COMPUTED_VALUE"""),44770.66666666667)</f>
        <v>44770.66667</v>
      </c>
      <c r="N4681" s="2">
        <f>IFERROR(__xludf.DUMMYFUNCTION("""COMPUTED_VALUE"""),12162.59)</f>
        <v>12162.59</v>
      </c>
      <c r="P4681" s="10">
        <f t="shared" si="10"/>
        <v>38905.64583</v>
      </c>
      <c r="Q4681" s="15">
        <v>1273.93</v>
      </c>
      <c r="R4681" s="18">
        <v>38905.0</v>
      </c>
    </row>
    <row r="4682">
      <c r="A4682" s="10">
        <f t="shared" si="8"/>
        <v>42664.66667</v>
      </c>
      <c r="B4682" s="2" t="str">
        <f t="shared" si="2"/>
        <v/>
      </c>
      <c r="C4682" s="2" t="str">
        <f t="shared" si="3"/>
        <v>SP500</v>
      </c>
      <c r="D4682" s="2">
        <f t="shared" si="4"/>
        <v>5257.4</v>
      </c>
      <c r="E4682" s="2">
        <f t="shared" si="5"/>
        <v>5257.4</v>
      </c>
      <c r="G4682" s="10">
        <f t="shared" si="9"/>
        <v>42664.64583</v>
      </c>
      <c r="H4682" s="6" t="str">
        <f t="shared" si="6"/>
        <v/>
      </c>
      <c r="I4682" s="2">
        <f t="shared" si="7"/>
        <v>1426.89</v>
      </c>
      <c r="M4682" s="10">
        <f>IFERROR(__xludf.DUMMYFUNCTION("""COMPUTED_VALUE"""),44771.66666666667)</f>
        <v>44771.66667</v>
      </c>
      <c r="N4682" s="2">
        <f>IFERROR(__xludf.DUMMYFUNCTION("""COMPUTED_VALUE"""),12390.69)</f>
        <v>12390.69</v>
      </c>
      <c r="P4682" s="10">
        <f t="shared" si="10"/>
        <v>38904.64583</v>
      </c>
      <c r="Q4682" s="15">
        <v>1263.96</v>
      </c>
      <c r="R4682" s="18">
        <v>38904.0</v>
      </c>
    </row>
    <row r="4683">
      <c r="A4683" s="10">
        <f t="shared" si="8"/>
        <v>42665.66667</v>
      </c>
      <c r="B4683" s="2" t="str">
        <f t="shared" si="2"/>
        <v/>
      </c>
      <c r="C4683" s="2" t="str">
        <f t="shared" si="3"/>
        <v>SP500</v>
      </c>
      <c r="D4683" s="2" t="str">
        <f t="shared" si="4"/>
        <v/>
      </c>
      <c r="E4683" s="2">
        <f t="shared" si="5"/>
        <v>5257.4</v>
      </c>
      <c r="G4683" s="10">
        <f t="shared" si="9"/>
        <v>42665.64583</v>
      </c>
      <c r="H4683" s="6" t="str">
        <f t="shared" si="6"/>
        <v/>
      </c>
      <c r="I4683" s="2">
        <f t="shared" si="7"/>
        <v>1426.89</v>
      </c>
      <c r="M4683" s="10">
        <f>IFERROR(__xludf.DUMMYFUNCTION("""COMPUTED_VALUE"""),44774.66666666667)</f>
        <v>44774.66667</v>
      </c>
      <c r="N4683" s="2">
        <f>IFERROR(__xludf.DUMMYFUNCTION("""COMPUTED_VALUE"""),12368.98)</f>
        <v>12368.98</v>
      </c>
      <c r="P4683" s="10">
        <f t="shared" si="10"/>
        <v>38903.64583</v>
      </c>
      <c r="Q4683" s="15">
        <v>1279.85</v>
      </c>
      <c r="R4683" s="18">
        <v>38903.0</v>
      </c>
    </row>
    <row r="4684">
      <c r="A4684" s="10">
        <f t="shared" si="8"/>
        <v>42666.66667</v>
      </c>
      <c r="B4684" s="2" t="str">
        <f t="shared" si="2"/>
        <v/>
      </c>
      <c r="C4684" s="2" t="str">
        <f t="shared" si="3"/>
        <v>SP500</v>
      </c>
      <c r="D4684" s="2" t="str">
        <f t="shared" si="4"/>
        <v/>
      </c>
      <c r="E4684" s="2">
        <f t="shared" si="5"/>
        <v>5257.4</v>
      </c>
      <c r="G4684" s="10">
        <f t="shared" si="9"/>
        <v>42666.64583</v>
      </c>
      <c r="H4684" s="6" t="str">
        <f t="shared" si="6"/>
        <v/>
      </c>
      <c r="I4684" s="2">
        <f t="shared" si="7"/>
        <v>1426.89</v>
      </c>
      <c r="M4684" s="10">
        <f>IFERROR(__xludf.DUMMYFUNCTION("""COMPUTED_VALUE"""),44775.66666666667)</f>
        <v>44775.66667</v>
      </c>
      <c r="N4684" s="2">
        <f>IFERROR(__xludf.DUMMYFUNCTION("""COMPUTED_VALUE"""),12348.76)</f>
        <v>12348.76</v>
      </c>
      <c r="P4684" s="10">
        <f t="shared" si="10"/>
        <v>38902.64583</v>
      </c>
      <c r="Q4684" s="15">
        <v>1285.92</v>
      </c>
      <c r="R4684" s="18">
        <v>38902.0</v>
      </c>
    </row>
    <row r="4685">
      <c r="A4685" s="10">
        <f t="shared" si="8"/>
        <v>42667.66667</v>
      </c>
      <c r="B4685" s="2" t="str">
        <f t="shared" si="2"/>
        <v/>
      </c>
      <c r="C4685" s="2" t="str">
        <f t="shared" si="3"/>
        <v>SP500</v>
      </c>
      <c r="D4685" s="2">
        <f t="shared" si="4"/>
        <v>5309.83</v>
      </c>
      <c r="E4685" s="2">
        <f t="shared" si="5"/>
        <v>5309.83</v>
      </c>
      <c r="G4685" s="10">
        <f t="shared" si="9"/>
        <v>42667.64583</v>
      </c>
      <c r="H4685" s="6" t="str">
        <f t="shared" si="6"/>
        <v/>
      </c>
      <c r="I4685" s="2">
        <f t="shared" si="7"/>
        <v>1426.89</v>
      </c>
      <c r="M4685" s="10">
        <f>IFERROR(__xludf.DUMMYFUNCTION("""COMPUTED_VALUE"""),44776.66666666667)</f>
        <v>44776.66667</v>
      </c>
      <c r="N4685" s="2">
        <f>IFERROR(__xludf.DUMMYFUNCTION("""COMPUTED_VALUE"""),12668.16)</f>
        <v>12668.16</v>
      </c>
      <c r="P4685" s="10">
        <f t="shared" si="10"/>
        <v>38901.64583</v>
      </c>
      <c r="Q4685" s="15">
        <v>1294.61</v>
      </c>
      <c r="R4685" s="18">
        <v>38901.0</v>
      </c>
    </row>
    <row r="4686">
      <c r="A4686" s="10">
        <f t="shared" si="8"/>
        <v>42668.66667</v>
      </c>
      <c r="B4686" s="2" t="str">
        <f t="shared" si="2"/>
        <v/>
      </c>
      <c r="C4686" s="2" t="str">
        <f t="shared" si="3"/>
        <v>SP500</v>
      </c>
      <c r="D4686" s="2">
        <f t="shared" si="4"/>
        <v>5283.4</v>
      </c>
      <c r="E4686" s="2">
        <f t="shared" si="5"/>
        <v>5283.4</v>
      </c>
      <c r="G4686" s="10">
        <f t="shared" si="9"/>
        <v>42668.64583</v>
      </c>
      <c r="H4686" s="6" t="str">
        <f t="shared" si="6"/>
        <v/>
      </c>
      <c r="I4686" s="2">
        <f t="shared" si="7"/>
        <v>1426.89</v>
      </c>
      <c r="M4686" s="10">
        <f>IFERROR(__xludf.DUMMYFUNCTION("""COMPUTED_VALUE"""),44777.66666666667)</f>
        <v>44777.66667</v>
      </c>
      <c r="N4686" s="2">
        <f>IFERROR(__xludf.DUMMYFUNCTION("""COMPUTED_VALUE"""),12720.58)</f>
        <v>12720.58</v>
      </c>
      <c r="P4686" s="10">
        <f t="shared" si="10"/>
        <v>38898.64583</v>
      </c>
      <c r="Q4686" s="15">
        <v>1295.15</v>
      </c>
      <c r="R4686" s="18">
        <v>38898.0</v>
      </c>
    </row>
    <row r="4687">
      <c r="A4687" s="10">
        <f t="shared" si="8"/>
        <v>42669.66667</v>
      </c>
      <c r="B4687" s="2" t="str">
        <f t="shared" si="2"/>
        <v/>
      </c>
      <c r="C4687" s="2" t="str">
        <f t="shared" si="3"/>
        <v>SP500</v>
      </c>
      <c r="D4687" s="2">
        <f t="shared" si="4"/>
        <v>5250.27</v>
      </c>
      <c r="E4687" s="2">
        <f t="shared" si="5"/>
        <v>5250.27</v>
      </c>
      <c r="G4687" s="10">
        <f t="shared" si="9"/>
        <v>42669.64583</v>
      </c>
      <c r="H4687" s="6" t="str">
        <f t="shared" si="6"/>
        <v/>
      </c>
      <c r="I4687" s="2">
        <f t="shared" si="7"/>
        <v>1426.89</v>
      </c>
      <c r="M4687" s="10">
        <f>IFERROR(__xludf.DUMMYFUNCTION("""COMPUTED_VALUE"""),44778.66666666667)</f>
        <v>44778.66667</v>
      </c>
      <c r="N4687" s="2">
        <f>IFERROR(__xludf.DUMMYFUNCTION("""COMPUTED_VALUE"""),12657.56)</f>
        <v>12657.56</v>
      </c>
      <c r="P4687" s="10">
        <f t="shared" si="10"/>
        <v>38897.64583</v>
      </c>
      <c r="Q4687" s="15">
        <v>1263.02</v>
      </c>
      <c r="R4687" s="18">
        <v>38897.0</v>
      </c>
    </row>
    <row r="4688">
      <c r="A4688" s="10">
        <f t="shared" si="8"/>
        <v>42670.66667</v>
      </c>
      <c r="B4688" s="2" t="str">
        <f t="shared" si="2"/>
        <v/>
      </c>
      <c r="C4688" s="2" t="str">
        <f t="shared" si="3"/>
        <v>SP500</v>
      </c>
      <c r="D4688" s="2">
        <f t="shared" si="4"/>
        <v>5215.97</v>
      </c>
      <c r="E4688" s="2">
        <f t="shared" si="5"/>
        <v>5215.97</v>
      </c>
      <c r="G4688" s="10">
        <f t="shared" si="9"/>
        <v>42670.64583</v>
      </c>
      <c r="H4688" s="6" t="str">
        <f t="shared" si="6"/>
        <v/>
      </c>
      <c r="I4688" s="2">
        <f t="shared" si="7"/>
        <v>1426.89</v>
      </c>
      <c r="M4688" s="10">
        <f>IFERROR(__xludf.DUMMYFUNCTION("""COMPUTED_VALUE"""),44781.66666666667)</f>
        <v>44781.66667</v>
      </c>
      <c r="N4688" s="2">
        <f>IFERROR(__xludf.DUMMYFUNCTION("""COMPUTED_VALUE"""),12644.46)</f>
        <v>12644.46</v>
      </c>
      <c r="P4688" s="10">
        <f t="shared" si="10"/>
        <v>38896.64583</v>
      </c>
      <c r="Q4688" s="15">
        <v>1238.71</v>
      </c>
      <c r="R4688" s="18">
        <v>38896.0</v>
      </c>
    </row>
    <row r="4689">
      <c r="A4689" s="10">
        <f t="shared" si="8"/>
        <v>42671.66667</v>
      </c>
      <c r="B4689" s="2" t="str">
        <f t="shared" si="2"/>
        <v/>
      </c>
      <c r="C4689" s="2" t="str">
        <f t="shared" si="3"/>
        <v>SP500</v>
      </c>
      <c r="D4689" s="2">
        <f t="shared" si="4"/>
        <v>5190.1</v>
      </c>
      <c r="E4689" s="2">
        <f t="shared" si="5"/>
        <v>5190.1</v>
      </c>
      <c r="G4689" s="10">
        <f t="shared" si="9"/>
        <v>42671.64583</v>
      </c>
      <c r="H4689" s="6" t="str">
        <f t="shared" si="6"/>
        <v/>
      </c>
      <c r="I4689" s="2">
        <f t="shared" si="7"/>
        <v>1426.89</v>
      </c>
      <c r="M4689" s="10">
        <f>IFERROR(__xludf.DUMMYFUNCTION("""COMPUTED_VALUE"""),44782.66666666667)</f>
        <v>44782.66667</v>
      </c>
      <c r="N4689" s="2">
        <f>IFERROR(__xludf.DUMMYFUNCTION("""COMPUTED_VALUE"""),12493.93)</f>
        <v>12493.93</v>
      </c>
      <c r="P4689" s="10">
        <f t="shared" si="10"/>
        <v>38895.64583</v>
      </c>
      <c r="Q4689" s="15">
        <v>1247.54</v>
      </c>
      <c r="R4689" s="18">
        <v>38895.0</v>
      </c>
    </row>
    <row r="4690">
      <c r="A4690" s="10">
        <f t="shared" si="8"/>
        <v>42672.66667</v>
      </c>
      <c r="B4690" s="2" t="str">
        <f t="shared" si="2"/>
        <v/>
      </c>
      <c r="C4690" s="2" t="str">
        <f t="shared" si="3"/>
        <v>SP500</v>
      </c>
      <c r="D4690" s="2" t="str">
        <f t="shared" si="4"/>
        <v/>
      </c>
      <c r="E4690" s="2">
        <f t="shared" si="5"/>
        <v>5190.1</v>
      </c>
      <c r="G4690" s="10">
        <f t="shared" si="9"/>
        <v>42672.64583</v>
      </c>
      <c r="H4690" s="6" t="str">
        <f t="shared" si="6"/>
        <v/>
      </c>
      <c r="I4690" s="2">
        <f t="shared" si="7"/>
        <v>1426.89</v>
      </c>
      <c r="M4690" s="10">
        <f>IFERROR(__xludf.DUMMYFUNCTION("""COMPUTED_VALUE"""),44783.66666666667)</f>
        <v>44783.66667</v>
      </c>
      <c r="N4690" s="2">
        <f>IFERROR(__xludf.DUMMYFUNCTION("""COMPUTED_VALUE"""),12854.81)</f>
        <v>12854.81</v>
      </c>
      <c r="P4690" s="10">
        <f t="shared" si="10"/>
        <v>38894.64583</v>
      </c>
      <c r="Q4690" s="15">
        <v>1238.05</v>
      </c>
      <c r="R4690" s="18">
        <v>38894.0</v>
      </c>
    </row>
    <row r="4691">
      <c r="A4691" s="10">
        <f t="shared" si="8"/>
        <v>42673.66667</v>
      </c>
      <c r="B4691" s="2" t="str">
        <f t="shared" si="2"/>
        <v/>
      </c>
      <c r="C4691" s="2" t="str">
        <f t="shared" si="3"/>
        <v>SP500</v>
      </c>
      <c r="D4691" s="2" t="str">
        <f t="shared" si="4"/>
        <v/>
      </c>
      <c r="E4691" s="2">
        <f t="shared" si="5"/>
        <v>5190.1</v>
      </c>
      <c r="G4691" s="10">
        <f t="shared" si="9"/>
        <v>42673.64583</v>
      </c>
      <c r="H4691" s="6" t="str">
        <f t="shared" si="6"/>
        <v/>
      </c>
      <c r="I4691" s="2">
        <f t="shared" si="7"/>
        <v>1426.89</v>
      </c>
      <c r="M4691" s="10">
        <f>IFERROR(__xludf.DUMMYFUNCTION("""COMPUTED_VALUE"""),44784.66666666667)</f>
        <v>44784.66667</v>
      </c>
      <c r="N4691" s="2">
        <f>IFERROR(__xludf.DUMMYFUNCTION("""COMPUTED_VALUE"""),12779.91)</f>
        <v>12779.91</v>
      </c>
      <c r="P4691" s="10">
        <f t="shared" si="10"/>
        <v>38891.64583</v>
      </c>
      <c r="Q4691" s="15">
        <v>1228.62</v>
      </c>
      <c r="R4691" s="18">
        <v>38891.0</v>
      </c>
    </row>
    <row r="4692">
      <c r="A4692" s="10">
        <f t="shared" si="8"/>
        <v>42674.66667</v>
      </c>
      <c r="B4692" s="2" t="str">
        <f t="shared" si="2"/>
        <v/>
      </c>
      <c r="C4692" s="2" t="str">
        <f t="shared" si="3"/>
        <v>SP500</v>
      </c>
      <c r="D4692" s="2">
        <f t="shared" si="4"/>
        <v>5189.13</v>
      </c>
      <c r="E4692" s="2">
        <f t="shared" si="5"/>
        <v>5189.13</v>
      </c>
      <c r="G4692" s="10">
        <f t="shared" si="9"/>
        <v>42674.64583</v>
      </c>
      <c r="H4692" s="6" t="str">
        <f t="shared" si="6"/>
        <v/>
      </c>
      <c r="I4692" s="2">
        <f t="shared" si="7"/>
        <v>1426.89</v>
      </c>
      <c r="M4692" s="10">
        <f>IFERROR(__xludf.DUMMYFUNCTION("""COMPUTED_VALUE"""),44785.66666666667)</f>
        <v>44785.66667</v>
      </c>
      <c r="N4692" s="2">
        <f>IFERROR(__xludf.DUMMYFUNCTION("""COMPUTED_VALUE"""),13047.19)</f>
        <v>13047.19</v>
      </c>
      <c r="P4692" s="10">
        <f t="shared" si="10"/>
        <v>38890.64583</v>
      </c>
      <c r="Q4692" s="15">
        <v>1238.83</v>
      </c>
      <c r="R4692" s="18">
        <v>38890.0</v>
      </c>
    </row>
    <row r="4693">
      <c r="A4693" s="10">
        <f t="shared" si="8"/>
        <v>42675.66667</v>
      </c>
      <c r="B4693" s="2" t="str">
        <f t="shared" si="2"/>
        <v/>
      </c>
      <c r="C4693" s="2" t="str">
        <f t="shared" si="3"/>
        <v>SP500</v>
      </c>
      <c r="D4693" s="2">
        <f t="shared" si="4"/>
        <v>5153.58</v>
      </c>
      <c r="E4693" s="2">
        <f t="shared" si="5"/>
        <v>5153.58</v>
      </c>
      <c r="G4693" s="10">
        <f t="shared" si="9"/>
        <v>42675.64583</v>
      </c>
      <c r="H4693" s="6" t="str">
        <f t="shared" si="6"/>
        <v/>
      </c>
      <c r="I4693" s="2">
        <f t="shared" si="7"/>
        <v>1426.89</v>
      </c>
      <c r="M4693" s="10">
        <f>IFERROR(__xludf.DUMMYFUNCTION("""COMPUTED_VALUE"""),44788.66666666667)</f>
        <v>44788.66667</v>
      </c>
      <c r="N4693" s="2">
        <f>IFERROR(__xludf.DUMMYFUNCTION("""COMPUTED_VALUE"""),13128.05)</f>
        <v>13128.05</v>
      </c>
      <c r="P4693" s="10">
        <f t="shared" si="10"/>
        <v>38889.64583</v>
      </c>
      <c r="Q4693" s="15">
        <v>1227.19</v>
      </c>
      <c r="R4693" s="18">
        <v>38889.0</v>
      </c>
    </row>
    <row r="4694">
      <c r="A4694" s="10">
        <f t="shared" si="8"/>
        <v>42676.66667</v>
      </c>
      <c r="B4694" s="2" t="str">
        <f t="shared" si="2"/>
        <v/>
      </c>
      <c r="C4694" s="2" t="str">
        <f t="shared" si="3"/>
        <v>SP500</v>
      </c>
      <c r="D4694" s="2">
        <f t="shared" si="4"/>
        <v>5105.57</v>
      </c>
      <c r="E4694" s="2">
        <f t="shared" si="5"/>
        <v>5105.57</v>
      </c>
      <c r="G4694" s="10">
        <f t="shared" si="9"/>
        <v>42676.64583</v>
      </c>
      <c r="H4694" s="6" t="str">
        <f t="shared" si="6"/>
        <v/>
      </c>
      <c r="I4694" s="2">
        <f t="shared" si="7"/>
        <v>1426.89</v>
      </c>
      <c r="M4694" s="10">
        <f>IFERROR(__xludf.DUMMYFUNCTION("""COMPUTED_VALUE"""),44789.66666666667)</f>
        <v>44789.66667</v>
      </c>
      <c r="N4694" s="2">
        <f>IFERROR(__xludf.DUMMYFUNCTION("""COMPUTED_VALUE"""),13102.55)</f>
        <v>13102.55</v>
      </c>
      <c r="P4694" s="10">
        <f t="shared" si="10"/>
        <v>38888.64583</v>
      </c>
      <c r="Q4694" s="15">
        <v>1225.83</v>
      </c>
      <c r="R4694" s="18">
        <v>38888.0</v>
      </c>
    </row>
    <row r="4695">
      <c r="A4695" s="10">
        <f t="shared" si="8"/>
        <v>42677.66667</v>
      </c>
      <c r="B4695" s="2" t="str">
        <f t="shared" si="2"/>
        <v/>
      </c>
      <c r="C4695" s="2" t="str">
        <f t="shared" si="3"/>
        <v>SP500</v>
      </c>
      <c r="D4695" s="2">
        <f t="shared" si="4"/>
        <v>5058.41</v>
      </c>
      <c r="E4695" s="2">
        <f t="shared" si="5"/>
        <v>5058.41</v>
      </c>
      <c r="G4695" s="10">
        <f t="shared" si="9"/>
        <v>42677.64583</v>
      </c>
      <c r="H4695" s="6" t="str">
        <f t="shared" si="6"/>
        <v/>
      </c>
      <c r="I4695" s="2">
        <f t="shared" si="7"/>
        <v>1426.89</v>
      </c>
      <c r="M4695" s="10">
        <f>IFERROR(__xludf.DUMMYFUNCTION("""COMPUTED_VALUE"""),44790.66666666667)</f>
        <v>44790.66667</v>
      </c>
      <c r="N4695" s="2">
        <f>IFERROR(__xludf.DUMMYFUNCTION("""COMPUTED_VALUE"""),12938.12)</f>
        <v>12938.12</v>
      </c>
      <c r="P4695" s="10">
        <f t="shared" si="10"/>
        <v>38887.64583</v>
      </c>
      <c r="Q4695" s="15">
        <v>1251.67</v>
      </c>
      <c r="R4695" s="18">
        <v>38887.0</v>
      </c>
    </row>
    <row r="4696">
      <c r="A4696" s="10">
        <f t="shared" si="8"/>
        <v>42678.66667</v>
      </c>
      <c r="B4696" s="2" t="str">
        <f t="shared" si="2"/>
        <v/>
      </c>
      <c r="C4696" s="2" t="str">
        <f t="shared" si="3"/>
        <v>SP500</v>
      </c>
      <c r="D4696" s="2">
        <f t="shared" si="4"/>
        <v>5046.37</v>
      </c>
      <c r="E4696" s="2">
        <f t="shared" si="5"/>
        <v>5046.37</v>
      </c>
      <c r="G4696" s="10">
        <f t="shared" si="9"/>
        <v>42678.64583</v>
      </c>
      <c r="H4696" s="6" t="str">
        <f t="shared" si="6"/>
        <v/>
      </c>
      <c r="I4696" s="2">
        <f t="shared" si="7"/>
        <v>1426.89</v>
      </c>
      <c r="M4696" s="10">
        <f>IFERROR(__xludf.DUMMYFUNCTION("""COMPUTED_VALUE"""),44791.66666666667)</f>
        <v>44791.66667</v>
      </c>
      <c r="N4696" s="2">
        <f>IFERROR(__xludf.DUMMYFUNCTION("""COMPUTED_VALUE"""),12965.34)</f>
        <v>12965.34</v>
      </c>
      <c r="P4696" s="10">
        <f t="shared" si="10"/>
        <v>38884.64583</v>
      </c>
      <c r="Q4696" s="15">
        <v>1262.19</v>
      </c>
      <c r="R4696" s="18">
        <v>38884.0</v>
      </c>
    </row>
    <row r="4697">
      <c r="A4697" s="10">
        <f t="shared" si="8"/>
        <v>42679.66667</v>
      </c>
      <c r="B4697" s="2" t="str">
        <f t="shared" si="2"/>
        <v/>
      </c>
      <c r="C4697" s="2" t="str">
        <f t="shared" si="3"/>
        <v>SP500</v>
      </c>
      <c r="D4697" s="2" t="str">
        <f t="shared" si="4"/>
        <v/>
      </c>
      <c r="E4697" s="2">
        <f t="shared" si="5"/>
        <v>5046.37</v>
      </c>
      <c r="G4697" s="10">
        <f t="shared" si="9"/>
        <v>42679.64583</v>
      </c>
      <c r="H4697" s="6" t="str">
        <f t="shared" si="6"/>
        <v/>
      </c>
      <c r="I4697" s="2">
        <f t="shared" si="7"/>
        <v>1426.89</v>
      </c>
      <c r="M4697" s="10">
        <f>IFERROR(__xludf.DUMMYFUNCTION("""COMPUTED_VALUE"""),44792.66666666667)</f>
        <v>44792.66667</v>
      </c>
      <c r="N4697" s="2">
        <f>IFERROR(__xludf.DUMMYFUNCTION("""COMPUTED_VALUE"""),12705.22)</f>
        <v>12705.22</v>
      </c>
      <c r="P4697" s="10">
        <f t="shared" si="10"/>
        <v>38883.64583</v>
      </c>
      <c r="Q4697" s="15">
        <v>1219.4</v>
      </c>
      <c r="R4697" s="18">
        <v>38883.0</v>
      </c>
    </row>
    <row r="4698">
      <c r="A4698" s="10">
        <f t="shared" si="8"/>
        <v>42680.66667</v>
      </c>
      <c r="B4698" s="2" t="str">
        <f t="shared" si="2"/>
        <v/>
      </c>
      <c r="C4698" s="2" t="str">
        <f t="shared" si="3"/>
        <v>SP500</v>
      </c>
      <c r="D4698" s="2" t="str">
        <f t="shared" si="4"/>
        <v/>
      </c>
      <c r="E4698" s="2">
        <f t="shared" si="5"/>
        <v>5046.37</v>
      </c>
      <c r="G4698" s="10">
        <f t="shared" si="9"/>
        <v>42680.64583</v>
      </c>
      <c r="H4698" s="6" t="str">
        <f t="shared" si="6"/>
        <v/>
      </c>
      <c r="I4698" s="2">
        <f t="shared" si="7"/>
        <v>1426.89</v>
      </c>
      <c r="M4698" s="10">
        <f>IFERROR(__xludf.DUMMYFUNCTION("""COMPUTED_VALUE"""),44795.66666666667)</f>
        <v>44795.66667</v>
      </c>
      <c r="N4698" s="2">
        <f>IFERROR(__xludf.DUMMYFUNCTION("""COMPUTED_VALUE"""),12381.57)</f>
        <v>12381.57</v>
      </c>
      <c r="P4698" s="10">
        <f t="shared" si="10"/>
        <v>38882.64583</v>
      </c>
      <c r="Q4698" s="15">
        <v>1221.73</v>
      </c>
      <c r="R4698" s="18">
        <v>38882.0</v>
      </c>
    </row>
    <row r="4699">
      <c r="A4699" s="10">
        <f t="shared" si="8"/>
        <v>42681.66667</v>
      </c>
      <c r="B4699" s="2" t="str">
        <f t="shared" si="2"/>
        <v/>
      </c>
      <c r="C4699" s="2" t="str">
        <f t="shared" si="3"/>
        <v>SP500</v>
      </c>
      <c r="D4699" s="2">
        <f t="shared" si="4"/>
        <v>5166.17</v>
      </c>
      <c r="E4699" s="2">
        <f t="shared" si="5"/>
        <v>5166.17</v>
      </c>
      <c r="G4699" s="10">
        <f t="shared" si="9"/>
        <v>42681.64583</v>
      </c>
      <c r="H4699" s="6" t="str">
        <f t="shared" si="6"/>
        <v/>
      </c>
      <c r="I4699" s="2">
        <f t="shared" si="7"/>
        <v>1426.89</v>
      </c>
      <c r="M4699" s="10">
        <f>IFERROR(__xludf.DUMMYFUNCTION("""COMPUTED_VALUE"""),44796.66666666667)</f>
        <v>44796.66667</v>
      </c>
      <c r="N4699" s="2">
        <f>IFERROR(__xludf.DUMMYFUNCTION("""COMPUTED_VALUE"""),12381.3)</f>
        <v>12381.3</v>
      </c>
      <c r="P4699" s="10">
        <f t="shared" si="10"/>
        <v>38881.64583</v>
      </c>
      <c r="Q4699" s="15">
        <v>1203.86</v>
      </c>
      <c r="R4699" s="18">
        <v>38881.0</v>
      </c>
    </row>
    <row r="4700">
      <c r="A4700" s="10">
        <f t="shared" si="8"/>
        <v>42682.66667</v>
      </c>
      <c r="B4700" s="2" t="str">
        <f t="shared" si="2"/>
        <v/>
      </c>
      <c r="C4700" s="2" t="str">
        <f t="shared" si="3"/>
        <v>SP500</v>
      </c>
      <c r="D4700" s="2">
        <f t="shared" si="4"/>
        <v>5193.49</v>
      </c>
      <c r="E4700" s="2">
        <f t="shared" si="5"/>
        <v>5193.49</v>
      </c>
      <c r="G4700" s="10">
        <f t="shared" si="9"/>
        <v>42682.64583</v>
      </c>
      <c r="H4700" s="6" t="str">
        <f t="shared" si="6"/>
        <v/>
      </c>
      <c r="I4700" s="2">
        <f t="shared" si="7"/>
        <v>1426.89</v>
      </c>
      <c r="M4700" s="10">
        <f>IFERROR(__xludf.DUMMYFUNCTION("""COMPUTED_VALUE"""),44797.66666666667)</f>
        <v>44797.66667</v>
      </c>
      <c r="N4700" s="2">
        <f>IFERROR(__xludf.DUMMYFUNCTION("""COMPUTED_VALUE"""),12431.53)</f>
        <v>12431.53</v>
      </c>
      <c r="P4700" s="10">
        <f t="shared" si="10"/>
        <v>38880.64583</v>
      </c>
      <c r="Q4700" s="15">
        <v>1239.84</v>
      </c>
      <c r="R4700" s="18">
        <v>38880.0</v>
      </c>
    </row>
    <row r="4701">
      <c r="A4701" s="10">
        <f t="shared" si="8"/>
        <v>42683.66667</v>
      </c>
      <c r="B4701" s="2" t="str">
        <f t="shared" si="2"/>
        <v/>
      </c>
      <c r="C4701" s="2" t="str">
        <f t="shared" si="3"/>
        <v>SP500</v>
      </c>
      <c r="D4701" s="2">
        <f t="shared" si="4"/>
        <v>5251.07</v>
      </c>
      <c r="E4701" s="2">
        <f t="shared" si="5"/>
        <v>5251.07</v>
      </c>
      <c r="G4701" s="10">
        <f t="shared" si="9"/>
        <v>42683.64583</v>
      </c>
      <c r="H4701" s="6" t="str">
        <f t="shared" si="6"/>
        <v/>
      </c>
      <c r="I4701" s="2">
        <f t="shared" si="7"/>
        <v>1426.89</v>
      </c>
      <c r="M4701" s="10">
        <f>IFERROR(__xludf.DUMMYFUNCTION("""COMPUTED_VALUE"""),44798.66666666667)</f>
        <v>44798.66667</v>
      </c>
      <c r="N4701" s="2">
        <f>IFERROR(__xludf.DUMMYFUNCTION("""COMPUTED_VALUE"""),12639.27)</f>
        <v>12639.27</v>
      </c>
      <c r="P4701" s="10">
        <f t="shared" si="10"/>
        <v>38877.64583</v>
      </c>
      <c r="Q4701" s="15">
        <v>1235.65</v>
      </c>
      <c r="R4701" s="18">
        <v>38877.0</v>
      </c>
    </row>
    <row r="4702">
      <c r="A4702" s="10">
        <f t="shared" si="8"/>
        <v>42684.66667</v>
      </c>
      <c r="B4702" s="2" t="str">
        <f t="shared" si="2"/>
        <v/>
      </c>
      <c r="C4702" s="2" t="str">
        <f t="shared" si="3"/>
        <v>SP500</v>
      </c>
      <c r="D4702" s="2">
        <f t="shared" si="4"/>
        <v>5208.8</v>
      </c>
      <c r="E4702" s="2">
        <f t="shared" si="5"/>
        <v>5208.8</v>
      </c>
      <c r="G4702" s="10">
        <f t="shared" si="9"/>
        <v>42684.64583</v>
      </c>
      <c r="H4702" s="6" t="str">
        <f t="shared" si="6"/>
        <v/>
      </c>
      <c r="I4702" s="2">
        <f t="shared" si="7"/>
        <v>1426.89</v>
      </c>
      <c r="M4702" s="10">
        <f>IFERROR(__xludf.DUMMYFUNCTION("""COMPUTED_VALUE"""),44799.66666666667)</f>
        <v>44799.66667</v>
      </c>
      <c r="N4702" s="2">
        <f>IFERROR(__xludf.DUMMYFUNCTION("""COMPUTED_VALUE"""),12141.71)</f>
        <v>12141.71</v>
      </c>
      <c r="P4702" s="10">
        <f t="shared" si="10"/>
        <v>38876.64583</v>
      </c>
      <c r="Q4702" s="15">
        <v>1223.13</v>
      </c>
      <c r="R4702" s="18">
        <v>38876.0</v>
      </c>
    </row>
    <row r="4703">
      <c r="A4703" s="10">
        <f t="shared" si="8"/>
        <v>42685.66667</v>
      </c>
      <c r="B4703" s="2" t="str">
        <f t="shared" si="2"/>
        <v/>
      </c>
      <c r="C4703" s="2" t="str">
        <f t="shared" si="3"/>
        <v>SP500</v>
      </c>
      <c r="D4703" s="2">
        <f t="shared" si="4"/>
        <v>5237.11</v>
      </c>
      <c r="E4703" s="2">
        <f t="shared" si="5"/>
        <v>5237.11</v>
      </c>
      <c r="G4703" s="10">
        <f t="shared" si="9"/>
        <v>42685.64583</v>
      </c>
      <c r="H4703" s="6" t="str">
        <f t="shared" si="6"/>
        <v/>
      </c>
      <c r="I4703" s="2">
        <f t="shared" si="7"/>
        <v>1426.89</v>
      </c>
      <c r="M4703" s="10">
        <f>IFERROR(__xludf.DUMMYFUNCTION("""COMPUTED_VALUE"""),44802.66666666667)</f>
        <v>44802.66667</v>
      </c>
      <c r="N4703" s="2">
        <f>IFERROR(__xludf.DUMMYFUNCTION("""COMPUTED_VALUE"""),12017.67)</f>
        <v>12017.67</v>
      </c>
      <c r="P4703" s="10">
        <f t="shared" si="10"/>
        <v>38875.64583</v>
      </c>
      <c r="Q4703" s="15">
        <v>1266.84</v>
      </c>
      <c r="R4703" s="18">
        <v>38875.0</v>
      </c>
    </row>
    <row r="4704">
      <c r="A4704" s="10">
        <f t="shared" si="8"/>
        <v>42686.66667</v>
      </c>
      <c r="B4704" s="2" t="str">
        <f t="shared" si="2"/>
        <v/>
      </c>
      <c r="C4704" s="2" t="str">
        <f t="shared" si="3"/>
        <v>SP500</v>
      </c>
      <c r="D4704" s="2" t="str">
        <f t="shared" si="4"/>
        <v/>
      </c>
      <c r="E4704" s="2">
        <f t="shared" si="5"/>
        <v>5237.11</v>
      </c>
      <c r="G4704" s="10">
        <f t="shared" si="9"/>
        <v>42686.64583</v>
      </c>
      <c r="H4704" s="6" t="str">
        <f t="shared" si="6"/>
        <v/>
      </c>
      <c r="I4704" s="2">
        <f t="shared" si="7"/>
        <v>1426.89</v>
      </c>
      <c r="M4704" s="10">
        <f>IFERROR(__xludf.DUMMYFUNCTION("""COMPUTED_VALUE"""),44803.66666666667)</f>
        <v>44803.66667</v>
      </c>
      <c r="N4704" s="2">
        <f>IFERROR(__xludf.DUMMYFUNCTION("""COMPUTED_VALUE"""),11883.14)</f>
        <v>11883.14</v>
      </c>
      <c r="P4704" s="10">
        <f t="shared" si="10"/>
        <v>38873.64583</v>
      </c>
      <c r="Q4704" s="15">
        <v>1301.62</v>
      </c>
      <c r="R4704" s="18">
        <v>38873.0</v>
      </c>
    </row>
    <row r="4705">
      <c r="A4705" s="10">
        <f t="shared" si="8"/>
        <v>42687.66667</v>
      </c>
      <c r="B4705" s="2" t="str">
        <f t="shared" si="2"/>
        <v/>
      </c>
      <c r="C4705" s="2" t="str">
        <f t="shared" si="3"/>
        <v>SP500</v>
      </c>
      <c r="D4705" s="2" t="str">
        <f t="shared" si="4"/>
        <v/>
      </c>
      <c r="E4705" s="2">
        <f t="shared" si="5"/>
        <v>5237.11</v>
      </c>
      <c r="G4705" s="10">
        <f t="shared" si="9"/>
        <v>42687.64583</v>
      </c>
      <c r="H4705" s="6" t="str">
        <f t="shared" si="6"/>
        <v/>
      </c>
      <c r="I4705" s="2">
        <f t="shared" si="7"/>
        <v>1426.89</v>
      </c>
      <c r="M4705" s="10">
        <f>IFERROR(__xludf.DUMMYFUNCTION("""COMPUTED_VALUE"""),44804.66666666667)</f>
        <v>44804.66667</v>
      </c>
      <c r="N4705" s="2">
        <f>IFERROR(__xludf.DUMMYFUNCTION("""COMPUTED_VALUE"""),11816.2)</f>
        <v>11816.2</v>
      </c>
      <c r="P4705" s="10">
        <f t="shared" si="10"/>
        <v>38870.64583</v>
      </c>
      <c r="Q4705" s="15">
        <v>1309.04</v>
      </c>
      <c r="R4705" s="18">
        <v>38870.0</v>
      </c>
    </row>
    <row r="4706">
      <c r="A4706" s="10">
        <f t="shared" si="8"/>
        <v>42688.66667</v>
      </c>
      <c r="B4706" s="2" t="str">
        <f t="shared" si="2"/>
        <v/>
      </c>
      <c r="C4706" s="2" t="str">
        <f t="shared" si="3"/>
        <v>SP500</v>
      </c>
      <c r="D4706" s="2">
        <f t="shared" si="4"/>
        <v>5218.4</v>
      </c>
      <c r="E4706" s="2">
        <f t="shared" si="5"/>
        <v>5218.4</v>
      </c>
      <c r="G4706" s="10">
        <f t="shared" si="9"/>
        <v>42688.64583</v>
      </c>
      <c r="H4706" s="6" t="str">
        <f t="shared" si="6"/>
        <v/>
      </c>
      <c r="I4706" s="2">
        <f t="shared" si="7"/>
        <v>1426.89</v>
      </c>
      <c r="M4706" s="10">
        <f>IFERROR(__xludf.DUMMYFUNCTION("""COMPUTED_VALUE"""),44805.66666666667)</f>
        <v>44805.66667</v>
      </c>
      <c r="N4706" s="2">
        <f>IFERROR(__xludf.DUMMYFUNCTION("""COMPUTED_VALUE"""),11785.13)</f>
        <v>11785.13</v>
      </c>
      <c r="P4706" s="10">
        <f t="shared" si="10"/>
        <v>38869.64583</v>
      </c>
      <c r="Q4706" s="15">
        <v>1295.09</v>
      </c>
      <c r="R4706" s="18">
        <v>38869.0</v>
      </c>
    </row>
    <row r="4707">
      <c r="A4707" s="10">
        <f t="shared" si="8"/>
        <v>42689.66667</v>
      </c>
      <c r="B4707" s="2" t="str">
        <f t="shared" si="2"/>
        <v/>
      </c>
      <c r="C4707" s="2" t="str">
        <f t="shared" si="3"/>
        <v>SP500</v>
      </c>
      <c r="D4707" s="2">
        <f t="shared" si="4"/>
        <v>5275.62</v>
      </c>
      <c r="E4707" s="2">
        <f t="shared" si="5"/>
        <v>5275.62</v>
      </c>
      <c r="G4707" s="10">
        <f t="shared" si="9"/>
        <v>42689.64583</v>
      </c>
      <c r="H4707" s="6" t="str">
        <f t="shared" si="6"/>
        <v/>
      </c>
      <c r="I4707" s="2">
        <f t="shared" si="7"/>
        <v>1426.89</v>
      </c>
      <c r="M4707" s="10">
        <f>IFERROR(__xludf.DUMMYFUNCTION("""COMPUTED_VALUE"""),44806.66666666667)</f>
        <v>44806.66667</v>
      </c>
      <c r="N4707" s="2">
        <f>IFERROR(__xludf.DUMMYFUNCTION("""COMPUTED_VALUE"""),11630.86)</f>
        <v>11630.86</v>
      </c>
      <c r="P4707" s="10">
        <f t="shared" si="10"/>
        <v>38867.64583</v>
      </c>
      <c r="Q4707" s="15">
        <v>1317.7</v>
      </c>
      <c r="R4707" s="18">
        <v>38867.0</v>
      </c>
    </row>
    <row r="4708">
      <c r="A4708" s="10">
        <f t="shared" si="8"/>
        <v>42690.66667</v>
      </c>
      <c r="B4708" s="2" t="str">
        <f t="shared" si="2"/>
        <v/>
      </c>
      <c r="C4708" s="2" t="str">
        <f t="shared" si="3"/>
        <v>SP500</v>
      </c>
      <c r="D4708" s="2">
        <f t="shared" si="4"/>
        <v>5294.58</v>
      </c>
      <c r="E4708" s="2">
        <f t="shared" si="5"/>
        <v>5294.58</v>
      </c>
      <c r="G4708" s="10">
        <f t="shared" si="9"/>
        <v>42690.64583</v>
      </c>
      <c r="H4708" s="6" t="str">
        <f t="shared" si="6"/>
        <v/>
      </c>
      <c r="I4708" s="2">
        <f t="shared" si="7"/>
        <v>1426.89</v>
      </c>
      <c r="M4708" s="10">
        <f>IFERROR(__xludf.DUMMYFUNCTION("""COMPUTED_VALUE"""),44810.66666666667)</f>
        <v>44810.66667</v>
      </c>
      <c r="N4708" s="2">
        <f>IFERROR(__xludf.DUMMYFUNCTION("""COMPUTED_VALUE"""),11544.91)</f>
        <v>11544.91</v>
      </c>
      <c r="P4708" s="10">
        <f t="shared" si="10"/>
        <v>38866.64583</v>
      </c>
      <c r="Q4708" s="15">
        <v>1329.22</v>
      </c>
      <c r="R4708" s="18">
        <v>38866.0</v>
      </c>
    </row>
    <row r="4709">
      <c r="A4709" s="10">
        <f t="shared" si="8"/>
        <v>42691.66667</v>
      </c>
      <c r="B4709" s="2" t="str">
        <f t="shared" si="2"/>
        <v/>
      </c>
      <c r="C4709" s="2" t="str">
        <f t="shared" si="3"/>
        <v>SP500</v>
      </c>
      <c r="D4709" s="2">
        <f t="shared" si="4"/>
        <v>5333.97</v>
      </c>
      <c r="E4709" s="2">
        <f t="shared" si="5"/>
        <v>5333.97</v>
      </c>
      <c r="G4709" s="10">
        <f t="shared" si="9"/>
        <v>42691.64583</v>
      </c>
      <c r="H4709" s="6" t="str">
        <f t="shared" si="6"/>
        <v/>
      </c>
      <c r="I4709" s="2">
        <f t="shared" si="7"/>
        <v>1426.89</v>
      </c>
      <c r="M4709" s="10">
        <f>IFERROR(__xludf.DUMMYFUNCTION("""COMPUTED_VALUE"""),44811.66666666667)</f>
        <v>44811.66667</v>
      </c>
      <c r="N4709" s="2">
        <f>IFERROR(__xludf.DUMMYFUNCTION("""COMPUTED_VALUE"""),11791.9)</f>
        <v>11791.9</v>
      </c>
      <c r="P4709" s="10">
        <f t="shared" si="10"/>
        <v>38863.64583</v>
      </c>
      <c r="Q4709" s="15">
        <v>1322.43</v>
      </c>
      <c r="R4709" s="18">
        <v>38863.0</v>
      </c>
    </row>
    <row r="4710">
      <c r="A4710" s="10">
        <f t="shared" si="8"/>
        <v>42692.66667</v>
      </c>
      <c r="B4710" s="2" t="str">
        <f t="shared" si="2"/>
        <v/>
      </c>
      <c r="C4710" s="2" t="str">
        <f t="shared" si="3"/>
        <v>SP500</v>
      </c>
      <c r="D4710" s="2">
        <f t="shared" si="4"/>
        <v>5321.51</v>
      </c>
      <c r="E4710" s="2">
        <f t="shared" si="5"/>
        <v>5321.51</v>
      </c>
      <c r="G4710" s="10">
        <f t="shared" si="9"/>
        <v>42692.64583</v>
      </c>
      <c r="H4710" s="6" t="str">
        <f t="shared" si="6"/>
        <v/>
      </c>
      <c r="I4710" s="2">
        <f t="shared" si="7"/>
        <v>1426.89</v>
      </c>
      <c r="M4710" s="10">
        <f>IFERROR(__xludf.DUMMYFUNCTION("""COMPUTED_VALUE"""),44812.66666666667)</f>
        <v>44812.66667</v>
      </c>
      <c r="N4710" s="2">
        <f>IFERROR(__xludf.DUMMYFUNCTION("""COMPUTED_VALUE"""),11862.13)</f>
        <v>11862.13</v>
      </c>
      <c r="P4710" s="10">
        <f t="shared" si="10"/>
        <v>38862.64583</v>
      </c>
      <c r="Q4710" s="15">
        <v>1295.76</v>
      </c>
      <c r="R4710" s="18">
        <v>38862.0</v>
      </c>
    </row>
    <row r="4711">
      <c r="A4711" s="10">
        <f t="shared" si="8"/>
        <v>42693.66667</v>
      </c>
      <c r="B4711" s="2" t="str">
        <f t="shared" si="2"/>
        <v/>
      </c>
      <c r="C4711" s="2" t="str">
        <f t="shared" si="3"/>
        <v>SP500</v>
      </c>
      <c r="D4711" s="2" t="str">
        <f t="shared" si="4"/>
        <v/>
      </c>
      <c r="E4711" s="2">
        <f t="shared" si="5"/>
        <v>5321.51</v>
      </c>
      <c r="G4711" s="10">
        <f t="shared" si="9"/>
        <v>42693.64583</v>
      </c>
      <c r="H4711" s="6" t="str">
        <f t="shared" si="6"/>
        <v/>
      </c>
      <c r="I4711" s="2">
        <f t="shared" si="7"/>
        <v>1426.89</v>
      </c>
      <c r="M4711" s="10">
        <f>IFERROR(__xludf.DUMMYFUNCTION("""COMPUTED_VALUE"""),44813.66666666667)</f>
        <v>44813.66667</v>
      </c>
      <c r="N4711" s="2">
        <f>IFERROR(__xludf.DUMMYFUNCTION("""COMPUTED_VALUE"""),12112.31)</f>
        <v>12112.31</v>
      </c>
      <c r="P4711" s="10">
        <f t="shared" si="10"/>
        <v>38861.64583</v>
      </c>
      <c r="Q4711" s="15">
        <v>1333.38</v>
      </c>
      <c r="R4711" s="18">
        <v>38861.0</v>
      </c>
    </row>
    <row r="4712">
      <c r="A4712" s="10">
        <f t="shared" si="8"/>
        <v>42694.66667</v>
      </c>
      <c r="B4712" s="2" t="str">
        <f t="shared" si="2"/>
        <v/>
      </c>
      <c r="C4712" s="2" t="str">
        <f t="shared" si="3"/>
        <v>SP500</v>
      </c>
      <c r="D4712" s="2" t="str">
        <f t="shared" si="4"/>
        <v/>
      </c>
      <c r="E4712" s="2">
        <f t="shared" si="5"/>
        <v>5321.51</v>
      </c>
      <c r="G4712" s="10">
        <f t="shared" si="9"/>
        <v>42694.64583</v>
      </c>
      <c r="H4712" s="6" t="str">
        <f t="shared" si="6"/>
        <v/>
      </c>
      <c r="I4712" s="2">
        <f t="shared" si="7"/>
        <v>1426.89</v>
      </c>
      <c r="M4712" s="10">
        <f>IFERROR(__xludf.DUMMYFUNCTION("""COMPUTED_VALUE"""),44816.66666666667)</f>
        <v>44816.66667</v>
      </c>
      <c r="N4712" s="2">
        <f>IFERROR(__xludf.DUMMYFUNCTION("""COMPUTED_VALUE"""),12266.41)</f>
        <v>12266.41</v>
      </c>
      <c r="P4712" s="10">
        <f t="shared" si="10"/>
        <v>38860.64583</v>
      </c>
      <c r="Q4712" s="15">
        <v>1329.86</v>
      </c>
      <c r="R4712" s="18">
        <v>38860.0</v>
      </c>
    </row>
    <row r="4713">
      <c r="A4713" s="10">
        <f t="shared" si="8"/>
        <v>42695.66667</v>
      </c>
      <c r="B4713" s="2" t="str">
        <f t="shared" si="2"/>
        <v/>
      </c>
      <c r="C4713" s="2" t="str">
        <f t="shared" si="3"/>
        <v>SP500</v>
      </c>
      <c r="D4713" s="2">
        <f t="shared" si="4"/>
        <v>5368.86</v>
      </c>
      <c r="E4713" s="2">
        <f t="shared" si="5"/>
        <v>5368.86</v>
      </c>
      <c r="G4713" s="10">
        <f t="shared" si="9"/>
        <v>42695.64583</v>
      </c>
      <c r="H4713" s="6" t="str">
        <f t="shared" si="6"/>
        <v/>
      </c>
      <c r="I4713" s="2">
        <f t="shared" si="7"/>
        <v>1426.89</v>
      </c>
      <c r="M4713" s="10">
        <f>IFERROR(__xludf.DUMMYFUNCTION("""COMPUTED_VALUE"""),44817.66666666667)</f>
        <v>44817.66667</v>
      </c>
      <c r="N4713" s="2">
        <f>IFERROR(__xludf.DUMMYFUNCTION("""COMPUTED_VALUE"""),11633.57)</f>
        <v>11633.57</v>
      </c>
      <c r="P4713" s="10">
        <f t="shared" si="10"/>
        <v>38859.64583</v>
      </c>
      <c r="Q4713" s="15">
        <v>1338.59</v>
      </c>
      <c r="R4713" s="18">
        <v>38859.0</v>
      </c>
    </row>
    <row r="4714">
      <c r="A4714" s="10">
        <f t="shared" si="8"/>
        <v>42696.66667</v>
      </c>
      <c r="B4714" s="2" t="str">
        <f t="shared" si="2"/>
        <v/>
      </c>
      <c r="C4714" s="2" t="str">
        <f t="shared" si="3"/>
        <v>SP500</v>
      </c>
      <c r="D4714" s="2">
        <f t="shared" si="4"/>
        <v>5386.35</v>
      </c>
      <c r="E4714" s="2">
        <f t="shared" si="5"/>
        <v>5386.35</v>
      </c>
      <c r="G4714" s="10">
        <f t="shared" si="9"/>
        <v>42696.64583</v>
      </c>
      <c r="H4714" s="6" t="str">
        <f t="shared" si="6"/>
        <v/>
      </c>
      <c r="I4714" s="2">
        <f t="shared" si="7"/>
        <v>1426.89</v>
      </c>
      <c r="M4714" s="10">
        <f>IFERROR(__xludf.DUMMYFUNCTION("""COMPUTED_VALUE"""),44818.66666666667)</f>
        <v>44818.66667</v>
      </c>
      <c r="N4714" s="2">
        <f>IFERROR(__xludf.DUMMYFUNCTION("""COMPUTED_VALUE"""),11719.68)</f>
        <v>11719.68</v>
      </c>
      <c r="P4714" s="10">
        <f t="shared" si="10"/>
        <v>38856.64583</v>
      </c>
      <c r="Q4714" s="15">
        <v>1372.29</v>
      </c>
      <c r="R4714" s="18">
        <v>38856.0</v>
      </c>
    </row>
    <row r="4715">
      <c r="A4715" s="10">
        <f t="shared" si="8"/>
        <v>42697.66667</v>
      </c>
      <c r="B4715" s="2" t="str">
        <f t="shared" si="2"/>
        <v/>
      </c>
      <c r="C4715" s="2" t="str">
        <f t="shared" si="3"/>
        <v>SP500</v>
      </c>
      <c r="D4715" s="2">
        <f t="shared" si="4"/>
        <v>5380.68</v>
      </c>
      <c r="E4715" s="2">
        <f t="shared" si="5"/>
        <v>5380.68</v>
      </c>
      <c r="G4715" s="10">
        <f t="shared" si="9"/>
        <v>42697.64583</v>
      </c>
      <c r="H4715" s="6" t="str">
        <f t="shared" si="6"/>
        <v/>
      </c>
      <c r="I4715" s="2">
        <f t="shared" si="7"/>
        <v>1426.89</v>
      </c>
      <c r="M4715" s="10">
        <f>IFERROR(__xludf.DUMMYFUNCTION("""COMPUTED_VALUE"""),44819.66666666667)</f>
        <v>44819.66667</v>
      </c>
      <c r="N4715" s="2">
        <f>IFERROR(__xludf.DUMMYFUNCTION("""COMPUTED_VALUE"""),11552.36)</f>
        <v>11552.36</v>
      </c>
      <c r="P4715" s="10">
        <f t="shared" si="10"/>
        <v>38855.64583</v>
      </c>
      <c r="Q4715" s="15">
        <v>1365.15</v>
      </c>
      <c r="R4715" s="18">
        <v>38855.0</v>
      </c>
    </row>
    <row r="4716">
      <c r="A4716" s="10">
        <f t="shared" si="8"/>
        <v>42698.66667</v>
      </c>
      <c r="B4716" s="2" t="str">
        <f t="shared" si="2"/>
        <v/>
      </c>
      <c r="C4716" s="2" t="str">
        <f t="shared" si="3"/>
        <v>SP500</v>
      </c>
      <c r="D4716" s="2" t="str">
        <f t="shared" si="4"/>
        <v/>
      </c>
      <c r="E4716" s="2">
        <f t="shared" si="5"/>
        <v>5380.68</v>
      </c>
      <c r="G4716" s="10">
        <f t="shared" si="9"/>
        <v>42698.64583</v>
      </c>
      <c r="H4716" s="6" t="str">
        <f t="shared" si="6"/>
        <v/>
      </c>
      <c r="I4716" s="2">
        <f t="shared" si="7"/>
        <v>1426.89</v>
      </c>
      <c r="M4716" s="10">
        <f>IFERROR(__xludf.DUMMYFUNCTION("""COMPUTED_VALUE"""),44820.66666666667)</f>
        <v>44820.66667</v>
      </c>
      <c r="N4716" s="2">
        <f>IFERROR(__xludf.DUMMYFUNCTION("""COMPUTED_VALUE"""),11448.4)</f>
        <v>11448.4</v>
      </c>
      <c r="P4716" s="10">
        <f t="shared" si="10"/>
        <v>38854.64583</v>
      </c>
      <c r="Q4716" s="15">
        <v>1401.47</v>
      </c>
      <c r="R4716" s="18">
        <v>38854.0</v>
      </c>
    </row>
    <row r="4717">
      <c r="A4717" s="10">
        <f t="shared" si="8"/>
        <v>42699.66667</v>
      </c>
      <c r="B4717" s="2" t="str">
        <f t="shared" si="2"/>
        <v/>
      </c>
      <c r="C4717" s="2" t="str">
        <f t="shared" si="3"/>
        <v>SP500</v>
      </c>
      <c r="D4717" s="2">
        <f t="shared" si="4"/>
        <v>5398.92</v>
      </c>
      <c r="E4717" s="2">
        <f t="shared" si="5"/>
        <v>5398.92</v>
      </c>
      <c r="G4717" s="10">
        <f t="shared" si="9"/>
        <v>42699.64583</v>
      </c>
      <c r="H4717" s="6" t="str">
        <f t="shared" si="6"/>
        <v/>
      </c>
      <c r="I4717" s="2">
        <f t="shared" si="7"/>
        <v>1426.89</v>
      </c>
      <c r="M4717" s="10">
        <f>IFERROR(__xludf.DUMMYFUNCTION("""COMPUTED_VALUE"""),44823.66666666667)</f>
        <v>44823.66667</v>
      </c>
      <c r="N4717" s="2">
        <f>IFERROR(__xludf.DUMMYFUNCTION("""COMPUTED_VALUE"""),11535.02)</f>
        <v>11535.02</v>
      </c>
      <c r="P4717" s="10">
        <f t="shared" si="10"/>
        <v>38853.64583</v>
      </c>
      <c r="Q4717" s="15">
        <v>1382.11</v>
      </c>
      <c r="R4717" s="18">
        <v>38853.0</v>
      </c>
    </row>
    <row r="4718">
      <c r="A4718" s="10">
        <f t="shared" si="8"/>
        <v>42700.66667</v>
      </c>
      <c r="B4718" s="2" t="str">
        <f t="shared" si="2"/>
        <v/>
      </c>
      <c r="C4718" s="2" t="str">
        <f t="shared" si="3"/>
        <v>SP500</v>
      </c>
      <c r="D4718" s="2" t="str">
        <f t="shared" si="4"/>
        <v/>
      </c>
      <c r="E4718" s="2">
        <f t="shared" si="5"/>
        <v>5398.92</v>
      </c>
      <c r="G4718" s="10">
        <f t="shared" si="9"/>
        <v>42700.64583</v>
      </c>
      <c r="H4718" s="6" t="str">
        <f t="shared" si="6"/>
        <v/>
      </c>
      <c r="I4718" s="2">
        <f t="shared" si="7"/>
        <v>1426.89</v>
      </c>
      <c r="M4718" s="10">
        <f>IFERROR(__xludf.DUMMYFUNCTION("""COMPUTED_VALUE"""),44824.66666666667)</f>
        <v>44824.66667</v>
      </c>
      <c r="N4718" s="2">
        <f>IFERROR(__xludf.DUMMYFUNCTION("""COMPUTED_VALUE"""),11425.05)</f>
        <v>11425.05</v>
      </c>
      <c r="P4718" s="10">
        <f t="shared" si="10"/>
        <v>38852.64583</v>
      </c>
      <c r="Q4718" s="15">
        <v>1413.98</v>
      </c>
      <c r="R4718" s="18">
        <v>38852.0</v>
      </c>
    </row>
    <row r="4719">
      <c r="A4719" s="10">
        <f t="shared" si="8"/>
        <v>42701.66667</v>
      </c>
      <c r="B4719" s="2" t="str">
        <f t="shared" si="2"/>
        <v/>
      </c>
      <c r="C4719" s="2" t="str">
        <f t="shared" si="3"/>
        <v>SP500</v>
      </c>
      <c r="D4719" s="2" t="str">
        <f t="shared" si="4"/>
        <v/>
      </c>
      <c r="E4719" s="2">
        <f t="shared" si="5"/>
        <v>5398.92</v>
      </c>
      <c r="G4719" s="10">
        <f t="shared" si="9"/>
        <v>42701.64583</v>
      </c>
      <c r="H4719" s="6" t="str">
        <f t="shared" si="6"/>
        <v/>
      </c>
      <c r="I4719" s="2">
        <f t="shared" si="7"/>
        <v>1426.89</v>
      </c>
      <c r="M4719" s="10">
        <f>IFERROR(__xludf.DUMMYFUNCTION("""COMPUTED_VALUE"""),44825.66666666667)</f>
        <v>44825.66667</v>
      </c>
      <c r="N4719" s="2">
        <f>IFERROR(__xludf.DUMMYFUNCTION("""COMPUTED_VALUE"""),11220.19)</f>
        <v>11220.19</v>
      </c>
      <c r="P4719" s="10">
        <f t="shared" si="10"/>
        <v>38849.64583</v>
      </c>
      <c r="Q4719" s="15">
        <v>1445.2</v>
      </c>
      <c r="R4719" s="18">
        <v>38849.0</v>
      </c>
    </row>
    <row r="4720">
      <c r="A4720" s="10">
        <f t="shared" si="8"/>
        <v>42702.66667</v>
      </c>
      <c r="B4720" s="2" t="str">
        <f t="shared" si="2"/>
        <v/>
      </c>
      <c r="C4720" s="2" t="str">
        <f t="shared" si="3"/>
        <v>SP500</v>
      </c>
      <c r="D4720" s="2">
        <f t="shared" si="4"/>
        <v>5368.81</v>
      </c>
      <c r="E4720" s="2">
        <f t="shared" si="5"/>
        <v>5368.81</v>
      </c>
      <c r="G4720" s="10">
        <f t="shared" si="9"/>
        <v>42702.64583</v>
      </c>
      <c r="H4720" s="6" t="str">
        <f t="shared" si="6"/>
        <v/>
      </c>
      <c r="I4720" s="2">
        <f t="shared" si="7"/>
        <v>1426.89</v>
      </c>
      <c r="M4720" s="10">
        <f>IFERROR(__xludf.DUMMYFUNCTION("""COMPUTED_VALUE"""),44826.66666666667)</f>
        <v>44826.66667</v>
      </c>
      <c r="N4720" s="2">
        <f>IFERROR(__xludf.DUMMYFUNCTION("""COMPUTED_VALUE"""),11066.81)</f>
        <v>11066.81</v>
      </c>
      <c r="P4720" s="10">
        <f t="shared" si="10"/>
        <v>38848.64583</v>
      </c>
      <c r="Q4720" s="15">
        <v>1464.7</v>
      </c>
      <c r="R4720" s="18">
        <v>38848.0</v>
      </c>
    </row>
    <row r="4721">
      <c r="A4721" s="10">
        <f t="shared" si="8"/>
        <v>42703.66667</v>
      </c>
      <c r="B4721" s="2" t="str">
        <f t="shared" si="2"/>
        <v/>
      </c>
      <c r="C4721" s="2" t="str">
        <f t="shared" si="3"/>
        <v>SP500</v>
      </c>
      <c r="D4721" s="2">
        <f t="shared" si="4"/>
        <v>5379.92</v>
      </c>
      <c r="E4721" s="2">
        <f t="shared" si="5"/>
        <v>5379.92</v>
      </c>
      <c r="G4721" s="10">
        <f t="shared" si="9"/>
        <v>42703.64583</v>
      </c>
      <c r="H4721" s="6" t="str">
        <f t="shared" si="6"/>
        <v/>
      </c>
      <c r="I4721" s="2">
        <f t="shared" si="7"/>
        <v>1426.89</v>
      </c>
      <c r="M4721" s="10">
        <f>IFERROR(__xludf.DUMMYFUNCTION("""COMPUTED_VALUE"""),44827.66666666667)</f>
        <v>44827.66667</v>
      </c>
      <c r="N4721" s="2">
        <f>IFERROR(__xludf.DUMMYFUNCTION("""COMPUTED_VALUE"""),10867.93)</f>
        <v>10867.93</v>
      </c>
      <c r="P4721" s="10">
        <f t="shared" si="10"/>
        <v>38847.64583</v>
      </c>
      <c r="Q4721" s="15">
        <v>1451.09</v>
      </c>
      <c r="R4721" s="18">
        <v>38847.0</v>
      </c>
    </row>
    <row r="4722">
      <c r="A4722" s="10">
        <f t="shared" si="8"/>
        <v>42704.66667</v>
      </c>
      <c r="B4722" s="2" t="str">
        <f t="shared" si="2"/>
        <v/>
      </c>
      <c r="C4722" s="2" t="str">
        <f t="shared" si="3"/>
        <v>SP500</v>
      </c>
      <c r="D4722" s="2">
        <f t="shared" si="4"/>
        <v>5323.68</v>
      </c>
      <c r="E4722" s="2">
        <f t="shared" si="5"/>
        <v>5323.68</v>
      </c>
      <c r="G4722" s="10">
        <f t="shared" si="9"/>
        <v>42704.64583</v>
      </c>
      <c r="H4722" s="6" t="str">
        <f t="shared" si="6"/>
        <v/>
      </c>
      <c r="I4722" s="2">
        <f t="shared" si="7"/>
        <v>1426.89</v>
      </c>
      <c r="M4722" s="10">
        <f>IFERROR(__xludf.DUMMYFUNCTION("""COMPUTED_VALUE"""),44830.66666666667)</f>
        <v>44830.66667</v>
      </c>
      <c r="N4722" s="2">
        <f>IFERROR(__xludf.DUMMYFUNCTION("""COMPUTED_VALUE"""),10802.92)</f>
        <v>10802.92</v>
      </c>
      <c r="P4722" s="10">
        <f t="shared" si="10"/>
        <v>38846.64583</v>
      </c>
      <c r="Q4722" s="15">
        <v>1450.44</v>
      </c>
      <c r="R4722" s="18">
        <v>38846.0</v>
      </c>
    </row>
    <row r="4723">
      <c r="A4723" s="10">
        <f t="shared" si="8"/>
        <v>42705.66667</v>
      </c>
      <c r="B4723" s="2" t="str">
        <f t="shared" si="2"/>
        <v/>
      </c>
      <c r="C4723" s="2" t="str">
        <f t="shared" si="3"/>
        <v>SP500</v>
      </c>
      <c r="D4723" s="2">
        <f t="shared" si="4"/>
        <v>5251.11</v>
      </c>
      <c r="E4723" s="2">
        <f t="shared" si="5"/>
        <v>5251.11</v>
      </c>
      <c r="G4723" s="10">
        <f t="shared" si="9"/>
        <v>42705.64583</v>
      </c>
      <c r="H4723" s="6" t="str">
        <f t="shared" si="6"/>
        <v/>
      </c>
      <c r="I4723" s="2">
        <f t="shared" si="7"/>
        <v>1426.89</v>
      </c>
      <c r="M4723" s="10">
        <f>IFERROR(__xludf.DUMMYFUNCTION("""COMPUTED_VALUE"""),44831.66666666667)</f>
        <v>44831.66667</v>
      </c>
      <c r="N4723" s="2">
        <f>IFERROR(__xludf.DUMMYFUNCTION("""COMPUTED_VALUE"""),10829.5)</f>
        <v>10829.5</v>
      </c>
      <c r="P4723" s="10">
        <f t="shared" si="10"/>
        <v>38845.64583</v>
      </c>
      <c r="Q4723" s="15">
        <v>1452.23</v>
      </c>
      <c r="R4723" s="18">
        <v>38845.0</v>
      </c>
    </row>
    <row r="4724">
      <c r="A4724" s="10">
        <f t="shared" si="8"/>
        <v>42706.66667</v>
      </c>
      <c r="B4724" s="2" t="str">
        <f t="shared" si="2"/>
        <v/>
      </c>
      <c r="C4724" s="2" t="str">
        <f t="shared" si="3"/>
        <v>SP500</v>
      </c>
      <c r="D4724" s="2">
        <f t="shared" si="4"/>
        <v>5255.65</v>
      </c>
      <c r="E4724" s="2">
        <f t="shared" si="5"/>
        <v>5255.65</v>
      </c>
      <c r="G4724" s="10">
        <f t="shared" si="9"/>
        <v>42706.64583</v>
      </c>
      <c r="H4724" s="6" t="str">
        <f t="shared" si="6"/>
        <v/>
      </c>
      <c r="I4724" s="2">
        <f t="shared" si="7"/>
        <v>1426.89</v>
      </c>
      <c r="M4724" s="10">
        <f>IFERROR(__xludf.DUMMYFUNCTION("""COMPUTED_VALUE"""),44832.66666666667)</f>
        <v>44832.66667</v>
      </c>
      <c r="N4724" s="2">
        <f>IFERROR(__xludf.DUMMYFUNCTION("""COMPUTED_VALUE"""),11051.64)</f>
        <v>11051.64</v>
      </c>
      <c r="P4724" s="10">
        <f t="shared" si="10"/>
        <v>38841.64583</v>
      </c>
      <c r="Q4724" s="15">
        <v>1441.02</v>
      </c>
      <c r="R4724" s="18">
        <v>38841.0</v>
      </c>
    </row>
    <row r="4725">
      <c r="A4725" s="10">
        <f t="shared" si="8"/>
        <v>42707.66667</v>
      </c>
      <c r="B4725" s="2" t="str">
        <f t="shared" si="2"/>
        <v/>
      </c>
      <c r="C4725" s="2" t="str">
        <f t="shared" si="3"/>
        <v>SP500</v>
      </c>
      <c r="D4725" s="2" t="str">
        <f t="shared" si="4"/>
        <v/>
      </c>
      <c r="E4725" s="2">
        <f t="shared" si="5"/>
        <v>5255.65</v>
      </c>
      <c r="G4725" s="10">
        <f t="shared" si="9"/>
        <v>42707.64583</v>
      </c>
      <c r="H4725" s="6" t="str">
        <f t="shared" si="6"/>
        <v/>
      </c>
      <c r="I4725" s="2">
        <f t="shared" si="7"/>
        <v>1426.89</v>
      </c>
      <c r="M4725" s="10">
        <f>IFERROR(__xludf.DUMMYFUNCTION("""COMPUTED_VALUE"""),44833.66666666667)</f>
        <v>44833.66667</v>
      </c>
      <c r="N4725" s="2">
        <f>IFERROR(__xludf.DUMMYFUNCTION("""COMPUTED_VALUE"""),10737.51)</f>
        <v>10737.51</v>
      </c>
      <c r="P4725" s="10">
        <f t="shared" si="10"/>
        <v>38840.64583</v>
      </c>
      <c r="Q4725" s="15">
        <v>1435.17</v>
      </c>
      <c r="R4725" s="18">
        <v>38840.0</v>
      </c>
    </row>
    <row r="4726">
      <c r="A4726" s="10">
        <f t="shared" si="8"/>
        <v>42708.66667</v>
      </c>
      <c r="B4726" s="2" t="str">
        <f t="shared" si="2"/>
        <v/>
      </c>
      <c r="C4726" s="2" t="str">
        <f t="shared" si="3"/>
        <v>SP500</v>
      </c>
      <c r="D4726" s="2" t="str">
        <f t="shared" si="4"/>
        <v/>
      </c>
      <c r="E4726" s="2">
        <f t="shared" si="5"/>
        <v>5255.65</v>
      </c>
      <c r="G4726" s="10">
        <f t="shared" si="9"/>
        <v>42708.64583</v>
      </c>
      <c r="H4726" s="6" t="str">
        <f t="shared" si="6"/>
        <v/>
      </c>
      <c r="I4726" s="2">
        <f t="shared" si="7"/>
        <v>1426.89</v>
      </c>
      <c r="M4726" s="10">
        <f>IFERROR(__xludf.DUMMYFUNCTION("""COMPUTED_VALUE"""),44834.66666666667)</f>
        <v>44834.66667</v>
      </c>
      <c r="N4726" s="2">
        <f>IFERROR(__xludf.DUMMYFUNCTION("""COMPUTED_VALUE"""),10575.62)</f>
        <v>10575.62</v>
      </c>
      <c r="P4726" s="10">
        <f t="shared" si="10"/>
        <v>38839.64583</v>
      </c>
      <c r="Q4726" s="15">
        <v>1434.9</v>
      </c>
      <c r="R4726" s="18">
        <v>38839.0</v>
      </c>
    </row>
    <row r="4727">
      <c r="A4727" s="10">
        <f t="shared" si="8"/>
        <v>42709.66667</v>
      </c>
      <c r="B4727" s="2" t="str">
        <f t="shared" si="2"/>
        <v/>
      </c>
      <c r="C4727" s="2" t="str">
        <f t="shared" si="3"/>
        <v>SP500</v>
      </c>
      <c r="D4727" s="2">
        <f t="shared" si="4"/>
        <v>5308.89</v>
      </c>
      <c r="E4727" s="2">
        <f t="shared" si="5"/>
        <v>5308.89</v>
      </c>
      <c r="G4727" s="10">
        <f t="shared" si="9"/>
        <v>42709.64583</v>
      </c>
      <c r="H4727" s="6" t="str">
        <f t="shared" si="6"/>
        <v/>
      </c>
      <c r="I4727" s="2">
        <f t="shared" si="7"/>
        <v>1426.89</v>
      </c>
      <c r="M4727" s="10">
        <f>IFERROR(__xludf.DUMMYFUNCTION("""COMPUTED_VALUE"""),44837.66666666667)</f>
        <v>44837.66667</v>
      </c>
      <c r="N4727" s="2">
        <f>IFERROR(__xludf.DUMMYFUNCTION("""COMPUTED_VALUE"""),10815.44)</f>
        <v>10815.44</v>
      </c>
      <c r="P4727" s="10">
        <f t="shared" si="10"/>
        <v>38835.64583</v>
      </c>
      <c r="Q4727" s="15">
        <v>1419.73</v>
      </c>
      <c r="R4727" s="18">
        <v>38835.0</v>
      </c>
    </row>
    <row r="4728">
      <c r="A4728" s="10">
        <f t="shared" si="8"/>
        <v>42710.66667</v>
      </c>
      <c r="B4728" s="2" t="str">
        <f t="shared" si="2"/>
        <v/>
      </c>
      <c r="C4728" s="2" t="str">
        <f t="shared" si="3"/>
        <v>SP500</v>
      </c>
      <c r="D4728" s="2">
        <f t="shared" si="4"/>
        <v>5333</v>
      </c>
      <c r="E4728" s="2">
        <f t="shared" si="5"/>
        <v>5333</v>
      </c>
      <c r="G4728" s="10">
        <f t="shared" si="9"/>
        <v>42710.64583</v>
      </c>
      <c r="H4728" s="6" t="str">
        <f t="shared" si="6"/>
        <v/>
      </c>
      <c r="I4728" s="2">
        <f t="shared" si="7"/>
        <v>1426.89</v>
      </c>
      <c r="M4728" s="10">
        <f>IFERROR(__xludf.DUMMYFUNCTION("""COMPUTED_VALUE"""),44838.66666666667)</f>
        <v>44838.66667</v>
      </c>
      <c r="N4728" s="2">
        <f>IFERROR(__xludf.DUMMYFUNCTION("""COMPUTED_VALUE"""),11176.41)</f>
        <v>11176.41</v>
      </c>
      <c r="P4728" s="10">
        <f t="shared" si="10"/>
        <v>38834.64583</v>
      </c>
      <c r="Q4728" s="15">
        <v>1452.53</v>
      </c>
      <c r="R4728" s="18">
        <v>38834.0</v>
      </c>
    </row>
    <row r="4729">
      <c r="A4729" s="10">
        <f t="shared" si="8"/>
        <v>42711.66667</v>
      </c>
      <c r="B4729" s="2" t="str">
        <f t="shared" si="2"/>
        <v/>
      </c>
      <c r="C4729" s="2" t="str">
        <f t="shared" si="3"/>
        <v>SP500</v>
      </c>
      <c r="D4729" s="2">
        <f t="shared" si="4"/>
        <v>5393.76</v>
      </c>
      <c r="E4729" s="2">
        <f t="shared" si="5"/>
        <v>5393.76</v>
      </c>
      <c r="G4729" s="10">
        <f t="shared" si="9"/>
        <v>42711.64583</v>
      </c>
      <c r="H4729" s="6" t="str">
        <f t="shared" si="6"/>
        <v/>
      </c>
      <c r="I4729" s="2">
        <f t="shared" si="7"/>
        <v>1426.89</v>
      </c>
      <c r="M4729" s="10">
        <f>IFERROR(__xludf.DUMMYFUNCTION("""COMPUTED_VALUE"""),44839.66666666667)</f>
        <v>44839.66667</v>
      </c>
      <c r="N4729" s="2">
        <f>IFERROR(__xludf.DUMMYFUNCTION("""COMPUTED_VALUE"""),11148.64)</f>
        <v>11148.64</v>
      </c>
      <c r="P4729" s="10">
        <f t="shared" si="10"/>
        <v>38833.64583</v>
      </c>
      <c r="Q4729" s="15">
        <v>1451.22</v>
      </c>
      <c r="R4729" s="18">
        <v>38833.0</v>
      </c>
    </row>
    <row r="4730">
      <c r="A4730" s="10">
        <f t="shared" si="8"/>
        <v>42712.66667</v>
      </c>
      <c r="B4730" s="2" t="str">
        <f t="shared" si="2"/>
        <v/>
      </c>
      <c r="C4730" s="2" t="str">
        <f t="shared" si="3"/>
        <v>SP500</v>
      </c>
      <c r="D4730" s="2">
        <f t="shared" si="4"/>
        <v>5417.36</v>
      </c>
      <c r="E4730" s="2">
        <f t="shared" si="5"/>
        <v>5417.36</v>
      </c>
      <c r="G4730" s="10">
        <f t="shared" si="9"/>
        <v>42712.64583</v>
      </c>
      <c r="H4730" s="6" t="str">
        <f t="shared" si="6"/>
        <v/>
      </c>
      <c r="I4730" s="2">
        <f t="shared" si="7"/>
        <v>1426.89</v>
      </c>
      <c r="M4730" s="10">
        <f>IFERROR(__xludf.DUMMYFUNCTION("""COMPUTED_VALUE"""),44840.66666666667)</f>
        <v>44840.66667</v>
      </c>
      <c r="N4730" s="2">
        <f>IFERROR(__xludf.DUMMYFUNCTION("""COMPUTED_VALUE"""),11073.31)</f>
        <v>11073.31</v>
      </c>
      <c r="P4730" s="10">
        <f t="shared" si="10"/>
        <v>38832.64583</v>
      </c>
      <c r="Q4730" s="15">
        <v>1431.15</v>
      </c>
      <c r="R4730" s="18">
        <v>38832.0</v>
      </c>
    </row>
    <row r="4731">
      <c r="A4731" s="10">
        <f t="shared" si="8"/>
        <v>42713.66667</v>
      </c>
      <c r="B4731" s="2" t="str">
        <f t="shared" si="2"/>
        <v/>
      </c>
      <c r="C4731" s="2" t="str">
        <f t="shared" si="3"/>
        <v>SP500</v>
      </c>
      <c r="D4731" s="2">
        <f t="shared" si="4"/>
        <v>5444.5</v>
      </c>
      <c r="E4731" s="2">
        <f t="shared" si="5"/>
        <v>5444.5</v>
      </c>
      <c r="G4731" s="10">
        <f t="shared" si="9"/>
        <v>42713.64583</v>
      </c>
      <c r="H4731" s="6" t="str">
        <f t="shared" si="6"/>
        <v/>
      </c>
      <c r="I4731" s="2">
        <f t="shared" si="7"/>
        <v>1426.89</v>
      </c>
      <c r="M4731" s="10">
        <f>IFERROR(__xludf.DUMMYFUNCTION("""COMPUTED_VALUE"""),44841.66666666667)</f>
        <v>44841.66667</v>
      </c>
      <c r="N4731" s="2">
        <f>IFERROR(__xludf.DUMMYFUNCTION("""COMPUTED_VALUE"""),10652.41)</f>
        <v>10652.41</v>
      </c>
      <c r="P4731" s="10">
        <f t="shared" si="10"/>
        <v>38831.64583</v>
      </c>
      <c r="Q4731" s="15">
        <v>1430.94</v>
      </c>
      <c r="R4731" s="18">
        <v>38831.0</v>
      </c>
    </row>
    <row r="4732">
      <c r="A4732" s="10">
        <f t="shared" si="8"/>
        <v>42714.66667</v>
      </c>
      <c r="B4732" s="2" t="str">
        <f t="shared" si="2"/>
        <v/>
      </c>
      <c r="C4732" s="2" t="str">
        <f t="shared" si="3"/>
        <v>SP500</v>
      </c>
      <c r="D4732" s="2" t="str">
        <f t="shared" si="4"/>
        <v/>
      </c>
      <c r="E4732" s="2">
        <f t="shared" si="5"/>
        <v>5444.5</v>
      </c>
      <c r="G4732" s="10">
        <f t="shared" si="9"/>
        <v>42714.64583</v>
      </c>
      <c r="H4732" s="6" t="str">
        <f t="shared" si="6"/>
        <v/>
      </c>
      <c r="I4732" s="2">
        <f t="shared" si="7"/>
        <v>1426.89</v>
      </c>
      <c r="M4732" s="10">
        <f>IFERROR(__xludf.DUMMYFUNCTION("""COMPUTED_VALUE"""),44844.66666666667)</f>
        <v>44844.66667</v>
      </c>
      <c r="N4732" s="2">
        <f>IFERROR(__xludf.DUMMYFUNCTION("""COMPUTED_VALUE"""),10542.1)</f>
        <v>10542.1</v>
      </c>
      <c r="P4732" s="10">
        <f t="shared" si="10"/>
        <v>38828.64583</v>
      </c>
      <c r="Q4732" s="15">
        <v>1451.31</v>
      </c>
      <c r="R4732" s="18">
        <v>38828.0</v>
      </c>
    </row>
    <row r="4733">
      <c r="A4733" s="10">
        <f t="shared" si="8"/>
        <v>42715.66667</v>
      </c>
      <c r="B4733" s="2" t="str">
        <f t="shared" si="2"/>
        <v/>
      </c>
      <c r="C4733" s="2" t="str">
        <f t="shared" si="3"/>
        <v>SP500</v>
      </c>
      <c r="D4733" s="2" t="str">
        <f t="shared" si="4"/>
        <v/>
      </c>
      <c r="E4733" s="2">
        <f t="shared" si="5"/>
        <v>5444.5</v>
      </c>
      <c r="G4733" s="10">
        <f t="shared" si="9"/>
        <v>42715.64583</v>
      </c>
      <c r="H4733" s="6" t="str">
        <f t="shared" si="6"/>
        <v/>
      </c>
      <c r="I4733" s="2">
        <f t="shared" si="7"/>
        <v>1426.89</v>
      </c>
      <c r="M4733" s="10">
        <f>IFERROR(__xludf.DUMMYFUNCTION("""COMPUTED_VALUE"""),44845.66666666667)</f>
        <v>44845.66667</v>
      </c>
      <c r="N4733" s="2">
        <f>IFERROR(__xludf.DUMMYFUNCTION("""COMPUTED_VALUE"""),10426.19)</f>
        <v>10426.19</v>
      </c>
      <c r="P4733" s="10">
        <f t="shared" si="10"/>
        <v>38827.64583</v>
      </c>
      <c r="Q4733" s="15">
        <v>1434.15</v>
      </c>
      <c r="R4733" s="18">
        <v>38827.0</v>
      </c>
    </row>
    <row r="4734">
      <c r="A4734" s="10">
        <f t="shared" si="8"/>
        <v>42716.66667</v>
      </c>
      <c r="B4734" s="2" t="str">
        <f t="shared" si="2"/>
        <v/>
      </c>
      <c r="C4734" s="2" t="str">
        <f t="shared" si="3"/>
        <v>SP500</v>
      </c>
      <c r="D4734" s="2">
        <f t="shared" si="4"/>
        <v>5412.54</v>
      </c>
      <c r="E4734" s="2">
        <f t="shared" si="5"/>
        <v>5412.54</v>
      </c>
      <c r="G4734" s="10">
        <f t="shared" si="9"/>
        <v>42716.64583</v>
      </c>
      <c r="H4734" s="6" t="str">
        <f t="shared" si="6"/>
        <v/>
      </c>
      <c r="I4734" s="2">
        <f t="shared" si="7"/>
        <v>1426.89</v>
      </c>
      <c r="M4734" s="10">
        <f>IFERROR(__xludf.DUMMYFUNCTION("""COMPUTED_VALUE"""),44846.66666666667)</f>
        <v>44846.66667</v>
      </c>
      <c r="N4734" s="2">
        <f>IFERROR(__xludf.DUMMYFUNCTION("""COMPUTED_VALUE"""),10417.1)</f>
        <v>10417.1</v>
      </c>
      <c r="P4734" s="10">
        <f t="shared" si="10"/>
        <v>38826.64583</v>
      </c>
      <c r="Q4734" s="15">
        <v>1437.84</v>
      </c>
      <c r="R4734" s="18">
        <v>38826.0</v>
      </c>
    </row>
    <row r="4735">
      <c r="A4735" s="10">
        <f t="shared" si="8"/>
        <v>42717.66667</v>
      </c>
      <c r="B4735" s="2" t="str">
        <f t="shared" si="2"/>
        <v/>
      </c>
      <c r="C4735" s="2" t="str">
        <f t="shared" si="3"/>
        <v>SP500</v>
      </c>
      <c r="D4735" s="2">
        <f t="shared" si="4"/>
        <v>5463.83</v>
      </c>
      <c r="E4735" s="2">
        <f t="shared" si="5"/>
        <v>5463.83</v>
      </c>
      <c r="G4735" s="10">
        <f t="shared" si="9"/>
        <v>42717.64583</v>
      </c>
      <c r="H4735" s="6" t="str">
        <f t="shared" si="6"/>
        <v/>
      </c>
      <c r="I4735" s="2">
        <f t="shared" si="7"/>
        <v>1426.89</v>
      </c>
      <c r="M4735" s="10">
        <f>IFERROR(__xludf.DUMMYFUNCTION("""COMPUTED_VALUE"""),44847.66666666667)</f>
        <v>44847.66667</v>
      </c>
      <c r="N4735" s="2">
        <f>IFERROR(__xludf.DUMMYFUNCTION("""COMPUTED_VALUE"""),10649.15)</f>
        <v>10649.15</v>
      </c>
      <c r="P4735" s="10">
        <f t="shared" si="10"/>
        <v>38825.64583</v>
      </c>
      <c r="Q4735" s="15">
        <v>1427.0</v>
      </c>
      <c r="R4735" s="18">
        <v>38825.0</v>
      </c>
    </row>
    <row r="4736">
      <c r="A4736" s="10">
        <f t="shared" si="8"/>
        <v>42718.66667</v>
      </c>
      <c r="B4736" s="2" t="str">
        <f t="shared" si="2"/>
        <v/>
      </c>
      <c r="C4736" s="2" t="str">
        <f t="shared" si="3"/>
        <v>SP500</v>
      </c>
      <c r="D4736" s="2">
        <f t="shared" si="4"/>
        <v>5436.67</v>
      </c>
      <c r="E4736" s="2">
        <f t="shared" si="5"/>
        <v>5436.67</v>
      </c>
      <c r="G4736" s="10">
        <f t="shared" si="9"/>
        <v>42718.64583</v>
      </c>
      <c r="H4736" s="6" t="str">
        <f t="shared" si="6"/>
        <v/>
      </c>
      <c r="I4736" s="2">
        <f t="shared" si="7"/>
        <v>1426.89</v>
      </c>
      <c r="M4736" s="10">
        <f>IFERROR(__xludf.DUMMYFUNCTION("""COMPUTED_VALUE"""),44848.66666666667)</f>
        <v>44848.66667</v>
      </c>
      <c r="N4736" s="2">
        <f>IFERROR(__xludf.DUMMYFUNCTION("""COMPUTED_VALUE"""),10321.39)</f>
        <v>10321.39</v>
      </c>
      <c r="P4736" s="10">
        <f t="shared" si="10"/>
        <v>38824.64583</v>
      </c>
      <c r="Q4736" s="15">
        <v>1422.63</v>
      </c>
      <c r="R4736" s="18">
        <v>38824.0</v>
      </c>
    </row>
    <row r="4737">
      <c r="A4737" s="10">
        <f t="shared" si="8"/>
        <v>42719.66667</v>
      </c>
      <c r="B4737" s="2" t="str">
        <f t="shared" si="2"/>
        <v/>
      </c>
      <c r="C4737" s="2" t="str">
        <f t="shared" si="3"/>
        <v>SP500</v>
      </c>
      <c r="D4737" s="2">
        <f t="shared" si="4"/>
        <v>5456.85</v>
      </c>
      <c r="E4737" s="2">
        <f t="shared" si="5"/>
        <v>5456.85</v>
      </c>
      <c r="G4737" s="10">
        <f t="shared" si="9"/>
        <v>42719.64583</v>
      </c>
      <c r="H4737" s="6" t="str">
        <f t="shared" si="6"/>
        <v/>
      </c>
      <c r="I4737" s="2">
        <f t="shared" si="7"/>
        <v>1426.89</v>
      </c>
      <c r="M4737" s="10">
        <f>IFERROR(__xludf.DUMMYFUNCTION("""COMPUTED_VALUE"""),44851.66666666667)</f>
        <v>44851.66667</v>
      </c>
      <c r="N4737" s="2">
        <f>IFERROR(__xludf.DUMMYFUNCTION("""COMPUTED_VALUE"""),10675.8)</f>
        <v>10675.8</v>
      </c>
      <c r="P4737" s="10">
        <f t="shared" si="10"/>
        <v>38821.64583</v>
      </c>
      <c r="Q4737" s="15">
        <v>1432.72</v>
      </c>
      <c r="R4737" s="18">
        <v>38821.0</v>
      </c>
    </row>
    <row r="4738">
      <c r="A4738" s="10">
        <f t="shared" si="8"/>
        <v>42720.66667</v>
      </c>
      <c r="B4738" s="2" t="str">
        <f t="shared" si="2"/>
        <v/>
      </c>
      <c r="C4738" s="2" t="str">
        <f t="shared" si="3"/>
        <v>SP500</v>
      </c>
      <c r="D4738" s="2">
        <f t="shared" si="4"/>
        <v>5437.16</v>
      </c>
      <c r="E4738" s="2">
        <f t="shared" si="5"/>
        <v>5437.16</v>
      </c>
      <c r="G4738" s="10">
        <f t="shared" si="9"/>
        <v>42720.64583</v>
      </c>
      <c r="H4738" s="6" t="str">
        <f t="shared" si="6"/>
        <v/>
      </c>
      <c r="I4738" s="2">
        <f t="shared" si="7"/>
        <v>1426.89</v>
      </c>
      <c r="M4738" s="10">
        <f>IFERROR(__xludf.DUMMYFUNCTION("""COMPUTED_VALUE"""),44852.66666666667)</f>
        <v>44852.66667</v>
      </c>
      <c r="N4738" s="2">
        <f>IFERROR(__xludf.DUMMYFUNCTION("""COMPUTED_VALUE"""),10772.4)</f>
        <v>10772.4</v>
      </c>
      <c r="P4738" s="10">
        <f t="shared" si="10"/>
        <v>38820.64583</v>
      </c>
      <c r="Q4738" s="15">
        <v>1405.72</v>
      </c>
      <c r="R4738" s="18">
        <v>38820.0</v>
      </c>
    </row>
    <row r="4739">
      <c r="A4739" s="10">
        <f t="shared" si="8"/>
        <v>42721.66667</v>
      </c>
      <c r="B4739" s="2" t="str">
        <f t="shared" si="2"/>
        <v/>
      </c>
      <c r="C4739" s="2" t="str">
        <f t="shared" si="3"/>
        <v>SP500</v>
      </c>
      <c r="D4739" s="2" t="str">
        <f t="shared" si="4"/>
        <v/>
      </c>
      <c r="E4739" s="2">
        <f t="shared" si="5"/>
        <v>5437.16</v>
      </c>
      <c r="G4739" s="10">
        <f t="shared" si="9"/>
        <v>42721.64583</v>
      </c>
      <c r="H4739" s="6" t="str">
        <f t="shared" si="6"/>
        <v/>
      </c>
      <c r="I4739" s="2">
        <f t="shared" si="7"/>
        <v>1426.89</v>
      </c>
      <c r="M4739" s="10">
        <f>IFERROR(__xludf.DUMMYFUNCTION("""COMPUTED_VALUE"""),44853.66666666667)</f>
        <v>44853.66667</v>
      </c>
      <c r="N4739" s="2">
        <f>IFERROR(__xludf.DUMMYFUNCTION("""COMPUTED_VALUE"""),10680.51)</f>
        <v>10680.51</v>
      </c>
      <c r="P4739" s="10">
        <f t="shared" si="10"/>
        <v>38819.64583</v>
      </c>
      <c r="Q4739" s="15">
        <v>1383.59</v>
      </c>
      <c r="R4739" s="18">
        <v>38819.0</v>
      </c>
    </row>
    <row r="4740">
      <c r="A4740" s="10">
        <f t="shared" si="8"/>
        <v>42722.66667</v>
      </c>
      <c r="B4740" s="2" t="str">
        <f t="shared" si="2"/>
        <v/>
      </c>
      <c r="C4740" s="2" t="str">
        <f t="shared" si="3"/>
        <v>SP500</v>
      </c>
      <c r="D4740" s="2" t="str">
        <f t="shared" si="4"/>
        <v/>
      </c>
      <c r="E4740" s="2">
        <f t="shared" si="5"/>
        <v>5437.16</v>
      </c>
      <c r="G4740" s="10">
        <f t="shared" si="9"/>
        <v>42722.64583</v>
      </c>
      <c r="H4740" s="6" t="str">
        <f t="shared" si="6"/>
        <v/>
      </c>
      <c r="I4740" s="2">
        <f t="shared" si="7"/>
        <v>1426.89</v>
      </c>
      <c r="M4740" s="10">
        <f>IFERROR(__xludf.DUMMYFUNCTION("""COMPUTED_VALUE"""),44854.66666666667)</f>
        <v>44854.66667</v>
      </c>
      <c r="N4740" s="2">
        <f>IFERROR(__xludf.DUMMYFUNCTION("""COMPUTED_VALUE"""),10614.84)</f>
        <v>10614.84</v>
      </c>
      <c r="P4740" s="10">
        <f t="shared" si="10"/>
        <v>38818.64583</v>
      </c>
      <c r="Q4740" s="15">
        <v>1386.08</v>
      </c>
      <c r="R4740" s="18">
        <v>38818.0</v>
      </c>
    </row>
    <row r="4741">
      <c r="A4741" s="10">
        <f t="shared" si="8"/>
        <v>42723.66667</v>
      </c>
      <c r="B4741" s="2" t="str">
        <f t="shared" si="2"/>
        <v/>
      </c>
      <c r="C4741" s="2" t="str">
        <f t="shared" si="3"/>
        <v>SP500</v>
      </c>
      <c r="D4741" s="2">
        <f t="shared" si="4"/>
        <v>5457.44</v>
      </c>
      <c r="E4741" s="2">
        <f t="shared" si="5"/>
        <v>5457.44</v>
      </c>
      <c r="G4741" s="10">
        <f t="shared" si="9"/>
        <v>42723.64583</v>
      </c>
      <c r="H4741" s="6" t="str">
        <f t="shared" si="6"/>
        <v/>
      </c>
      <c r="I4741" s="2">
        <f t="shared" si="7"/>
        <v>1426.89</v>
      </c>
      <c r="M4741" s="10">
        <f>IFERROR(__xludf.DUMMYFUNCTION("""COMPUTED_VALUE"""),44855.66666666667)</f>
        <v>44855.66667</v>
      </c>
      <c r="N4741" s="2">
        <f>IFERROR(__xludf.DUMMYFUNCTION("""COMPUTED_VALUE"""),10859.72)</f>
        <v>10859.72</v>
      </c>
      <c r="P4741" s="10">
        <f t="shared" si="10"/>
        <v>38817.64583</v>
      </c>
      <c r="Q4741" s="15">
        <v>1398.29</v>
      </c>
      <c r="R4741" s="18">
        <v>38817.0</v>
      </c>
    </row>
    <row r="4742">
      <c r="A4742" s="10">
        <f t="shared" si="8"/>
        <v>42724.66667</v>
      </c>
      <c r="B4742" s="2" t="str">
        <f t="shared" si="2"/>
        <v/>
      </c>
      <c r="C4742" s="2" t="str">
        <f t="shared" si="3"/>
        <v>SP500</v>
      </c>
      <c r="D4742" s="2">
        <f t="shared" si="4"/>
        <v>5483.94</v>
      </c>
      <c r="E4742" s="2">
        <f t="shared" si="5"/>
        <v>5483.94</v>
      </c>
      <c r="G4742" s="10">
        <f t="shared" si="9"/>
        <v>42724.64583</v>
      </c>
      <c r="H4742" s="6" t="str">
        <f t="shared" si="6"/>
        <v/>
      </c>
      <c r="I4742" s="2">
        <f t="shared" si="7"/>
        <v>1426.89</v>
      </c>
      <c r="M4742" s="10">
        <f>IFERROR(__xludf.DUMMYFUNCTION("""COMPUTED_VALUE"""),44858.66666666667)</f>
        <v>44858.66667</v>
      </c>
      <c r="N4742" s="2">
        <f>IFERROR(__xludf.DUMMYFUNCTION("""COMPUTED_VALUE"""),10952.61)</f>
        <v>10952.61</v>
      </c>
      <c r="P4742" s="10">
        <f t="shared" si="10"/>
        <v>38814.64583</v>
      </c>
      <c r="Q4742" s="15">
        <v>1402.36</v>
      </c>
      <c r="R4742" s="18">
        <v>38814.0</v>
      </c>
    </row>
    <row r="4743">
      <c r="A4743" s="10">
        <f t="shared" si="8"/>
        <v>42725.66667</v>
      </c>
      <c r="B4743" s="2" t="str">
        <f t="shared" si="2"/>
        <v/>
      </c>
      <c r="C4743" s="2" t="str">
        <f t="shared" si="3"/>
        <v>SP500</v>
      </c>
      <c r="D4743" s="2">
        <f t="shared" si="4"/>
        <v>5471.43</v>
      </c>
      <c r="E4743" s="2">
        <f t="shared" si="5"/>
        <v>5471.43</v>
      </c>
      <c r="G4743" s="10">
        <f t="shared" si="9"/>
        <v>42725.64583</v>
      </c>
      <c r="H4743" s="6" t="str">
        <f t="shared" si="6"/>
        <v/>
      </c>
      <c r="I4743" s="2">
        <f t="shared" si="7"/>
        <v>1426.89</v>
      </c>
      <c r="M4743" s="10">
        <f>IFERROR(__xludf.DUMMYFUNCTION("""COMPUTED_VALUE"""),44859.66666666667)</f>
        <v>44859.66667</v>
      </c>
      <c r="N4743" s="2">
        <f>IFERROR(__xludf.DUMMYFUNCTION("""COMPUTED_VALUE"""),11199.12)</f>
        <v>11199.12</v>
      </c>
      <c r="P4743" s="10">
        <f t="shared" si="10"/>
        <v>38813.64583</v>
      </c>
      <c r="Q4743" s="15">
        <v>1397.0</v>
      </c>
      <c r="R4743" s="18">
        <v>38813.0</v>
      </c>
    </row>
    <row r="4744">
      <c r="A4744" s="10">
        <f t="shared" si="8"/>
        <v>42726.66667</v>
      </c>
      <c r="B4744" s="2" t="str">
        <f t="shared" si="2"/>
        <v/>
      </c>
      <c r="C4744" s="2" t="str">
        <f t="shared" si="3"/>
        <v>SP500</v>
      </c>
      <c r="D4744" s="2">
        <f t="shared" si="4"/>
        <v>5447.42</v>
      </c>
      <c r="E4744" s="2">
        <f t="shared" si="5"/>
        <v>5447.42</v>
      </c>
      <c r="G4744" s="10">
        <f t="shared" si="9"/>
        <v>42726.64583</v>
      </c>
      <c r="H4744" s="6" t="str">
        <f t="shared" si="6"/>
        <v/>
      </c>
      <c r="I4744" s="2">
        <f t="shared" si="7"/>
        <v>1426.89</v>
      </c>
      <c r="M4744" s="10">
        <f>IFERROR(__xludf.DUMMYFUNCTION("""COMPUTED_VALUE"""),44860.66666666667)</f>
        <v>44860.66667</v>
      </c>
      <c r="N4744" s="2">
        <f>IFERROR(__xludf.DUMMYFUNCTION("""COMPUTED_VALUE"""),10970.99)</f>
        <v>10970.99</v>
      </c>
      <c r="P4744" s="10">
        <f t="shared" si="10"/>
        <v>38812.64583</v>
      </c>
      <c r="Q4744" s="15">
        <v>1388.77</v>
      </c>
      <c r="R4744" s="18">
        <v>38812.0</v>
      </c>
    </row>
    <row r="4745">
      <c r="A4745" s="10">
        <f t="shared" si="8"/>
        <v>42727.66667</v>
      </c>
      <c r="B4745" s="2" t="str">
        <f t="shared" si="2"/>
        <v/>
      </c>
      <c r="C4745" s="2" t="str">
        <f t="shared" si="3"/>
        <v>SP500</v>
      </c>
      <c r="D4745" s="2">
        <f t="shared" si="4"/>
        <v>5462.69</v>
      </c>
      <c r="E4745" s="2">
        <f t="shared" si="5"/>
        <v>5462.69</v>
      </c>
      <c r="G4745" s="10">
        <f t="shared" si="9"/>
        <v>42727.64583</v>
      </c>
      <c r="H4745" s="6" t="str">
        <f t="shared" si="6"/>
        <v/>
      </c>
      <c r="I4745" s="2">
        <f t="shared" si="7"/>
        <v>1426.89</v>
      </c>
      <c r="M4745" s="10">
        <f>IFERROR(__xludf.DUMMYFUNCTION("""COMPUTED_VALUE"""),44861.66666666667)</f>
        <v>44861.66667</v>
      </c>
      <c r="N4745" s="2">
        <f>IFERROR(__xludf.DUMMYFUNCTION("""COMPUTED_VALUE"""),10792.68)</f>
        <v>10792.68</v>
      </c>
      <c r="P4745" s="10">
        <f t="shared" si="10"/>
        <v>38811.64583</v>
      </c>
      <c r="Q4745" s="15">
        <v>1385.64</v>
      </c>
      <c r="R4745" s="18">
        <v>38811.0</v>
      </c>
    </row>
    <row r="4746">
      <c r="A4746" s="10">
        <f t="shared" si="8"/>
        <v>42728.66667</v>
      </c>
      <c r="B4746" s="2" t="str">
        <f t="shared" si="2"/>
        <v/>
      </c>
      <c r="C4746" s="2" t="str">
        <f t="shared" si="3"/>
        <v>SP500</v>
      </c>
      <c r="D4746" s="2" t="str">
        <f t="shared" si="4"/>
        <v/>
      </c>
      <c r="E4746" s="2">
        <f t="shared" si="5"/>
        <v>5462.69</v>
      </c>
      <c r="G4746" s="10">
        <f t="shared" si="9"/>
        <v>42728.64583</v>
      </c>
      <c r="H4746" s="6" t="str">
        <f t="shared" si="6"/>
        <v/>
      </c>
      <c r="I4746" s="2">
        <f t="shared" si="7"/>
        <v>1426.89</v>
      </c>
      <c r="M4746" s="10">
        <f>IFERROR(__xludf.DUMMYFUNCTION("""COMPUTED_VALUE"""),44862.66666666667)</f>
        <v>44862.66667</v>
      </c>
      <c r="N4746" s="2">
        <f>IFERROR(__xludf.DUMMYFUNCTION("""COMPUTED_VALUE"""),11102.45)</f>
        <v>11102.45</v>
      </c>
      <c r="P4746" s="10">
        <f t="shared" si="10"/>
        <v>38810.64583</v>
      </c>
      <c r="Q4746" s="15">
        <v>1379.75</v>
      </c>
      <c r="R4746" s="18">
        <v>38810.0</v>
      </c>
    </row>
    <row r="4747">
      <c r="A4747" s="10">
        <f t="shared" si="8"/>
        <v>42729.66667</v>
      </c>
      <c r="B4747" s="2" t="str">
        <f t="shared" si="2"/>
        <v/>
      </c>
      <c r="C4747" s="2" t="str">
        <f t="shared" si="3"/>
        <v>SP500</v>
      </c>
      <c r="D4747" s="2" t="str">
        <f t="shared" si="4"/>
        <v/>
      </c>
      <c r="E4747" s="2">
        <f t="shared" si="5"/>
        <v>5462.69</v>
      </c>
      <c r="G4747" s="10">
        <f t="shared" si="9"/>
        <v>42729.64583</v>
      </c>
      <c r="H4747" s="6" t="str">
        <f t="shared" si="6"/>
        <v/>
      </c>
      <c r="I4747" s="2">
        <f t="shared" si="7"/>
        <v>1426.89</v>
      </c>
      <c r="M4747" s="10">
        <f>IFERROR(__xludf.DUMMYFUNCTION("""COMPUTED_VALUE"""),44865.66666666667)</f>
        <v>44865.66667</v>
      </c>
      <c r="N4747" s="2">
        <f>IFERROR(__xludf.DUMMYFUNCTION("""COMPUTED_VALUE"""),10988.15)</f>
        <v>10988.15</v>
      </c>
      <c r="P4747" s="10">
        <f t="shared" si="10"/>
        <v>38807.64583</v>
      </c>
      <c r="Q4747" s="15">
        <v>1359.6</v>
      </c>
      <c r="R4747" s="18">
        <v>38807.0</v>
      </c>
    </row>
    <row r="4748">
      <c r="A4748" s="10">
        <f t="shared" si="8"/>
        <v>42730.66667</v>
      </c>
      <c r="B4748" s="2" t="str">
        <f t="shared" si="2"/>
        <v/>
      </c>
      <c r="C4748" s="2" t="str">
        <f t="shared" si="3"/>
        <v>SP500</v>
      </c>
      <c r="D4748" s="2" t="str">
        <f t="shared" si="4"/>
        <v/>
      </c>
      <c r="E4748" s="2">
        <f t="shared" si="5"/>
        <v>5462.69</v>
      </c>
      <c r="G4748" s="10">
        <f t="shared" si="9"/>
        <v>42730.64583</v>
      </c>
      <c r="H4748" s="6" t="str">
        <f t="shared" si="6"/>
        <v/>
      </c>
      <c r="I4748" s="2">
        <f t="shared" si="7"/>
        <v>1426.89</v>
      </c>
      <c r="M4748" s="10">
        <f>IFERROR(__xludf.DUMMYFUNCTION("""COMPUTED_VALUE"""),44866.66666666667)</f>
        <v>44866.66667</v>
      </c>
      <c r="N4748" s="2">
        <f>IFERROR(__xludf.DUMMYFUNCTION("""COMPUTED_VALUE"""),10890.85)</f>
        <v>10890.85</v>
      </c>
      <c r="P4748" s="10">
        <f t="shared" si="10"/>
        <v>38806.64583</v>
      </c>
      <c r="Q4748" s="15">
        <v>1338.14</v>
      </c>
      <c r="R4748" s="18">
        <v>38806.0</v>
      </c>
    </row>
    <row r="4749">
      <c r="A4749" s="10">
        <f t="shared" si="8"/>
        <v>42731.66667</v>
      </c>
      <c r="B4749" s="2" t="str">
        <f t="shared" si="2"/>
        <v/>
      </c>
      <c r="C4749" s="2" t="str">
        <f t="shared" si="3"/>
        <v>SP500</v>
      </c>
      <c r="D4749" s="2">
        <f t="shared" si="4"/>
        <v>5487.44</v>
      </c>
      <c r="E4749" s="2">
        <f t="shared" si="5"/>
        <v>5487.44</v>
      </c>
      <c r="G4749" s="10">
        <f t="shared" si="9"/>
        <v>42731.64583</v>
      </c>
      <c r="H4749" s="6" t="str">
        <f t="shared" si="6"/>
        <v/>
      </c>
      <c r="I4749" s="2">
        <f t="shared" si="7"/>
        <v>1426.89</v>
      </c>
      <c r="M4749" s="10">
        <f>IFERROR(__xludf.DUMMYFUNCTION("""COMPUTED_VALUE"""),44867.66666666667)</f>
        <v>44867.66667</v>
      </c>
      <c r="N4749" s="2">
        <f>IFERROR(__xludf.DUMMYFUNCTION("""COMPUTED_VALUE"""),10524.8)</f>
        <v>10524.8</v>
      </c>
      <c r="P4749" s="10">
        <f t="shared" si="10"/>
        <v>38805.64583</v>
      </c>
      <c r="Q4749" s="15">
        <v>1332.72</v>
      </c>
      <c r="R4749" s="18">
        <v>38805.0</v>
      </c>
    </row>
    <row r="4750">
      <c r="A4750" s="10">
        <f t="shared" si="8"/>
        <v>42732.66667</v>
      </c>
      <c r="B4750" s="2" t="str">
        <f t="shared" si="2"/>
        <v/>
      </c>
      <c r="C4750" s="2" t="str">
        <f t="shared" si="3"/>
        <v>SP500</v>
      </c>
      <c r="D4750" s="2">
        <f t="shared" si="4"/>
        <v>5438.56</v>
      </c>
      <c r="E4750" s="2">
        <f t="shared" si="5"/>
        <v>5438.56</v>
      </c>
      <c r="G4750" s="10">
        <f t="shared" si="9"/>
        <v>42732.64583</v>
      </c>
      <c r="H4750" s="6" t="str">
        <f t="shared" si="6"/>
        <v/>
      </c>
      <c r="I4750" s="2">
        <f t="shared" si="7"/>
        <v>1426.89</v>
      </c>
      <c r="M4750" s="10">
        <f>IFERROR(__xludf.DUMMYFUNCTION("""COMPUTED_VALUE"""),44868.66666666667)</f>
        <v>44868.66667</v>
      </c>
      <c r="N4750" s="2">
        <f>IFERROR(__xludf.DUMMYFUNCTION("""COMPUTED_VALUE"""),10342.94)</f>
        <v>10342.94</v>
      </c>
      <c r="P4750" s="10">
        <f t="shared" si="10"/>
        <v>38804.64583</v>
      </c>
      <c r="Q4750" s="15">
        <v>1331.31</v>
      </c>
      <c r="R4750" s="18">
        <v>38804.0</v>
      </c>
    </row>
    <row r="4751">
      <c r="A4751" s="10">
        <f t="shared" si="8"/>
        <v>42733.66667</v>
      </c>
      <c r="B4751" s="2" t="str">
        <f t="shared" si="2"/>
        <v/>
      </c>
      <c r="C4751" s="2" t="str">
        <f t="shared" si="3"/>
        <v>SP500</v>
      </c>
      <c r="D4751" s="2">
        <f t="shared" si="4"/>
        <v>5432.09</v>
      </c>
      <c r="E4751" s="2">
        <f t="shared" si="5"/>
        <v>5432.09</v>
      </c>
      <c r="G4751" s="10">
        <f t="shared" si="9"/>
        <v>42733.64583</v>
      </c>
      <c r="H4751" s="6" t="str">
        <f t="shared" si="6"/>
        <v/>
      </c>
      <c r="I4751" s="2">
        <f t="shared" si="7"/>
        <v>1426.89</v>
      </c>
      <c r="M4751" s="10">
        <f>IFERROR(__xludf.DUMMYFUNCTION("""COMPUTED_VALUE"""),44869.66666666667)</f>
        <v>44869.66667</v>
      </c>
      <c r="N4751" s="2">
        <f>IFERROR(__xludf.DUMMYFUNCTION("""COMPUTED_VALUE"""),10475.25)</f>
        <v>10475.25</v>
      </c>
      <c r="P4751" s="10">
        <f t="shared" si="10"/>
        <v>38803.64583</v>
      </c>
      <c r="Q4751" s="15">
        <v>1330.34</v>
      </c>
      <c r="R4751" s="18">
        <v>38803.0</v>
      </c>
    </row>
    <row r="4752">
      <c r="A4752" s="10">
        <f t="shared" si="8"/>
        <v>42734.66667</v>
      </c>
      <c r="B4752" s="2" t="str">
        <f t="shared" si="2"/>
        <v/>
      </c>
      <c r="C4752" s="2" t="str">
        <f t="shared" si="3"/>
        <v>SP500</v>
      </c>
      <c r="D4752" s="2">
        <f t="shared" si="4"/>
        <v>5383.12</v>
      </c>
      <c r="E4752" s="2">
        <f t="shared" si="5"/>
        <v>5383.12</v>
      </c>
      <c r="G4752" s="10">
        <f t="shared" si="9"/>
        <v>42734.64583</v>
      </c>
      <c r="H4752" s="6" t="str">
        <f t="shared" si="6"/>
        <v/>
      </c>
      <c r="I4752" s="2">
        <f t="shared" si="7"/>
        <v>1426.89</v>
      </c>
      <c r="M4752" s="10">
        <f>IFERROR(__xludf.DUMMYFUNCTION("""COMPUTED_VALUE"""),44872.66666666667)</f>
        <v>44872.66667</v>
      </c>
      <c r="N4752" s="2">
        <f>IFERROR(__xludf.DUMMYFUNCTION("""COMPUTED_VALUE"""),10564.52)</f>
        <v>10564.52</v>
      </c>
      <c r="P4752" s="10">
        <f t="shared" si="10"/>
        <v>38800.64583</v>
      </c>
      <c r="Q4752" s="15">
        <v>1321.23</v>
      </c>
      <c r="R4752" s="18">
        <v>38800.0</v>
      </c>
    </row>
    <row r="4753">
      <c r="A4753" s="10">
        <f t="shared" si="8"/>
        <v>42735.66667</v>
      </c>
      <c r="B4753" s="2" t="str">
        <f t="shared" si="2"/>
        <v/>
      </c>
      <c r="C4753" s="2" t="str">
        <f t="shared" si="3"/>
        <v>SP500</v>
      </c>
      <c r="D4753" s="2" t="str">
        <f t="shared" si="4"/>
        <v/>
      </c>
      <c r="E4753" s="2">
        <f t="shared" si="5"/>
        <v>5383.12</v>
      </c>
      <c r="G4753" s="10">
        <f t="shared" si="9"/>
        <v>42735.64583</v>
      </c>
      <c r="H4753" s="6" t="str">
        <f t="shared" si="6"/>
        <v/>
      </c>
      <c r="I4753" s="2">
        <f t="shared" si="7"/>
        <v>1426.89</v>
      </c>
      <c r="M4753" s="10">
        <f>IFERROR(__xludf.DUMMYFUNCTION("""COMPUTED_VALUE"""),44873.66666666667)</f>
        <v>44873.66667</v>
      </c>
      <c r="N4753" s="2">
        <f>IFERROR(__xludf.DUMMYFUNCTION("""COMPUTED_VALUE"""),10616.2)</f>
        <v>10616.2</v>
      </c>
      <c r="P4753" s="10">
        <f t="shared" si="10"/>
        <v>38799.64583</v>
      </c>
      <c r="Q4753" s="15">
        <v>1312.26</v>
      </c>
      <c r="R4753" s="18">
        <v>38799.0</v>
      </c>
    </row>
    <row r="4754">
      <c r="A4754" s="10">
        <f t="shared" si="8"/>
        <v>42736.66667</v>
      </c>
      <c r="B4754" s="2" t="str">
        <f t="shared" si="2"/>
        <v/>
      </c>
      <c r="C4754" s="2" t="str">
        <f t="shared" si="3"/>
        <v>SP500</v>
      </c>
      <c r="D4754" s="2" t="str">
        <f t="shared" si="4"/>
        <v/>
      </c>
      <c r="E4754" s="2">
        <f t="shared" si="5"/>
        <v>5383.12</v>
      </c>
      <c r="G4754" s="10">
        <f t="shared" si="9"/>
        <v>42736.64583</v>
      </c>
      <c r="H4754" s="6" t="str">
        <f t="shared" si="6"/>
        <v/>
      </c>
      <c r="I4754" s="2">
        <f t="shared" si="7"/>
        <v>1426.89</v>
      </c>
      <c r="M4754" s="10">
        <f>IFERROR(__xludf.DUMMYFUNCTION("""COMPUTED_VALUE"""),44874.66666666667)</f>
        <v>44874.66667</v>
      </c>
      <c r="N4754" s="2">
        <f>IFERROR(__xludf.DUMMYFUNCTION("""COMPUTED_VALUE"""),10353.17)</f>
        <v>10353.17</v>
      </c>
      <c r="P4754" s="10">
        <f t="shared" si="10"/>
        <v>38798.64583</v>
      </c>
      <c r="Q4754" s="15">
        <v>1309.83</v>
      </c>
      <c r="R4754" s="18">
        <v>38798.0</v>
      </c>
    </row>
    <row r="4755">
      <c r="A4755" s="10">
        <f t="shared" si="8"/>
        <v>42737.66667</v>
      </c>
      <c r="B4755" s="2" t="str">
        <f t="shared" si="2"/>
        <v/>
      </c>
      <c r="C4755" s="2" t="str">
        <f t="shared" si="3"/>
        <v>SP500</v>
      </c>
      <c r="D4755" s="2" t="str">
        <f t="shared" si="4"/>
        <v/>
      </c>
      <c r="E4755" s="2">
        <f t="shared" si="5"/>
        <v>5383.12</v>
      </c>
      <c r="G4755" s="10">
        <f t="shared" si="9"/>
        <v>42737.64583</v>
      </c>
      <c r="H4755" s="6" t="str">
        <f t="shared" si="6"/>
        <v/>
      </c>
      <c r="I4755" s="2">
        <f t="shared" si="7"/>
        <v>1426.89</v>
      </c>
      <c r="M4755" s="10">
        <f>IFERROR(__xludf.DUMMYFUNCTION("""COMPUTED_VALUE"""),44875.66666666667)</f>
        <v>44875.66667</v>
      </c>
      <c r="N4755" s="2">
        <f>IFERROR(__xludf.DUMMYFUNCTION("""COMPUTED_VALUE"""),11114.15)</f>
        <v>11114.15</v>
      </c>
      <c r="P4755" s="10">
        <f t="shared" si="10"/>
        <v>38797.64583</v>
      </c>
      <c r="Q4755" s="15">
        <v>1336.65</v>
      </c>
      <c r="R4755" s="18">
        <v>38797.0</v>
      </c>
    </row>
    <row r="4756">
      <c r="A4756" s="10">
        <f t="shared" si="8"/>
        <v>42738.66667</v>
      </c>
      <c r="B4756" s="2" t="str">
        <f t="shared" si="2"/>
        <v/>
      </c>
      <c r="C4756" s="2" t="str">
        <f t="shared" si="3"/>
        <v>SP500</v>
      </c>
      <c r="D4756" s="2">
        <f t="shared" si="4"/>
        <v>5429.08</v>
      </c>
      <c r="E4756" s="2">
        <f t="shared" si="5"/>
        <v>5429.08</v>
      </c>
      <c r="G4756" s="10">
        <f t="shared" si="9"/>
        <v>42738.64583</v>
      </c>
      <c r="H4756" s="6" t="str">
        <f t="shared" si="6"/>
        <v/>
      </c>
      <c r="I4756" s="2">
        <f t="shared" si="7"/>
        <v>1426.89</v>
      </c>
      <c r="M4756" s="10">
        <f>IFERROR(__xludf.DUMMYFUNCTION("""COMPUTED_VALUE"""),44876.66666666667)</f>
        <v>44876.66667</v>
      </c>
      <c r="N4756" s="2">
        <f>IFERROR(__xludf.DUMMYFUNCTION("""COMPUTED_VALUE"""),11323.33)</f>
        <v>11323.33</v>
      </c>
      <c r="P4756" s="10">
        <f t="shared" si="10"/>
        <v>38796.64583</v>
      </c>
      <c r="Q4756" s="15">
        <v>1346.69</v>
      </c>
      <c r="R4756" s="18">
        <v>38796.0</v>
      </c>
    </row>
    <row r="4757">
      <c r="A4757" s="10">
        <f t="shared" si="8"/>
        <v>42739.66667</v>
      </c>
      <c r="B4757" s="2" t="str">
        <f t="shared" si="2"/>
        <v/>
      </c>
      <c r="C4757" s="2" t="str">
        <f t="shared" si="3"/>
        <v>SP500</v>
      </c>
      <c r="D4757" s="2">
        <f t="shared" si="4"/>
        <v>5477</v>
      </c>
      <c r="E4757" s="2">
        <f t="shared" si="5"/>
        <v>5477</v>
      </c>
      <c r="G4757" s="10">
        <f t="shared" si="9"/>
        <v>42739.64583</v>
      </c>
      <c r="H4757" s="6" t="str">
        <f t="shared" si="6"/>
        <v/>
      </c>
      <c r="I4757" s="2">
        <f t="shared" si="7"/>
        <v>1426.89</v>
      </c>
      <c r="M4757" s="10">
        <f>IFERROR(__xludf.DUMMYFUNCTION("""COMPUTED_VALUE"""),44879.66666666667)</f>
        <v>44879.66667</v>
      </c>
      <c r="N4757" s="2">
        <f>IFERROR(__xludf.DUMMYFUNCTION("""COMPUTED_VALUE"""),11196.22)</f>
        <v>11196.22</v>
      </c>
      <c r="P4757" s="10">
        <f t="shared" si="10"/>
        <v>38793.64583</v>
      </c>
      <c r="Q4757" s="15">
        <v>1341.12</v>
      </c>
      <c r="R4757" s="18">
        <v>38793.0</v>
      </c>
    </row>
    <row r="4758">
      <c r="A4758" s="10">
        <f t="shared" si="8"/>
        <v>42740.66667</v>
      </c>
      <c r="B4758" s="2" t="str">
        <f t="shared" si="2"/>
        <v/>
      </c>
      <c r="C4758" s="2" t="str">
        <f t="shared" si="3"/>
        <v>SP500</v>
      </c>
      <c r="D4758" s="2">
        <f t="shared" si="4"/>
        <v>5487.94</v>
      </c>
      <c r="E4758" s="2">
        <f t="shared" si="5"/>
        <v>5487.94</v>
      </c>
      <c r="G4758" s="10">
        <f t="shared" si="9"/>
        <v>42740.64583</v>
      </c>
      <c r="H4758" s="6" t="str">
        <f t="shared" si="6"/>
        <v/>
      </c>
      <c r="I4758" s="2">
        <f t="shared" si="7"/>
        <v>1426.89</v>
      </c>
      <c r="M4758" s="10">
        <f>IFERROR(__xludf.DUMMYFUNCTION("""COMPUTED_VALUE"""),44880.66666666667)</f>
        <v>44880.66667</v>
      </c>
      <c r="N4758" s="2">
        <f>IFERROR(__xludf.DUMMYFUNCTION("""COMPUTED_VALUE"""),11358.41)</f>
        <v>11358.41</v>
      </c>
      <c r="P4758" s="10">
        <f t="shared" si="10"/>
        <v>38792.64583</v>
      </c>
      <c r="Q4758" s="15">
        <v>1335.98</v>
      </c>
      <c r="R4758" s="18">
        <v>38792.0</v>
      </c>
    </row>
    <row r="4759">
      <c r="A4759" s="10">
        <f t="shared" si="8"/>
        <v>42741.66667</v>
      </c>
      <c r="B4759" s="2" t="str">
        <f t="shared" si="2"/>
        <v/>
      </c>
      <c r="C4759" s="2" t="str">
        <f t="shared" si="3"/>
        <v>SP500</v>
      </c>
      <c r="D4759" s="2">
        <f t="shared" si="4"/>
        <v>5521.06</v>
      </c>
      <c r="E4759" s="2">
        <f t="shared" si="5"/>
        <v>5521.06</v>
      </c>
      <c r="G4759" s="10">
        <f t="shared" si="9"/>
        <v>42741.64583</v>
      </c>
      <c r="H4759" s="6" t="str">
        <f t="shared" si="6"/>
        <v/>
      </c>
      <c r="I4759" s="2">
        <f t="shared" si="7"/>
        <v>1426.89</v>
      </c>
      <c r="M4759" s="10">
        <f>IFERROR(__xludf.DUMMYFUNCTION("""COMPUTED_VALUE"""),44881.66666666667)</f>
        <v>44881.66667</v>
      </c>
      <c r="N4759" s="2">
        <f>IFERROR(__xludf.DUMMYFUNCTION("""COMPUTED_VALUE"""),11183.66)</f>
        <v>11183.66</v>
      </c>
      <c r="P4759" s="10">
        <f t="shared" si="10"/>
        <v>38791.64583</v>
      </c>
      <c r="Q4759" s="15">
        <v>1333.98</v>
      </c>
      <c r="R4759" s="18">
        <v>38791.0</v>
      </c>
    </row>
    <row r="4760">
      <c r="A4760" s="10">
        <f t="shared" si="8"/>
        <v>42742.66667</v>
      </c>
      <c r="B4760" s="2" t="str">
        <f t="shared" si="2"/>
        <v/>
      </c>
      <c r="C4760" s="2" t="str">
        <f t="shared" si="3"/>
        <v>SP500</v>
      </c>
      <c r="D4760" s="2" t="str">
        <f t="shared" si="4"/>
        <v/>
      </c>
      <c r="E4760" s="2">
        <f t="shared" si="5"/>
        <v>5521.06</v>
      </c>
      <c r="G4760" s="10">
        <f t="shared" si="9"/>
        <v>42742.64583</v>
      </c>
      <c r="H4760" s="6" t="str">
        <f t="shared" si="6"/>
        <v/>
      </c>
      <c r="I4760" s="2">
        <f t="shared" si="7"/>
        <v>1426.89</v>
      </c>
      <c r="M4760" s="10">
        <f>IFERROR(__xludf.DUMMYFUNCTION("""COMPUTED_VALUE"""),44882.66666666667)</f>
        <v>44882.66667</v>
      </c>
      <c r="N4760" s="2">
        <f>IFERROR(__xludf.DUMMYFUNCTION("""COMPUTED_VALUE"""),11144.96)</f>
        <v>11144.96</v>
      </c>
      <c r="P4760" s="10">
        <f t="shared" si="10"/>
        <v>38790.64583</v>
      </c>
      <c r="Q4760" s="15">
        <v>1326.3</v>
      </c>
      <c r="R4760" s="18">
        <v>38790.0</v>
      </c>
    </row>
    <row r="4761">
      <c r="A4761" s="10">
        <f t="shared" si="8"/>
        <v>42743.66667</v>
      </c>
      <c r="B4761" s="2" t="str">
        <f t="shared" si="2"/>
        <v/>
      </c>
      <c r="C4761" s="2" t="str">
        <f t="shared" si="3"/>
        <v>SP500</v>
      </c>
      <c r="D4761" s="2" t="str">
        <f t="shared" si="4"/>
        <v/>
      </c>
      <c r="E4761" s="2">
        <f t="shared" si="5"/>
        <v>5521.06</v>
      </c>
      <c r="G4761" s="10">
        <f t="shared" si="9"/>
        <v>42743.64583</v>
      </c>
      <c r="H4761" s="6" t="str">
        <f t="shared" si="6"/>
        <v/>
      </c>
      <c r="I4761" s="2">
        <f t="shared" si="7"/>
        <v>1426.89</v>
      </c>
      <c r="M4761" s="10">
        <f>IFERROR(__xludf.DUMMYFUNCTION("""COMPUTED_VALUE"""),44883.66666666667)</f>
        <v>44883.66667</v>
      </c>
      <c r="N4761" s="2">
        <f>IFERROR(__xludf.DUMMYFUNCTION("""COMPUTED_VALUE"""),11146.06)</f>
        <v>11146.06</v>
      </c>
      <c r="P4761" s="10">
        <f t="shared" si="10"/>
        <v>38789.64583</v>
      </c>
      <c r="Q4761" s="15">
        <v>1338.28</v>
      </c>
      <c r="R4761" s="18">
        <v>38789.0</v>
      </c>
    </row>
    <row r="4762">
      <c r="A4762" s="10">
        <f t="shared" si="8"/>
        <v>42744.66667</v>
      </c>
      <c r="B4762" s="2" t="str">
        <f t="shared" si="2"/>
        <v/>
      </c>
      <c r="C4762" s="2" t="str">
        <f t="shared" si="3"/>
        <v>SP500</v>
      </c>
      <c r="D4762" s="2">
        <f t="shared" si="4"/>
        <v>5531.82</v>
      </c>
      <c r="E4762" s="2">
        <f t="shared" si="5"/>
        <v>5531.82</v>
      </c>
      <c r="G4762" s="10">
        <f t="shared" si="9"/>
        <v>42744.64583</v>
      </c>
      <c r="H4762" s="6" t="str">
        <f t="shared" si="6"/>
        <v/>
      </c>
      <c r="I4762" s="2">
        <f t="shared" si="7"/>
        <v>1426.89</v>
      </c>
      <c r="M4762" s="10">
        <f>IFERROR(__xludf.DUMMYFUNCTION("""COMPUTED_VALUE"""),44886.66666666667)</f>
        <v>44886.66667</v>
      </c>
      <c r="N4762" s="2">
        <f>IFERROR(__xludf.DUMMYFUNCTION("""COMPUTED_VALUE"""),11024.51)</f>
        <v>11024.51</v>
      </c>
      <c r="P4762" s="10">
        <f t="shared" si="10"/>
        <v>38786.64583</v>
      </c>
      <c r="Q4762" s="15">
        <v>1320.07</v>
      </c>
      <c r="R4762" s="18">
        <v>38786.0</v>
      </c>
    </row>
    <row r="4763">
      <c r="A4763" s="10">
        <f t="shared" si="8"/>
        <v>42745.66667</v>
      </c>
      <c r="B4763" s="2" t="str">
        <f t="shared" si="2"/>
        <v/>
      </c>
      <c r="C4763" s="2" t="str">
        <f t="shared" si="3"/>
        <v>SP500</v>
      </c>
      <c r="D4763" s="2">
        <f t="shared" si="4"/>
        <v>5551.82</v>
      </c>
      <c r="E4763" s="2">
        <f t="shared" si="5"/>
        <v>5551.82</v>
      </c>
      <c r="G4763" s="10">
        <f t="shared" si="9"/>
        <v>42745.64583</v>
      </c>
      <c r="H4763" s="6" t="str">
        <f t="shared" si="6"/>
        <v/>
      </c>
      <c r="I4763" s="2">
        <f t="shared" si="7"/>
        <v>1426.89</v>
      </c>
      <c r="M4763" s="10">
        <f>IFERROR(__xludf.DUMMYFUNCTION("""COMPUTED_VALUE"""),44887.66666666667)</f>
        <v>44887.66667</v>
      </c>
      <c r="N4763" s="2">
        <f>IFERROR(__xludf.DUMMYFUNCTION("""COMPUTED_VALUE"""),11174.41)</f>
        <v>11174.41</v>
      </c>
      <c r="P4763" s="10">
        <f t="shared" si="10"/>
        <v>38785.64583</v>
      </c>
      <c r="Q4763" s="15">
        <v>1311.21</v>
      </c>
      <c r="R4763" s="18">
        <v>38785.0</v>
      </c>
    </row>
    <row r="4764">
      <c r="A4764" s="10">
        <f t="shared" si="8"/>
        <v>42746.66667</v>
      </c>
      <c r="B4764" s="2" t="str">
        <f t="shared" si="2"/>
        <v/>
      </c>
      <c r="C4764" s="2" t="str">
        <f t="shared" si="3"/>
        <v>SP500</v>
      </c>
      <c r="D4764" s="2">
        <f t="shared" si="4"/>
        <v>5563.65</v>
      </c>
      <c r="E4764" s="2">
        <f t="shared" si="5"/>
        <v>5563.65</v>
      </c>
      <c r="G4764" s="10">
        <f t="shared" si="9"/>
        <v>42746.64583</v>
      </c>
      <c r="H4764" s="6" t="str">
        <f t="shared" si="6"/>
        <v/>
      </c>
      <c r="I4764" s="2">
        <f t="shared" si="7"/>
        <v>1426.89</v>
      </c>
      <c r="M4764" s="10">
        <f>IFERROR(__xludf.DUMMYFUNCTION("""COMPUTED_VALUE"""),44888.66666666667)</f>
        <v>44888.66667</v>
      </c>
      <c r="N4764" s="2">
        <f>IFERROR(__xludf.DUMMYFUNCTION("""COMPUTED_VALUE"""),11285.32)</f>
        <v>11285.32</v>
      </c>
      <c r="P4764" s="10">
        <f t="shared" si="10"/>
        <v>38784.64583</v>
      </c>
      <c r="Q4764" s="15">
        <v>1314.05</v>
      </c>
      <c r="R4764" s="18">
        <v>38784.0</v>
      </c>
    </row>
    <row r="4765">
      <c r="A4765" s="10">
        <f t="shared" si="8"/>
        <v>42747.66667</v>
      </c>
      <c r="B4765" s="2" t="str">
        <f t="shared" si="2"/>
        <v/>
      </c>
      <c r="C4765" s="2" t="str">
        <f t="shared" si="3"/>
        <v>SP500</v>
      </c>
      <c r="D4765" s="2">
        <f t="shared" si="4"/>
        <v>5547.49</v>
      </c>
      <c r="E4765" s="2">
        <f t="shared" si="5"/>
        <v>5547.49</v>
      </c>
      <c r="G4765" s="10">
        <f t="shared" si="9"/>
        <v>42747.64583</v>
      </c>
      <c r="H4765" s="6" t="str">
        <f t="shared" si="6"/>
        <v/>
      </c>
      <c r="I4765" s="2">
        <f t="shared" si="7"/>
        <v>1426.89</v>
      </c>
      <c r="M4765" s="10">
        <f>IFERROR(__xludf.DUMMYFUNCTION("""COMPUTED_VALUE"""),44890.54513888889)</f>
        <v>44890.54514</v>
      </c>
      <c r="N4765" s="2">
        <f>IFERROR(__xludf.DUMMYFUNCTION("""COMPUTED_VALUE"""),11226.36)</f>
        <v>11226.36</v>
      </c>
      <c r="P4765" s="10">
        <f t="shared" si="10"/>
        <v>38783.64583</v>
      </c>
      <c r="Q4765" s="15">
        <v>1316.67</v>
      </c>
      <c r="R4765" s="18">
        <v>38783.0</v>
      </c>
    </row>
    <row r="4766">
      <c r="A4766" s="10">
        <f t="shared" si="8"/>
        <v>42748.66667</v>
      </c>
      <c r="B4766" s="2" t="str">
        <f t="shared" si="2"/>
        <v/>
      </c>
      <c r="C4766" s="2" t="str">
        <f t="shared" si="3"/>
        <v>SP500</v>
      </c>
      <c r="D4766" s="2">
        <f t="shared" si="4"/>
        <v>5574.12</v>
      </c>
      <c r="E4766" s="2">
        <f t="shared" si="5"/>
        <v>5574.12</v>
      </c>
      <c r="G4766" s="10">
        <f t="shared" si="9"/>
        <v>42748.64583</v>
      </c>
      <c r="H4766" s="6" t="str">
        <f t="shared" si="6"/>
        <v/>
      </c>
      <c r="I4766" s="2">
        <f t="shared" si="7"/>
        <v>1426.89</v>
      </c>
      <c r="M4766" s="10">
        <f>IFERROR(__xludf.DUMMYFUNCTION("""COMPUTED_VALUE"""),44893.66666666667)</f>
        <v>44893.66667</v>
      </c>
      <c r="N4766" s="2">
        <f>IFERROR(__xludf.DUMMYFUNCTION("""COMPUTED_VALUE"""),11049.5)</f>
        <v>11049.5</v>
      </c>
      <c r="P4766" s="10">
        <f t="shared" si="10"/>
        <v>38782.64583</v>
      </c>
      <c r="Q4766" s="15">
        <v>1344.76</v>
      </c>
      <c r="R4766" s="18">
        <v>38782.0</v>
      </c>
    </row>
    <row r="4767">
      <c r="A4767" s="10">
        <f t="shared" si="8"/>
        <v>42749.66667</v>
      </c>
      <c r="B4767" s="2" t="str">
        <f t="shared" si="2"/>
        <v/>
      </c>
      <c r="C4767" s="2" t="str">
        <f t="shared" si="3"/>
        <v>SP500</v>
      </c>
      <c r="D4767" s="2" t="str">
        <f t="shared" si="4"/>
        <v/>
      </c>
      <c r="E4767" s="2">
        <f t="shared" si="5"/>
        <v>5574.12</v>
      </c>
      <c r="G4767" s="10">
        <f t="shared" si="9"/>
        <v>42749.64583</v>
      </c>
      <c r="H4767" s="6" t="str">
        <f t="shared" si="6"/>
        <v/>
      </c>
      <c r="I4767" s="2">
        <f t="shared" si="7"/>
        <v>1426.89</v>
      </c>
      <c r="M4767" s="10">
        <f>IFERROR(__xludf.DUMMYFUNCTION("""COMPUTED_VALUE"""),44894.66666666667)</f>
        <v>44894.66667</v>
      </c>
      <c r="N4767" s="2">
        <f>IFERROR(__xludf.DUMMYFUNCTION("""COMPUTED_VALUE"""),10983.78)</f>
        <v>10983.78</v>
      </c>
      <c r="P4767" s="10">
        <f t="shared" si="10"/>
        <v>38779.64583</v>
      </c>
      <c r="Q4767" s="15">
        <v>1328.95</v>
      </c>
      <c r="R4767" s="18">
        <v>38779.0</v>
      </c>
    </row>
    <row r="4768">
      <c r="A4768" s="10">
        <f t="shared" si="8"/>
        <v>42750.66667</v>
      </c>
      <c r="B4768" s="2" t="str">
        <f t="shared" si="2"/>
        <v/>
      </c>
      <c r="C4768" s="2" t="str">
        <f t="shared" si="3"/>
        <v>SP500</v>
      </c>
      <c r="D4768" s="2" t="str">
        <f t="shared" si="4"/>
        <v/>
      </c>
      <c r="E4768" s="2">
        <f t="shared" si="5"/>
        <v>5574.12</v>
      </c>
      <c r="G4768" s="10">
        <f t="shared" si="9"/>
        <v>42750.64583</v>
      </c>
      <c r="H4768" s="6" t="str">
        <f t="shared" si="6"/>
        <v/>
      </c>
      <c r="I4768" s="2">
        <f t="shared" si="7"/>
        <v>1426.89</v>
      </c>
      <c r="M4768" s="10">
        <f>IFERROR(__xludf.DUMMYFUNCTION("""COMPUTED_VALUE"""),44895.66666666667)</f>
        <v>44895.66667</v>
      </c>
      <c r="N4768" s="2">
        <f>IFERROR(__xludf.DUMMYFUNCTION("""COMPUTED_VALUE"""),11468.0)</f>
        <v>11468</v>
      </c>
      <c r="P4768" s="10">
        <f t="shared" si="10"/>
        <v>38778.64583</v>
      </c>
      <c r="Q4768" s="15">
        <v>1367.7</v>
      </c>
      <c r="R4768" s="18">
        <v>38778.0</v>
      </c>
    </row>
    <row r="4769">
      <c r="A4769" s="10">
        <f t="shared" si="8"/>
        <v>42751.66667</v>
      </c>
      <c r="B4769" s="2" t="str">
        <f t="shared" si="2"/>
        <v/>
      </c>
      <c r="C4769" s="2" t="str">
        <f t="shared" si="3"/>
        <v>SP500</v>
      </c>
      <c r="D4769" s="2" t="str">
        <f t="shared" si="4"/>
        <v/>
      </c>
      <c r="E4769" s="2">
        <f t="shared" si="5"/>
        <v>5574.12</v>
      </c>
      <c r="G4769" s="10">
        <f t="shared" si="9"/>
        <v>42751.64583</v>
      </c>
      <c r="H4769" s="6" t="str">
        <f t="shared" si="6"/>
        <v/>
      </c>
      <c r="I4769" s="2">
        <f t="shared" si="7"/>
        <v>1426.89</v>
      </c>
      <c r="M4769" s="10">
        <f>IFERROR(__xludf.DUMMYFUNCTION("""COMPUTED_VALUE"""),44896.66666666667)</f>
        <v>44896.66667</v>
      </c>
      <c r="N4769" s="2">
        <f>IFERROR(__xludf.DUMMYFUNCTION("""COMPUTED_VALUE"""),11482.45)</f>
        <v>11482.45</v>
      </c>
      <c r="P4769" s="10">
        <f t="shared" si="10"/>
        <v>38776.64583</v>
      </c>
      <c r="Q4769" s="15">
        <v>1371.59</v>
      </c>
      <c r="R4769" s="18">
        <v>38776.0</v>
      </c>
    </row>
    <row r="4770">
      <c r="A4770" s="10">
        <f t="shared" si="8"/>
        <v>42752.66667</v>
      </c>
      <c r="B4770" s="2" t="str">
        <f t="shared" si="2"/>
        <v/>
      </c>
      <c r="C4770" s="2" t="str">
        <f t="shared" si="3"/>
        <v>SP500</v>
      </c>
      <c r="D4770" s="2">
        <f t="shared" si="4"/>
        <v>5538.73</v>
      </c>
      <c r="E4770" s="2">
        <f t="shared" si="5"/>
        <v>5538.73</v>
      </c>
      <c r="G4770" s="10">
        <f t="shared" si="9"/>
        <v>42752.64583</v>
      </c>
      <c r="H4770" s="6" t="str">
        <f t="shared" si="6"/>
        <v/>
      </c>
      <c r="I4770" s="2">
        <f t="shared" si="7"/>
        <v>1426.89</v>
      </c>
      <c r="M4770" s="10">
        <f>IFERROR(__xludf.DUMMYFUNCTION("""COMPUTED_VALUE"""),44897.66666666667)</f>
        <v>44897.66667</v>
      </c>
      <c r="N4770" s="2">
        <f>IFERROR(__xludf.DUMMYFUNCTION("""COMPUTED_VALUE"""),11461.5)</f>
        <v>11461.5</v>
      </c>
      <c r="P4770" s="10">
        <f t="shared" si="10"/>
        <v>38775.64583</v>
      </c>
      <c r="Q4770" s="15">
        <v>1374.88</v>
      </c>
      <c r="R4770" s="18">
        <v>38775.0</v>
      </c>
    </row>
    <row r="4771">
      <c r="A4771" s="10">
        <f t="shared" si="8"/>
        <v>42753.66667</v>
      </c>
      <c r="B4771" s="2" t="str">
        <f t="shared" si="2"/>
        <v/>
      </c>
      <c r="C4771" s="2" t="str">
        <f t="shared" si="3"/>
        <v>SP500</v>
      </c>
      <c r="D4771" s="2">
        <f t="shared" si="4"/>
        <v>5555.65</v>
      </c>
      <c r="E4771" s="2">
        <f t="shared" si="5"/>
        <v>5555.65</v>
      </c>
      <c r="G4771" s="10">
        <f t="shared" si="9"/>
        <v>42753.64583</v>
      </c>
      <c r="H4771" s="6" t="str">
        <f t="shared" si="6"/>
        <v/>
      </c>
      <c r="I4771" s="2">
        <f t="shared" si="7"/>
        <v>1426.89</v>
      </c>
      <c r="M4771" s="10">
        <f>IFERROR(__xludf.DUMMYFUNCTION("""COMPUTED_VALUE"""),44900.66666666667)</f>
        <v>44900.66667</v>
      </c>
      <c r="N4771" s="2">
        <f>IFERROR(__xludf.DUMMYFUNCTION("""COMPUTED_VALUE"""),11239.94)</f>
        <v>11239.94</v>
      </c>
      <c r="P4771" s="10">
        <f t="shared" si="10"/>
        <v>38772.64583</v>
      </c>
      <c r="Q4771" s="15">
        <v>1365.82</v>
      </c>
      <c r="R4771" s="18">
        <v>38772.0</v>
      </c>
    </row>
    <row r="4772">
      <c r="A4772" s="10">
        <f t="shared" si="8"/>
        <v>42754.66667</v>
      </c>
      <c r="B4772" s="2" t="str">
        <f t="shared" si="2"/>
        <v/>
      </c>
      <c r="C4772" s="2" t="str">
        <f t="shared" si="3"/>
        <v>SP500</v>
      </c>
      <c r="D4772" s="2">
        <f t="shared" si="4"/>
        <v>5540.08</v>
      </c>
      <c r="E4772" s="2">
        <f t="shared" si="5"/>
        <v>5540.08</v>
      </c>
      <c r="G4772" s="10">
        <f t="shared" si="9"/>
        <v>42754.64583</v>
      </c>
      <c r="H4772" s="6" t="str">
        <f t="shared" si="6"/>
        <v/>
      </c>
      <c r="I4772" s="2">
        <f t="shared" si="7"/>
        <v>1426.89</v>
      </c>
      <c r="M4772" s="10">
        <f>IFERROR(__xludf.DUMMYFUNCTION("""COMPUTED_VALUE"""),44901.66666666667)</f>
        <v>44901.66667</v>
      </c>
      <c r="N4772" s="2">
        <f>IFERROR(__xludf.DUMMYFUNCTION("""COMPUTED_VALUE"""),11014.89)</f>
        <v>11014.89</v>
      </c>
      <c r="P4772" s="10">
        <f t="shared" si="10"/>
        <v>38771.64583</v>
      </c>
      <c r="Q4772" s="15">
        <v>1361.23</v>
      </c>
      <c r="R4772" s="18">
        <v>38771.0</v>
      </c>
    </row>
    <row r="4773">
      <c r="A4773" s="10">
        <f t="shared" si="8"/>
        <v>42755.66667</v>
      </c>
      <c r="B4773" s="2" t="str">
        <f t="shared" si="2"/>
        <v/>
      </c>
      <c r="C4773" s="2" t="str">
        <f t="shared" si="3"/>
        <v>SP500</v>
      </c>
      <c r="D4773" s="2">
        <f t="shared" si="4"/>
        <v>5555.33</v>
      </c>
      <c r="E4773" s="2">
        <f t="shared" si="5"/>
        <v>5555.33</v>
      </c>
      <c r="G4773" s="10">
        <f t="shared" si="9"/>
        <v>42755.64583</v>
      </c>
      <c r="H4773" s="6" t="str">
        <f t="shared" si="6"/>
        <v/>
      </c>
      <c r="I4773" s="2">
        <f t="shared" si="7"/>
        <v>1426.89</v>
      </c>
      <c r="M4773" s="10">
        <f>IFERROR(__xludf.DUMMYFUNCTION("""COMPUTED_VALUE"""),44902.66666666667)</f>
        <v>44902.66667</v>
      </c>
      <c r="N4773" s="2">
        <f>IFERROR(__xludf.DUMMYFUNCTION("""COMPUTED_VALUE"""),10958.55)</f>
        <v>10958.55</v>
      </c>
      <c r="P4773" s="10">
        <f t="shared" si="10"/>
        <v>38770.64583</v>
      </c>
      <c r="Q4773" s="15">
        <v>1340.58</v>
      </c>
      <c r="R4773" s="18">
        <v>38770.0</v>
      </c>
    </row>
    <row r="4774">
      <c r="A4774" s="10">
        <f t="shared" si="8"/>
        <v>42756.66667</v>
      </c>
      <c r="B4774" s="2" t="str">
        <f t="shared" si="2"/>
        <v/>
      </c>
      <c r="C4774" s="2" t="str">
        <f t="shared" si="3"/>
        <v>SP500</v>
      </c>
      <c r="D4774" s="2" t="str">
        <f t="shared" si="4"/>
        <v/>
      </c>
      <c r="E4774" s="2">
        <f t="shared" si="5"/>
        <v>5555.33</v>
      </c>
      <c r="G4774" s="10">
        <f t="shared" si="9"/>
        <v>42756.64583</v>
      </c>
      <c r="H4774" s="6" t="str">
        <f t="shared" si="6"/>
        <v/>
      </c>
      <c r="I4774" s="2">
        <f t="shared" si="7"/>
        <v>1426.89</v>
      </c>
      <c r="M4774" s="10">
        <f>IFERROR(__xludf.DUMMYFUNCTION("""COMPUTED_VALUE"""),44903.66666666667)</f>
        <v>44903.66667</v>
      </c>
      <c r="N4774" s="2">
        <f>IFERROR(__xludf.DUMMYFUNCTION("""COMPUTED_VALUE"""),11082.0)</f>
        <v>11082</v>
      </c>
      <c r="P4774" s="10">
        <f t="shared" si="10"/>
        <v>38769.64583</v>
      </c>
      <c r="Q4774" s="15">
        <v>1346.49</v>
      </c>
      <c r="R4774" s="18">
        <v>38769.0</v>
      </c>
    </row>
    <row r="4775">
      <c r="A4775" s="10">
        <f t="shared" si="8"/>
        <v>42757.66667</v>
      </c>
      <c r="B4775" s="2" t="str">
        <f t="shared" si="2"/>
        <v/>
      </c>
      <c r="C4775" s="2" t="str">
        <f t="shared" si="3"/>
        <v>SP500</v>
      </c>
      <c r="D4775" s="2" t="str">
        <f t="shared" si="4"/>
        <v/>
      </c>
      <c r="E4775" s="2">
        <f t="shared" si="5"/>
        <v>5555.33</v>
      </c>
      <c r="G4775" s="10">
        <f t="shared" si="9"/>
        <v>42757.64583</v>
      </c>
      <c r="H4775" s="6" t="str">
        <f t="shared" si="6"/>
        <v/>
      </c>
      <c r="I4775" s="2">
        <f t="shared" si="7"/>
        <v>1426.89</v>
      </c>
      <c r="M4775" s="10">
        <f>IFERROR(__xludf.DUMMYFUNCTION("""COMPUTED_VALUE"""),44904.66666666667)</f>
        <v>44904.66667</v>
      </c>
      <c r="N4775" s="2">
        <f>IFERROR(__xludf.DUMMYFUNCTION("""COMPUTED_VALUE"""),11004.62)</f>
        <v>11004.62</v>
      </c>
      <c r="P4775" s="10">
        <f t="shared" si="10"/>
        <v>38768.64583</v>
      </c>
      <c r="Q4775" s="15">
        <v>1348.25</v>
      </c>
      <c r="R4775" s="18">
        <v>38768.0</v>
      </c>
    </row>
    <row r="4776">
      <c r="A4776" s="10">
        <f t="shared" si="8"/>
        <v>42758.66667</v>
      </c>
      <c r="B4776" s="2" t="str">
        <f t="shared" si="2"/>
        <v/>
      </c>
      <c r="C4776" s="2" t="str">
        <f t="shared" si="3"/>
        <v>SP500</v>
      </c>
      <c r="D4776" s="2">
        <f t="shared" si="4"/>
        <v>5552.94</v>
      </c>
      <c r="E4776" s="2">
        <f t="shared" si="5"/>
        <v>5552.94</v>
      </c>
      <c r="G4776" s="10">
        <f t="shared" si="9"/>
        <v>42758.64583</v>
      </c>
      <c r="H4776" s="6" t="str">
        <f t="shared" si="6"/>
        <v/>
      </c>
      <c r="I4776" s="2">
        <f t="shared" si="7"/>
        <v>1426.89</v>
      </c>
      <c r="M4776" s="10">
        <f>IFERROR(__xludf.DUMMYFUNCTION("""COMPUTED_VALUE"""),44907.66666666667)</f>
        <v>44907.66667</v>
      </c>
      <c r="N4776" s="2">
        <f>IFERROR(__xludf.DUMMYFUNCTION("""COMPUTED_VALUE"""),11143.74)</f>
        <v>11143.74</v>
      </c>
      <c r="P4776" s="10">
        <f t="shared" si="10"/>
        <v>38765.64583</v>
      </c>
      <c r="Q4776" s="15">
        <v>1332.73</v>
      </c>
      <c r="R4776" s="18">
        <v>38765.0</v>
      </c>
    </row>
    <row r="4777">
      <c r="A4777" s="10">
        <f t="shared" si="8"/>
        <v>42759.66667</v>
      </c>
      <c r="B4777" s="2" t="str">
        <f t="shared" si="2"/>
        <v/>
      </c>
      <c r="C4777" s="2" t="str">
        <f t="shared" si="3"/>
        <v>SP500</v>
      </c>
      <c r="D4777" s="2">
        <f t="shared" si="4"/>
        <v>5600.96</v>
      </c>
      <c r="E4777" s="2">
        <f t="shared" si="5"/>
        <v>5600.96</v>
      </c>
      <c r="G4777" s="10">
        <f t="shared" si="9"/>
        <v>42759.64583</v>
      </c>
      <c r="H4777" s="6" t="str">
        <f t="shared" si="6"/>
        <v/>
      </c>
      <c r="I4777" s="2">
        <f t="shared" si="7"/>
        <v>1426.89</v>
      </c>
      <c r="M4777" s="10">
        <f>IFERROR(__xludf.DUMMYFUNCTION("""COMPUTED_VALUE"""),44908.66666666667)</f>
        <v>44908.66667</v>
      </c>
      <c r="N4777" s="2">
        <f>IFERROR(__xludf.DUMMYFUNCTION("""COMPUTED_VALUE"""),11256.81)</f>
        <v>11256.81</v>
      </c>
      <c r="P4777" s="10">
        <f t="shared" si="10"/>
        <v>38764.64583</v>
      </c>
      <c r="Q4777" s="15">
        <v>1314.32</v>
      </c>
      <c r="R4777" s="18">
        <v>38764.0</v>
      </c>
    </row>
    <row r="4778">
      <c r="A4778" s="10">
        <f t="shared" si="8"/>
        <v>42760.66667</v>
      </c>
      <c r="B4778" s="2" t="str">
        <f t="shared" si="2"/>
        <v/>
      </c>
      <c r="C4778" s="2" t="str">
        <f t="shared" si="3"/>
        <v>SP500</v>
      </c>
      <c r="D4778" s="2">
        <f t="shared" si="4"/>
        <v>5656.34</v>
      </c>
      <c r="E4778" s="2">
        <f t="shared" si="5"/>
        <v>5656.34</v>
      </c>
      <c r="G4778" s="10">
        <f t="shared" si="9"/>
        <v>42760.64583</v>
      </c>
      <c r="H4778" s="6" t="str">
        <f t="shared" si="6"/>
        <v/>
      </c>
      <c r="I4778" s="2">
        <f t="shared" si="7"/>
        <v>1426.89</v>
      </c>
      <c r="M4778" s="10">
        <f>IFERROR(__xludf.DUMMYFUNCTION("""COMPUTED_VALUE"""),44909.66666666667)</f>
        <v>44909.66667</v>
      </c>
      <c r="N4778" s="2">
        <f>IFERROR(__xludf.DUMMYFUNCTION("""COMPUTED_VALUE"""),11170.89)</f>
        <v>11170.89</v>
      </c>
      <c r="P4778" s="10">
        <f t="shared" si="10"/>
        <v>38763.64583</v>
      </c>
      <c r="Q4778" s="15">
        <v>1303.84</v>
      </c>
      <c r="R4778" s="18">
        <v>38763.0</v>
      </c>
    </row>
    <row r="4779">
      <c r="A4779" s="10">
        <f t="shared" si="8"/>
        <v>42761.66667</v>
      </c>
      <c r="B4779" s="2" t="str">
        <f t="shared" si="2"/>
        <v/>
      </c>
      <c r="C4779" s="2" t="str">
        <f t="shared" si="3"/>
        <v>SP500</v>
      </c>
      <c r="D4779" s="2">
        <f t="shared" si="4"/>
        <v>5655.18</v>
      </c>
      <c r="E4779" s="2">
        <f t="shared" si="5"/>
        <v>5655.18</v>
      </c>
      <c r="G4779" s="10">
        <f t="shared" si="9"/>
        <v>42761.64583</v>
      </c>
      <c r="H4779" s="6" t="str">
        <f t="shared" si="6"/>
        <v/>
      </c>
      <c r="I4779" s="2">
        <f t="shared" si="7"/>
        <v>1426.89</v>
      </c>
      <c r="M4779" s="10">
        <f>IFERROR(__xludf.DUMMYFUNCTION("""COMPUTED_VALUE"""),44910.66666666667)</f>
        <v>44910.66667</v>
      </c>
      <c r="N4779" s="2">
        <f>IFERROR(__xludf.DUMMYFUNCTION("""COMPUTED_VALUE"""),10810.53)</f>
        <v>10810.53</v>
      </c>
      <c r="P4779" s="10">
        <f t="shared" si="10"/>
        <v>38762.64583</v>
      </c>
      <c r="Q4779" s="15">
        <v>1328.21</v>
      </c>
      <c r="R4779" s="18">
        <v>38762.0</v>
      </c>
    </row>
    <row r="4780">
      <c r="A4780" s="10">
        <f t="shared" si="8"/>
        <v>42762.66667</v>
      </c>
      <c r="B4780" s="2" t="str">
        <f t="shared" si="2"/>
        <v/>
      </c>
      <c r="C4780" s="2" t="str">
        <f t="shared" si="3"/>
        <v>SP500</v>
      </c>
      <c r="D4780" s="2">
        <f t="shared" si="4"/>
        <v>5660.78</v>
      </c>
      <c r="E4780" s="2">
        <f t="shared" si="5"/>
        <v>5660.78</v>
      </c>
      <c r="G4780" s="10">
        <f t="shared" si="9"/>
        <v>42762.64583</v>
      </c>
      <c r="H4780" s="6" t="str">
        <f t="shared" si="6"/>
        <v/>
      </c>
      <c r="I4780" s="2">
        <f t="shared" si="7"/>
        <v>1426.89</v>
      </c>
      <c r="M4780" s="10">
        <f>IFERROR(__xludf.DUMMYFUNCTION("""COMPUTED_VALUE"""),44911.66666666667)</f>
        <v>44911.66667</v>
      </c>
      <c r="N4780" s="2">
        <f>IFERROR(__xludf.DUMMYFUNCTION("""COMPUTED_VALUE"""),10705.41)</f>
        <v>10705.41</v>
      </c>
      <c r="P4780" s="10">
        <f t="shared" si="10"/>
        <v>38761.64583</v>
      </c>
      <c r="Q4780" s="15">
        <v>1320.79</v>
      </c>
      <c r="R4780" s="18">
        <v>38761.0</v>
      </c>
    </row>
    <row r="4781">
      <c r="A4781" s="10">
        <f t="shared" si="8"/>
        <v>42763.66667</v>
      </c>
      <c r="B4781" s="2" t="str">
        <f t="shared" si="2"/>
        <v/>
      </c>
      <c r="C4781" s="2" t="str">
        <f t="shared" si="3"/>
        <v>SP500</v>
      </c>
      <c r="D4781" s="2" t="str">
        <f t="shared" si="4"/>
        <v/>
      </c>
      <c r="E4781" s="2">
        <f t="shared" si="5"/>
        <v>5660.78</v>
      </c>
      <c r="G4781" s="10">
        <f t="shared" si="9"/>
        <v>42763.64583</v>
      </c>
      <c r="H4781" s="6" t="str">
        <f t="shared" si="6"/>
        <v/>
      </c>
      <c r="I4781" s="2">
        <f t="shared" si="7"/>
        <v>1426.89</v>
      </c>
      <c r="M4781" s="10">
        <f>IFERROR(__xludf.DUMMYFUNCTION("""COMPUTED_VALUE"""),44914.66666666667)</f>
        <v>44914.66667</v>
      </c>
      <c r="N4781" s="2">
        <f>IFERROR(__xludf.DUMMYFUNCTION("""COMPUTED_VALUE"""),10546.03)</f>
        <v>10546.03</v>
      </c>
      <c r="P4781" s="10">
        <f t="shared" si="10"/>
        <v>38758.64583</v>
      </c>
      <c r="Q4781" s="15">
        <v>1335.23</v>
      </c>
      <c r="R4781" s="18">
        <v>38758.0</v>
      </c>
    </row>
    <row r="4782">
      <c r="A4782" s="10">
        <f t="shared" si="8"/>
        <v>42764.66667</v>
      </c>
      <c r="B4782" s="2" t="str">
        <f t="shared" si="2"/>
        <v/>
      </c>
      <c r="C4782" s="2" t="str">
        <f t="shared" si="3"/>
        <v>SP500</v>
      </c>
      <c r="D4782" s="2" t="str">
        <f t="shared" si="4"/>
        <v/>
      </c>
      <c r="E4782" s="2">
        <f t="shared" si="5"/>
        <v>5660.78</v>
      </c>
      <c r="G4782" s="10">
        <f t="shared" si="9"/>
        <v>42764.64583</v>
      </c>
      <c r="H4782" s="6" t="str">
        <f t="shared" si="6"/>
        <v/>
      </c>
      <c r="I4782" s="2">
        <f t="shared" si="7"/>
        <v>1426.89</v>
      </c>
      <c r="M4782" s="10">
        <f>IFERROR(__xludf.DUMMYFUNCTION("""COMPUTED_VALUE"""),44915.66666666667)</f>
        <v>44915.66667</v>
      </c>
      <c r="N4782" s="2">
        <f>IFERROR(__xludf.DUMMYFUNCTION("""COMPUTED_VALUE"""),10547.11)</f>
        <v>10547.11</v>
      </c>
      <c r="P4782" s="10">
        <f t="shared" si="10"/>
        <v>38757.64583</v>
      </c>
      <c r="Q4782" s="15">
        <v>1321.66</v>
      </c>
      <c r="R4782" s="18">
        <v>38757.0</v>
      </c>
    </row>
    <row r="4783">
      <c r="A4783" s="10">
        <f t="shared" si="8"/>
        <v>42765.66667</v>
      </c>
      <c r="B4783" s="2" t="str">
        <f t="shared" si="2"/>
        <v/>
      </c>
      <c r="C4783" s="2" t="str">
        <f t="shared" si="3"/>
        <v>SP500</v>
      </c>
      <c r="D4783" s="2">
        <f t="shared" si="4"/>
        <v>5613.71</v>
      </c>
      <c r="E4783" s="2">
        <f t="shared" si="5"/>
        <v>5613.71</v>
      </c>
      <c r="G4783" s="10">
        <f t="shared" si="9"/>
        <v>42765.64583</v>
      </c>
      <c r="H4783" s="6" t="str">
        <f t="shared" si="6"/>
        <v/>
      </c>
      <c r="I4783" s="2">
        <f t="shared" si="7"/>
        <v>1426.89</v>
      </c>
      <c r="M4783" s="10">
        <f>IFERROR(__xludf.DUMMYFUNCTION("""COMPUTED_VALUE"""),44916.66666666667)</f>
        <v>44916.66667</v>
      </c>
      <c r="N4783" s="2">
        <f>IFERROR(__xludf.DUMMYFUNCTION("""COMPUTED_VALUE"""),10709.37)</f>
        <v>10709.37</v>
      </c>
      <c r="P4783" s="10">
        <f t="shared" si="10"/>
        <v>38756.64583</v>
      </c>
      <c r="Q4783" s="15">
        <v>1310.99</v>
      </c>
      <c r="R4783" s="18">
        <v>38756.0</v>
      </c>
    </row>
    <row r="4784">
      <c r="A4784" s="10">
        <f t="shared" si="8"/>
        <v>42766.66667</v>
      </c>
      <c r="B4784" s="2" t="str">
        <f t="shared" si="2"/>
        <v/>
      </c>
      <c r="C4784" s="2" t="str">
        <f t="shared" si="3"/>
        <v>SP500</v>
      </c>
      <c r="D4784" s="2">
        <f t="shared" si="4"/>
        <v>5614.79</v>
      </c>
      <c r="E4784" s="2">
        <f t="shared" si="5"/>
        <v>5614.79</v>
      </c>
      <c r="G4784" s="10">
        <f t="shared" si="9"/>
        <v>42766.64583</v>
      </c>
      <c r="H4784" s="6" t="str">
        <f t="shared" si="6"/>
        <v/>
      </c>
      <c r="I4784" s="2">
        <f t="shared" si="7"/>
        <v>1426.89</v>
      </c>
      <c r="M4784" s="10">
        <f>IFERROR(__xludf.DUMMYFUNCTION("""COMPUTED_VALUE"""),44917.66666666667)</f>
        <v>44917.66667</v>
      </c>
      <c r="N4784" s="2">
        <f>IFERROR(__xludf.DUMMYFUNCTION("""COMPUTED_VALUE"""),10476.12)</f>
        <v>10476.12</v>
      </c>
      <c r="P4784" s="10">
        <f t="shared" si="10"/>
        <v>38755.64583</v>
      </c>
      <c r="Q4784" s="15">
        <v>1332.28</v>
      </c>
      <c r="R4784" s="18">
        <v>38755.0</v>
      </c>
    </row>
    <row r="4785">
      <c r="A4785" s="10">
        <f t="shared" si="8"/>
        <v>42767.66667</v>
      </c>
      <c r="B4785" s="2" t="str">
        <f t="shared" si="2"/>
        <v/>
      </c>
      <c r="C4785" s="2" t="str">
        <f t="shared" si="3"/>
        <v>SP500</v>
      </c>
      <c r="D4785" s="2">
        <f t="shared" si="4"/>
        <v>5642.65</v>
      </c>
      <c r="E4785" s="2">
        <f t="shared" si="5"/>
        <v>5642.65</v>
      </c>
      <c r="G4785" s="10">
        <f t="shared" si="9"/>
        <v>42767.64583</v>
      </c>
      <c r="H4785" s="6" t="str">
        <f t="shared" si="6"/>
        <v/>
      </c>
      <c r="I4785" s="2">
        <f t="shared" si="7"/>
        <v>1426.89</v>
      </c>
      <c r="M4785" s="10">
        <f>IFERROR(__xludf.DUMMYFUNCTION("""COMPUTED_VALUE"""),44918.66666666667)</f>
        <v>44918.66667</v>
      </c>
      <c r="N4785" s="2">
        <f>IFERROR(__xludf.DUMMYFUNCTION("""COMPUTED_VALUE"""),10497.86)</f>
        <v>10497.86</v>
      </c>
      <c r="P4785" s="10">
        <f t="shared" si="10"/>
        <v>38754.64583</v>
      </c>
      <c r="Q4785" s="15">
        <v>1341.64</v>
      </c>
      <c r="R4785" s="18">
        <v>38754.0</v>
      </c>
    </row>
    <row r="4786">
      <c r="A4786" s="10">
        <f t="shared" si="8"/>
        <v>42768.66667</v>
      </c>
      <c r="B4786" s="2" t="str">
        <f t="shared" si="2"/>
        <v/>
      </c>
      <c r="C4786" s="2" t="str">
        <f t="shared" si="3"/>
        <v>SP500</v>
      </c>
      <c r="D4786" s="2">
        <f t="shared" si="4"/>
        <v>5636.2</v>
      </c>
      <c r="E4786" s="2">
        <f t="shared" si="5"/>
        <v>5636.2</v>
      </c>
      <c r="G4786" s="10">
        <f t="shared" si="9"/>
        <v>42768.64583</v>
      </c>
      <c r="H4786" s="6" t="str">
        <f t="shared" si="6"/>
        <v/>
      </c>
      <c r="I4786" s="2">
        <f t="shared" si="7"/>
        <v>1426.89</v>
      </c>
      <c r="M4786" s="10">
        <f>IFERROR(__xludf.DUMMYFUNCTION("""COMPUTED_VALUE"""),44922.66666666667)</f>
        <v>44922.66667</v>
      </c>
      <c r="N4786" s="2">
        <f>IFERROR(__xludf.DUMMYFUNCTION("""COMPUTED_VALUE"""),10353.23)</f>
        <v>10353.23</v>
      </c>
      <c r="P4786" s="10">
        <f t="shared" si="10"/>
        <v>38751.64583</v>
      </c>
      <c r="Q4786" s="15">
        <v>1333.5</v>
      </c>
      <c r="R4786" s="18">
        <v>38751.0</v>
      </c>
    </row>
    <row r="4787">
      <c r="A4787" s="10">
        <f t="shared" si="8"/>
        <v>42769.66667</v>
      </c>
      <c r="B4787" s="2" t="str">
        <f t="shared" si="2"/>
        <v/>
      </c>
      <c r="C4787" s="2" t="str">
        <f t="shared" si="3"/>
        <v>SP500</v>
      </c>
      <c r="D4787" s="2">
        <f t="shared" si="4"/>
        <v>5666.77</v>
      </c>
      <c r="E4787" s="2">
        <f t="shared" si="5"/>
        <v>5666.77</v>
      </c>
      <c r="G4787" s="10">
        <f t="shared" si="9"/>
        <v>42769.64583</v>
      </c>
      <c r="H4787" s="6" t="str">
        <f t="shared" si="6"/>
        <v/>
      </c>
      <c r="I4787" s="2">
        <f t="shared" si="7"/>
        <v>1426.89</v>
      </c>
      <c r="M4787" s="10">
        <f>IFERROR(__xludf.DUMMYFUNCTION("""COMPUTED_VALUE"""),44923.66666666667)</f>
        <v>44923.66667</v>
      </c>
      <c r="N4787" s="2">
        <f>IFERROR(__xludf.DUMMYFUNCTION("""COMPUTED_VALUE"""),10213.29)</f>
        <v>10213.29</v>
      </c>
      <c r="P4787" s="10">
        <f t="shared" si="10"/>
        <v>38750.64583</v>
      </c>
      <c r="Q4787" s="15">
        <v>1374.44</v>
      </c>
      <c r="R4787" s="18">
        <v>38750.0</v>
      </c>
    </row>
    <row r="4788">
      <c r="A4788" s="10">
        <f t="shared" si="8"/>
        <v>42770.66667</v>
      </c>
      <c r="B4788" s="2" t="str">
        <f t="shared" si="2"/>
        <v/>
      </c>
      <c r="C4788" s="2" t="str">
        <f t="shared" si="3"/>
        <v>SP500</v>
      </c>
      <c r="D4788" s="2" t="str">
        <f t="shared" si="4"/>
        <v/>
      </c>
      <c r="E4788" s="2">
        <f t="shared" si="5"/>
        <v>5666.77</v>
      </c>
      <c r="G4788" s="10">
        <f t="shared" si="9"/>
        <v>42770.64583</v>
      </c>
      <c r="H4788" s="6" t="str">
        <f t="shared" si="6"/>
        <v/>
      </c>
      <c r="I4788" s="2">
        <f t="shared" si="7"/>
        <v>1426.89</v>
      </c>
      <c r="M4788" s="10">
        <f>IFERROR(__xludf.DUMMYFUNCTION("""COMPUTED_VALUE"""),44924.66666666667)</f>
        <v>44924.66667</v>
      </c>
      <c r="N4788" s="2">
        <f>IFERROR(__xludf.DUMMYFUNCTION("""COMPUTED_VALUE"""),10478.09)</f>
        <v>10478.09</v>
      </c>
      <c r="P4788" s="10">
        <f t="shared" si="10"/>
        <v>38749.64583</v>
      </c>
      <c r="Q4788" s="15">
        <v>1375.97</v>
      </c>
      <c r="R4788" s="18">
        <v>38749.0</v>
      </c>
    </row>
    <row r="4789">
      <c r="A4789" s="10">
        <f t="shared" si="8"/>
        <v>42771.66667</v>
      </c>
      <c r="B4789" s="2" t="str">
        <f t="shared" si="2"/>
        <v/>
      </c>
      <c r="C4789" s="2" t="str">
        <f t="shared" si="3"/>
        <v>SP500</v>
      </c>
      <c r="D4789" s="2" t="str">
        <f t="shared" si="4"/>
        <v/>
      </c>
      <c r="E4789" s="2">
        <f t="shared" si="5"/>
        <v>5666.77</v>
      </c>
      <c r="G4789" s="10">
        <f t="shared" si="9"/>
        <v>42771.64583</v>
      </c>
      <c r="H4789" s="6" t="str">
        <f t="shared" si="6"/>
        <v/>
      </c>
      <c r="I4789" s="2">
        <f t="shared" si="7"/>
        <v>1426.89</v>
      </c>
      <c r="M4789" s="10">
        <f>IFERROR(__xludf.DUMMYFUNCTION("""COMPUTED_VALUE"""),44925.66666666667)</f>
        <v>44925.66667</v>
      </c>
      <c r="N4789" s="2">
        <f>IFERROR(__xludf.DUMMYFUNCTION("""COMPUTED_VALUE"""),10466.48)</f>
        <v>10466.48</v>
      </c>
      <c r="P4789" s="10">
        <f t="shared" si="10"/>
        <v>38748.64583</v>
      </c>
      <c r="Q4789" s="15">
        <v>1399.83</v>
      </c>
      <c r="R4789" s="18">
        <v>38748.0</v>
      </c>
    </row>
    <row r="4790">
      <c r="A4790" s="10">
        <f t="shared" si="8"/>
        <v>42772.66667</v>
      </c>
      <c r="B4790" s="2" t="str">
        <f t="shared" si="2"/>
        <v/>
      </c>
      <c r="C4790" s="2" t="str">
        <f t="shared" si="3"/>
        <v>SP500</v>
      </c>
      <c r="D4790" s="2">
        <f t="shared" si="4"/>
        <v>5663.55</v>
      </c>
      <c r="E4790" s="2">
        <f t="shared" si="5"/>
        <v>5663.55</v>
      </c>
      <c r="G4790" s="10">
        <f t="shared" si="9"/>
        <v>42772.64583</v>
      </c>
      <c r="H4790" s="6" t="str">
        <f t="shared" si="6"/>
        <v/>
      </c>
      <c r="I4790" s="2">
        <f t="shared" si="7"/>
        <v>1426.89</v>
      </c>
      <c r="M4790" s="10">
        <f>IFERROR(__xludf.DUMMYFUNCTION("""COMPUTED_VALUE"""),44929.66666666667)</f>
        <v>44929.66667</v>
      </c>
      <c r="N4790" s="2">
        <f>IFERROR(__xludf.DUMMYFUNCTION("""COMPUTED_VALUE"""),10386.99)</f>
        <v>10386.99</v>
      </c>
      <c r="P4790" s="10">
        <f t="shared" si="10"/>
        <v>38744.64583</v>
      </c>
      <c r="Q4790" s="15">
        <v>1384.56</v>
      </c>
      <c r="R4790" s="18">
        <v>38744.0</v>
      </c>
    </row>
    <row r="4791">
      <c r="A4791" s="10">
        <f t="shared" si="8"/>
        <v>42773.66667</v>
      </c>
      <c r="B4791" s="2" t="str">
        <f t="shared" si="2"/>
        <v/>
      </c>
      <c r="C4791" s="2" t="str">
        <f t="shared" si="3"/>
        <v>SP500</v>
      </c>
      <c r="D4791" s="2">
        <f t="shared" si="4"/>
        <v>5674.22</v>
      </c>
      <c r="E4791" s="2">
        <f t="shared" si="5"/>
        <v>5674.22</v>
      </c>
      <c r="G4791" s="10">
        <f t="shared" si="9"/>
        <v>42773.64583</v>
      </c>
      <c r="H4791" s="6" t="str">
        <f t="shared" si="6"/>
        <v/>
      </c>
      <c r="I4791" s="2">
        <f t="shared" si="7"/>
        <v>1426.89</v>
      </c>
      <c r="M4791" s="10">
        <f>IFERROR(__xludf.DUMMYFUNCTION("""COMPUTED_VALUE"""),44930.66666666667)</f>
        <v>44930.66667</v>
      </c>
      <c r="N4791" s="2">
        <f>IFERROR(__xludf.DUMMYFUNCTION("""COMPUTED_VALUE"""),10458.76)</f>
        <v>10458.76</v>
      </c>
      <c r="P4791" s="10">
        <f t="shared" si="10"/>
        <v>38743.64583</v>
      </c>
      <c r="Q4791" s="15">
        <v>1352.75</v>
      </c>
      <c r="R4791" s="18">
        <v>38743.0</v>
      </c>
    </row>
    <row r="4792">
      <c r="A4792" s="10">
        <f t="shared" si="8"/>
        <v>42774.66667</v>
      </c>
      <c r="B4792" s="2" t="str">
        <f t="shared" si="2"/>
        <v/>
      </c>
      <c r="C4792" s="2" t="str">
        <f t="shared" si="3"/>
        <v>SP500</v>
      </c>
      <c r="D4792" s="2">
        <f t="shared" si="4"/>
        <v>5682.45</v>
      </c>
      <c r="E4792" s="2">
        <f t="shared" si="5"/>
        <v>5682.45</v>
      </c>
      <c r="G4792" s="10">
        <f t="shared" si="9"/>
        <v>42774.64583</v>
      </c>
      <c r="H4792" s="6" t="str">
        <f t="shared" si="6"/>
        <v/>
      </c>
      <c r="I4792" s="2">
        <f t="shared" si="7"/>
        <v>1426.89</v>
      </c>
      <c r="M4792" s="10">
        <f>IFERROR(__xludf.DUMMYFUNCTION("""COMPUTED_VALUE"""),44931.66666666667)</f>
        <v>44931.66667</v>
      </c>
      <c r="N4792" s="2">
        <f>IFERROR(__xludf.DUMMYFUNCTION("""COMPUTED_VALUE"""),10305.24)</f>
        <v>10305.24</v>
      </c>
      <c r="P4792" s="10">
        <f t="shared" si="10"/>
        <v>38742.64583</v>
      </c>
      <c r="Q4792" s="15">
        <v>1342.59</v>
      </c>
      <c r="R4792" s="18">
        <v>38742.0</v>
      </c>
    </row>
    <row r="4793">
      <c r="A4793" s="10">
        <f t="shared" si="8"/>
        <v>42775.66667</v>
      </c>
      <c r="B4793" s="2" t="str">
        <f t="shared" si="2"/>
        <v/>
      </c>
      <c r="C4793" s="2" t="str">
        <f t="shared" si="3"/>
        <v>SP500</v>
      </c>
      <c r="D4793" s="2">
        <f t="shared" si="4"/>
        <v>5715.18</v>
      </c>
      <c r="E4793" s="2">
        <f t="shared" si="5"/>
        <v>5715.18</v>
      </c>
      <c r="G4793" s="10">
        <f t="shared" si="9"/>
        <v>42775.64583</v>
      </c>
      <c r="H4793" s="6" t="str">
        <f t="shared" si="6"/>
        <v/>
      </c>
      <c r="I4793" s="2">
        <f t="shared" si="7"/>
        <v>1426.89</v>
      </c>
      <c r="M4793" s="10">
        <f>IFERROR(__xludf.DUMMYFUNCTION("""COMPUTED_VALUE"""),44932.66666666667)</f>
        <v>44932.66667</v>
      </c>
      <c r="N4793" s="2">
        <f>IFERROR(__xludf.DUMMYFUNCTION("""COMPUTED_VALUE"""),10569.29)</f>
        <v>10569.29</v>
      </c>
      <c r="P4793" s="10">
        <f t="shared" si="10"/>
        <v>38741.64583</v>
      </c>
      <c r="Q4793" s="15">
        <v>1326.83</v>
      </c>
      <c r="R4793" s="18">
        <v>38741.0</v>
      </c>
    </row>
    <row r="4794">
      <c r="A4794" s="10">
        <f t="shared" si="8"/>
        <v>42776.66667</v>
      </c>
      <c r="B4794" s="2" t="str">
        <f t="shared" si="2"/>
        <v/>
      </c>
      <c r="C4794" s="2" t="str">
        <f t="shared" si="3"/>
        <v>SP500</v>
      </c>
      <c r="D4794" s="2">
        <f t="shared" si="4"/>
        <v>5734.13</v>
      </c>
      <c r="E4794" s="2">
        <f t="shared" si="5"/>
        <v>5734.13</v>
      </c>
      <c r="G4794" s="10">
        <f t="shared" si="9"/>
        <v>42776.64583</v>
      </c>
      <c r="H4794" s="6" t="str">
        <f t="shared" si="6"/>
        <v/>
      </c>
      <c r="I4794" s="2">
        <f t="shared" si="7"/>
        <v>1426.89</v>
      </c>
      <c r="M4794" s="10">
        <f>IFERROR(__xludf.DUMMYFUNCTION("""COMPUTED_VALUE"""),44935.66666666667)</f>
        <v>44935.66667</v>
      </c>
      <c r="N4794" s="2">
        <f>IFERROR(__xludf.DUMMYFUNCTION("""COMPUTED_VALUE"""),10635.65)</f>
        <v>10635.65</v>
      </c>
      <c r="P4794" s="10">
        <f t="shared" si="10"/>
        <v>38740.64583</v>
      </c>
      <c r="Q4794" s="15">
        <v>1297.43</v>
      </c>
      <c r="R4794" s="18">
        <v>38740.0</v>
      </c>
    </row>
    <row r="4795">
      <c r="A4795" s="10">
        <f t="shared" si="8"/>
        <v>42777.66667</v>
      </c>
      <c r="B4795" s="2" t="str">
        <f t="shared" si="2"/>
        <v/>
      </c>
      <c r="C4795" s="2" t="str">
        <f t="shared" si="3"/>
        <v>SP500</v>
      </c>
      <c r="D4795" s="2" t="str">
        <f t="shared" si="4"/>
        <v/>
      </c>
      <c r="E4795" s="2">
        <f t="shared" si="5"/>
        <v>5734.13</v>
      </c>
      <c r="G4795" s="10">
        <f t="shared" si="9"/>
        <v>42777.64583</v>
      </c>
      <c r="H4795" s="6" t="str">
        <f t="shared" si="6"/>
        <v/>
      </c>
      <c r="I4795" s="2">
        <f t="shared" si="7"/>
        <v>1426.89</v>
      </c>
      <c r="M4795" s="10">
        <f>IFERROR(__xludf.DUMMYFUNCTION("""COMPUTED_VALUE"""),44936.66666666667)</f>
        <v>44936.66667</v>
      </c>
      <c r="N4795" s="2">
        <f>IFERROR(__xludf.DUMMYFUNCTION("""COMPUTED_VALUE"""),10742.63)</f>
        <v>10742.63</v>
      </c>
      <c r="P4795" s="10">
        <f t="shared" si="10"/>
        <v>38737.64583</v>
      </c>
      <c r="Q4795" s="15">
        <v>1324.78</v>
      </c>
      <c r="R4795" s="18">
        <v>38737.0</v>
      </c>
    </row>
    <row r="4796">
      <c r="A4796" s="10">
        <f t="shared" si="8"/>
        <v>42778.66667</v>
      </c>
      <c r="B4796" s="2" t="str">
        <f t="shared" si="2"/>
        <v/>
      </c>
      <c r="C4796" s="2" t="str">
        <f t="shared" si="3"/>
        <v>SP500</v>
      </c>
      <c r="D4796" s="2" t="str">
        <f t="shared" si="4"/>
        <v/>
      </c>
      <c r="E4796" s="2">
        <f t="shared" si="5"/>
        <v>5734.13</v>
      </c>
      <c r="G4796" s="10">
        <f t="shared" si="9"/>
        <v>42778.64583</v>
      </c>
      <c r="H4796" s="6" t="str">
        <f t="shared" si="6"/>
        <v/>
      </c>
      <c r="I4796" s="2">
        <f t="shared" si="7"/>
        <v>1426.89</v>
      </c>
      <c r="M4796" s="10">
        <f>IFERROR(__xludf.DUMMYFUNCTION("""COMPUTED_VALUE"""),44937.66666666667)</f>
        <v>44937.66667</v>
      </c>
      <c r="N4796" s="2">
        <f>IFERROR(__xludf.DUMMYFUNCTION("""COMPUTED_VALUE"""),10931.67)</f>
        <v>10931.67</v>
      </c>
      <c r="P4796" s="10">
        <f t="shared" si="10"/>
        <v>38736.64583</v>
      </c>
      <c r="Q4796" s="15">
        <v>1360.64</v>
      </c>
      <c r="R4796" s="18">
        <v>38736.0</v>
      </c>
    </row>
    <row r="4797">
      <c r="A4797" s="10">
        <f t="shared" si="8"/>
        <v>42779.66667</v>
      </c>
      <c r="B4797" s="2" t="str">
        <f t="shared" si="2"/>
        <v/>
      </c>
      <c r="C4797" s="2" t="str">
        <f t="shared" si="3"/>
        <v>SP500</v>
      </c>
      <c r="D4797" s="2">
        <f t="shared" si="4"/>
        <v>5763.96</v>
      </c>
      <c r="E4797" s="2">
        <f t="shared" si="5"/>
        <v>5763.96</v>
      </c>
      <c r="G4797" s="10">
        <f t="shared" si="9"/>
        <v>42779.64583</v>
      </c>
      <c r="H4797" s="6" t="str">
        <f t="shared" si="6"/>
        <v/>
      </c>
      <c r="I4797" s="2">
        <f t="shared" si="7"/>
        <v>1426.89</v>
      </c>
      <c r="M4797" s="10">
        <f>IFERROR(__xludf.DUMMYFUNCTION("""COMPUTED_VALUE"""),44938.66666666667)</f>
        <v>44938.66667</v>
      </c>
      <c r="N4797" s="2">
        <f>IFERROR(__xludf.DUMMYFUNCTION("""COMPUTED_VALUE"""),11001.11)</f>
        <v>11001.11</v>
      </c>
      <c r="P4797" s="10">
        <f t="shared" si="10"/>
        <v>38735.64583</v>
      </c>
      <c r="Q4797" s="15">
        <v>1352.91</v>
      </c>
      <c r="R4797" s="18">
        <v>38735.0</v>
      </c>
    </row>
    <row r="4798">
      <c r="A4798" s="10">
        <f t="shared" si="8"/>
        <v>42780.66667</v>
      </c>
      <c r="B4798" s="2" t="str">
        <f t="shared" si="2"/>
        <v/>
      </c>
      <c r="C4798" s="2" t="str">
        <f t="shared" si="3"/>
        <v>SP500</v>
      </c>
      <c r="D4798" s="2">
        <f t="shared" si="4"/>
        <v>5782.57</v>
      </c>
      <c r="E4798" s="2">
        <f t="shared" si="5"/>
        <v>5782.57</v>
      </c>
      <c r="G4798" s="10">
        <f t="shared" si="9"/>
        <v>42780.64583</v>
      </c>
      <c r="H4798" s="6" t="str">
        <f t="shared" si="6"/>
        <v/>
      </c>
      <c r="I4798" s="2">
        <f t="shared" si="7"/>
        <v>1426.89</v>
      </c>
      <c r="M4798" s="10">
        <f>IFERROR(__xludf.DUMMYFUNCTION("""COMPUTED_VALUE"""),44939.66666666667)</f>
        <v>44939.66667</v>
      </c>
      <c r="N4798" s="2">
        <f>IFERROR(__xludf.DUMMYFUNCTION("""COMPUTED_VALUE"""),11079.16)</f>
        <v>11079.16</v>
      </c>
      <c r="P4798" s="10">
        <f t="shared" si="10"/>
        <v>38734.64583</v>
      </c>
      <c r="Q4798" s="15">
        <v>1389.58</v>
      </c>
      <c r="R4798" s="18">
        <v>38734.0</v>
      </c>
    </row>
    <row r="4799">
      <c r="A4799" s="10">
        <f t="shared" si="8"/>
        <v>42781.66667</v>
      </c>
      <c r="B4799" s="2" t="str">
        <f t="shared" si="2"/>
        <v/>
      </c>
      <c r="C4799" s="2" t="str">
        <f t="shared" si="3"/>
        <v>SP500</v>
      </c>
      <c r="D4799" s="2">
        <f t="shared" si="4"/>
        <v>5819.44</v>
      </c>
      <c r="E4799" s="2">
        <f t="shared" si="5"/>
        <v>5819.44</v>
      </c>
      <c r="G4799" s="10">
        <f t="shared" si="9"/>
        <v>42781.64583</v>
      </c>
      <c r="H4799" s="6" t="str">
        <f t="shared" si="6"/>
        <v/>
      </c>
      <c r="I4799" s="2">
        <f t="shared" si="7"/>
        <v>1426.89</v>
      </c>
      <c r="M4799" s="10">
        <f>IFERROR(__xludf.DUMMYFUNCTION("""COMPUTED_VALUE"""),44943.66666666667)</f>
        <v>44943.66667</v>
      </c>
      <c r="N4799" s="2">
        <f>IFERROR(__xludf.DUMMYFUNCTION("""COMPUTED_VALUE"""),11095.11)</f>
        <v>11095.11</v>
      </c>
      <c r="P4799" s="10">
        <f t="shared" si="10"/>
        <v>38733.64583</v>
      </c>
      <c r="Q4799" s="15">
        <v>1421.79</v>
      </c>
      <c r="R4799" s="18">
        <v>38733.0</v>
      </c>
    </row>
    <row r="4800">
      <c r="A4800" s="10">
        <f t="shared" si="8"/>
        <v>42782.66667</v>
      </c>
      <c r="B4800" s="2" t="str">
        <f t="shared" si="2"/>
        <v/>
      </c>
      <c r="C4800" s="2" t="str">
        <f t="shared" si="3"/>
        <v>SP500</v>
      </c>
      <c r="D4800" s="2">
        <f t="shared" si="4"/>
        <v>5814.9</v>
      </c>
      <c r="E4800" s="2">
        <f t="shared" si="5"/>
        <v>5814.9</v>
      </c>
      <c r="G4800" s="10">
        <f t="shared" si="9"/>
        <v>42782.64583</v>
      </c>
      <c r="H4800" s="6" t="str">
        <f t="shared" si="6"/>
        <v/>
      </c>
      <c r="I4800" s="2">
        <f t="shared" si="7"/>
        <v>1426.89</v>
      </c>
      <c r="M4800" s="10">
        <f>IFERROR(__xludf.DUMMYFUNCTION("""COMPUTED_VALUE"""),44944.66666666667)</f>
        <v>44944.66667</v>
      </c>
      <c r="N4800" s="2">
        <f>IFERROR(__xludf.DUMMYFUNCTION("""COMPUTED_VALUE"""),10957.01)</f>
        <v>10957.01</v>
      </c>
      <c r="P4800" s="10">
        <f t="shared" si="10"/>
        <v>38730.64583</v>
      </c>
      <c r="Q4800" s="15">
        <v>1416.28</v>
      </c>
      <c r="R4800" s="18">
        <v>38730.0</v>
      </c>
    </row>
    <row r="4801">
      <c r="A4801" s="10">
        <f t="shared" si="8"/>
        <v>42783.66667</v>
      </c>
      <c r="B4801" s="2" t="str">
        <f t="shared" si="2"/>
        <v/>
      </c>
      <c r="C4801" s="2" t="str">
        <f t="shared" si="3"/>
        <v>SP500</v>
      </c>
      <c r="D4801" s="2">
        <f t="shared" si="4"/>
        <v>5838.58</v>
      </c>
      <c r="E4801" s="2">
        <f t="shared" si="5"/>
        <v>5838.58</v>
      </c>
      <c r="G4801" s="10">
        <f t="shared" si="9"/>
        <v>42783.64583</v>
      </c>
      <c r="H4801" s="6" t="str">
        <f t="shared" si="6"/>
        <v/>
      </c>
      <c r="I4801" s="2">
        <f t="shared" si="7"/>
        <v>1426.89</v>
      </c>
      <c r="M4801" s="10">
        <f>IFERROR(__xludf.DUMMYFUNCTION("""COMPUTED_VALUE"""),44945.66666666667)</f>
        <v>44945.66667</v>
      </c>
      <c r="N4801" s="2">
        <f>IFERROR(__xludf.DUMMYFUNCTION("""COMPUTED_VALUE"""),10852.27)</f>
        <v>10852.27</v>
      </c>
      <c r="P4801" s="10">
        <f t="shared" si="10"/>
        <v>38729.64583</v>
      </c>
      <c r="Q4801" s="15">
        <v>1402.58</v>
      </c>
      <c r="R4801" s="18">
        <v>38729.0</v>
      </c>
    </row>
    <row r="4802">
      <c r="A4802" s="10">
        <f t="shared" si="8"/>
        <v>42784.66667</v>
      </c>
      <c r="B4802" s="2" t="str">
        <f t="shared" si="2"/>
        <v/>
      </c>
      <c r="C4802" s="2" t="str">
        <f t="shared" si="3"/>
        <v>SP500</v>
      </c>
      <c r="D4802" s="2" t="str">
        <f t="shared" si="4"/>
        <v/>
      </c>
      <c r="E4802" s="2">
        <f t="shared" si="5"/>
        <v>5838.58</v>
      </c>
      <c r="G4802" s="10">
        <f t="shared" si="9"/>
        <v>42784.64583</v>
      </c>
      <c r="H4802" s="6" t="str">
        <f t="shared" si="6"/>
        <v/>
      </c>
      <c r="I4802" s="2">
        <f t="shared" si="7"/>
        <v>1426.89</v>
      </c>
      <c r="M4802" s="10">
        <f>IFERROR(__xludf.DUMMYFUNCTION("""COMPUTED_VALUE"""),44946.66666666667)</f>
        <v>44946.66667</v>
      </c>
      <c r="N4802" s="2">
        <f>IFERROR(__xludf.DUMMYFUNCTION("""COMPUTED_VALUE"""),11140.43)</f>
        <v>11140.43</v>
      </c>
      <c r="P4802" s="10">
        <f t="shared" si="10"/>
        <v>38728.64583</v>
      </c>
      <c r="Q4802" s="15">
        <v>1394.09</v>
      </c>
      <c r="R4802" s="18">
        <v>38728.0</v>
      </c>
    </row>
    <row r="4803">
      <c r="A4803" s="10">
        <f t="shared" si="8"/>
        <v>42785.66667</v>
      </c>
      <c r="B4803" s="2" t="str">
        <f t="shared" si="2"/>
        <v/>
      </c>
      <c r="C4803" s="2" t="str">
        <f t="shared" si="3"/>
        <v>SP500</v>
      </c>
      <c r="D4803" s="2" t="str">
        <f t="shared" si="4"/>
        <v/>
      </c>
      <c r="E4803" s="2">
        <f t="shared" si="5"/>
        <v>5838.58</v>
      </c>
      <c r="G4803" s="10">
        <f t="shared" si="9"/>
        <v>42785.64583</v>
      </c>
      <c r="H4803" s="6" t="str">
        <f t="shared" si="6"/>
        <v/>
      </c>
      <c r="I4803" s="2">
        <f t="shared" si="7"/>
        <v>1426.89</v>
      </c>
      <c r="M4803" s="10">
        <f>IFERROR(__xludf.DUMMYFUNCTION("""COMPUTED_VALUE"""),44949.66666666667)</f>
        <v>44949.66667</v>
      </c>
      <c r="N4803" s="2">
        <f>IFERROR(__xludf.DUMMYFUNCTION("""COMPUTED_VALUE"""),11364.41)</f>
        <v>11364.41</v>
      </c>
      <c r="P4803" s="10">
        <f t="shared" si="10"/>
        <v>38727.64583</v>
      </c>
      <c r="Q4803" s="15">
        <v>1396.29</v>
      </c>
      <c r="R4803" s="18">
        <v>38727.0</v>
      </c>
    </row>
    <row r="4804">
      <c r="A4804" s="10">
        <f t="shared" si="8"/>
        <v>42786.66667</v>
      </c>
      <c r="B4804" s="2" t="str">
        <f t="shared" si="2"/>
        <v/>
      </c>
      <c r="C4804" s="2" t="str">
        <f t="shared" si="3"/>
        <v>SP500</v>
      </c>
      <c r="D4804" s="2" t="str">
        <f t="shared" si="4"/>
        <v/>
      </c>
      <c r="E4804" s="2">
        <f t="shared" si="5"/>
        <v>5838.58</v>
      </c>
      <c r="G4804" s="10">
        <f t="shared" si="9"/>
        <v>42786.64583</v>
      </c>
      <c r="H4804" s="6" t="str">
        <f t="shared" si="6"/>
        <v/>
      </c>
      <c r="I4804" s="2">
        <f t="shared" si="7"/>
        <v>1426.89</v>
      </c>
      <c r="M4804" s="10">
        <f>IFERROR(__xludf.DUMMYFUNCTION("""COMPUTED_VALUE"""),44950.66666666667)</f>
        <v>44950.66667</v>
      </c>
      <c r="N4804" s="2">
        <f>IFERROR(__xludf.DUMMYFUNCTION("""COMPUTED_VALUE"""),11334.27)</f>
        <v>11334.27</v>
      </c>
      <c r="P4804" s="10">
        <f t="shared" si="10"/>
        <v>38726.64583</v>
      </c>
      <c r="Q4804" s="15">
        <v>1408.33</v>
      </c>
      <c r="R4804" s="18">
        <v>38726.0</v>
      </c>
    </row>
    <row r="4805">
      <c r="A4805" s="10">
        <f t="shared" si="8"/>
        <v>42787.66667</v>
      </c>
      <c r="B4805" s="2" t="str">
        <f t="shared" si="2"/>
        <v/>
      </c>
      <c r="C4805" s="2" t="str">
        <f t="shared" si="3"/>
        <v>SP500</v>
      </c>
      <c r="D4805" s="2">
        <f t="shared" si="4"/>
        <v>5865.95</v>
      </c>
      <c r="E4805" s="2">
        <f t="shared" si="5"/>
        <v>5865.95</v>
      </c>
      <c r="G4805" s="10">
        <f t="shared" si="9"/>
        <v>42787.64583</v>
      </c>
      <c r="H4805" s="6" t="str">
        <f t="shared" si="6"/>
        <v/>
      </c>
      <c r="I4805" s="2">
        <f t="shared" si="7"/>
        <v>1426.89</v>
      </c>
      <c r="M4805" s="10">
        <f>IFERROR(__xludf.DUMMYFUNCTION("""COMPUTED_VALUE"""),44951.66666666667)</f>
        <v>44951.66667</v>
      </c>
      <c r="N4805" s="2">
        <f>IFERROR(__xludf.DUMMYFUNCTION("""COMPUTED_VALUE"""),11313.36)</f>
        <v>11313.36</v>
      </c>
      <c r="P4805" s="10">
        <f t="shared" si="10"/>
        <v>38723.64583</v>
      </c>
      <c r="Q4805" s="15">
        <v>1412.78</v>
      </c>
      <c r="R4805" s="18">
        <v>38723.0</v>
      </c>
    </row>
    <row r="4806">
      <c r="A4806" s="10">
        <f t="shared" si="8"/>
        <v>42788.66667</v>
      </c>
      <c r="B4806" s="2" t="str">
        <f t="shared" si="2"/>
        <v/>
      </c>
      <c r="C4806" s="2" t="str">
        <f t="shared" si="3"/>
        <v>SP500</v>
      </c>
      <c r="D4806" s="2">
        <f t="shared" si="4"/>
        <v>5860.63</v>
      </c>
      <c r="E4806" s="2">
        <f t="shared" si="5"/>
        <v>5860.63</v>
      </c>
      <c r="G4806" s="10">
        <f t="shared" si="9"/>
        <v>42788.64583</v>
      </c>
      <c r="H4806" s="6" t="str">
        <f t="shared" si="6"/>
        <v/>
      </c>
      <c r="I4806" s="2">
        <f t="shared" si="7"/>
        <v>1426.89</v>
      </c>
      <c r="M4806" s="10">
        <f>IFERROR(__xludf.DUMMYFUNCTION("""COMPUTED_VALUE"""),44952.66666666667)</f>
        <v>44952.66667</v>
      </c>
      <c r="N4806" s="2">
        <f>IFERROR(__xludf.DUMMYFUNCTION("""COMPUTED_VALUE"""),11512.41)</f>
        <v>11512.41</v>
      </c>
      <c r="P4806" s="10">
        <f t="shared" si="10"/>
        <v>38722.64583</v>
      </c>
      <c r="Q4806" s="15">
        <v>1395.51</v>
      </c>
      <c r="R4806" s="18">
        <v>38722.0</v>
      </c>
    </row>
    <row r="4807">
      <c r="A4807" s="10">
        <f t="shared" si="8"/>
        <v>42789.66667</v>
      </c>
      <c r="B4807" s="2" t="str">
        <f t="shared" si="2"/>
        <v/>
      </c>
      <c r="C4807" s="2" t="str">
        <f t="shared" si="3"/>
        <v>SP500</v>
      </c>
      <c r="D4807" s="2">
        <f t="shared" si="4"/>
        <v>5835.51</v>
      </c>
      <c r="E4807" s="2">
        <f t="shared" si="5"/>
        <v>5835.51</v>
      </c>
      <c r="G4807" s="10">
        <f t="shared" si="9"/>
        <v>42789.64583</v>
      </c>
      <c r="H4807" s="6" t="str">
        <f t="shared" si="6"/>
        <v/>
      </c>
      <c r="I4807" s="2">
        <f t="shared" si="7"/>
        <v>1426.89</v>
      </c>
      <c r="M4807" s="10">
        <f>IFERROR(__xludf.DUMMYFUNCTION("""COMPUTED_VALUE"""),44953.66666666667)</f>
        <v>44953.66667</v>
      </c>
      <c r="N4807" s="2">
        <f>IFERROR(__xludf.DUMMYFUNCTION("""COMPUTED_VALUE"""),11621.71)</f>
        <v>11621.71</v>
      </c>
      <c r="P4807" s="10">
        <f t="shared" si="10"/>
        <v>38721.64583</v>
      </c>
      <c r="Q4807" s="15">
        <v>1402.11</v>
      </c>
      <c r="R4807" s="18">
        <v>38721.0</v>
      </c>
    </row>
    <row r="4808">
      <c r="A4808" s="10">
        <f t="shared" si="8"/>
        <v>42790.66667</v>
      </c>
      <c r="B4808" s="2" t="str">
        <f t="shared" si="2"/>
        <v/>
      </c>
      <c r="C4808" s="2" t="str">
        <f t="shared" si="3"/>
        <v>SP500</v>
      </c>
      <c r="D4808" s="2">
        <f t="shared" si="4"/>
        <v>5845.31</v>
      </c>
      <c r="E4808" s="2">
        <f t="shared" si="5"/>
        <v>5845.31</v>
      </c>
      <c r="G4808" s="10">
        <f t="shared" si="9"/>
        <v>42790.64583</v>
      </c>
      <c r="H4808" s="6" t="str">
        <f t="shared" si="6"/>
        <v/>
      </c>
      <c r="I4808" s="2">
        <f t="shared" si="7"/>
        <v>1426.89</v>
      </c>
      <c r="M4808" s="10">
        <f>IFERROR(__xludf.DUMMYFUNCTION("""COMPUTED_VALUE"""),44956.66666666667)</f>
        <v>44956.66667</v>
      </c>
      <c r="N4808" s="2">
        <f>IFERROR(__xludf.DUMMYFUNCTION("""COMPUTED_VALUE"""),11393.81)</f>
        <v>11393.81</v>
      </c>
      <c r="P4808" s="10">
        <f t="shared" si="10"/>
        <v>38720.64583</v>
      </c>
      <c r="Q4808" s="15">
        <v>1394.87</v>
      </c>
      <c r="R4808" s="18">
        <v>38720.0</v>
      </c>
    </row>
    <row r="4809">
      <c r="A4809" s="10">
        <f t="shared" si="8"/>
        <v>42791.66667</v>
      </c>
      <c r="B4809" s="2" t="str">
        <f t="shared" si="2"/>
        <v/>
      </c>
      <c r="C4809" s="2" t="str">
        <f t="shared" si="3"/>
        <v>SP500</v>
      </c>
      <c r="D4809" s="2" t="str">
        <f t="shared" si="4"/>
        <v/>
      </c>
      <c r="E4809" s="2">
        <f t="shared" si="5"/>
        <v>5845.31</v>
      </c>
      <c r="G4809" s="10">
        <f t="shared" si="9"/>
        <v>42791.64583</v>
      </c>
      <c r="H4809" s="6" t="str">
        <f t="shared" si="6"/>
        <v/>
      </c>
      <c r="I4809" s="2">
        <f t="shared" si="7"/>
        <v>1426.89</v>
      </c>
      <c r="M4809" s="10">
        <f>IFERROR(__xludf.DUMMYFUNCTION("""COMPUTED_VALUE"""),44957.66666666667)</f>
        <v>44957.66667</v>
      </c>
      <c r="N4809" s="2">
        <f>IFERROR(__xludf.DUMMYFUNCTION("""COMPUTED_VALUE"""),11584.55)</f>
        <v>11584.55</v>
      </c>
      <c r="P4809" s="10">
        <f t="shared" si="10"/>
        <v>38719.64583</v>
      </c>
      <c r="Q4809" s="15">
        <v>1389.27</v>
      </c>
      <c r="R4809" s="18">
        <v>38719.0</v>
      </c>
    </row>
    <row r="4810">
      <c r="A4810" s="10">
        <f t="shared" si="8"/>
        <v>42792.66667</v>
      </c>
      <c r="B4810" s="2" t="str">
        <f t="shared" si="2"/>
        <v/>
      </c>
      <c r="C4810" s="2" t="str">
        <f t="shared" si="3"/>
        <v>SP500</v>
      </c>
      <c r="D4810" s="2" t="str">
        <f t="shared" si="4"/>
        <v/>
      </c>
      <c r="E4810" s="2">
        <f t="shared" si="5"/>
        <v>5845.31</v>
      </c>
      <c r="G4810" s="10">
        <f t="shared" si="9"/>
        <v>42792.64583</v>
      </c>
      <c r="H4810" s="6" t="str">
        <f t="shared" si="6"/>
        <v/>
      </c>
      <c r="I4810" s="2">
        <f t="shared" si="7"/>
        <v>1426.89</v>
      </c>
      <c r="M4810" s="10">
        <f>IFERROR(__xludf.DUMMYFUNCTION("""COMPUTED_VALUE"""),44958.66666666667)</f>
        <v>44958.66667</v>
      </c>
      <c r="N4810" s="2">
        <f>IFERROR(__xludf.DUMMYFUNCTION("""COMPUTED_VALUE"""),11816.32)</f>
        <v>11816.32</v>
      </c>
      <c r="P4810" s="10">
        <f t="shared" si="10"/>
        <v>38715.64583</v>
      </c>
      <c r="Q4810" s="15">
        <v>1379.37</v>
      </c>
      <c r="R4810" s="17">
        <v>38715.0</v>
      </c>
    </row>
    <row r="4811">
      <c r="A4811" s="10">
        <f t="shared" si="8"/>
        <v>42793.66667</v>
      </c>
      <c r="B4811" s="2" t="str">
        <f t="shared" si="2"/>
        <v/>
      </c>
      <c r="C4811" s="2" t="str">
        <f t="shared" si="3"/>
        <v>SP500</v>
      </c>
      <c r="D4811" s="2">
        <f t="shared" si="4"/>
        <v>5861.9</v>
      </c>
      <c r="E4811" s="2">
        <f t="shared" si="5"/>
        <v>5861.9</v>
      </c>
      <c r="G4811" s="10">
        <f t="shared" si="9"/>
        <v>42793.64583</v>
      </c>
      <c r="H4811" s="6" t="str">
        <f t="shared" si="6"/>
        <v/>
      </c>
      <c r="I4811" s="2">
        <f t="shared" si="7"/>
        <v>1426.89</v>
      </c>
      <c r="M4811" s="10">
        <f>IFERROR(__xludf.DUMMYFUNCTION("""COMPUTED_VALUE"""),44959.66666666667)</f>
        <v>44959.66667</v>
      </c>
      <c r="N4811" s="2">
        <f>IFERROR(__xludf.DUMMYFUNCTION("""COMPUTED_VALUE"""),12200.82)</f>
        <v>12200.82</v>
      </c>
      <c r="P4811" s="10">
        <f t="shared" si="10"/>
        <v>38714.64583</v>
      </c>
      <c r="Q4811" s="15">
        <v>1368.16</v>
      </c>
      <c r="R4811" s="17">
        <v>38714.0</v>
      </c>
    </row>
    <row r="4812">
      <c r="A4812" s="10">
        <f t="shared" si="8"/>
        <v>42794.66667</v>
      </c>
      <c r="B4812" s="2" t="str">
        <f t="shared" si="2"/>
        <v/>
      </c>
      <c r="C4812" s="2" t="str">
        <f t="shared" si="3"/>
        <v>SP500</v>
      </c>
      <c r="D4812" s="2">
        <f t="shared" si="4"/>
        <v>5825.44</v>
      </c>
      <c r="E4812" s="2">
        <f t="shared" si="5"/>
        <v>5825.44</v>
      </c>
      <c r="G4812" s="10">
        <f t="shared" si="9"/>
        <v>42794.64583</v>
      </c>
      <c r="H4812" s="6" t="str">
        <f t="shared" si="6"/>
        <v/>
      </c>
      <c r="I4812" s="2">
        <f t="shared" si="7"/>
        <v>1426.89</v>
      </c>
      <c r="M4812" s="10">
        <f>IFERROR(__xludf.DUMMYFUNCTION("""COMPUTED_VALUE"""),44960.66666666667)</f>
        <v>44960.66667</v>
      </c>
      <c r="N4812" s="2">
        <f>IFERROR(__xludf.DUMMYFUNCTION("""COMPUTED_VALUE"""),12006.96)</f>
        <v>12006.96</v>
      </c>
      <c r="P4812" s="10">
        <f t="shared" si="10"/>
        <v>38713.64583</v>
      </c>
      <c r="Q4812" s="15">
        <v>1373.55</v>
      </c>
      <c r="R4812" s="17">
        <v>38713.0</v>
      </c>
    </row>
    <row r="4813">
      <c r="A4813" s="10">
        <f t="shared" si="8"/>
        <v>42795.66667</v>
      </c>
      <c r="B4813" s="2" t="str">
        <f t="shared" si="2"/>
        <v/>
      </c>
      <c r="C4813" s="2" t="str">
        <f t="shared" si="3"/>
        <v>SP500</v>
      </c>
      <c r="D4813" s="2">
        <f t="shared" si="4"/>
        <v>5904.03</v>
      </c>
      <c r="E4813" s="2">
        <f t="shared" si="5"/>
        <v>5904.03</v>
      </c>
      <c r="G4813" s="10">
        <f t="shared" si="9"/>
        <v>42795.64583</v>
      </c>
      <c r="H4813" s="6" t="str">
        <f t="shared" si="6"/>
        <v/>
      </c>
      <c r="I4813" s="2">
        <f t="shared" si="7"/>
        <v>1426.89</v>
      </c>
      <c r="M4813" s="10">
        <f>IFERROR(__xludf.DUMMYFUNCTION("""COMPUTED_VALUE"""),44963.66666666667)</f>
        <v>44963.66667</v>
      </c>
      <c r="N4813" s="2">
        <f>IFERROR(__xludf.DUMMYFUNCTION("""COMPUTED_VALUE"""),11887.45)</f>
        <v>11887.45</v>
      </c>
      <c r="P4813" s="10">
        <f t="shared" si="10"/>
        <v>38712.64583</v>
      </c>
      <c r="Q4813" s="15">
        <v>1367.57</v>
      </c>
      <c r="R4813" s="17">
        <v>38712.0</v>
      </c>
    </row>
    <row r="4814">
      <c r="A4814" s="10">
        <f t="shared" si="8"/>
        <v>42796.66667</v>
      </c>
      <c r="B4814" s="2" t="str">
        <f t="shared" si="2"/>
        <v/>
      </c>
      <c r="C4814" s="2" t="str">
        <f t="shared" si="3"/>
        <v>SP500</v>
      </c>
      <c r="D4814" s="2">
        <f t="shared" si="4"/>
        <v>5861.22</v>
      </c>
      <c r="E4814" s="2">
        <f t="shared" si="5"/>
        <v>5861.22</v>
      </c>
      <c r="G4814" s="10">
        <f t="shared" si="9"/>
        <v>42796.64583</v>
      </c>
      <c r="H4814" s="6" t="str">
        <f t="shared" si="6"/>
        <v/>
      </c>
      <c r="I4814" s="2">
        <f t="shared" si="7"/>
        <v>1426.89</v>
      </c>
      <c r="M4814" s="10">
        <f>IFERROR(__xludf.DUMMYFUNCTION("""COMPUTED_VALUE"""),44964.66666666667)</f>
        <v>44964.66667</v>
      </c>
      <c r="N4814" s="2">
        <f>IFERROR(__xludf.DUMMYFUNCTION("""COMPUTED_VALUE"""),12113.79)</f>
        <v>12113.79</v>
      </c>
      <c r="P4814" s="10">
        <f t="shared" si="10"/>
        <v>38709.64583</v>
      </c>
      <c r="Q4814" s="15">
        <v>1359.53</v>
      </c>
      <c r="R4814" s="17">
        <v>38709.0</v>
      </c>
    </row>
    <row r="4815">
      <c r="A4815" s="10">
        <f t="shared" si="8"/>
        <v>42797.66667</v>
      </c>
      <c r="B4815" s="2" t="str">
        <f t="shared" si="2"/>
        <v/>
      </c>
      <c r="C4815" s="2" t="str">
        <f t="shared" si="3"/>
        <v>SP500</v>
      </c>
      <c r="D4815" s="2">
        <f t="shared" si="4"/>
        <v>5870.75</v>
      </c>
      <c r="E4815" s="2">
        <f t="shared" si="5"/>
        <v>5870.75</v>
      </c>
      <c r="G4815" s="10">
        <f t="shared" si="9"/>
        <v>42797.64583</v>
      </c>
      <c r="H4815" s="6" t="str">
        <f t="shared" si="6"/>
        <v/>
      </c>
      <c r="I4815" s="2">
        <f t="shared" si="7"/>
        <v>1426.89</v>
      </c>
      <c r="M4815" s="10">
        <f>IFERROR(__xludf.DUMMYFUNCTION("""COMPUTED_VALUE"""),44965.66666666667)</f>
        <v>44965.66667</v>
      </c>
      <c r="N4815" s="2">
        <f>IFERROR(__xludf.DUMMYFUNCTION("""COMPUTED_VALUE"""),11910.52)</f>
        <v>11910.52</v>
      </c>
      <c r="P4815" s="10">
        <f t="shared" si="10"/>
        <v>38708.64583</v>
      </c>
      <c r="Q4815" s="15">
        <v>1350.87</v>
      </c>
      <c r="R4815" s="17">
        <v>38708.0</v>
      </c>
    </row>
    <row r="4816">
      <c r="A4816" s="10">
        <f t="shared" si="8"/>
        <v>42798.66667</v>
      </c>
      <c r="B4816" s="2" t="str">
        <f t="shared" si="2"/>
        <v/>
      </c>
      <c r="C4816" s="2" t="str">
        <f t="shared" si="3"/>
        <v>SP500</v>
      </c>
      <c r="D4816" s="2" t="str">
        <f t="shared" si="4"/>
        <v/>
      </c>
      <c r="E4816" s="2">
        <f t="shared" si="5"/>
        <v>5870.75</v>
      </c>
      <c r="G4816" s="10">
        <f t="shared" si="9"/>
        <v>42798.64583</v>
      </c>
      <c r="H4816" s="6" t="str">
        <f t="shared" si="6"/>
        <v/>
      </c>
      <c r="I4816" s="2">
        <f t="shared" si="7"/>
        <v>1426.89</v>
      </c>
      <c r="M4816" s="10">
        <f>IFERROR(__xludf.DUMMYFUNCTION("""COMPUTED_VALUE"""),44966.66666666667)</f>
        <v>44966.66667</v>
      </c>
      <c r="N4816" s="2">
        <f>IFERROR(__xludf.DUMMYFUNCTION("""COMPUTED_VALUE"""),11789.58)</f>
        <v>11789.58</v>
      </c>
      <c r="P4816" s="10">
        <f t="shared" si="10"/>
        <v>38707.64583</v>
      </c>
      <c r="Q4816" s="15">
        <v>1354.16</v>
      </c>
      <c r="R4816" s="17">
        <v>38707.0</v>
      </c>
    </row>
    <row r="4817">
      <c r="A4817" s="10">
        <f t="shared" si="8"/>
        <v>42799.66667</v>
      </c>
      <c r="B4817" s="2" t="str">
        <f t="shared" si="2"/>
        <v/>
      </c>
      <c r="C4817" s="2" t="str">
        <f t="shared" si="3"/>
        <v>SP500</v>
      </c>
      <c r="D4817" s="2" t="str">
        <f t="shared" si="4"/>
        <v/>
      </c>
      <c r="E4817" s="2">
        <f t="shared" si="5"/>
        <v>5870.75</v>
      </c>
      <c r="G4817" s="10">
        <f t="shared" si="9"/>
        <v>42799.64583</v>
      </c>
      <c r="H4817" s="6" t="str">
        <f t="shared" si="6"/>
        <v/>
      </c>
      <c r="I4817" s="2">
        <f t="shared" si="7"/>
        <v>1426.89</v>
      </c>
      <c r="M4817" s="10">
        <f>IFERROR(__xludf.DUMMYFUNCTION("""COMPUTED_VALUE"""),44967.66666666667)</f>
        <v>44967.66667</v>
      </c>
      <c r="N4817" s="2">
        <f>IFERROR(__xludf.DUMMYFUNCTION("""COMPUTED_VALUE"""),11718.12)</f>
        <v>11718.12</v>
      </c>
      <c r="P4817" s="10">
        <f t="shared" si="10"/>
        <v>38706.64583</v>
      </c>
      <c r="Q4817" s="15">
        <v>1341.0</v>
      </c>
      <c r="R4817" s="17">
        <v>38706.0</v>
      </c>
    </row>
    <row r="4818">
      <c r="A4818" s="10">
        <f t="shared" si="8"/>
        <v>42800.66667</v>
      </c>
      <c r="B4818" s="2" t="str">
        <f t="shared" si="2"/>
        <v/>
      </c>
      <c r="C4818" s="2" t="str">
        <f t="shared" si="3"/>
        <v>SP500</v>
      </c>
      <c r="D4818" s="2">
        <f t="shared" si="4"/>
        <v>5849.17</v>
      </c>
      <c r="E4818" s="2">
        <f t="shared" si="5"/>
        <v>5849.17</v>
      </c>
      <c r="G4818" s="10">
        <f t="shared" si="9"/>
        <v>42800.64583</v>
      </c>
      <c r="H4818" s="6" t="str">
        <f t="shared" si="6"/>
        <v/>
      </c>
      <c r="I4818" s="2">
        <f t="shared" si="7"/>
        <v>1426.89</v>
      </c>
      <c r="M4818" s="10">
        <f>IFERROR(__xludf.DUMMYFUNCTION("""COMPUTED_VALUE"""),44970.66666666667)</f>
        <v>44970.66667</v>
      </c>
      <c r="N4818" s="2">
        <f>IFERROR(__xludf.DUMMYFUNCTION("""COMPUTED_VALUE"""),11891.79)</f>
        <v>11891.79</v>
      </c>
      <c r="P4818" s="10">
        <f t="shared" si="10"/>
        <v>38705.64583</v>
      </c>
      <c r="Q4818" s="15">
        <v>1339.4</v>
      </c>
      <c r="R4818" s="17">
        <v>38705.0</v>
      </c>
    </row>
    <row r="4819">
      <c r="A4819" s="10">
        <f t="shared" si="8"/>
        <v>42801.66667</v>
      </c>
      <c r="B4819" s="2" t="str">
        <f t="shared" si="2"/>
        <v/>
      </c>
      <c r="C4819" s="2" t="str">
        <f t="shared" si="3"/>
        <v>SP500</v>
      </c>
      <c r="D4819" s="2">
        <f t="shared" si="4"/>
        <v>5833.93</v>
      </c>
      <c r="E4819" s="2">
        <f t="shared" si="5"/>
        <v>5833.93</v>
      </c>
      <c r="G4819" s="10">
        <f t="shared" si="9"/>
        <v>42801.64583</v>
      </c>
      <c r="H4819" s="6" t="str">
        <f t="shared" si="6"/>
        <v/>
      </c>
      <c r="I4819" s="2">
        <f t="shared" si="7"/>
        <v>1426.89</v>
      </c>
      <c r="M4819" s="10">
        <f>IFERROR(__xludf.DUMMYFUNCTION("""COMPUTED_VALUE"""),44971.66666666667)</f>
        <v>44971.66667</v>
      </c>
      <c r="N4819" s="2">
        <f>IFERROR(__xludf.DUMMYFUNCTION("""COMPUTED_VALUE"""),11960.15)</f>
        <v>11960.15</v>
      </c>
      <c r="P4819" s="10">
        <f t="shared" si="10"/>
        <v>38702.64583</v>
      </c>
      <c r="Q4819" s="15">
        <v>1321.04</v>
      </c>
      <c r="R4819" s="17">
        <v>38702.0</v>
      </c>
    </row>
    <row r="4820">
      <c r="A4820" s="10">
        <f t="shared" si="8"/>
        <v>42802.66667</v>
      </c>
      <c r="B4820" s="2" t="str">
        <f t="shared" si="2"/>
        <v/>
      </c>
      <c r="C4820" s="2" t="str">
        <f t="shared" si="3"/>
        <v>SP500</v>
      </c>
      <c r="D4820" s="2">
        <f t="shared" si="4"/>
        <v>5837.55</v>
      </c>
      <c r="E4820" s="2">
        <f t="shared" si="5"/>
        <v>5837.55</v>
      </c>
      <c r="G4820" s="10">
        <f t="shared" si="9"/>
        <v>42802.64583</v>
      </c>
      <c r="H4820" s="6" t="str">
        <f t="shared" si="6"/>
        <v/>
      </c>
      <c r="I4820" s="2">
        <f t="shared" si="7"/>
        <v>1426.89</v>
      </c>
      <c r="M4820" s="10">
        <f>IFERROR(__xludf.DUMMYFUNCTION("""COMPUTED_VALUE"""),44972.66666666667)</f>
        <v>44972.66667</v>
      </c>
      <c r="N4820" s="2">
        <f>IFERROR(__xludf.DUMMYFUNCTION("""COMPUTED_VALUE"""),12070.59)</f>
        <v>12070.59</v>
      </c>
      <c r="P4820" s="10">
        <f t="shared" si="10"/>
        <v>38701.64583</v>
      </c>
      <c r="Q4820" s="15">
        <v>1337.68</v>
      </c>
      <c r="R4820" s="17">
        <v>38701.0</v>
      </c>
    </row>
    <row r="4821">
      <c r="A4821" s="10">
        <f t="shared" si="8"/>
        <v>42803.66667</v>
      </c>
      <c r="B4821" s="2" t="str">
        <f t="shared" si="2"/>
        <v/>
      </c>
      <c r="C4821" s="2" t="str">
        <f t="shared" si="3"/>
        <v>SP500</v>
      </c>
      <c r="D4821" s="2">
        <f t="shared" si="4"/>
        <v>5838.81</v>
      </c>
      <c r="E4821" s="2">
        <f t="shared" si="5"/>
        <v>5838.81</v>
      </c>
      <c r="G4821" s="10">
        <f t="shared" si="9"/>
        <v>42803.64583</v>
      </c>
      <c r="H4821" s="6" t="str">
        <f t="shared" si="6"/>
        <v/>
      </c>
      <c r="I4821" s="2">
        <f t="shared" si="7"/>
        <v>1426.89</v>
      </c>
      <c r="M4821" s="10">
        <f>IFERROR(__xludf.DUMMYFUNCTION("""COMPUTED_VALUE"""),44973.66666666667)</f>
        <v>44973.66667</v>
      </c>
      <c r="N4821" s="2">
        <f>IFERROR(__xludf.DUMMYFUNCTION("""COMPUTED_VALUE"""),11855.83)</f>
        <v>11855.83</v>
      </c>
      <c r="P4821" s="10">
        <f t="shared" si="10"/>
        <v>38700.64583</v>
      </c>
      <c r="Q4821" s="15">
        <v>1334.27</v>
      </c>
      <c r="R4821" s="17">
        <v>38700.0</v>
      </c>
    </row>
    <row r="4822">
      <c r="A4822" s="10">
        <f t="shared" si="8"/>
        <v>42804.66667</v>
      </c>
      <c r="B4822" s="2" t="str">
        <f t="shared" si="2"/>
        <v/>
      </c>
      <c r="C4822" s="2" t="str">
        <f t="shared" si="3"/>
        <v>SP500</v>
      </c>
      <c r="D4822" s="2">
        <f t="shared" si="4"/>
        <v>5861.73</v>
      </c>
      <c r="E4822" s="2">
        <f t="shared" si="5"/>
        <v>5861.73</v>
      </c>
      <c r="G4822" s="10">
        <f t="shared" si="9"/>
        <v>42804.64583</v>
      </c>
      <c r="H4822" s="6" t="str">
        <f t="shared" si="6"/>
        <v/>
      </c>
      <c r="I4822" s="2">
        <f t="shared" si="7"/>
        <v>1426.89</v>
      </c>
      <c r="M4822" s="10">
        <f>IFERROR(__xludf.DUMMYFUNCTION("""COMPUTED_VALUE"""),44974.66666666667)</f>
        <v>44974.66667</v>
      </c>
      <c r="N4822" s="2">
        <f>IFERROR(__xludf.DUMMYFUNCTION("""COMPUTED_VALUE"""),11787.27)</f>
        <v>11787.27</v>
      </c>
      <c r="P4822" s="10">
        <f t="shared" si="10"/>
        <v>38699.64583</v>
      </c>
      <c r="Q4822" s="15">
        <v>1336.48</v>
      </c>
      <c r="R4822" s="17">
        <v>38699.0</v>
      </c>
    </row>
    <row r="4823">
      <c r="A4823" s="10">
        <f t="shared" si="8"/>
        <v>42805.66667</v>
      </c>
      <c r="B4823" s="2" t="str">
        <f t="shared" si="2"/>
        <v/>
      </c>
      <c r="C4823" s="2" t="str">
        <f t="shared" si="3"/>
        <v>SP500</v>
      </c>
      <c r="D4823" s="2" t="str">
        <f t="shared" si="4"/>
        <v/>
      </c>
      <c r="E4823" s="2">
        <f t="shared" si="5"/>
        <v>5861.73</v>
      </c>
      <c r="G4823" s="10">
        <f t="shared" si="9"/>
        <v>42805.64583</v>
      </c>
      <c r="H4823" s="6" t="str">
        <f t="shared" si="6"/>
        <v/>
      </c>
      <c r="I4823" s="2">
        <f t="shared" si="7"/>
        <v>1426.89</v>
      </c>
      <c r="M4823" s="10">
        <f>IFERROR(__xludf.DUMMYFUNCTION("""COMPUTED_VALUE"""),44978.66666666667)</f>
        <v>44978.66667</v>
      </c>
      <c r="N4823" s="2">
        <f>IFERROR(__xludf.DUMMYFUNCTION("""COMPUTED_VALUE"""),11492.3)</f>
        <v>11492.3</v>
      </c>
      <c r="P4823" s="10">
        <f t="shared" si="10"/>
        <v>38698.64583</v>
      </c>
      <c r="Q4823" s="15">
        <v>1333.23</v>
      </c>
      <c r="R4823" s="17">
        <v>38698.0</v>
      </c>
    </row>
    <row r="4824">
      <c r="A4824" s="10">
        <f t="shared" si="8"/>
        <v>42806.66667</v>
      </c>
      <c r="B4824" s="2" t="str">
        <f t="shared" si="2"/>
        <v/>
      </c>
      <c r="C4824" s="2" t="str">
        <f t="shared" si="3"/>
        <v>SP500</v>
      </c>
      <c r="D4824" s="2" t="str">
        <f t="shared" si="4"/>
        <v/>
      </c>
      <c r="E4824" s="2">
        <f t="shared" si="5"/>
        <v>5861.73</v>
      </c>
      <c r="G4824" s="10">
        <f t="shared" si="9"/>
        <v>42806.64583</v>
      </c>
      <c r="H4824" s="6" t="str">
        <f t="shared" si="6"/>
        <v/>
      </c>
      <c r="I4824" s="2">
        <f t="shared" si="7"/>
        <v>1426.89</v>
      </c>
      <c r="M4824" s="10">
        <f>IFERROR(__xludf.DUMMYFUNCTION("""COMPUTED_VALUE"""),44979.66666666667)</f>
        <v>44979.66667</v>
      </c>
      <c r="N4824" s="2">
        <f>IFERROR(__xludf.DUMMYFUNCTION("""COMPUTED_VALUE"""),11507.07)</f>
        <v>11507.07</v>
      </c>
      <c r="P4824" s="10">
        <f t="shared" si="10"/>
        <v>38695.64583</v>
      </c>
      <c r="Q4824" s="15">
        <v>1317.42</v>
      </c>
      <c r="R4824" s="18">
        <v>38695.0</v>
      </c>
    </row>
    <row r="4825">
      <c r="A4825" s="10">
        <f t="shared" si="8"/>
        <v>42807.66667</v>
      </c>
      <c r="B4825" s="2" t="str">
        <f t="shared" si="2"/>
        <v/>
      </c>
      <c r="C4825" s="2" t="str">
        <f t="shared" si="3"/>
        <v>SP500</v>
      </c>
      <c r="D4825" s="2">
        <f t="shared" si="4"/>
        <v>5875.78</v>
      </c>
      <c r="E4825" s="2">
        <f t="shared" si="5"/>
        <v>5875.78</v>
      </c>
      <c r="G4825" s="10">
        <f t="shared" si="9"/>
        <v>42807.64583</v>
      </c>
      <c r="H4825" s="6" t="str">
        <f t="shared" si="6"/>
        <v/>
      </c>
      <c r="I4825" s="2">
        <f t="shared" si="7"/>
        <v>1426.89</v>
      </c>
      <c r="M4825" s="10">
        <f>IFERROR(__xludf.DUMMYFUNCTION("""COMPUTED_VALUE"""),44980.66666666667)</f>
        <v>44980.66667</v>
      </c>
      <c r="N4825" s="2">
        <f>IFERROR(__xludf.DUMMYFUNCTION("""COMPUTED_VALUE"""),11590.4)</f>
        <v>11590.4</v>
      </c>
      <c r="P4825" s="10">
        <f t="shared" si="10"/>
        <v>38694.64583</v>
      </c>
      <c r="Q4825" s="15">
        <v>1324.2</v>
      </c>
      <c r="R4825" s="18">
        <v>38694.0</v>
      </c>
    </row>
    <row r="4826">
      <c r="A4826" s="10">
        <f t="shared" si="8"/>
        <v>42808.66667</v>
      </c>
      <c r="B4826" s="2" t="str">
        <f t="shared" si="2"/>
        <v/>
      </c>
      <c r="C4826" s="2" t="str">
        <f t="shared" si="3"/>
        <v>SP500</v>
      </c>
      <c r="D4826" s="2">
        <f t="shared" si="4"/>
        <v>5856.82</v>
      </c>
      <c r="E4826" s="2">
        <f t="shared" si="5"/>
        <v>5856.82</v>
      </c>
      <c r="G4826" s="10">
        <f t="shared" si="9"/>
        <v>42808.64583</v>
      </c>
      <c r="H4826" s="6" t="str">
        <f t="shared" si="6"/>
        <v/>
      </c>
      <c r="I4826" s="2">
        <f t="shared" si="7"/>
        <v>1426.89</v>
      </c>
      <c r="M4826" s="10">
        <f>IFERROR(__xludf.DUMMYFUNCTION("""COMPUTED_VALUE"""),44981.66666666667)</f>
        <v>44981.66667</v>
      </c>
      <c r="N4826" s="2">
        <f>IFERROR(__xludf.DUMMYFUNCTION("""COMPUTED_VALUE"""),11394.94)</f>
        <v>11394.94</v>
      </c>
      <c r="P4826" s="10">
        <f t="shared" si="10"/>
        <v>38693.64583</v>
      </c>
      <c r="Q4826" s="15">
        <v>1324.75</v>
      </c>
      <c r="R4826" s="18">
        <v>38693.0</v>
      </c>
    </row>
    <row r="4827">
      <c r="A4827" s="10">
        <f t="shared" si="8"/>
        <v>42809.66667</v>
      </c>
      <c r="B4827" s="2" t="str">
        <f t="shared" si="2"/>
        <v/>
      </c>
      <c r="C4827" s="2" t="str">
        <f t="shared" si="3"/>
        <v>SP500</v>
      </c>
      <c r="D4827" s="2">
        <f t="shared" si="4"/>
        <v>5900.05</v>
      </c>
      <c r="E4827" s="2">
        <f t="shared" si="5"/>
        <v>5900.05</v>
      </c>
      <c r="G4827" s="10">
        <f t="shared" si="9"/>
        <v>42809.64583</v>
      </c>
      <c r="H4827" s="6" t="str">
        <f t="shared" si="6"/>
        <v/>
      </c>
      <c r="I4827" s="2">
        <f t="shared" si="7"/>
        <v>1426.89</v>
      </c>
      <c r="M4827" s="10">
        <f>IFERROR(__xludf.DUMMYFUNCTION("""COMPUTED_VALUE"""),44984.66666666667)</f>
        <v>44984.66667</v>
      </c>
      <c r="N4827" s="2">
        <f>IFERROR(__xludf.DUMMYFUNCTION("""COMPUTED_VALUE"""),11466.98)</f>
        <v>11466.98</v>
      </c>
      <c r="P4827" s="10">
        <f t="shared" si="10"/>
        <v>38692.64583</v>
      </c>
      <c r="Q4827" s="15">
        <v>1321.06</v>
      </c>
      <c r="R4827" s="18">
        <v>38692.0</v>
      </c>
    </row>
    <row r="4828">
      <c r="A4828" s="10">
        <f t="shared" si="8"/>
        <v>42810.66667</v>
      </c>
      <c r="B4828" s="2" t="str">
        <f t="shared" si="2"/>
        <v/>
      </c>
      <c r="C4828" s="2" t="str">
        <f t="shared" si="3"/>
        <v>SP500</v>
      </c>
      <c r="D4828" s="2">
        <f t="shared" si="4"/>
        <v>5900.76</v>
      </c>
      <c r="E4828" s="2">
        <f t="shared" si="5"/>
        <v>5900.76</v>
      </c>
      <c r="G4828" s="10">
        <f t="shared" si="9"/>
        <v>42810.64583</v>
      </c>
      <c r="H4828" s="6" t="str">
        <f t="shared" si="6"/>
        <v/>
      </c>
      <c r="I4828" s="2">
        <f t="shared" si="7"/>
        <v>1426.89</v>
      </c>
      <c r="M4828" s="10">
        <f>IFERROR(__xludf.DUMMYFUNCTION("""COMPUTED_VALUE"""),44985.66666666667)</f>
        <v>44985.66667</v>
      </c>
      <c r="N4828" s="2">
        <f>IFERROR(__xludf.DUMMYFUNCTION("""COMPUTED_VALUE"""),11455.54)</f>
        <v>11455.54</v>
      </c>
      <c r="P4828" s="10">
        <f t="shared" si="10"/>
        <v>38691.64583</v>
      </c>
      <c r="Q4828" s="15">
        <v>1315.15</v>
      </c>
      <c r="R4828" s="18">
        <v>38691.0</v>
      </c>
    </row>
    <row r="4829">
      <c r="A4829" s="10">
        <f t="shared" si="8"/>
        <v>42811.66667</v>
      </c>
      <c r="B4829" s="2" t="str">
        <f t="shared" si="2"/>
        <v/>
      </c>
      <c r="C4829" s="2" t="str">
        <f t="shared" si="3"/>
        <v>SP500</v>
      </c>
      <c r="D4829" s="2">
        <f t="shared" si="4"/>
        <v>5901</v>
      </c>
      <c r="E4829" s="2">
        <f t="shared" si="5"/>
        <v>5901</v>
      </c>
      <c r="G4829" s="10">
        <f t="shared" si="9"/>
        <v>42811.64583</v>
      </c>
      <c r="H4829" s="6" t="str">
        <f t="shared" si="6"/>
        <v/>
      </c>
      <c r="I4829" s="2">
        <f t="shared" si="7"/>
        <v>1426.89</v>
      </c>
      <c r="M4829" s="10">
        <f>IFERROR(__xludf.DUMMYFUNCTION("""COMPUTED_VALUE"""),44986.66666666667)</f>
        <v>44986.66667</v>
      </c>
      <c r="N4829" s="2">
        <f>IFERROR(__xludf.DUMMYFUNCTION("""COMPUTED_VALUE"""),11379.48)</f>
        <v>11379.48</v>
      </c>
      <c r="P4829" s="10">
        <f t="shared" si="10"/>
        <v>38688.64583</v>
      </c>
      <c r="Q4829" s="15">
        <v>1310.12</v>
      </c>
      <c r="R4829" s="18">
        <v>38688.0</v>
      </c>
    </row>
    <row r="4830">
      <c r="A4830" s="10">
        <f t="shared" si="8"/>
        <v>42812.66667</v>
      </c>
      <c r="B4830" s="2" t="str">
        <f t="shared" si="2"/>
        <v/>
      </c>
      <c r="C4830" s="2" t="str">
        <f t="shared" si="3"/>
        <v>SP500</v>
      </c>
      <c r="D4830" s="2" t="str">
        <f t="shared" si="4"/>
        <v/>
      </c>
      <c r="E4830" s="2">
        <f t="shared" si="5"/>
        <v>5901</v>
      </c>
      <c r="G4830" s="10">
        <f t="shared" si="9"/>
        <v>42812.64583</v>
      </c>
      <c r="H4830" s="6" t="str">
        <f t="shared" si="6"/>
        <v/>
      </c>
      <c r="I4830" s="2">
        <f t="shared" si="7"/>
        <v>1426.89</v>
      </c>
      <c r="M4830" s="10">
        <f>IFERROR(__xludf.DUMMYFUNCTION("""COMPUTED_VALUE"""),44987.66666666667)</f>
        <v>44987.66667</v>
      </c>
      <c r="N4830" s="2">
        <f>IFERROR(__xludf.DUMMYFUNCTION("""COMPUTED_VALUE"""),11462.98)</f>
        <v>11462.98</v>
      </c>
      <c r="P4830" s="10">
        <f t="shared" si="10"/>
        <v>38687.64583</v>
      </c>
      <c r="Q4830" s="15">
        <v>1305.98</v>
      </c>
      <c r="R4830" s="18">
        <v>38687.0</v>
      </c>
    </row>
    <row r="4831">
      <c r="A4831" s="10">
        <f t="shared" si="8"/>
        <v>42813.66667</v>
      </c>
      <c r="B4831" s="2" t="str">
        <f t="shared" si="2"/>
        <v/>
      </c>
      <c r="C4831" s="2" t="str">
        <f t="shared" si="3"/>
        <v>SP500</v>
      </c>
      <c r="D4831" s="2" t="str">
        <f t="shared" si="4"/>
        <v/>
      </c>
      <c r="E4831" s="2">
        <f t="shared" si="5"/>
        <v>5901</v>
      </c>
      <c r="G4831" s="10">
        <f t="shared" si="9"/>
        <v>42813.64583</v>
      </c>
      <c r="H4831" s="6" t="str">
        <f t="shared" si="6"/>
        <v/>
      </c>
      <c r="I4831" s="2">
        <f t="shared" si="7"/>
        <v>1426.89</v>
      </c>
      <c r="M4831" s="10">
        <f>IFERROR(__xludf.DUMMYFUNCTION("""COMPUTED_VALUE"""),44988.66666666667)</f>
        <v>44988.66667</v>
      </c>
      <c r="N4831" s="2">
        <f>IFERROR(__xludf.DUMMYFUNCTION("""COMPUTED_VALUE"""),11689.01)</f>
        <v>11689.01</v>
      </c>
      <c r="P4831" s="10">
        <f t="shared" si="10"/>
        <v>38686.64583</v>
      </c>
      <c r="Q4831" s="15">
        <v>1297.44</v>
      </c>
      <c r="R4831" s="17">
        <v>38686.0</v>
      </c>
    </row>
    <row r="4832">
      <c r="A4832" s="10">
        <f t="shared" si="8"/>
        <v>42814.66667</v>
      </c>
      <c r="B4832" s="2" t="str">
        <f t="shared" si="2"/>
        <v/>
      </c>
      <c r="C4832" s="2" t="str">
        <f t="shared" si="3"/>
        <v>SP500</v>
      </c>
      <c r="D4832" s="2">
        <f t="shared" si="4"/>
        <v>5901.53</v>
      </c>
      <c r="E4832" s="2">
        <f t="shared" si="5"/>
        <v>5901.53</v>
      </c>
      <c r="G4832" s="10">
        <f t="shared" si="9"/>
        <v>42814.64583</v>
      </c>
      <c r="H4832" s="6" t="str">
        <f t="shared" si="6"/>
        <v/>
      </c>
      <c r="I4832" s="2">
        <f t="shared" si="7"/>
        <v>1426.89</v>
      </c>
      <c r="M4832" s="10">
        <f>IFERROR(__xludf.DUMMYFUNCTION("""COMPUTED_VALUE"""),44991.66666666667)</f>
        <v>44991.66667</v>
      </c>
      <c r="N4832" s="2">
        <f>IFERROR(__xludf.DUMMYFUNCTION("""COMPUTED_VALUE"""),11675.74)</f>
        <v>11675.74</v>
      </c>
      <c r="P4832" s="10">
        <f t="shared" si="10"/>
        <v>38685.64583</v>
      </c>
      <c r="Q4832" s="15">
        <v>1279.38</v>
      </c>
      <c r="R4832" s="17">
        <v>38685.0</v>
      </c>
    </row>
    <row r="4833">
      <c r="A4833" s="10">
        <f t="shared" si="8"/>
        <v>42815.66667</v>
      </c>
      <c r="B4833" s="2" t="str">
        <f t="shared" si="2"/>
        <v/>
      </c>
      <c r="C4833" s="2" t="str">
        <f t="shared" si="3"/>
        <v>SP500</v>
      </c>
      <c r="D4833" s="2">
        <f t="shared" si="4"/>
        <v>5793.83</v>
      </c>
      <c r="E4833" s="2">
        <f t="shared" si="5"/>
        <v>5793.83</v>
      </c>
      <c r="G4833" s="10">
        <f t="shared" si="9"/>
        <v>42815.64583</v>
      </c>
      <c r="H4833" s="6" t="str">
        <f t="shared" si="6"/>
        <v/>
      </c>
      <c r="I4833" s="2">
        <f t="shared" si="7"/>
        <v>1426.89</v>
      </c>
      <c r="M4833" s="10">
        <f>IFERROR(__xludf.DUMMYFUNCTION("""COMPUTED_VALUE"""),44992.66666666667)</f>
        <v>44992.66667</v>
      </c>
      <c r="N4833" s="2">
        <f>IFERROR(__xludf.DUMMYFUNCTION("""COMPUTED_VALUE"""),11530.33)</f>
        <v>11530.33</v>
      </c>
      <c r="P4833" s="10">
        <f t="shared" si="10"/>
        <v>38684.64583</v>
      </c>
      <c r="Q4833" s="15">
        <v>1293.74</v>
      </c>
      <c r="R4833" s="17">
        <v>38684.0</v>
      </c>
    </row>
    <row r="4834">
      <c r="A4834" s="10">
        <f t="shared" si="8"/>
        <v>42816.66667</v>
      </c>
      <c r="B4834" s="2" t="str">
        <f t="shared" si="2"/>
        <v/>
      </c>
      <c r="C4834" s="2" t="str">
        <f t="shared" si="3"/>
        <v>SP500</v>
      </c>
      <c r="D4834" s="2">
        <f t="shared" si="4"/>
        <v>5821.64</v>
      </c>
      <c r="E4834" s="2">
        <f t="shared" si="5"/>
        <v>5821.64</v>
      </c>
      <c r="G4834" s="10">
        <f t="shared" si="9"/>
        <v>42816.64583</v>
      </c>
      <c r="H4834" s="6" t="str">
        <f t="shared" si="6"/>
        <v/>
      </c>
      <c r="I4834" s="2">
        <f t="shared" si="7"/>
        <v>1426.89</v>
      </c>
      <c r="M4834" s="10">
        <f>IFERROR(__xludf.DUMMYFUNCTION("""COMPUTED_VALUE"""),44993.66666666667)</f>
        <v>44993.66667</v>
      </c>
      <c r="N4834" s="2">
        <f>IFERROR(__xludf.DUMMYFUNCTION("""COMPUTED_VALUE"""),11576.0)</f>
        <v>11576</v>
      </c>
      <c r="P4834" s="10">
        <f t="shared" si="10"/>
        <v>38681.64583</v>
      </c>
      <c r="Q4834" s="15">
        <v>1293.22</v>
      </c>
      <c r="R4834" s="17">
        <v>38681.0</v>
      </c>
    </row>
    <row r="4835">
      <c r="A4835" s="10">
        <f t="shared" si="8"/>
        <v>42817.66667</v>
      </c>
      <c r="B4835" s="2" t="str">
        <f t="shared" si="2"/>
        <v/>
      </c>
      <c r="C4835" s="2" t="str">
        <f t="shared" si="3"/>
        <v>SP500</v>
      </c>
      <c r="D4835" s="2">
        <f t="shared" si="4"/>
        <v>5817.69</v>
      </c>
      <c r="E4835" s="2">
        <f t="shared" si="5"/>
        <v>5817.69</v>
      </c>
      <c r="G4835" s="10">
        <f t="shared" si="9"/>
        <v>42817.64583</v>
      </c>
      <c r="H4835" s="6" t="str">
        <f t="shared" si="6"/>
        <v/>
      </c>
      <c r="I4835" s="2">
        <f t="shared" si="7"/>
        <v>1426.89</v>
      </c>
      <c r="M4835" s="10">
        <f>IFERROR(__xludf.DUMMYFUNCTION("""COMPUTED_VALUE"""),44994.66666666667)</f>
        <v>44994.66667</v>
      </c>
      <c r="N4835" s="2">
        <f>IFERROR(__xludf.DUMMYFUNCTION("""COMPUTED_VALUE"""),11338.36)</f>
        <v>11338.36</v>
      </c>
      <c r="P4835" s="10">
        <f t="shared" si="10"/>
        <v>38680.64583</v>
      </c>
      <c r="Q4835" s="15">
        <v>1291.71</v>
      </c>
      <c r="R4835" s="17">
        <v>38680.0</v>
      </c>
    </row>
    <row r="4836">
      <c r="A4836" s="10">
        <f t="shared" si="8"/>
        <v>42818.66667</v>
      </c>
      <c r="B4836" s="2" t="str">
        <f t="shared" si="2"/>
        <v/>
      </c>
      <c r="C4836" s="2" t="str">
        <f t="shared" si="3"/>
        <v>SP500</v>
      </c>
      <c r="D4836" s="2">
        <f t="shared" si="4"/>
        <v>5828.74</v>
      </c>
      <c r="E4836" s="2">
        <f t="shared" si="5"/>
        <v>5828.74</v>
      </c>
      <c r="G4836" s="10">
        <f t="shared" si="9"/>
        <v>42818.64583</v>
      </c>
      <c r="H4836" s="6" t="str">
        <f t="shared" si="6"/>
        <v/>
      </c>
      <c r="I4836" s="2">
        <f t="shared" si="7"/>
        <v>1426.89</v>
      </c>
      <c r="M4836" s="10">
        <f>IFERROR(__xludf.DUMMYFUNCTION("""COMPUTED_VALUE"""),44995.66666666667)</f>
        <v>44995.66667</v>
      </c>
      <c r="N4836" s="2">
        <f>IFERROR(__xludf.DUMMYFUNCTION("""COMPUTED_VALUE"""),11138.89)</f>
        <v>11138.89</v>
      </c>
      <c r="P4836" s="10">
        <f t="shared" si="10"/>
        <v>38679.64583</v>
      </c>
      <c r="Q4836" s="15">
        <v>1282.02</v>
      </c>
      <c r="R4836" s="17">
        <v>38679.0</v>
      </c>
    </row>
    <row r="4837">
      <c r="A4837" s="10">
        <f t="shared" si="8"/>
        <v>42819.66667</v>
      </c>
      <c r="B4837" s="2" t="str">
        <f t="shared" si="2"/>
        <v/>
      </c>
      <c r="C4837" s="2" t="str">
        <f t="shared" si="3"/>
        <v>SP500</v>
      </c>
      <c r="D4837" s="2" t="str">
        <f t="shared" si="4"/>
        <v/>
      </c>
      <c r="E4837" s="2">
        <f t="shared" si="5"/>
        <v>5828.74</v>
      </c>
      <c r="G4837" s="10">
        <f t="shared" si="9"/>
        <v>42819.64583</v>
      </c>
      <c r="H4837" s="6" t="str">
        <f t="shared" si="6"/>
        <v/>
      </c>
      <c r="I4837" s="2">
        <f t="shared" si="7"/>
        <v>1426.89</v>
      </c>
      <c r="M4837" s="10">
        <f>IFERROR(__xludf.DUMMYFUNCTION("""COMPUTED_VALUE"""),44998.66666666667)</f>
        <v>44998.66667</v>
      </c>
      <c r="N4837" s="2">
        <f>IFERROR(__xludf.DUMMYFUNCTION("""COMPUTED_VALUE"""),11188.84)</f>
        <v>11188.84</v>
      </c>
      <c r="P4837" s="10">
        <f t="shared" si="10"/>
        <v>38678.64583</v>
      </c>
      <c r="Q4837" s="15">
        <v>1244.5</v>
      </c>
      <c r="R4837" s="17">
        <v>38678.0</v>
      </c>
    </row>
    <row r="4838">
      <c r="A4838" s="10">
        <f t="shared" si="8"/>
        <v>42820.66667</v>
      </c>
      <c r="B4838" s="2" t="str">
        <f t="shared" si="2"/>
        <v/>
      </c>
      <c r="C4838" s="2" t="str">
        <f t="shared" si="3"/>
        <v>SP500</v>
      </c>
      <c r="D4838" s="2" t="str">
        <f t="shared" si="4"/>
        <v/>
      </c>
      <c r="E4838" s="2">
        <f t="shared" si="5"/>
        <v>5828.74</v>
      </c>
      <c r="G4838" s="10">
        <f t="shared" si="9"/>
        <v>42820.64583</v>
      </c>
      <c r="H4838" s="6" t="str">
        <f t="shared" si="6"/>
        <v/>
      </c>
      <c r="I4838" s="2">
        <f t="shared" si="7"/>
        <v>1426.89</v>
      </c>
      <c r="M4838" s="10">
        <f>IFERROR(__xludf.DUMMYFUNCTION("""COMPUTED_VALUE"""),44999.66666666667)</f>
        <v>44999.66667</v>
      </c>
      <c r="N4838" s="2">
        <f>IFERROR(__xludf.DUMMYFUNCTION("""COMPUTED_VALUE"""),11428.15)</f>
        <v>11428.15</v>
      </c>
      <c r="P4838" s="10">
        <f t="shared" si="10"/>
        <v>38677.64583</v>
      </c>
      <c r="Q4838" s="15">
        <v>1268.8</v>
      </c>
      <c r="R4838" s="17">
        <v>38677.0</v>
      </c>
    </row>
    <row r="4839">
      <c r="A4839" s="10">
        <f t="shared" si="8"/>
        <v>42821.66667</v>
      </c>
      <c r="B4839" s="2" t="str">
        <f t="shared" si="2"/>
        <v/>
      </c>
      <c r="C4839" s="2" t="str">
        <f t="shared" si="3"/>
        <v>SP500</v>
      </c>
      <c r="D4839" s="2">
        <f t="shared" si="4"/>
        <v>5840.37</v>
      </c>
      <c r="E4839" s="2">
        <f t="shared" si="5"/>
        <v>5840.37</v>
      </c>
      <c r="G4839" s="10">
        <f t="shared" si="9"/>
        <v>42821.64583</v>
      </c>
      <c r="H4839" s="6" t="str">
        <f t="shared" si="6"/>
        <v/>
      </c>
      <c r="I4839" s="2">
        <f t="shared" si="7"/>
        <v>1426.89</v>
      </c>
      <c r="M4839" s="10">
        <f>IFERROR(__xludf.DUMMYFUNCTION("""COMPUTED_VALUE"""),45000.66666666667)</f>
        <v>45000.66667</v>
      </c>
      <c r="N4839" s="2">
        <f>IFERROR(__xludf.DUMMYFUNCTION("""COMPUTED_VALUE"""),11434.05)</f>
        <v>11434.05</v>
      </c>
      <c r="P4839" s="10">
        <f t="shared" si="10"/>
        <v>38674.64583</v>
      </c>
      <c r="Q4839" s="15">
        <v>1272.25</v>
      </c>
      <c r="R4839" s="17">
        <v>38674.0</v>
      </c>
    </row>
    <row r="4840">
      <c r="A4840" s="10">
        <f t="shared" si="8"/>
        <v>42822.66667</v>
      </c>
      <c r="B4840" s="2" t="str">
        <f t="shared" si="2"/>
        <v/>
      </c>
      <c r="C4840" s="2" t="str">
        <f t="shared" si="3"/>
        <v>SP500</v>
      </c>
      <c r="D4840" s="2">
        <f t="shared" si="4"/>
        <v>5875.14</v>
      </c>
      <c r="E4840" s="2">
        <f t="shared" si="5"/>
        <v>5875.14</v>
      </c>
      <c r="G4840" s="10">
        <f t="shared" si="9"/>
        <v>42822.64583</v>
      </c>
      <c r="H4840" s="6" t="str">
        <f t="shared" si="6"/>
        <v/>
      </c>
      <c r="I4840" s="2">
        <f t="shared" si="7"/>
        <v>1426.89</v>
      </c>
      <c r="M4840" s="10">
        <f>IFERROR(__xludf.DUMMYFUNCTION("""COMPUTED_VALUE"""),45001.66666666667)</f>
        <v>45001.66667</v>
      </c>
      <c r="N4840" s="2">
        <f>IFERROR(__xludf.DUMMYFUNCTION("""COMPUTED_VALUE"""),11717.28)</f>
        <v>11717.28</v>
      </c>
      <c r="P4840" s="10">
        <f t="shared" si="10"/>
        <v>38673.64583</v>
      </c>
      <c r="Q4840" s="15">
        <v>1269.35</v>
      </c>
      <c r="R4840" s="17">
        <v>38673.0</v>
      </c>
    </row>
    <row r="4841">
      <c r="A4841" s="10">
        <f t="shared" si="8"/>
        <v>42823.66667</v>
      </c>
      <c r="B4841" s="2" t="str">
        <f t="shared" si="2"/>
        <v/>
      </c>
      <c r="C4841" s="2" t="str">
        <f t="shared" si="3"/>
        <v>SP500</v>
      </c>
      <c r="D4841" s="2">
        <f t="shared" si="4"/>
        <v>5897.55</v>
      </c>
      <c r="E4841" s="2">
        <f t="shared" si="5"/>
        <v>5897.55</v>
      </c>
      <c r="G4841" s="10">
        <f t="shared" si="9"/>
        <v>42823.64583</v>
      </c>
      <c r="H4841" s="6" t="str">
        <f t="shared" si="6"/>
        <v/>
      </c>
      <c r="I4841" s="2">
        <f t="shared" si="7"/>
        <v>1426.89</v>
      </c>
      <c r="M4841" s="10">
        <f>IFERROR(__xludf.DUMMYFUNCTION("""COMPUTED_VALUE"""),45002.66666666667)</f>
        <v>45002.66667</v>
      </c>
      <c r="N4841" s="2">
        <f>IFERROR(__xludf.DUMMYFUNCTION("""COMPUTED_VALUE"""),11630.51)</f>
        <v>11630.51</v>
      </c>
      <c r="P4841" s="10">
        <f t="shared" si="10"/>
        <v>38672.64583</v>
      </c>
      <c r="Q4841" s="15">
        <v>1267.16</v>
      </c>
      <c r="R4841" s="17">
        <v>38672.0</v>
      </c>
    </row>
    <row r="4842">
      <c r="A4842" s="10">
        <f t="shared" si="8"/>
        <v>42824.66667</v>
      </c>
      <c r="B4842" s="2" t="str">
        <f t="shared" si="2"/>
        <v/>
      </c>
      <c r="C4842" s="2" t="str">
        <f t="shared" si="3"/>
        <v>SP500</v>
      </c>
      <c r="D4842" s="2">
        <f t="shared" si="4"/>
        <v>5914.34</v>
      </c>
      <c r="E4842" s="2">
        <f t="shared" si="5"/>
        <v>5914.34</v>
      </c>
      <c r="G4842" s="10">
        <f t="shared" si="9"/>
        <v>42824.64583</v>
      </c>
      <c r="H4842" s="6" t="str">
        <f t="shared" si="6"/>
        <v/>
      </c>
      <c r="I4842" s="2">
        <f t="shared" si="7"/>
        <v>1426.89</v>
      </c>
      <c r="M4842" s="10">
        <f>IFERROR(__xludf.DUMMYFUNCTION("""COMPUTED_VALUE"""),45005.66666666667)</f>
        <v>45005.66667</v>
      </c>
      <c r="N4842" s="2">
        <f>IFERROR(__xludf.DUMMYFUNCTION("""COMPUTED_VALUE"""),11675.54)</f>
        <v>11675.54</v>
      </c>
      <c r="P4842" s="10">
        <f t="shared" si="10"/>
        <v>38671.64583</v>
      </c>
      <c r="Q4842" s="15">
        <v>1253.86</v>
      </c>
      <c r="R4842" s="17">
        <v>38671.0</v>
      </c>
    </row>
    <row r="4843">
      <c r="A4843" s="10">
        <f t="shared" si="8"/>
        <v>42825.66667</v>
      </c>
      <c r="B4843" s="2" t="str">
        <f t="shared" si="2"/>
        <v/>
      </c>
      <c r="C4843" s="2" t="str">
        <f t="shared" si="3"/>
        <v>SP500</v>
      </c>
      <c r="D4843" s="2">
        <f t="shared" si="4"/>
        <v>5911.74</v>
      </c>
      <c r="E4843" s="2">
        <f t="shared" si="5"/>
        <v>5911.74</v>
      </c>
      <c r="G4843" s="10">
        <f t="shared" si="9"/>
        <v>42825.64583</v>
      </c>
      <c r="H4843" s="6" t="str">
        <f t="shared" si="6"/>
        <v/>
      </c>
      <c r="I4843" s="2">
        <f t="shared" si="7"/>
        <v>1426.89</v>
      </c>
      <c r="M4843" s="10">
        <f>IFERROR(__xludf.DUMMYFUNCTION("""COMPUTED_VALUE"""),45006.66666666667)</f>
        <v>45006.66667</v>
      </c>
      <c r="N4843" s="2">
        <f>IFERROR(__xludf.DUMMYFUNCTION("""COMPUTED_VALUE"""),11860.11)</f>
        <v>11860.11</v>
      </c>
      <c r="P4843" s="10">
        <f t="shared" si="10"/>
        <v>38670.64583</v>
      </c>
      <c r="Q4843" s="15">
        <v>1257.63</v>
      </c>
      <c r="R4843" s="17">
        <v>38670.0</v>
      </c>
    </row>
    <row r="4844">
      <c r="A4844" s="10">
        <f t="shared" si="8"/>
        <v>42826.66667</v>
      </c>
      <c r="B4844" s="2" t="str">
        <f t="shared" si="2"/>
        <v/>
      </c>
      <c r="C4844" s="2" t="str">
        <f t="shared" si="3"/>
        <v>SP500</v>
      </c>
      <c r="D4844" s="2" t="str">
        <f t="shared" si="4"/>
        <v/>
      </c>
      <c r="E4844" s="2">
        <f t="shared" si="5"/>
        <v>5911.74</v>
      </c>
      <c r="G4844" s="10">
        <f t="shared" si="9"/>
        <v>42826.64583</v>
      </c>
      <c r="H4844" s="6" t="str">
        <f t="shared" si="6"/>
        <v/>
      </c>
      <c r="I4844" s="2">
        <f t="shared" si="7"/>
        <v>1426.89</v>
      </c>
      <c r="M4844" s="10">
        <f>IFERROR(__xludf.DUMMYFUNCTION("""COMPUTED_VALUE"""),45007.66666666667)</f>
        <v>45007.66667</v>
      </c>
      <c r="N4844" s="2">
        <f>IFERROR(__xludf.DUMMYFUNCTION("""COMPUTED_VALUE"""),11669.96)</f>
        <v>11669.96</v>
      </c>
      <c r="P4844" s="10">
        <f t="shared" si="10"/>
        <v>38667.64583</v>
      </c>
      <c r="Q4844" s="15">
        <v>1256.12</v>
      </c>
      <c r="R4844" s="17">
        <v>38667.0</v>
      </c>
    </row>
    <row r="4845">
      <c r="A4845" s="10">
        <f t="shared" si="8"/>
        <v>42827.66667</v>
      </c>
      <c r="B4845" s="2" t="str">
        <f t="shared" si="2"/>
        <v/>
      </c>
      <c r="C4845" s="2" t="str">
        <f t="shared" si="3"/>
        <v>SP500</v>
      </c>
      <c r="D4845" s="2" t="str">
        <f t="shared" si="4"/>
        <v/>
      </c>
      <c r="E4845" s="2">
        <f t="shared" si="5"/>
        <v>5911.74</v>
      </c>
      <c r="G4845" s="10">
        <f t="shared" si="9"/>
        <v>42827.64583</v>
      </c>
      <c r="H4845" s="6" t="str">
        <f t="shared" si="6"/>
        <v/>
      </c>
      <c r="I4845" s="2">
        <f t="shared" si="7"/>
        <v>1426.89</v>
      </c>
      <c r="M4845" s="10">
        <f>IFERROR(__xludf.DUMMYFUNCTION("""COMPUTED_VALUE"""),45008.66666666667)</f>
        <v>45008.66667</v>
      </c>
      <c r="N4845" s="2">
        <f>IFERROR(__xludf.DUMMYFUNCTION("""COMPUTED_VALUE"""),11787.4)</f>
        <v>11787.4</v>
      </c>
      <c r="P4845" s="10">
        <f t="shared" si="10"/>
        <v>38666.64583</v>
      </c>
      <c r="Q4845" s="15">
        <v>1234.43</v>
      </c>
      <c r="R4845" s="17">
        <v>38666.0</v>
      </c>
    </row>
    <row r="4846">
      <c r="A4846" s="10">
        <f t="shared" si="8"/>
        <v>42828.66667</v>
      </c>
      <c r="B4846" s="2" t="str">
        <f t="shared" si="2"/>
        <v/>
      </c>
      <c r="C4846" s="2" t="str">
        <f t="shared" si="3"/>
        <v>SP500</v>
      </c>
      <c r="D4846" s="2">
        <f t="shared" si="4"/>
        <v>5894.68</v>
      </c>
      <c r="E4846" s="2">
        <f t="shared" si="5"/>
        <v>5894.68</v>
      </c>
      <c r="G4846" s="10">
        <f t="shared" si="9"/>
        <v>42828.64583</v>
      </c>
      <c r="H4846" s="6" t="str">
        <f t="shared" si="6"/>
        <v/>
      </c>
      <c r="I4846" s="2">
        <f t="shared" si="7"/>
        <v>1426.89</v>
      </c>
      <c r="M4846" s="10">
        <f>IFERROR(__xludf.DUMMYFUNCTION("""COMPUTED_VALUE"""),45009.66666666667)</f>
        <v>45009.66667</v>
      </c>
      <c r="N4846" s="2">
        <f>IFERROR(__xludf.DUMMYFUNCTION("""COMPUTED_VALUE"""),11823.96)</f>
        <v>11823.96</v>
      </c>
      <c r="P4846" s="10">
        <f t="shared" si="10"/>
        <v>38665.64583</v>
      </c>
      <c r="Q4846" s="15">
        <v>1227.59</v>
      </c>
      <c r="R4846" s="18">
        <v>38665.0</v>
      </c>
    </row>
    <row r="4847">
      <c r="A4847" s="10">
        <f t="shared" si="8"/>
        <v>42829.66667</v>
      </c>
      <c r="B4847" s="2" t="str">
        <f t="shared" si="2"/>
        <v/>
      </c>
      <c r="C4847" s="2" t="str">
        <f t="shared" si="3"/>
        <v>SP500</v>
      </c>
      <c r="D4847" s="2">
        <f t="shared" si="4"/>
        <v>5898.61</v>
      </c>
      <c r="E4847" s="2">
        <f t="shared" si="5"/>
        <v>5898.61</v>
      </c>
      <c r="G4847" s="10">
        <f t="shared" si="9"/>
        <v>42829.64583</v>
      </c>
      <c r="H4847" s="6" t="str">
        <f t="shared" si="6"/>
        <v/>
      </c>
      <c r="I4847" s="2">
        <f t="shared" si="7"/>
        <v>1426.89</v>
      </c>
      <c r="M4847" s="10">
        <f>IFERROR(__xludf.DUMMYFUNCTION("""COMPUTED_VALUE"""),45012.66666666667)</f>
        <v>45012.66667</v>
      </c>
      <c r="N4847" s="2">
        <f>IFERROR(__xludf.DUMMYFUNCTION("""COMPUTED_VALUE"""),11768.84)</f>
        <v>11768.84</v>
      </c>
      <c r="P4847" s="10">
        <f t="shared" si="10"/>
        <v>38664.64583</v>
      </c>
      <c r="Q4847" s="15">
        <v>1226.71</v>
      </c>
      <c r="R4847" s="18">
        <v>38664.0</v>
      </c>
    </row>
    <row r="4848">
      <c r="A4848" s="10">
        <f t="shared" si="8"/>
        <v>42830.66667</v>
      </c>
      <c r="B4848" s="2" t="str">
        <f t="shared" si="2"/>
        <v/>
      </c>
      <c r="C4848" s="2" t="str">
        <f t="shared" si="3"/>
        <v>SP500</v>
      </c>
      <c r="D4848" s="2">
        <f t="shared" si="4"/>
        <v>5864.48</v>
      </c>
      <c r="E4848" s="2">
        <f t="shared" si="5"/>
        <v>5864.48</v>
      </c>
      <c r="G4848" s="10">
        <f t="shared" si="9"/>
        <v>42830.64583</v>
      </c>
      <c r="H4848" s="6" t="str">
        <f t="shared" si="6"/>
        <v/>
      </c>
      <c r="I4848" s="2">
        <f t="shared" si="7"/>
        <v>1426.89</v>
      </c>
      <c r="M4848" s="10">
        <f>IFERROR(__xludf.DUMMYFUNCTION("""COMPUTED_VALUE"""),45013.66666666667)</f>
        <v>45013.66667</v>
      </c>
      <c r="N4848" s="2">
        <f>IFERROR(__xludf.DUMMYFUNCTION("""COMPUTED_VALUE"""),11716.08)</f>
        <v>11716.08</v>
      </c>
      <c r="P4848" s="10">
        <f t="shared" si="10"/>
        <v>38663.64583</v>
      </c>
      <c r="Q4848" s="15">
        <v>1218.47</v>
      </c>
      <c r="R4848" s="18">
        <v>38663.0</v>
      </c>
    </row>
    <row r="4849">
      <c r="A4849" s="10">
        <f t="shared" si="8"/>
        <v>42831.66667</v>
      </c>
      <c r="B4849" s="2" t="str">
        <f t="shared" si="2"/>
        <v/>
      </c>
      <c r="C4849" s="2" t="str">
        <f t="shared" si="3"/>
        <v>SP500</v>
      </c>
      <c r="D4849" s="2">
        <f t="shared" si="4"/>
        <v>5878.95</v>
      </c>
      <c r="E4849" s="2">
        <f t="shared" si="5"/>
        <v>5878.95</v>
      </c>
      <c r="G4849" s="10">
        <f t="shared" si="9"/>
        <v>42831.64583</v>
      </c>
      <c r="H4849" s="6" t="str">
        <f t="shared" si="6"/>
        <v/>
      </c>
      <c r="I4849" s="2">
        <f t="shared" si="7"/>
        <v>1426.89</v>
      </c>
      <c r="M4849" s="10">
        <f>IFERROR(__xludf.DUMMYFUNCTION("""COMPUTED_VALUE"""),45014.66666666667)</f>
        <v>45014.66667</v>
      </c>
      <c r="N4849" s="2">
        <f>IFERROR(__xludf.DUMMYFUNCTION("""COMPUTED_VALUE"""),11926.24)</f>
        <v>11926.24</v>
      </c>
      <c r="P4849" s="10">
        <f t="shared" si="10"/>
        <v>38660.64583</v>
      </c>
      <c r="Q4849" s="15">
        <v>1221.98</v>
      </c>
      <c r="R4849" s="18">
        <v>38660.0</v>
      </c>
    </row>
    <row r="4850">
      <c r="A4850" s="10">
        <f t="shared" si="8"/>
        <v>42832.66667</v>
      </c>
      <c r="B4850" s="2" t="str">
        <f t="shared" si="2"/>
        <v/>
      </c>
      <c r="C4850" s="2" t="str">
        <f t="shared" si="3"/>
        <v>SP500</v>
      </c>
      <c r="D4850" s="2">
        <f t="shared" si="4"/>
        <v>5877.81</v>
      </c>
      <c r="E4850" s="2">
        <f t="shared" si="5"/>
        <v>5877.81</v>
      </c>
      <c r="G4850" s="10">
        <f t="shared" si="9"/>
        <v>42832.64583</v>
      </c>
      <c r="H4850" s="6" t="str">
        <f t="shared" si="6"/>
        <v/>
      </c>
      <c r="I4850" s="2">
        <f t="shared" si="7"/>
        <v>1426.89</v>
      </c>
      <c r="M4850" s="10">
        <f>IFERROR(__xludf.DUMMYFUNCTION("""COMPUTED_VALUE"""),45015.66666666667)</f>
        <v>45015.66667</v>
      </c>
      <c r="N4850" s="2">
        <f>IFERROR(__xludf.DUMMYFUNCTION("""COMPUTED_VALUE"""),12013.47)</f>
        <v>12013.47</v>
      </c>
      <c r="P4850" s="10">
        <f t="shared" si="10"/>
        <v>38659.64583</v>
      </c>
      <c r="Q4850" s="15">
        <v>1217.97</v>
      </c>
      <c r="R4850" s="18">
        <v>38659.0</v>
      </c>
    </row>
    <row r="4851">
      <c r="A4851" s="10">
        <f t="shared" si="8"/>
        <v>42833.66667</v>
      </c>
      <c r="B4851" s="2" t="str">
        <f t="shared" si="2"/>
        <v/>
      </c>
      <c r="C4851" s="2" t="str">
        <f t="shared" si="3"/>
        <v>SP500</v>
      </c>
      <c r="D4851" s="2" t="str">
        <f t="shared" si="4"/>
        <v/>
      </c>
      <c r="E4851" s="2">
        <f t="shared" si="5"/>
        <v>5877.81</v>
      </c>
      <c r="G4851" s="10">
        <f t="shared" si="9"/>
        <v>42833.64583</v>
      </c>
      <c r="H4851" s="6" t="str">
        <f t="shared" si="6"/>
        <v/>
      </c>
      <c r="I4851" s="2">
        <f t="shared" si="7"/>
        <v>1426.89</v>
      </c>
      <c r="M4851" s="10">
        <f>IFERROR(__xludf.DUMMYFUNCTION("""COMPUTED_VALUE"""),45016.66666666667)</f>
        <v>45016.66667</v>
      </c>
      <c r="N4851" s="2">
        <f>IFERROR(__xludf.DUMMYFUNCTION("""COMPUTED_VALUE"""),12221.91)</f>
        <v>12221.91</v>
      </c>
      <c r="P4851" s="10">
        <f t="shared" si="10"/>
        <v>38658.64583</v>
      </c>
      <c r="Q4851" s="15">
        <v>1208.38</v>
      </c>
      <c r="R4851" s="18">
        <v>38658.0</v>
      </c>
    </row>
    <row r="4852">
      <c r="A4852" s="10">
        <f t="shared" si="8"/>
        <v>42834.66667</v>
      </c>
      <c r="B4852" s="2" t="str">
        <f t="shared" si="2"/>
        <v/>
      </c>
      <c r="C4852" s="2" t="str">
        <f t="shared" si="3"/>
        <v>SP500</v>
      </c>
      <c r="D4852" s="2" t="str">
        <f t="shared" si="4"/>
        <v/>
      </c>
      <c r="E4852" s="2">
        <f t="shared" si="5"/>
        <v>5877.81</v>
      </c>
      <c r="G4852" s="10">
        <f t="shared" si="9"/>
        <v>42834.64583</v>
      </c>
      <c r="H4852" s="6" t="str">
        <f t="shared" si="6"/>
        <v/>
      </c>
      <c r="I4852" s="2">
        <f t="shared" si="7"/>
        <v>1426.89</v>
      </c>
      <c r="M4852" s="10">
        <f>IFERROR(__xludf.DUMMYFUNCTION("""COMPUTED_VALUE"""),45019.66666666667)</f>
        <v>45019.66667</v>
      </c>
      <c r="N4852" s="2">
        <f>IFERROR(__xludf.DUMMYFUNCTION("""COMPUTED_VALUE"""),12189.45)</f>
        <v>12189.45</v>
      </c>
      <c r="P4852" s="10">
        <f t="shared" si="10"/>
        <v>38657.64583</v>
      </c>
      <c r="Q4852" s="15">
        <v>1188.95</v>
      </c>
      <c r="R4852" s="18">
        <v>38657.0</v>
      </c>
    </row>
    <row r="4853">
      <c r="A4853" s="10">
        <f t="shared" si="8"/>
        <v>42835.66667</v>
      </c>
      <c r="B4853" s="2" t="str">
        <f t="shared" si="2"/>
        <v/>
      </c>
      <c r="C4853" s="2" t="str">
        <f t="shared" si="3"/>
        <v>SP500</v>
      </c>
      <c r="D4853" s="2">
        <f t="shared" si="4"/>
        <v>5880.93</v>
      </c>
      <c r="E4853" s="2">
        <f t="shared" si="5"/>
        <v>5880.93</v>
      </c>
      <c r="G4853" s="10">
        <f t="shared" si="9"/>
        <v>42835.64583</v>
      </c>
      <c r="H4853" s="6" t="str">
        <f t="shared" si="6"/>
        <v/>
      </c>
      <c r="I4853" s="2">
        <f t="shared" si="7"/>
        <v>1426.89</v>
      </c>
      <c r="M4853" s="10">
        <f>IFERROR(__xludf.DUMMYFUNCTION("""COMPUTED_VALUE"""),45020.66666666667)</f>
        <v>45020.66667</v>
      </c>
      <c r="N4853" s="2">
        <f>IFERROR(__xludf.DUMMYFUNCTION("""COMPUTED_VALUE"""),12126.33)</f>
        <v>12126.33</v>
      </c>
      <c r="P4853" s="10">
        <f t="shared" si="10"/>
        <v>38656.64583</v>
      </c>
      <c r="Q4853" s="15">
        <v>1158.11</v>
      </c>
      <c r="R4853" s="17">
        <v>38656.0</v>
      </c>
    </row>
    <row r="4854">
      <c r="A4854" s="10">
        <f t="shared" si="8"/>
        <v>42836.66667</v>
      </c>
      <c r="B4854" s="2" t="str">
        <f t="shared" si="2"/>
        <v/>
      </c>
      <c r="C4854" s="2" t="str">
        <f t="shared" si="3"/>
        <v>SP500</v>
      </c>
      <c r="D4854" s="2">
        <f t="shared" si="4"/>
        <v>5866.77</v>
      </c>
      <c r="E4854" s="2">
        <f t="shared" si="5"/>
        <v>5866.77</v>
      </c>
      <c r="G4854" s="10">
        <f t="shared" si="9"/>
        <v>42836.64583</v>
      </c>
      <c r="H4854" s="6" t="str">
        <f t="shared" si="6"/>
        <v/>
      </c>
      <c r="I4854" s="2">
        <f t="shared" si="7"/>
        <v>1426.89</v>
      </c>
      <c r="M4854" s="10">
        <f>IFERROR(__xludf.DUMMYFUNCTION("""COMPUTED_VALUE"""),45021.66666666667)</f>
        <v>45021.66667</v>
      </c>
      <c r="N4854" s="2">
        <f>IFERROR(__xludf.DUMMYFUNCTION("""COMPUTED_VALUE"""),11996.86)</f>
        <v>11996.86</v>
      </c>
      <c r="P4854" s="10">
        <f t="shared" si="10"/>
        <v>38653.64583</v>
      </c>
      <c r="Q4854" s="15">
        <v>1140.72</v>
      </c>
      <c r="R4854" s="17">
        <v>38653.0</v>
      </c>
    </row>
    <row r="4855">
      <c r="A4855" s="10">
        <f t="shared" si="8"/>
        <v>42837.66667</v>
      </c>
      <c r="B4855" s="2" t="str">
        <f t="shared" si="2"/>
        <v/>
      </c>
      <c r="C4855" s="2" t="str">
        <f t="shared" si="3"/>
        <v>SP500</v>
      </c>
      <c r="D4855" s="2">
        <f t="shared" si="4"/>
        <v>5836.16</v>
      </c>
      <c r="E4855" s="2">
        <f t="shared" si="5"/>
        <v>5836.16</v>
      </c>
      <c r="G4855" s="10">
        <f t="shared" si="9"/>
        <v>42837.64583</v>
      </c>
      <c r="H4855" s="6" t="str">
        <f t="shared" si="6"/>
        <v/>
      </c>
      <c r="I4855" s="2">
        <f t="shared" si="7"/>
        <v>1426.89</v>
      </c>
      <c r="M4855" s="10">
        <f>IFERROR(__xludf.DUMMYFUNCTION("""COMPUTED_VALUE"""),45022.66666666667)</f>
        <v>45022.66667</v>
      </c>
      <c r="N4855" s="2">
        <f>IFERROR(__xludf.DUMMYFUNCTION("""COMPUTED_VALUE"""),12087.96)</f>
        <v>12087.96</v>
      </c>
      <c r="P4855" s="10">
        <f t="shared" si="10"/>
        <v>38652.64583</v>
      </c>
      <c r="Q4855" s="15">
        <v>1166.36</v>
      </c>
      <c r="R4855" s="17">
        <v>38652.0</v>
      </c>
    </row>
    <row r="4856">
      <c r="A4856" s="10">
        <f t="shared" si="8"/>
        <v>42838.66667</v>
      </c>
      <c r="B4856" s="2" t="str">
        <f t="shared" si="2"/>
        <v/>
      </c>
      <c r="C4856" s="2" t="str">
        <f t="shared" si="3"/>
        <v>SP500</v>
      </c>
      <c r="D4856" s="2">
        <f t="shared" si="4"/>
        <v>5805.15</v>
      </c>
      <c r="E4856" s="2">
        <f t="shared" si="5"/>
        <v>5805.15</v>
      </c>
      <c r="G4856" s="10">
        <f t="shared" si="9"/>
        <v>42838.64583</v>
      </c>
      <c r="H4856" s="6" t="str">
        <f t="shared" si="6"/>
        <v/>
      </c>
      <c r="I4856" s="2">
        <f t="shared" si="7"/>
        <v>1426.89</v>
      </c>
      <c r="M4856" s="10">
        <f>IFERROR(__xludf.DUMMYFUNCTION("""COMPUTED_VALUE"""),45026.66666666667)</f>
        <v>45026.66667</v>
      </c>
      <c r="N4856" s="2">
        <f>IFERROR(__xludf.DUMMYFUNCTION("""COMPUTED_VALUE"""),12084.36)</f>
        <v>12084.36</v>
      </c>
      <c r="P4856" s="10">
        <f t="shared" si="10"/>
        <v>38651.64583</v>
      </c>
      <c r="Q4856" s="15">
        <v>1179.0</v>
      </c>
      <c r="R4856" s="17">
        <v>38651.0</v>
      </c>
    </row>
    <row r="4857">
      <c r="A4857" s="10">
        <f t="shared" si="8"/>
        <v>42839.66667</v>
      </c>
      <c r="B4857" s="2" t="str">
        <f t="shared" si="2"/>
        <v/>
      </c>
      <c r="C4857" s="2" t="str">
        <f t="shared" si="3"/>
        <v>SP500</v>
      </c>
      <c r="D4857" s="2" t="str">
        <f t="shared" si="4"/>
        <v/>
      </c>
      <c r="E4857" s="2">
        <f t="shared" si="5"/>
        <v>5805.15</v>
      </c>
      <c r="G4857" s="10">
        <f t="shared" si="9"/>
        <v>42839.64583</v>
      </c>
      <c r="H4857" s="6" t="str">
        <f t="shared" si="6"/>
        <v/>
      </c>
      <c r="I4857" s="2">
        <f t="shared" si="7"/>
        <v>1426.89</v>
      </c>
      <c r="M4857" s="10">
        <f>IFERROR(__xludf.DUMMYFUNCTION("""COMPUTED_VALUE"""),45027.66666666667)</f>
        <v>45027.66667</v>
      </c>
      <c r="N4857" s="2">
        <f>IFERROR(__xludf.DUMMYFUNCTION("""COMPUTED_VALUE"""),12031.88)</f>
        <v>12031.88</v>
      </c>
      <c r="P4857" s="10">
        <f t="shared" si="10"/>
        <v>38650.64583</v>
      </c>
      <c r="Q4857" s="15">
        <v>1181.28</v>
      </c>
      <c r="R4857" s="17">
        <v>38650.0</v>
      </c>
    </row>
    <row r="4858">
      <c r="A4858" s="10">
        <f t="shared" si="8"/>
        <v>42840.66667</v>
      </c>
      <c r="B4858" s="2" t="str">
        <f t="shared" si="2"/>
        <v/>
      </c>
      <c r="C4858" s="2" t="str">
        <f t="shared" si="3"/>
        <v>SP500</v>
      </c>
      <c r="D4858" s="2" t="str">
        <f t="shared" si="4"/>
        <v/>
      </c>
      <c r="E4858" s="2">
        <f t="shared" si="5"/>
        <v>5805.15</v>
      </c>
      <c r="G4858" s="10">
        <f t="shared" si="9"/>
        <v>42840.64583</v>
      </c>
      <c r="H4858" s="6" t="str">
        <f t="shared" si="6"/>
        <v/>
      </c>
      <c r="I4858" s="2">
        <f t="shared" si="7"/>
        <v>1426.89</v>
      </c>
      <c r="M4858" s="10">
        <f>IFERROR(__xludf.DUMMYFUNCTION("""COMPUTED_VALUE"""),45028.66666666667)</f>
        <v>45028.66667</v>
      </c>
      <c r="N4858" s="2">
        <f>IFERROR(__xludf.DUMMYFUNCTION("""COMPUTED_VALUE"""),11929.34)</f>
        <v>11929.34</v>
      </c>
      <c r="P4858" s="10">
        <f t="shared" si="10"/>
        <v>38649.64583</v>
      </c>
      <c r="Q4858" s="15">
        <v>1184.6</v>
      </c>
      <c r="R4858" s="17">
        <v>38649.0</v>
      </c>
    </row>
    <row r="4859">
      <c r="A4859" s="10">
        <f t="shared" si="8"/>
        <v>42841.66667</v>
      </c>
      <c r="B4859" s="2" t="str">
        <f t="shared" si="2"/>
        <v/>
      </c>
      <c r="C4859" s="2" t="str">
        <f t="shared" si="3"/>
        <v>SP500</v>
      </c>
      <c r="D4859" s="2" t="str">
        <f t="shared" si="4"/>
        <v/>
      </c>
      <c r="E4859" s="2">
        <f t="shared" si="5"/>
        <v>5805.15</v>
      </c>
      <c r="G4859" s="10">
        <f t="shared" si="9"/>
        <v>42841.64583</v>
      </c>
      <c r="H4859" s="6" t="str">
        <f t="shared" si="6"/>
        <v/>
      </c>
      <c r="I4859" s="2">
        <f t="shared" si="7"/>
        <v>1426.89</v>
      </c>
      <c r="M4859" s="10">
        <f>IFERROR(__xludf.DUMMYFUNCTION("""COMPUTED_VALUE"""),45029.66666666667)</f>
        <v>45029.66667</v>
      </c>
      <c r="N4859" s="2">
        <f>IFERROR(__xludf.DUMMYFUNCTION("""COMPUTED_VALUE"""),12166.27)</f>
        <v>12166.27</v>
      </c>
      <c r="P4859" s="10">
        <f t="shared" si="10"/>
        <v>38646.64583</v>
      </c>
      <c r="Q4859" s="15">
        <v>1183.48</v>
      </c>
      <c r="R4859" s="17">
        <v>38646.0</v>
      </c>
    </row>
    <row r="4860">
      <c r="A4860" s="10">
        <f t="shared" si="8"/>
        <v>42842.66667</v>
      </c>
      <c r="B4860" s="2" t="str">
        <f t="shared" si="2"/>
        <v/>
      </c>
      <c r="C4860" s="2" t="str">
        <f t="shared" si="3"/>
        <v>SP500</v>
      </c>
      <c r="D4860" s="2">
        <f t="shared" si="4"/>
        <v>5856.79</v>
      </c>
      <c r="E4860" s="2">
        <f t="shared" si="5"/>
        <v>5856.79</v>
      </c>
      <c r="G4860" s="10">
        <f t="shared" si="9"/>
        <v>42842.64583</v>
      </c>
      <c r="H4860" s="6" t="str">
        <f t="shared" si="6"/>
        <v/>
      </c>
      <c r="I4860" s="2">
        <f t="shared" si="7"/>
        <v>1426.89</v>
      </c>
      <c r="M4860" s="10">
        <f>IFERROR(__xludf.DUMMYFUNCTION("""COMPUTED_VALUE"""),45030.66666666667)</f>
        <v>45030.66667</v>
      </c>
      <c r="N4860" s="2">
        <f>IFERROR(__xludf.DUMMYFUNCTION("""COMPUTED_VALUE"""),12123.47)</f>
        <v>12123.47</v>
      </c>
      <c r="P4860" s="10">
        <f t="shared" si="10"/>
        <v>38645.64583</v>
      </c>
      <c r="Q4860" s="15">
        <v>1162.23</v>
      </c>
      <c r="R4860" s="17">
        <v>38645.0</v>
      </c>
    </row>
    <row r="4861">
      <c r="A4861" s="10">
        <f t="shared" si="8"/>
        <v>42843.66667</v>
      </c>
      <c r="B4861" s="2" t="str">
        <f t="shared" si="2"/>
        <v/>
      </c>
      <c r="C4861" s="2" t="str">
        <f t="shared" si="3"/>
        <v>SP500</v>
      </c>
      <c r="D4861" s="2">
        <f t="shared" si="4"/>
        <v>5849.47</v>
      </c>
      <c r="E4861" s="2">
        <f t="shared" si="5"/>
        <v>5849.47</v>
      </c>
      <c r="G4861" s="10">
        <f t="shared" si="9"/>
        <v>42843.64583</v>
      </c>
      <c r="H4861" s="6" t="str">
        <f t="shared" si="6"/>
        <v/>
      </c>
      <c r="I4861" s="2">
        <f t="shared" si="7"/>
        <v>1426.89</v>
      </c>
      <c r="M4861" s="10">
        <f>IFERROR(__xludf.DUMMYFUNCTION("""COMPUTED_VALUE"""),45033.66666666667)</f>
        <v>45033.66667</v>
      </c>
      <c r="N4861" s="2">
        <f>IFERROR(__xludf.DUMMYFUNCTION("""COMPUTED_VALUE"""),12157.72)</f>
        <v>12157.72</v>
      </c>
      <c r="P4861" s="10">
        <f t="shared" si="10"/>
        <v>38644.64583</v>
      </c>
      <c r="Q4861" s="15">
        <v>1153.13</v>
      </c>
      <c r="R4861" s="17">
        <v>38644.0</v>
      </c>
    </row>
    <row r="4862">
      <c r="A4862" s="10">
        <f t="shared" si="8"/>
        <v>42844.66667</v>
      </c>
      <c r="B4862" s="2" t="str">
        <f t="shared" si="2"/>
        <v/>
      </c>
      <c r="C4862" s="2" t="str">
        <f t="shared" si="3"/>
        <v>SP500</v>
      </c>
      <c r="D4862" s="2">
        <f t="shared" si="4"/>
        <v>5863.03</v>
      </c>
      <c r="E4862" s="2">
        <f t="shared" si="5"/>
        <v>5863.03</v>
      </c>
      <c r="G4862" s="10">
        <f t="shared" si="9"/>
        <v>42844.64583</v>
      </c>
      <c r="H4862" s="6" t="str">
        <f t="shared" si="6"/>
        <v/>
      </c>
      <c r="I4862" s="2">
        <f t="shared" si="7"/>
        <v>1426.89</v>
      </c>
      <c r="M4862" s="10">
        <f>IFERROR(__xludf.DUMMYFUNCTION("""COMPUTED_VALUE"""),45034.66666666667)</f>
        <v>45034.66667</v>
      </c>
      <c r="N4862" s="2">
        <f>IFERROR(__xludf.DUMMYFUNCTION("""COMPUTED_VALUE"""),12153.41)</f>
        <v>12153.41</v>
      </c>
      <c r="P4862" s="10">
        <f t="shared" si="10"/>
        <v>38643.64583</v>
      </c>
      <c r="Q4862" s="15">
        <v>1186.22</v>
      </c>
      <c r="R4862" s="17">
        <v>38643.0</v>
      </c>
    </row>
    <row r="4863">
      <c r="A4863" s="10">
        <f t="shared" si="8"/>
        <v>42845.66667</v>
      </c>
      <c r="B4863" s="2" t="str">
        <f t="shared" si="2"/>
        <v/>
      </c>
      <c r="C4863" s="2" t="str">
        <f t="shared" si="3"/>
        <v>SP500</v>
      </c>
      <c r="D4863" s="2">
        <f t="shared" si="4"/>
        <v>5916.78</v>
      </c>
      <c r="E4863" s="2">
        <f t="shared" si="5"/>
        <v>5916.78</v>
      </c>
      <c r="G4863" s="10">
        <f t="shared" si="9"/>
        <v>42845.64583</v>
      </c>
      <c r="H4863" s="6" t="str">
        <f t="shared" si="6"/>
        <v/>
      </c>
      <c r="I4863" s="2">
        <f t="shared" si="7"/>
        <v>1426.89</v>
      </c>
      <c r="M4863" s="10">
        <f>IFERROR(__xludf.DUMMYFUNCTION("""COMPUTED_VALUE"""),45035.66666666667)</f>
        <v>45035.66667</v>
      </c>
      <c r="N4863" s="2">
        <f>IFERROR(__xludf.DUMMYFUNCTION("""COMPUTED_VALUE"""),12157.23)</f>
        <v>12157.23</v>
      </c>
      <c r="P4863" s="10">
        <f t="shared" si="10"/>
        <v>38642.64583</v>
      </c>
      <c r="Q4863" s="15">
        <v>1176.36</v>
      </c>
      <c r="R4863" s="17">
        <v>38642.0</v>
      </c>
    </row>
    <row r="4864">
      <c r="A4864" s="10">
        <f t="shared" si="8"/>
        <v>42846.66667</v>
      </c>
      <c r="B4864" s="2" t="str">
        <f t="shared" si="2"/>
        <v/>
      </c>
      <c r="C4864" s="2" t="str">
        <f t="shared" si="3"/>
        <v>SP500</v>
      </c>
      <c r="D4864" s="2">
        <f t="shared" si="4"/>
        <v>5910.52</v>
      </c>
      <c r="E4864" s="2">
        <f t="shared" si="5"/>
        <v>5910.52</v>
      </c>
      <c r="G4864" s="10">
        <f t="shared" si="9"/>
        <v>42846.64583</v>
      </c>
      <c r="H4864" s="6" t="str">
        <f t="shared" si="6"/>
        <v/>
      </c>
      <c r="I4864" s="2">
        <f t="shared" si="7"/>
        <v>1426.89</v>
      </c>
      <c r="M4864" s="10">
        <f>IFERROR(__xludf.DUMMYFUNCTION("""COMPUTED_VALUE"""),45036.66666666667)</f>
        <v>45036.66667</v>
      </c>
      <c r="N4864" s="2">
        <f>IFERROR(__xludf.DUMMYFUNCTION("""COMPUTED_VALUE"""),12059.56)</f>
        <v>12059.56</v>
      </c>
      <c r="P4864" s="10">
        <f t="shared" si="10"/>
        <v>38639.64583</v>
      </c>
      <c r="Q4864" s="15">
        <v>1190.17</v>
      </c>
      <c r="R4864" s="17">
        <v>38639.0</v>
      </c>
    </row>
    <row r="4865">
      <c r="A4865" s="10">
        <f t="shared" si="8"/>
        <v>42847.66667</v>
      </c>
      <c r="B4865" s="2" t="str">
        <f t="shared" si="2"/>
        <v/>
      </c>
      <c r="C4865" s="2" t="str">
        <f t="shared" si="3"/>
        <v>SP500</v>
      </c>
      <c r="D4865" s="2" t="str">
        <f t="shared" si="4"/>
        <v/>
      </c>
      <c r="E4865" s="2">
        <f t="shared" si="5"/>
        <v>5910.52</v>
      </c>
      <c r="G4865" s="10">
        <f t="shared" si="9"/>
        <v>42847.64583</v>
      </c>
      <c r="H4865" s="6" t="str">
        <f t="shared" si="6"/>
        <v/>
      </c>
      <c r="I4865" s="2">
        <f t="shared" si="7"/>
        <v>1426.89</v>
      </c>
      <c r="M4865" s="10">
        <f>IFERROR(__xludf.DUMMYFUNCTION("""COMPUTED_VALUE"""),45037.66666666667)</f>
        <v>45037.66667</v>
      </c>
      <c r="N4865" s="2">
        <f>IFERROR(__xludf.DUMMYFUNCTION("""COMPUTED_VALUE"""),12072.46)</f>
        <v>12072.46</v>
      </c>
      <c r="P4865" s="10">
        <f t="shared" si="10"/>
        <v>38638.64583</v>
      </c>
      <c r="Q4865" s="15">
        <v>1193.44</v>
      </c>
      <c r="R4865" s="17">
        <v>38638.0</v>
      </c>
    </row>
    <row r="4866">
      <c r="A4866" s="10">
        <f t="shared" si="8"/>
        <v>42848.66667</v>
      </c>
      <c r="B4866" s="2" t="str">
        <f t="shared" si="2"/>
        <v/>
      </c>
      <c r="C4866" s="2" t="str">
        <f t="shared" si="3"/>
        <v>SP500</v>
      </c>
      <c r="D4866" s="2" t="str">
        <f t="shared" si="4"/>
        <v/>
      </c>
      <c r="E4866" s="2">
        <f t="shared" si="5"/>
        <v>5910.52</v>
      </c>
      <c r="G4866" s="10">
        <f t="shared" si="9"/>
        <v>42848.64583</v>
      </c>
      <c r="H4866" s="6" t="str">
        <f t="shared" si="6"/>
        <v/>
      </c>
      <c r="I4866" s="2">
        <f t="shared" si="7"/>
        <v>1426.89</v>
      </c>
      <c r="M4866" s="10">
        <f>IFERROR(__xludf.DUMMYFUNCTION("""COMPUTED_VALUE"""),45040.66666666667)</f>
        <v>45040.66667</v>
      </c>
      <c r="N4866" s="2">
        <f>IFERROR(__xludf.DUMMYFUNCTION("""COMPUTED_VALUE"""),12037.2)</f>
        <v>12037.2</v>
      </c>
      <c r="P4866" s="10">
        <f t="shared" si="10"/>
        <v>38637.64583</v>
      </c>
      <c r="Q4866" s="15">
        <v>1217.06</v>
      </c>
      <c r="R4866" s="17">
        <v>38637.0</v>
      </c>
    </row>
    <row r="4867">
      <c r="A4867" s="10">
        <f t="shared" si="8"/>
        <v>42849.66667</v>
      </c>
      <c r="B4867" s="2" t="str">
        <f t="shared" si="2"/>
        <v/>
      </c>
      <c r="C4867" s="2" t="str">
        <f t="shared" si="3"/>
        <v>SP500</v>
      </c>
      <c r="D4867" s="2">
        <f t="shared" si="4"/>
        <v>5983.82</v>
      </c>
      <c r="E4867" s="2">
        <f t="shared" si="5"/>
        <v>5983.82</v>
      </c>
      <c r="G4867" s="10">
        <f t="shared" si="9"/>
        <v>42849.64583</v>
      </c>
      <c r="H4867" s="6" t="str">
        <f t="shared" si="6"/>
        <v/>
      </c>
      <c r="I4867" s="2">
        <f t="shared" si="7"/>
        <v>1426.89</v>
      </c>
      <c r="M4867" s="10">
        <f>IFERROR(__xludf.DUMMYFUNCTION("""COMPUTED_VALUE"""),45041.66666666667)</f>
        <v>45041.66667</v>
      </c>
      <c r="N4867" s="2">
        <f>IFERROR(__xludf.DUMMYFUNCTION("""COMPUTED_VALUE"""),11799.16)</f>
        <v>11799.16</v>
      </c>
      <c r="P4867" s="10">
        <f t="shared" si="10"/>
        <v>38636.64583</v>
      </c>
      <c r="Q4867" s="15">
        <v>1244.27</v>
      </c>
      <c r="R4867" s="17">
        <v>38636.0</v>
      </c>
    </row>
    <row r="4868">
      <c r="A4868" s="10">
        <f t="shared" si="8"/>
        <v>42850.66667</v>
      </c>
      <c r="B4868" s="2" t="str">
        <f t="shared" si="2"/>
        <v/>
      </c>
      <c r="C4868" s="2" t="str">
        <f t="shared" si="3"/>
        <v>SP500</v>
      </c>
      <c r="D4868" s="2">
        <f t="shared" si="4"/>
        <v>6025.49</v>
      </c>
      <c r="E4868" s="2">
        <f t="shared" si="5"/>
        <v>6025.49</v>
      </c>
      <c r="G4868" s="10">
        <f t="shared" si="9"/>
        <v>42850.64583</v>
      </c>
      <c r="H4868" s="6" t="str">
        <f t="shared" si="6"/>
        <v/>
      </c>
      <c r="I4868" s="2">
        <f t="shared" si="7"/>
        <v>1426.89</v>
      </c>
      <c r="M4868" s="10">
        <f>IFERROR(__xludf.DUMMYFUNCTION("""COMPUTED_VALUE"""),45042.66666666667)</f>
        <v>45042.66667</v>
      </c>
      <c r="N4868" s="2">
        <f>IFERROR(__xludf.DUMMYFUNCTION("""COMPUTED_VALUE"""),11854.35)</f>
        <v>11854.35</v>
      </c>
      <c r="P4868" s="10">
        <f t="shared" si="10"/>
        <v>38635.64583</v>
      </c>
      <c r="Q4868" s="15">
        <v>1227.18</v>
      </c>
      <c r="R4868" s="17">
        <v>38635.0</v>
      </c>
    </row>
    <row r="4869">
      <c r="A4869" s="10">
        <f t="shared" si="8"/>
        <v>42851.66667</v>
      </c>
      <c r="B4869" s="2" t="str">
        <f t="shared" si="2"/>
        <v/>
      </c>
      <c r="C4869" s="2" t="str">
        <f t="shared" si="3"/>
        <v>SP500</v>
      </c>
      <c r="D4869" s="2">
        <f t="shared" si="4"/>
        <v>6025.23</v>
      </c>
      <c r="E4869" s="2">
        <f t="shared" si="5"/>
        <v>6025.23</v>
      </c>
      <c r="G4869" s="10">
        <f t="shared" si="9"/>
        <v>42851.64583</v>
      </c>
      <c r="H4869" s="6" t="str">
        <f t="shared" si="6"/>
        <v/>
      </c>
      <c r="I4869" s="2">
        <f t="shared" si="7"/>
        <v>1426.89</v>
      </c>
      <c r="M4869" s="10">
        <f>IFERROR(__xludf.DUMMYFUNCTION("""COMPUTED_VALUE"""),45043.66666666667)</f>
        <v>45043.66667</v>
      </c>
      <c r="N4869" s="2">
        <f>IFERROR(__xludf.DUMMYFUNCTION("""COMPUTED_VALUE"""),12142.24)</f>
        <v>12142.24</v>
      </c>
      <c r="P4869" s="10">
        <f t="shared" si="10"/>
        <v>38632.64583</v>
      </c>
      <c r="Q4869" s="15">
        <v>1201.01</v>
      </c>
      <c r="R4869" s="18">
        <v>38632.0</v>
      </c>
    </row>
    <row r="4870">
      <c r="A4870" s="10">
        <f t="shared" si="8"/>
        <v>42852.66667</v>
      </c>
      <c r="B4870" s="2" t="str">
        <f t="shared" si="2"/>
        <v/>
      </c>
      <c r="C4870" s="2" t="str">
        <f t="shared" si="3"/>
        <v>SP500</v>
      </c>
      <c r="D4870" s="2">
        <f t="shared" si="4"/>
        <v>6048.94</v>
      </c>
      <c r="E4870" s="2">
        <f t="shared" si="5"/>
        <v>6048.94</v>
      </c>
      <c r="G4870" s="10">
        <f t="shared" si="9"/>
        <v>42852.64583</v>
      </c>
      <c r="H4870" s="6" t="str">
        <f t="shared" si="6"/>
        <v/>
      </c>
      <c r="I4870" s="2">
        <f t="shared" si="7"/>
        <v>1426.89</v>
      </c>
      <c r="M4870" s="10">
        <f>IFERROR(__xludf.DUMMYFUNCTION("""COMPUTED_VALUE"""),45044.66666666667)</f>
        <v>45044.66667</v>
      </c>
      <c r="N4870" s="2">
        <f>IFERROR(__xludf.DUMMYFUNCTION("""COMPUTED_VALUE"""),12226.58)</f>
        <v>12226.58</v>
      </c>
      <c r="P4870" s="10">
        <f t="shared" si="10"/>
        <v>38631.64583</v>
      </c>
      <c r="Q4870" s="15">
        <v>1202.49</v>
      </c>
      <c r="R4870" s="18">
        <v>38631.0</v>
      </c>
    </row>
    <row r="4871">
      <c r="A4871" s="10">
        <f t="shared" si="8"/>
        <v>42853.66667</v>
      </c>
      <c r="B4871" s="2" t="str">
        <f t="shared" si="2"/>
        <v/>
      </c>
      <c r="C4871" s="2" t="str">
        <f t="shared" si="3"/>
        <v>SP500</v>
      </c>
      <c r="D4871" s="2">
        <f t="shared" si="4"/>
        <v>6047.61</v>
      </c>
      <c r="E4871" s="2">
        <f t="shared" si="5"/>
        <v>6047.61</v>
      </c>
      <c r="G4871" s="10">
        <f t="shared" si="9"/>
        <v>42853.64583</v>
      </c>
      <c r="H4871" s="6" t="str">
        <f t="shared" si="6"/>
        <v/>
      </c>
      <c r="I4871" s="2">
        <f t="shared" si="7"/>
        <v>1426.89</v>
      </c>
      <c r="M4871" s="10">
        <f>IFERROR(__xludf.DUMMYFUNCTION("""COMPUTED_VALUE"""),45047.66666666667)</f>
        <v>45047.66667</v>
      </c>
      <c r="N4871" s="2">
        <f>IFERROR(__xludf.DUMMYFUNCTION("""COMPUTED_VALUE"""),12212.6)</f>
        <v>12212.6</v>
      </c>
      <c r="P4871" s="10">
        <f t="shared" si="10"/>
        <v>38630.64583</v>
      </c>
      <c r="Q4871" s="15">
        <v>1227.4</v>
      </c>
      <c r="R4871" s="18">
        <v>38630.0</v>
      </c>
    </row>
    <row r="4872">
      <c r="A4872" s="10">
        <f t="shared" si="8"/>
        <v>42854.66667</v>
      </c>
      <c r="B4872" s="2" t="str">
        <f t="shared" si="2"/>
        <v/>
      </c>
      <c r="C4872" s="2" t="str">
        <f t="shared" si="3"/>
        <v>SP500</v>
      </c>
      <c r="D4872" s="2" t="str">
        <f t="shared" si="4"/>
        <v/>
      </c>
      <c r="E4872" s="2">
        <f t="shared" si="5"/>
        <v>6047.61</v>
      </c>
      <c r="G4872" s="10">
        <f t="shared" si="9"/>
        <v>42854.64583</v>
      </c>
      <c r="H4872" s="6" t="str">
        <f t="shared" si="6"/>
        <v/>
      </c>
      <c r="I4872" s="2">
        <f t="shared" si="7"/>
        <v>1426.89</v>
      </c>
      <c r="M4872" s="10">
        <f>IFERROR(__xludf.DUMMYFUNCTION("""COMPUTED_VALUE"""),45048.66666666667)</f>
        <v>45048.66667</v>
      </c>
      <c r="N4872" s="2">
        <f>IFERROR(__xludf.DUMMYFUNCTION("""COMPUTED_VALUE"""),12080.51)</f>
        <v>12080.51</v>
      </c>
      <c r="P4872" s="10">
        <f t="shared" si="10"/>
        <v>38629.64583</v>
      </c>
      <c r="Q4872" s="15">
        <v>1242.78</v>
      </c>
      <c r="R4872" s="18">
        <v>38629.0</v>
      </c>
    </row>
    <row r="4873">
      <c r="A4873" s="10">
        <f t="shared" si="8"/>
        <v>42855.66667</v>
      </c>
      <c r="B4873" s="2" t="str">
        <f t="shared" si="2"/>
        <v/>
      </c>
      <c r="C4873" s="2" t="str">
        <f t="shared" si="3"/>
        <v>SP500</v>
      </c>
      <c r="D4873" s="2" t="str">
        <f t="shared" si="4"/>
        <v/>
      </c>
      <c r="E4873" s="2">
        <f t="shared" si="5"/>
        <v>6047.61</v>
      </c>
      <c r="G4873" s="10">
        <f t="shared" si="9"/>
        <v>42855.64583</v>
      </c>
      <c r="H4873" s="6" t="str">
        <f t="shared" si="6"/>
        <v/>
      </c>
      <c r="I4873" s="2">
        <f t="shared" si="7"/>
        <v>1426.89</v>
      </c>
      <c r="M4873" s="10">
        <f>IFERROR(__xludf.DUMMYFUNCTION("""COMPUTED_VALUE"""),45049.66666666667)</f>
        <v>45049.66667</v>
      </c>
      <c r="N4873" s="2">
        <f>IFERROR(__xludf.DUMMYFUNCTION("""COMPUTED_VALUE"""),12025.33)</f>
        <v>12025.33</v>
      </c>
      <c r="P4873" s="10">
        <f t="shared" si="10"/>
        <v>38625.64583</v>
      </c>
      <c r="Q4873" s="15">
        <v>1221.01</v>
      </c>
      <c r="R4873" s="18">
        <v>38625.0</v>
      </c>
    </row>
    <row r="4874">
      <c r="A4874" s="10">
        <f t="shared" si="8"/>
        <v>42856.66667</v>
      </c>
      <c r="B4874" s="2" t="str">
        <f t="shared" si="2"/>
        <v/>
      </c>
      <c r="C4874" s="2" t="str">
        <f t="shared" si="3"/>
        <v>SP500</v>
      </c>
      <c r="D4874" s="2">
        <f t="shared" si="4"/>
        <v>6091.6</v>
      </c>
      <c r="E4874" s="2">
        <f t="shared" si="5"/>
        <v>6091.6</v>
      </c>
      <c r="G4874" s="10">
        <f t="shared" si="9"/>
        <v>42856.64583</v>
      </c>
      <c r="H4874" s="6" t="str">
        <f t="shared" si="6"/>
        <v/>
      </c>
      <c r="I4874" s="2">
        <f t="shared" si="7"/>
        <v>1426.89</v>
      </c>
      <c r="M4874" s="10">
        <f>IFERROR(__xludf.DUMMYFUNCTION("""COMPUTED_VALUE"""),45050.66666666667)</f>
        <v>45050.66667</v>
      </c>
      <c r="N4874" s="2">
        <f>IFERROR(__xludf.DUMMYFUNCTION("""COMPUTED_VALUE"""),11966.4)</f>
        <v>11966.4</v>
      </c>
      <c r="P4874" s="10">
        <f t="shared" si="10"/>
        <v>38624.64583</v>
      </c>
      <c r="Q4874" s="15">
        <v>1231.22</v>
      </c>
      <c r="R4874" s="18">
        <v>38624.0</v>
      </c>
    </row>
    <row r="4875">
      <c r="A4875" s="10">
        <f t="shared" si="8"/>
        <v>42857.66667</v>
      </c>
      <c r="B4875" s="2" t="str">
        <f t="shared" si="2"/>
        <v/>
      </c>
      <c r="C4875" s="2" t="str">
        <f t="shared" si="3"/>
        <v>SP500</v>
      </c>
      <c r="D4875" s="2">
        <f t="shared" si="4"/>
        <v>6095.37</v>
      </c>
      <c r="E4875" s="2">
        <f t="shared" si="5"/>
        <v>6095.37</v>
      </c>
      <c r="G4875" s="10">
        <f t="shared" si="9"/>
        <v>42857.64583</v>
      </c>
      <c r="H4875" s="6" t="str">
        <f t="shared" si="6"/>
        <v/>
      </c>
      <c r="I4875" s="2">
        <f t="shared" si="7"/>
        <v>1426.89</v>
      </c>
      <c r="M4875" s="10">
        <f>IFERROR(__xludf.DUMMYFUNCTION("""COMPUTED_VALUE"""),45051.66666666667)</f>
        <v>45051.66667</v>
      </c>
      <c r="N4875" s="2">
        <f>IFERROR(__xludf.DUMMYFUNCTION("""COMPUTED_VALUE"""),12235.41)</f>
        <v>12235.41</v>
      </c>
      <c r="P4875" s="10">
        <f t="shared" si="10"/>
        <v>38623.64583</v>
      </c>
      <c r="Q4875" s="15">
        <v>1228.57</v>
      </c>
      <c r="R4875" s="18">
        <v>38623.0</v>
      </c>
    </row>
    <row r="4876">
      <c r="A4876" s="10">
        <f t="shared" si="8"/>
        <v>42858.66667</v>
      </c>
      <c r="B4876" s="2" t="str">
        <f t="shared" si="2"/>
        <v/>
      </c>
      <c r="C4876" s="2" t="str">
        <f t="shared" si="3"/>
        <v>SP500</v>
      </c>
      <c r="D4876" s="2">
        <f t="shared" si="4"/>
        <v>6072.55</v>
      </c>
      <c r="E4876" s="2">
        <f t="shared" si="5"/>
        <v>6072.55</v>
      </c>
      <c r="G4876" s="10">
        <f t="shared" si="9"/>
        <v>42858.64583</v>
      </c>
      <c r="H4876" s="6" t="str">
        <f t="shared" si="6"/>
        <v/>
      </c>
      <c r="I4876" s="2">
        <f t="shared" si="7"/>
        <v>1426.89</v>
      </c>
      <c r="M4876" s="10">
        <f>IFERROR(__xludf.DUMMYFUNCTION("""COMPUTED_VALUE"""),45054.66666666667)</f>
        <v>45054.66667</v>
      </c>
      <c r="N4876" s="2">
        <f>IFERROR(__xludf.DUMMYFUNCTION("""COMPUTED_VALUE"""),12256.92)</f>
        <v>12256.92</v>
      </c>
      <c r="P4876" s="10">
        <f t="shared" si="10"/>
        <v>38622.64583</v>
      </c>
      <c r="Q4876" s="15">
        <v>1209.63</v>
      </c>
      <c r="R4876" s="18">
        <v>38622.0</v>
      </c>
    </row>
    <row r="4877">
      <c r="A4877" s="10">
        <f t="shared" si="8"/>
        <v>42859.66667</v>
      </c>
      <c r="B4877" s="2" t="str">
        <f t="shared" si="2"/>
        <v/>
      </c>
      <c r="C4877" s="2" t="str">
        <f t="shared" si="3"/>
        <v>SP500</v>
      </c>
      <c r="D4877" s="2">
        <f t="shared" si="4"/>
        <v>6075.34</v>
      </c>
      <c r="E4877" s="2">
        <f t="shared" si="5"/>
        <v>6075.34</v>
      </c>
      <c r="G4877" s="10">
        <f t="shared" si="9"/>
        <v>42859.64583</v>
      </c>
      <c r="H4877" s="6" t="str">
        <f t="shared" si="6"/>
        <v/>
      </c>
      <c r="I4877" s="2">
        <f t="shared" si="7"/>
        <v>1426.89</v>
      </c>
      <c r="M4877" s="10">
        <f>IFERROR(__xludf.DUMMYFUNCTION("""COMPUTED_VALUE"""),45055.66666666667)</f>
        <v>45055.66667</v>
      </c>
      <c r="N4877" s="2">
        <f>IFERROR(__xludf.DUMMYFUNCTION("""COMPUTED_VALUE"""),12179.55)</f>
        <v>12179.55</v>
      </c>
      <c r="P4877" s="10">
        <f t="shared" si="10"/>
        <v>38621.64583</v>
      </c>
      <c r="Q4877" s="15">
        <v>1206.41</v>
      </c>
      <c r="R4877" s="18">
        <v>38621.0</v>
      </c>
    </row>
    <row r="4878">
      <c r="A4878" s="10">
        <f t="shared" si="8"/>
        <v>42860.66667</v>
      </c>
      <c r="B4878" s="2" t="str">
        <f t="shared" si="2"/>
        <v/>
      </c>
      <c r="C4878" s="2" t="str">
        <f t="shared" si="3"/>
        <v>SP500</v>
      </c>
      <c r="D4878" s="2">
        <f t="shared" si="4"/>
        <v>6100.76</v>
      </c>
      <c r="E4878" s="2">
        <f t="shared" si="5"/>
        <v>6100.76</v>
      </c>
      <c r="G4878" s="10">
        <f t="shared" si="9"/>
        <v>42860.64583</v>
      </c>
      <c r="H4878" s="6" t="str">
        <f t="shared" si="6"/>
        <v/>
      </c>
      <c r="I4878" s="2">
        <f t="shared" si="7"/>
        <v>1426.89</v>
      </c>
      <c r="M4878" s="10">
        <f>IFERROR(__xludf.DUMMYFUNCTION("""COMPUTED_VALUE"""),45056.66666666667)</f>
        <v>45056.66667</v>
      </c>
      <c r="N4878" s="2">
        <f>IFERROR(__xludf.DUMMYFUNCTION("""COMPUTED_VALUE"""),12306.44)</f>
        <v>12306.44</v>
      </c>
      <c r="P4878" s="10">
        <f t="shared" si="10"/>
        <v>38618.64583</v>
      </c>
      <c r="Q4878" s="15">
        <v>1175.88</v>
      </c>
      <c r="R4878" s="18">
        <v>38618.0</v>
      </c>
    </row>
    <row r="4879">
      <c r="A4879" s="10">
        <f t="shared" si="8"/>
        <v>42861.66667</v>
      </c>
      <c r="B4879" s="2" t="str">
        <f t="shared" si="2"/>
        <v/>
      </c>
      <c r="C4879" s="2" t="str">
        <f t="shared" si="3"/>
        <v>SP500</v>
      </c>
      <c r="D4879" s="2" t="str">
        <f t="shared" si="4"/>
        <v/>
      </c>
      <c r="E4879" s="2">
        <f t="shared" si="5"/>
        <v>6100.76</v>
      </c>
      <c r="G4879" s="10">
        <f t="shared" si="9"/>
        <v>42861.64583</v>
      </c>
      <c r="H4879" s="6" t="str">
        <f t="shared" si="6"/>
        <v/>
      </c>
      <c r="I4879" s="2">
        <f t="shared" si="7"/>
        <v>1426.89</v>
      </c>
      <c r="M4879" s="10">
        <f>IFERROR(__xludf.DUMMYFUNCTION("""COMPUTED_VALUE"""),45057.66666666667)</f>
        <v>45057.66667</v>
      </c>
      <c r="N4879" s="2">
        <f>IFERROR(__xludf.DUMMYFUNCTION("""COMPUTED_VALUE"""),12328.51)</f>
        <v>12328.51</v>
      </c>
      <c r="P4879" s="10">
        <f t="shared" si="10"/>
        <v>38617.64583</v>
      </c>
      <c r="Q4879" s="15">
        <v>1199.97</v>
      </c>
      <c r="R4879" s="18">
        <v>38617.0</v>
      </c>
    </row>
    <row r="4880">
      <c r="A4880" s="10">
        <f t="shared" si="8"/>
        <v>42862.66667</v>
      </c>
      <c r="B4880" s="2" t="str">
        <f t="shared" si="2"/>
        <v/>
      </c>
      <c r="C4880" s="2" t="str">
        <f t="shared" si="3"/>
        <v>SP500</v>
      </c>
      <c r="D4880" s="2" t="str">
        <f t="shared" si="4"/>
        <v/>
      </c>
      <c r="E4880" s="2">
        <f t="shared" si="5"/>
        <v>6100.76</v>
      </c>
      <c r="G4880" s="10">
        <f t="shared" si="9"/>
        <v>42862.64583</v>
      </c>
      <c r="H4880" s="6" t="str">
        <f t="shared" si="6"/>
        <v/>
      </c>
      <c r="I4880" s="2">
        <f t="shared" si="7"/>
        <v>1426.89</v>
      </c>
      <c r="M4880" s="10">
        <f>IFERROR(__xludf.DUMMYFUNCTION("""COMPUTED_VALUE"""),45058.66666666667)</f>
        <v>45058.66667</v>
      </c>
      <c r="N4880" s="2">
        <f>IFERROR(__xludf.DUMMYFUNCTION("""COMPUTED_VALUE"""),12284.74)</f>
        <v>12284.74</v>
      </c>
      <c r="P4880" s="10">
        <f t="shared" si="10"/>
        <v>38616.64583</v>
      </c>
      <c r="Q4880" s="15">
        <v>1196.67</v>
      </c>
      <c r="R4880" s="18">
        <v>38616.0</v>
      </c>
    </row>
    <row r="4881">
      <c r="A4881" s="10">
        <f t="shared" si="8"/>
        <v>42863.66667</v>
      </c>
      <c r="B4881" s="2" t="str">
        <f t="shared" si="2"/>
        <v/>
      </c>
      <c r="C4881" s="2" t="str">
        <f t="shared" si="3"/>
        <v>SP500</v>
      </c>
      <c r="D4881" s="2">
        <f t="shared" si="4"/>
        <v>6102.66</v>
      </c>
      <c r="E4881" s="2">
        <f t="shared" si="5"/>
        <v>6102.66</v>
      </c>
      <c r="G4881" s="10">
        <f t="shared" si="9"/>
        <v>42863.64583</v>
      </c>
      <c r="H4881" s="6" t="str">
        <f t="shared" si="6"/>
        <v/>
      </c>
      <c r="I4881" s="2">
        <f t="shared" si="7"/>
        <v>1426.89</v>
      </c>
      <c r="M4881" s="10">
        <f>IFERROR(__xludf.DUMMYFUNCTION("""COMPUTED_VALUE"""),45061.66666666667)</f>
        <v>45061.66667</v>
      </c>
      <c r="N4881" s="2">
        <f>IFERROR(__xludf.DUMMYFUNCTION("""COMPUTED_VALUE"""),12365.21)</f>
        <v>12365.21</v>
      </c>
      <c r="P4881" s="10">
        <f t="shared" si="10"/>
        <v>38615.64583</v>
      </c>
      <c r="Q4881" s="15">
        <v>1190.93</v>
      </c>
      <c r="R4881" s="18">
        <v>38615.0</v>
      </c>
    </row>
    <row r="4882">
      <c r="A4882" s="10">
        <f t="shared" si="8"/>
        <v>42864.66667</v>
      </c>
      <c r="B4882" s="2" t="str">
        <f t="shared" si="2"/>
        <v/>
      </c>
      <c r="C4882" s="2" t="str">
        <f t="shared" si="3"/>
        <v>SP500</v>
      </c>
      <c r="D4882" s="2">
        <f t="shared" si="4"/>
        <v>6120.59</v>
      </c>
      <c r="E4882" s="2">
        <f t="shared" si="5"/>
        <v>6120.59</v>
      </c>
      <c r="G4882" s="10">
        <f t="shared" si="9"/>
        <v>42864.64583</v>
      </c>
      <c r="H4882" s="6" t="str">
        <f t="shared" si="6"/>
        <v/>
      </c>
      <c r="I4882" s="2">
        <f t="shared" si="7"/>
        <v>1426.89</v>
      </c>
      <c r="M4882" s="10">
        <f>IFERROR(__xludf.DUMMYFUNCTION("""COMPUTED_VALUE"""),45062.66666666667)</f>
        <v>45062.66667</v>
      </c>
      <c r="N4882" s="2">
        <f>IFERROR(__xludf.DUMMYFUNCTION("""COMPUTED_VALUE"""),12343.05)</f>
        <v>12343.05</v>
      </c>
      <c r="P4882" s="10">
        <f t="shared" si="10"/>
        <v>38611.64583</v>
      </c>
      <c r="Q4882" s="15">
        <v>1174.13</v>
      </c>
      <c r="R4882" s="18">
        <v>38611.0</v>
      </c>
    </row>
    <row r="4883">
      <c r="A4883" s="10">
        <f t="shared" si="8"/>
        <v>42865.66667</v>
      </c>
      <c r="B4883" s="2" t="str">
        <f t="shared" si="2"/>
        <v/>
      </c>
      <c r="C4883" s="2" t="str">
        <f t="shared" si="3"/>
        <v>SP500</v>
      </c>
      <c r="D4883" s="2">
        <f t="shared" si="4"/>
        <v>6129.14</v>
      </c>
      <c r="E4883" s="2">
        <f t="shared" si="5"/>
        <v>6129.14</v>
      </c>
      <c r="G4883" s="10">
        <f t="shared" si="9"/>
        <v>42865.64583</v>
      </c>
      <c r="H4883" s="6" t="str">
        <f t="shared" si="6"/>
        <v/>
      </c>
      <c r="I4883" s="2">
        <f t="shared" si="7"/>
        <v>1426.89</v>
      </c>
      <c r="M4883" s="10">
        <f>IFERROR(__xludf.DUMMYFUNCTION("""COMPUTED_VALUE"""),45063.66666666667)</f>
        <v>45063.66667</v>
      </c>
      <c r="N4883" s="2">
        <f>IFERROR(__xludf.DUMMYFUNCTION("""COMPUTED_VALUE"""),12500.57)</f>
        <v>12500.57</v>
      </c>
      <c r="P4883" s="10">
        <f t="shared" si="10"/>
        <v>38610.64583</v>
      </c>
      <c r="Q4883" s="15">
        <v>1169.59</v>
      </c>
      <c r="R4883" s="18">
        <v>38610.0</v>
      </c>
    </row>
    <row r="4884">
      <c r="A4884" s="10">
        <f t="shared" si="8"/>
        <v>42866.66667</v>
      </c>
      <c r="B4884" s="2" t="str">
        <f t="shared" si="2"/>
        <v/>
      </c>
      <c r="C4884" s="2" t="str">
        <f t="shared" si="3"/>
        <v>SP500</v>
      </c>
      <c r="D4884" s="2">
        <f t="shared" si="4"/>
        <v>6115.96</v>
      </c>
      <c r="E4884" s="2">
        <f t="shared" si="5"/>
        <v>6115.96</v>
      </c>
      <c r="G4884" s="10">
        <f t="shared" si="9"/>
        <v>42866.64583</v>
      </c>
      <c r="H4884" s="6" t="str">
        <f t="shared" si="6"/>
        <v/>
      </c>
      <c r="I4884" s="2">
        <f t="shared" si="7"/>
        <v>1426.89</v>
      </c>
      <c r="M4884" s="10">
        <f>IFERROR(__xludf.DUMMYFUNCTION("""COMPUTED_VALUE"""),45064.66666666667)</f>
        <v>45064.66667</v>
      </c>
      <c r="N4884" s="2">
        <f>IFERROR(__xludf.DUMMYFUNCTION("""COMPUTED_VALUE"""),12688.84)</f>
        <v>12688.84</v>
      </c>
      <c r="P4884" s="10">
        <f t="shared" si="10"/>
        <v>38609.64583</v>
      </c>
      <c r="Q4884" s="15">
        <v>1170.77</v>
      </c>
      <c r="R4884" s="18">
        <v>38609.0</v>
      </c>
    </row>
    <row r="4885">
      <c r="A4885" s="10">
        <f t="shared" si="8"/>
        <v>42867.66667</v>
      </c>
      <c r="B4885" s="2" t="str">
        <f t="shared" si="2"/>
        <v/>
      </c>
      <c r="C4885" s="2" t="str">
        <f t="shared" si="3"/>
        <v>SP500</v>
      </c>
      <c r="D4885" s="2">
        <f t="shared" si="4"/>
        <v>6121.23</v>
      </c>
      <c r="E4885" s="2">
        <f t="shared" si="5"/>
        <v>6121.23</v>
      </c>
      <c r="G4885" s="10">
        <f t="shared" si="9"/>
        <v>42867.64583</v>
      </c>
      <c r="H4885" s="6" t="str">
        <f t="shared" si="6"/>
        <v/>
      </c>
      <c r="I4885" s="2">
        <f t="shared" si="7"/>
        <v>1426.89</v>
      </c>
      <c r="M4885" s="10">
        <f>IFERROR(__xludf.DUMMYFUNCTION("""COMPUTED_VALUE"""),45065.66666666667)</f>
        <v>45065.66667</v>
      </c>
      <c r="N4885" s="2">
        <f>IFERROR(__xludf.DUMMYFUNCTION("""COMPUTED_VALUE"""),12657.9)</f>
        <v>12657.9</v>
      </c>
      <c r="P4885" s="10">
        <f t="shared" si="10"/>
        <v>38608.64583</v>
      </c>
      <c r="Q4885" s="15">
        <v>1158.12</v>
      </c>
      <c r="R4885" s="18">
        <v>38608.0</v>
      </c>
    </row>
    <row r="4886">
      <c r="A4886" s="10">
        <f t="shared" si="8"/>
        <v>42868.66667</v>
      </c>
      <c r="B4886" s="2" t="str">
        <f t="shared" si="2"/>
        <v/>
      </c>
      <c r="C4886" s="2" t="str">
        <f t="shared" si="3"/>
        <v>SP500</v>
      </c>
      <c r="D4886" s="2" t="str">
        <f t="shared" si="4"/>
        <v/>
      </c>
      <c r="E4886" s="2">
        <f t="shared" si="5"/>
        <v>6121.23</v>
      </c>
      <c r="G4886" s="10">
        <f t="shared" si="9"/>
        <v>42868.64583</v>
      </c>
      <c r="H4886" s="6" t="str">
        <f t="shared" si="6"/>
        <v/>
      </c>
      <c r="I4886" s="2">
        <f t="shared" si="7"/>
        <v>1426.89</v>
      </c>
      <c r="M4886" s="10">
        <f>IFERROR(__xludf.DUMMYFUNCTION("""COMPUTED_VALUE"""),45068.66666666667)</f>
        <v>45068.66667</v>
      </c>
      <c r="N4886" s="2">
        <f>IFERROR(__xludf.DUMMYFUNCTION("""COMPUTED_VALUE"""),12720.78)</f>
        <v>12720.78</v>
      </c>
      <c r="P4886" s="10">
        <f t="shared" si="10"/>
        <v>38607.64583</v>
      </c>
      <c r="Q4886" s="15">
        <v>1158.36</v>
      </c>
      <c r="R4886" s="18">
        <v>38607.0</v>
      </c>
    </row>
    <row r="4887">
      <c r="A4887" s="10">
        <f t="shared" si="8"/>
        <v>42869.66667</v>
      </c>
      <c r="B4887" s="2" t="str">
        <f t="shared" si="2"/>
        <v/>
      </c>
      <c r="C4887" s="2" t="str">
        <f t="shared" si="3"/>
        <v>SP500</v>
      </c>
      <c r="D4887" s="2" t="str">
        <f t="shared" si="4"/>
        <v/>
      </c>
      <c r="E4887" s="2">
        <f t="shared" si="5"/>
        <v>6121.23</v>
      </c>
      <c r="G4887" s="10">
        <f t="shared" si="9"/>
        <v>42869.64583</v>
      </c>
      <c r="H4887" s="6" t="str">
        <f t="shared" si="6"/>
        <v/>
      </c>
      <c r="I4887" s="2">
        <f t="shared" si="7"/>
        <v>1426.89</v>
      </c>
      <c r="M4887" s="10">
        <f>IFERROR(__xludf.DUMMYFUNCTION("""COMPUTED_VALUE"""),45069.66666666667)</f>
        <v>45069.66667</v>
      </c>
      <c r="N4887" s="2">
        <f>IFERROR(__xludf.DUMMYFUNCTION("""COMPUTED_VALUE"""),12560.25)</f>
        <v>12560.25</v>
      </c>
      <c r="P4887" s="10">
        <f t="shared" si="10"/>
        <v>38604.64583</v>
      </c>
      <c r="Q4887" s="15">
        <v>1152.5</v>
      </c>
      <c r="R4887" s="18">
        <v>38604.0</v>
      </c>
    </row>
    <row r="4888">
      <c r="A4888" s="10">
        <f t="shared" si="8"/>
        <v>42870.66667</v>
      </c>
      <c r="B4888" s="2" t="str">
        <f t="shared" si="2"/>
        <v/>
      </c>
      <c r="C4888" s="2" t="str">
        <f t="shared" si="3"/>
        <v>SP500</v>
      </c>
      <c r="D4888" s="2">
        <f t="shared" si="4"/>
        <v>6149.67</v>
      </c>
      <c r="E4888" s="2">
        <f t="shared" si="5"/>
        <v>6149.67</v>
      </c>
      <c r="G4888" s="10">
        <f t="shared" si="9"/>
        <v>42870.64583</v>
      </c>
      <c r="H4888" s="6" t="str">
        <f t="shared" si="6"/>
        <v/>
      </c>
      <c r="I4888" s="2">
        <f t="shared" si="7"/>
        <v>1426.89</v>
      </c>
      <c r="M4888" s="10">
        <f>IFERROR(__xludf.DUMMYFUNCTION("""COMPUTED_VALUE"""),45070.66666666667)</f>
        <v>45070.66667</v>
      </c>
      <c r="N4888" s="2">
        <f>IFERROR(__xludf.DUMMYFUNCTION("""COMPUTED_VALUE"""),12484.16)</f>
        <v>12484.16</v>
      </c>
      <c r="P4888" s="10">
        <f t="shared" si="10"/>
        <v>38603.64583</v>
      </c>
      <c r="Q4888" s="15">
        <v>1145.26</v>
      </c>
      <c r="R4888" s="18">
        <v>38603.0</v>
      </c>
    </row>
    <row r="4889">
      <c r="A4889" s="10">
        <f t="shared" si="8"/>
        <v>42871.66667</v>
      </c>
      <c r="B4889" s="2" t="str">
        <f t="shared" si="2"/>
        <v/>
      </c>
      <c r="C4889" s="2" t="str">
        <f t="shared" si="3"/>
        <v>SP500</v>
      </c>
      <c r="D4889" s="2">
        <f t="shared" si="4"/>
        <v>6169.87</v>
      </c>
      <c r="E4889" s="2">
        <f t="shared" si="5"/>
        <v>6169.87</v>
      </c>
      <c r="G4889" s="10">
        <f t="shared" si="9"/>
        <v>42871.64583</v>
      </c>
      <c r="H4889" s="6" t="str">
        <f t="shared" si="6"/>
        <v/>
      </c>
      <c r="I4889" s="2">
        <f t="shared" si="7"/>
        <v>1426.89</v>
      </c>
      <c r="M4889" s="10">
        <f>IFERROR(__xludf.DUMMYFUNCTION("""COMPUTED_VALUE"""),45071.66666666667)</f>
        <v>45071.66667</v>
      </c>
      <c r="N4889" s="2">
        <f>IFERROR(__xludf.DUMMYFUNCTION("""COMPUTED_VALUE"""),12698.09)</f>
        <v>12698.09</v>
      </c>
      <c r="P4889" s="10">
        <f t="shared" si="10"/>
        <v>38602.64583</v>
      </c>
      <c r="Q4889" s="15">
        <v>1142.99</v>
      </c>
      <c r="R4889" s="18">
        <v>38602.0</v>
      </c>
    </row>
    <row r="4890">
      <c r="A4890" s="10">
        <f t="shared" si="8"/>
        <v>42872.66667</v>
      </c>
      <c r="B4890" s="2" t="str">
        <f t="shared" si="2"/>
        <v/>
      </c>
      <c r="C4890" s="2" t="str">
        <f t="shared" si="3"/>
        <v>SP500</v>
      </c>
      <c r="D4890" s="2">
        <f t="shared" si="4"/>
        <v>6011.24</v>
      </c>
      <c r="E4890" s="2">
        <f t="shared" si="5"/>
        <v>6011.24</v>
      </c>
      <c r="G4890" s="10">
        <f t="shared" si="9"/>
        <v>42872.64583</v>
      </c>
      <c r="H4890" s="6" t="str">
        <f t="shared" si="6"/>
        <v/>
      </c>
      <c r="I4890" s="2">
        <f t="shared" si="7"/>
        <v>1426.89</v>
      </c>
      <c r="M4890" s="10">
        <f>IFERROR(__xludf.DUMMYFUNCTION("""COMPUTED_VALUE"""),45072.66666666667)</f>
        <v>45072.66667</v>
      </c>
      <c r="N4890" s="2">
        <f>IFERROR(__xludf.DUMMYFUNCTION("""COMPUTED_VALUE"""),12975.69)</f>
        <v>12975.69</v>
      </c>
      <c r="P4890" s="10">
        <f t="shared" si="10"/>
        <v>38601.64583</v>
      </c>
      <c r="Q4890" s="15">
        <v>1122.65</v>
      </c>
      <c r="R4890" s="18">
        <v>38601.0</v>
      </c>
    </row>
    <row r="4891">
      <c r="A4891" s="10">
        <f t="shared" si="8"/>
        <v>42873.66667</v>
      </c>
      <c r="B4891" s="2" t="str">
        <f t="shared" si="2"/>
        <v/>
      </c>
      <c r="C4891" s="2" t="str">
        <f t="shared" si="3"/>
        <v>SP500</v>
      </c>
      <c r="D4891" s="2">
        <f t="shared" si="4"/>
        <v>6055.13</v>
      </c>
      <c r="E4891" s="2">
        <f t="shared" si="5"/>
        <v>6055.13</v>
      </c>
      <c r="G4891" s="10">
        <f t="shared" si="9"/>
        <v>42873.64583</v>
      </c>
      <c r="H4891" s="6" t="str">
        <f t="shared" si="6"/>
        <v/>
      </c>
      <c r="I4891" s="2">
        <f t="shared" si="7"/>
        <v>1426.89</v>
      </c>
      <c r="M4891" s="10">
        <f>IFERROR(__xludf.DUMMYFUNCTION("""COMPUTED_VALUE"""),45076.66666666667)</f>
        <v>45076.66667</v>
      </c>
      <c r="N4891" s="2">
        <f>IFERROR(__xludf.DUMMYFUNCTION("""COMPUTED_VALUE"""),13017.43)</f>
        <v>13017.43</v>
      </c>
      <c r="P4891" s="10">
        <f t="shared" si="10"/>
        <v>38600.64583</v>
      </c>
      <c r="Q4891" s="15">
        <v>1114.5</v>
      </c>
      <c r="R4891" s="18">
        <v>38600.0</v>
      </c>
    </row>
    <row r="4892">
      <c r="A4892" s="10">
        <f t="shared" si="8"/>
        <v>42874.66667</v>
      </c>
      <c r="B4892" s="2" t="str">
        <f t="shared" si="2"/>
        <v/>
      </c>
      <c r="C4892" s="2" t="str">
        <f t="shared" si="3"/>
        <v>SP500</v>
      </c>
      <c r="D4892" s="2">
        <f t="shared" si="4"/>
        <v>6083.7</v>
      </c>
      <c r="E4892" s="2">
        <f t="shared" si="5"/>
        <v>6083.7</v>
      </c>
      <c r="G4892" s="10">
        <f t="shared" si="9"/>
        <v>42874.64583</v>
      </c>
      <c r="H4892" s="6" t="str">
        <f t="shared" si="6"/>
        <v/>
      </c>
      <c r="I4892" s="2">
        <f t="shared" si="7"/>
        <v>1426.89</v>
      </c>
      <c r="M4892" s="10">
        <f>IFERROR(__xludf.DUMMYFUNCTION("""COMPUTED_VALUE"""),45077.66666666667)</f>
        <v>45077.66667</v>
      </c>
      <c r="N4892" s="2">
        <f>IFERROR(__xludf.DUMMYFUNCTION("""COMPUTED_VALUE"""),12935.29)</f>
        <v>12935.29</v>
      </c>
      <c r="P4892" s="10">
        <f t="shared" si="10"/>
        <v>38597.64583</v>
      </c>
      <c r="Q4892" s="15">
        <v>1115.83</v>
      </c>
      <c r="R4892" s="18">
        <v>38597.0</v>
      </c>
    </row>
    <row r="4893">
      <c r="A4893" s="10">
        <f t="shared" si="8"/>
        <v>42875.66667</v>
      </c>
      <c r="B4893" s="2" t="str">
        <f t="shared" si="2"/>
        <v/>
      </c>
      <c r="C4893" s="2" t="str">
        <f t="shared" si="3"/>
        <v>SP500</v>
      </c>
      <c r="D4893" s="2" t="str">
        <f t="shared" si="4"/>
        <v/>
      </c>
      <c r="E4893" s="2">
        <f t="shared" si="5"/>
        <v>6083.7</v>
      </c>
      <c r="G4893" s="10">
        <f t="shared" si="9"/>
        <v>42875.64583</v>
      </c>
      <c r="H4893" s="6" t="str">
        <f t="shared" si="6"/>
        <v/>
      </c>
      <c r="I4893" s="2">
        <f t="shared" si="7"/>
        <v>1426.89</v>
      </c>
      <c r="M4893" s="10">
        <f>IFERROR(__xludf.DUMMYFUNCTION("""COMPUTED_VALUE"""),45078.66666666667)</f>
        <v>45078.66667</v>
      </c>
      <c r="N4893" s="2">
        <f>IFERROR(__xludf.DUMMYFUNCTION("""COMPUTED_VALUE"""),13100.98)</f>
        <v>13100.98</v>
      </c>
      <c r="P4893" s="10">
        <f t="shared" si="10"/>
        <v>38596.64583</v>
      </c>
      <c r="Q4893" s="15">
        <v>1106.37</v>
      </c>
      <c r="R4893" s="18">
        <v>38596.0</v>
      </c>
    </row>
    <row r="4894">
      <c r="A4894" s="10">
        <f t="shared" si="8"/>
        <v>42876.66667</v>
      </c>
      <c r="B4894" s="2" t="str">
        <f t="shared" si="2"/>
        <v/>
      </c>
      <c r="C4894" s="2" t="str">
        <f t="shared" si="3"/>
        <v>SP500</v>
      </c>
      <c r="D4894" s="2" t="str">
        <f t="shared" si="4"/>
        <v/>
      </c>
      <c r="E4894" s="2">
        <f t="shared" si="5"/>
        <v>6083.7</v>
      </c>
      <c r="G4894" s="10">
        <f t="shared" si="9"/>
        <v>42876.64583</v>
      </c>
      <c r="H4894" s="6" t="str">
        <f t="shared" si="6"/>
        <v/>
      </c>
      <c r="I4894" s="2">
        <f t="shared" si="7"/>
        <v>1426.89</v>
      </c>
      <c r="M4894" s="10">
        <f>IFERROR(__xludf.DUMMYFUNCTION("""COMPUTED_VALUE"""),45079.66666666667)</f>
        <v>45079.66667</v>
      </c>
      <c r="N4894" s="2">
        <f>IFERROR(__xludf.DUMMYFUNCTION("""COMPUTED_VALUE"""),13240.77)</f>
        <v>13240.77</v>
      </c>
      <c r="P4894" s="10">
        <f t="shared" si="10"/>
        <v>38595.64583</v>
      </c>
      <c r="Q4894" s="15">
        <v>1083.33</v>
      </c>
      <c r="R4894" s="18">
        <v>38595.0</v>
      </c>
    </row>
    <row r="4895">
      <c r="A4895" s="10">
        <f t="shared" si="8"/>
        <v>42877.66667</v>
      </c>
      <c r="B4895" s="2" t="str">
        <f t="shared" si="2"/>
        <v/>
      </c>
      <c r="C4895" s="2" t="str">
        <f t="shared" si="3"/>
        <v>SP500</v>
      </c>
      <c r="D4895" s="2">
        <f t="shared" si="4"/>
        <v>6133.62</v>
      </c>
      <c r="E4895" s="2">
        <f t="shared" si="5"/>
        <v>6133.62</v>
      </c>
      <c r="G4895" s="10">
        <f t="shared" si="9"/>
        <v>42877.64583</v>
      </c>
      <c r="H4895" s="6" t="str">
        <f t="shared" si="6"/>
        <v/>
      </c>
      <c r="I4895" s="2">
        <f t="shared" si="7"/>
        <v>1426.89</v>
      </c>
      <c r="M4895" s="10">
        <f>IFERROR(__xludf.DUMMYFUNCTION("""COMPUTED_VALUE"""),45082.66666666667)</f>
        <v>45082.66667</v>
      </c>
      <c r="N4895" s="2">
        <f>IFERROR(__xludf.DUMMYFUNCTION("""COMPUTED_VALUE"""),13229.43)</f>
        <v>13229.43</v>
      </c>
      <c r="P4895" s="10">
        <f t="shared" si="10"/>
        <v>38594.64583</v>
      </c>
      <c r="Q4895" s="15">
        <v>1072.61</v>
      </c>
      <c r="R4895" s="18">
        <v>38594.0</v>
      </c>
    </row>
    <row r="4896">
      <c r="A4896" s="10">
        <f t="shared" si="8"/>
        <v>42878.66667</v>
      </c>
      <c r="B4896" s="2" t="str">
        <f t="shared" si="2"/>
        <v/>
      </c>
      <c r="C4896" s="2" t="str">
        <f t="shared" si="3"/>
        <v>SP500</v>
      </c>
      <c r="D4896" s="2">
        <f t="shared" si="4"/>
        <v>6138.71</v>
      </c>
      <c r="E4896" s="2">
        <f t="shared" si="5"/>
        <v>6138.71</v>
      </c>
      <c r="G4896" s="10">
        <f t="shared" si="9"/>
        <v>42878.64583</v>
      </c>
      <c r="H4896" s="6" t="str">
        <f t="shared" si="6"/>
        <v/>
      </c>
      <c r="I4896" s="2">
        <f t="shared" si="7"/>
        <v>1426.89</v>
      </c>
      <c r="M4896" s="10">
        <f>IFERROR(__xludf.DUMMYFUNCTION("""COMPUTED_VALUE"""),45083.66666666667)</f>
        <v>45083.66667</v>
      </c>
      <c r="N4896" s="2">
        <f>IFERROR(__xludf.DUMMYFUNCTION("""COMPUTED_VALUE"""),13276.42)</f>
        <v>13276.42</v>
      </c>
      <c r="P4896" s="10">
        <f t="shared" si="10"/>
        <v>38593.64583</v>
      </c>
      <c r="Q4896" s="15">
        <v>1063.16</v>
      </c>
      <c r="R4896" s="18">
        <v>38593.0</v>
      </c>
    </row>
    <row r="4897">
      <c r="A4897" s="10">
        <f t="shared" si="8"/>
        <v>42879.66667</v>
      </c>
      <c r="B4897" s="2" t="str">
        <f t="shared" si="2"/>
        <v/>
      </c>
      <c r="C4897" s="2" t="str">
        <f t="shared" si="3"/>
        <v>SP500</v>
      </c>
      <c r="D4897" s="2">
        <f t="shared" si="4"/>
        <v>6163.02</v>
      </c>
      <c r="E4897" s="2">
        <f t="shared" si="5"/>
        <v>6163.02</v>
      </c>
      <c r="G4897" s="10">
        <f t="shared" si="9"/>
        <v>42879.64583</v>
      </c>
      <c r="H4897" s="6" t="str">
        <f t="shared" si="6"/>
        <v/>
      </c>
      <c r="I4897" s="2">
        <f t="shared" si="7"/>
        <v>1426.89</v>
      </c>
      <c r="M4897" s="10">
        <f>IFERROR(__xludf.DUMMYFUNCTION("""COMPUTED_VALUE"""),45084.66666666667)</f>
        <v>45084.66667</v>
      </c>
      <c r="N4897" s="2">
        <f>IFERROR(__xludf.DUMMYFUNCTION("""COMPUTED_VALUE"""),13104.9)</f>
        <v>13104.9</v>
      </c>
      <c r="P4897" s="10">
        <f t="shared" si="10"/>
        <v>38590.64583</v>
      </c>
      <c r="Q4897" s="15">
        <v>1086.55</v>
      </c>
      <c r="R4897" s="18">
        <v>38590.0</v>
      </c>
    </row>
    <row r="4898">
      <c r="A4898" s="10">
        <f t="shared" si="8"/>
        <v>42880.66667</v>
      </c>
      <c r="B4898" s="2" t="str">
        <f t="shared" si="2"/>
        <v/>
      </c>
      <c r="C4898" s="2" t="str">
        <f t="shared" si="3"/>
        <v>SP500</v>
      </c>
      <c r="D4898" s="2">
        <f t="shared" si="4"/>
        <v>6205.26</v>
      </c>
      <c r="E4898" s="2">
        <f t="shared" si="5"/>
        <v>6205.26</v>
      </c>
      <c r="G4898" s="10">
        <f t="shared" si="9"/>
        <v>42880.64583</v>
      </c>
      <c r="H4898" s="6" t="str">
        <f t="shared" si="6"/>
        <v/>
      </c>
      <c r="I4898" s="2">
        <f t="shared" si="7"/>
        <v>1426.89</v>
      </c>
      <c r="M4898" s="10">
        <f>IFERROR(__xludf.DUMMYFUNCTION("""COMPUTED_VALUE"""),45085.66666666667)</f>
        <v>45085.66667</v>
      </c>
      <c r="N4898" s="2">
        <f>IFERROR(__xludf.DUMMYFUNCTION("""COMPUTED_VALUE"""),13238.52)</f>
        <v>13238.52</v>
      </c>
      <c r="P4898" s="10">
        <f t="shared" si="10"/>
        <v>38589.64583</v>
      </c>
      <c r="Q4898" s="15">
        <v>1097.29</v>
      </c>
      <c r="R4898" s="18">
        <v>38589.0</v>
      </c>
    </row>
    <row r="4899">
      <c r="A4899" s="10">
        <f t="shared" si="8"/>
        <v>42881.66667</v>
      </c>
      <c r="B4899" s="2" t="str">
        <f t="shared" si="2"/>
        <v/>
      </c>
      <c r="C4899" s="2" t="str">
        <f t="shared" si="3"/>
        <v>SP500</v>
      </c>
      <c r="D4899" s="2">
        <f t="shared" si="4"/>
        <v>6210.19</v>
      </c>
      <c r="E4899" s="2">
        <f t="shared" si="5"/>
        <v>6210.19</v>
      </c>
      <c r="G4899" s="10">
        <f t="shared" si="9"/>
        <v>42881.64583</v>
      </c>
      <c r="H4899" s="6" t="str">
        <f t="shared" si="6"/>
        <v/>
      </c>
      <c r="I4899" s="2">
        <f t="shared" si="7"/>
        <v>1426.89</v>
      </c>
      <c r="M4899" s="10">
        <f>IFERROR(__xludf.DUMMYFUNCTION("""COMPUTED_VALUE"""),45086.66666666667)</f>
        <v>45086.66667</v>
      </c>
      <c r="N4899" s="2">
        <f>IFERROR(__xludf.DUMMYFUNCTION("""COMPUTED_VALUE"""),13259.14)</f>
        <v>13259.14</v>
      </c>
      <c r="P4899" s="10">
        <f t="shared" si="10"/>
        <v>38588.64583</v>
      </c>
      <c r="Q4899" s="15">
        <v>1094.21</v>
      </c>
      <c r="R4899" s="18">
        <v>38588.0</v>
      </c>
    </row>
    <row r="4900">
      <c r="A4900" s="10">
        <f t="shared" si="8"/>
        <v>42882.66667</v>
      </c>
      <c r="B4900" s="2" t="str">
        <f t="shared" si="2"/>
        <v/>
      </c>
      <c r="C4900" s="2" t="str">
        <f t="shared" si="3"/>
        <v>SP500</v>
      </c>
      <c r="D4900" s="2" t="str">
        <f t="shared" si="4"/>
        <v/>
      </c>
      <c r="E4900" s="2">
        <f t="shared" si="5"/>
        <v>6210.19</v>
      </c>
      <c r="G4900" s="10">
        <f t="shared" si="9"/>
        <v>42882.64583</v>
      </c>
      <c r="H4900" s="6" t="str">
        <f t="shared" si="6"/>
        <v/>
      </c>
      <c r="I4900" s="2">
        <f t="shared" si="7"/>
        <v>1426.89</v>
      </c>
      <c r="M4900" s="10">
        <f>IFERROR(__xludf.DUMMYFUNCTION("""COMPUTED_VALUE"""),45089.66666666667)</f>
        <v>45089.66667</v>
      </c>
      <c r="N4900" s="2">
        <f>IFERROR(__xludf.DUMMYFUNCTION("""COMPUTED_VALUE"""),13461.92)</f>
        <v>13461.92</v>
      </c>
      <c r="P4900" s="10">
        <f t="shared" si="10"/>
        <v>38587.64583</v>
      </c>
      <c r="Q4900" s="15">
        <v>1115.84</v>
      </c>
      <c r="R4900" s="18">
        <v>38587.0</v>
      </c>
    </row>
    <row r="4901">
      <c r="A4901" s="10">
        <f t="shared" si="8"/>
        <v>42883.66667</v>
      </c>
      <c r="B4901" s="2" t="str">
        <f t="shared" si="2"/>
        <v/>
      </c>
      <c r="C4901" s="2" t="str">
        <f t="shared" si="3"/>
        <v>SP500</v>
      </c>
      <c r="D4901" s="2" t="str">
        <f t="shared" si="4"/>
        <v/>
      </c>
      <c r="E4901" s="2">
        <f t="shared" si="5"/>
        <v>6210.19</v>
      </c>
      <c r="G4901" s="10">
        <f t="shared" si="9"/>
        <v>42883.64583</v>
      </c>
      <c r="H4901" s="6" t="str">
        <f t="shared" si="6"/>
        <v/>
      </c>
      <c r="I4901" s="2">
        <f t="shared" si="7"/>
        <v>1426.89</v>
      </c>
      <c r="M4901" s="10">
        <f>IFERROR(__xludf.DUMMYFUNCTION("""COMPUTED_VALUE"""),45090.66666666667)</f>
        <v>45090.66667</v>
      </c>
      <c r="N4901" s="2">
        <f>IFERROR(__xludf.DUMMYFUNCTION("""COMPUTED_VALUE"""),13573.32)</f>
        <v>13573.32</v>
      </c>
      <c r="P4901" s="10">
        <f t="shared" si="10"/>
        <v>38586.64583</v>
      </c>
      <c r="Q4901" s="15">
        <v>1116.68</v>
      </c>
      <c r="R4901" s="18">
        <v>38586.0</v>
      </c>
    </row>
    <row r="4902">
      <c r="A4902" s="10">
        <f t="shared" si="8"/>
        <v>42884.66667</v>
      </c>
      <c r="B4902" s="2" t="str">
        <f t="shared" si="2"/>
        <v/>
      </c>
      <c r="C4902" s="2" t="str">
        <f t="shared" si="3"/>
        <v>SP500</v>
      </c>
      <c r="D4902" s="2" t="str">
        <f t="shared" si="4"/>
        <v/>
      </c>
      <c r="E4902" s="2">
        <f t="shared" si="5"/>
        <v>6210.19</v>
      </c>
      <c r="G4902" s="10">
        <f t="shared" si="9"/>
        <v>42884.64583</v>
      </c>
      <c r="H4902" s="6" t="str">
        <f t="shared" si="6"/>
        <v/>
      </c>
      <c r="I4902" s="2">
        <f t="shared" si="7"/>
        <v>1426.89</v>
      </c>
      <c r="M4902" s="10">
        <f>IFERROR(__xludf.DUMMYFUNCTION("""COMPUTED_VALUE"""),45091.66666666667)</f>
        <v>45091.66667</v>
      </c>
      <c r="N4902" s="2">
        <f>IFERROR(__xludf.DUMMYFUNCTION("""COMPUTED_VALUE"""),13626.48)</f>
        <v>13626.48</v>
      </c>
      <c r="P4902" s="10">
        <f t="shared" si="10"/>
        <v>38583.64583</v>
      </c>
      <c r="Q4902" s="15">
        <v>1089.88</v>
      </c>
      <c r="R4902" s="18">
        <v>38583.0</v>
      </c>
    </row>
    <row r="4903">
      <c r="A4903" s="10">
        <f t="shared" si="8"/>
        <v>42885.66667</v>
      </c>
      <c r="B4903" s="2" t="str">
        <f t="shared" si="2"/>
        <v/>
      </c>
      <c r="C4903" s="2" t="str">
        <f t="shared" si="3"/>
        <v>SP500</v>
      </c>
      <c r="D4903" s="2">
        <f t="shared" si="4"/>
        <v>6203.19</v>
      </c>
      <c r="E4903" s="2">
        <f t="shared" si="5"/>
        <v>6203.19</v>
      </c>
      <c r="G4903" s="10">
        <f t="shared" si="9"/>
        <v>42885.64583</v>
      </c>
      <c r="H4903" s="6" t="str">
        <f t="shared" si="6"/>
        <v/>
      </c>
      <c r="I4903" s="2">
        <f t="shared" si="7"/>
        <v>1426.89</v>
      </c>
      <c r="M4903" s="10">
        <f>IFERROR(__xludf.DUMMYFUNCTION("""COMPUTED_VALUE"""),45092.66666666667)</f>
        <v>45092.66667</v>
      </c>
      <c r="N4903" s="2">
        <f>IFERROR(__xludf.DUMMYFUNCTION("""COMPUTED_VALUE"""),13782.82)</f>
        <v>13782.82</v>
      </c>
      <c r="P4903" s="10">
        <f t="shared" si="10"/>
        <v>38582.64583</v>
      </c>
      <c r="Q4903" s="15">
        <v>1092.71</v>
      </c>
      <c r="R4903" s="18">
        <v>38582.0</v>
      </c>
    </row>
    <row r="4904">
      <c r="A4904" s="10">
        <f t="shared" si="8"/>
        <v>42886.66667</v>
      </c>
      <c r="B4904" s="2" t="str">
        <f t="shared" si="2"/>
        <v/>
      </c>
      <c r="C4904" s="2" t="str">
        <f t="shared" si="3"/>
        <v>SP500</v>
      </c>
      <c r="D4904" s="2">
        <f t="shared" si="4"/>
        <v>6198.52</v>
      </c>
      <c r="E4904" s="2">
        <f t="shared" si="5"/>
        <v>6198.52</v>
      </c>
      <c r="G4904" s="10">
        <f t="shared" si="9"/>
        <v>42886.64583</v>
      </c>
      <c r="H4904" s="6" t="str">
        <f t="shared" si="6"/>
        <v/>
      </c>
      <c r="I4904" s="2">
        <f t="shared" si="7"/>
        <v>1426.89</v>
      </c>
      <c r="M4904" s="10">
        <f>IFERROR(__xludf.DUMMYFUNCTION("""COMPUTED_VALUE"""),45093.66666666667)</f>
        <v>45093.66667</v>
      </c>
      <c r="N4904" s="2">
        <f>IFERROR(__xludf.DUMMYFUNCTION("""COMPUTED_VALUE"""),13689.57)</f>
        <v>13689.57</v>
      </c>
      <c r="P4904" s="10">
        <f t="shared" si="10"/>
        <v>38581.64583</v>
      </c>
      <c r="Q4904" s="15">
        <v>1113.25</v>
      </c>
      <c r="R4904" s="18">
        <v>38581.0</v>
      </c>
    </row>
    <row r="4905">
      <c r="A4905" s="10">
        <f t="shared" si="8"/>
        <v>42887.66667</v>
      </c>
      <c r="B4905" s="2" t="str">
        <f t="shared" si="2"/>
        <v/>
      </c>
      <c r="C4905" s="2" t="str">
        <f t="shared" si="3"/>
        <v>SP500</v>
      </c>
      <c r="D4905" s="2">
        <f t="shared" si="4"/>
        <v>6246.83</v>
      </c>
      <c r="E4905" s="2">
        <f t="shared" si="5"/>
        <v>6246.83</v>
      </c>
      <c r="G4905" s="10">
        <f t="shared" si="9"/>
        <v>42887.64583</v>
      </c>
      <c r="H4905" s="6" t="str">
        <f t="shared" si="6"/>
        <v/>
      </c>
      <c r="I4905" s="2">
        <f t="shared" si="7"/>
        <v>1426.89</v>
      </c>
      <c r="M4905" s="10">
        <f>IFERROR(__xludf.DUMMYFUNCTION("""COMPUTED_VALUE"""),45097.66666666667)</f>
        <v>45097.66667</v>
      </c>
      <c r="N4905" s="2">
        <f>IFERROR(__xludf.DUMMYFUNCTION("""COMPUTED_VALUE"""),13667.29)</f>
        <v>13667.29</v>
      </c>
      <c r="P4905" s="10">
        <f t="shared" si="10"/>
        <v>38580.64583</v>
      </c>
      <c r="Q4905" s="15">
        <v>1116.93</v>
      </c>
      <c r="R4905" s="18">
        <v>38580.0</v>
      </c>
    </row>
    <row r="4906">
      <c r="A4906" s="10">
        <f t="shared" si="8"/>
        <v>42888.66667</v>
      </c>
      <c r="B4906" s="2" t="str">
        <f t="shared" si="2"/>
        <v/>
      </c>
      <c r="C4906" s="2" t="str">
        <f t="shared" si="3"/>
        <v>SP500</v>
      </c>
      <c r="D4906" s="2">
        <f t="shared" si="4"/>
        <v>6305.8</v>
      </c>
      <c r="E4906" s="2">
        <f t="shared" si="5"/>
        <v>6305.8</v>
      </c>
      <c r="G4906" s="10">
        <f t="shared" si="9"/>
        <v>42888.64583</v>
      </c>
      <c r="H4906" s="6" t="str">
        <f t="shared" si="6"/>
        <v/>
      </c>
      <c r="I4906" s="2">
        <f t="shared" si="7"/>
        <v>1426.89</v>
      </c>
      <c r="M4906" s="10">
        <f>IFERROR(__xludf.DUMMYFUNCTION("""COMPUTED_VALUE"""),45098.66666666667)</f>
        <v>45098.66667</v>
      </c>
      <c r="N4906" s="2">
        <f>IFERROR(__xludf.DUMMYFUNCTION("""COMPUTED_VALUE"""),13502.2)</f>
        <v>13502.2</v>
      </c>
      <c r="P4906" s="10">
        <f t="shared" si="10"/>
        <v>38576.64583</v>
      </c>
      <c r="Q4906" s="15">
        <v>1130.22</v>
      </c>
      <c r="R4906" s="18">
        <v>38576.0</v>
      </c>
    </row>
    <row r="4907">
      <c r="A4907" s="10">
        <f t="shared" si="8"/>
        <v>42889.66667</v>
      </c>
      <c r="B4907" s="2" t="str">
        <f t="shared" si="2"/>
        <v/>
      </c>
      <c r="C4907" s="2" t="str">
        <f t="shared" si="3"/>
        <v>SP500</v>
      </c>
      <c r="D4907" s="2" t="str">
        <f t="shared" si="4"/>
        <v/>
      </c>
      <c r="E4907" s="2">
        <f t="shared" si="5"/>
        <v>6305.8</v>
      </c>
      <c r="G4907" s="10">
        <f t="shared" si="9"/>
        <v>42889.64583</v>
      </c>
      <c r="H4907" s="6" t="str">
        <f t="shared" si="6"/>
        <v/>
      </c>
      <c r="I4907" s="2">
        <f t="shared" si="7"/>
        <v>1426.89</v>
      </c>
      <c r="M4907" s="10">
        <f>IFERROR(__xludf.DUMMYFUNCTION("""COMPUTED_VALUE"""),45099.66666666667)</f>
        <v>45099.66667</v>
      </c>
      <c r="N4907" s="2">
        <f>IFERROR(__xludf.DUMMYFUNCTION("""COMPUTED_VALUE"""),13630.61)</f>
        <v>13630.61</v>
      </c>
      <c r="P4907" s="10">
        <f t="shared" si="10"/>
        <v>38575.64583</v>
      </c>
      <c r="Q4907" s="15">
        <v>1123.77</v>
      </c>
      <c r="R4907" s="18">
        <v>38575.0</v>
      </c>
    </row>
    <row r="4908">
      <c r="A4908" s="10">
        <f t="shared" si="8"/>
        <v>42890.66667</v>
      </c>
      <c r="B4908" s="2" t="str">
        <f t="shared" si="2"/>
        <v/>
      </c>
      <c r="C4908" s="2" t="str">
        <f t="shared" si="3"/>
        <v>SP500</v>
      </c>
      <c r="D4908" s="2" t="str">
        <f t="shared" si="4"/>
        <v/>
      </c>
      <c r="E4908" s="2">
        <f t="shared" si="5"/>
        <v>6305.8</v>
      </c>
      <c r="G4908" s="10">
        <f t="shared" si="9"/>
        <v>42890.64583</v>
      </c>
      <c r="H4908" s="6" t="str">
        <f t="shared" si="6"/>
        <v/>
      </c>
      <c r="I4908" s="2">
        <f t="shared" si="7"/>
        <v>1426.89</v>
      </c>
      <c r="M4908" s="10">
        <f>IFERROR(__xludf.DUMMYFUNCTION("""COMPUTED_VALUE"""),45100.66666666667)</f>
        <v>45100.66667</v>
      </c>
      <c r="N4908" s="2">
        <f>IFERROR(__xludf.DUMMYFUNCTION("""COMPUTED_VALUE"""),13492.52)</f>
        <v>13492.52</v>
      </c>
      <c r="P4908" s="10">
        <f t="shared" si="10"/>
        <v>38574.64583</v>
      </c>
      <c r="Q4908" s="15">
        <v>1104.86</v>
      </c>
      <c r="R4908" s="18">
        <v>38574.0</v>
      </c>
    </row>
    <row r="4909">
      <c r="A4909" s="10">
        <f t="shared" si="8"/>
        <v>42891.66667</v>
      </c>
      <c r="B4909" s="2" t="str">
        <f t="shared" si="2"/>
        <v/>
      </c>
      <c r="C4909" s="2" t="str">
        <f t="shared" si="3"/>
        <v>SP500</v>
      </c>
      <c r="D4909" s="2">
        <f t="shared" si="4"/>
        <v>6295.68</v>
      </c>
      <c r="E4909" s="2">
        <f t="shared" si="5"/>
        <v>6295.68</v>
      </c>
      <c r="G4909" s="10">
        <f t="shared" si="9"/>
        <v>42891.64583</v>
      </c>
      <c r="H4909" s="6" t="str">
        <f t="shared" si="6"/>
        <v/>
      </c>
      <c r="I4909" s="2">
        <f t="shared" si="7"/>
        <v>1426.89</v>
      </c>
      <c r="M4909" s="10">
        <f>IFERROR(__xludf.DUMMYFUNCTION("""COMPUTED_VALUE"""),45103.66666666667)</f>
        <v>45103.66667</v>
      </c>
      <c r="N4909" s="2">
        <f>IFERROR(__xludf.DUMMYFUNCTION("""COMPUTED_VALUE"""),13335.78)</f>
        <v>13335.78</v>
      </c>
      <c r="P4909" s="10">
        <f t="shared" si="10"/>
        <v>38573.64583</v>
      </c>
      <c r="Q4909" s="15">
        <v>1099.77</v>
      </c>
      <c r="R4909" s="18">
        <v>38573.0</v>
      </c>
    </row>
    <row r="4910">
      <c r="A4910" s="10">
        <f t="shared" si="8"/>
        <v>42892.66667</v>
      </c>
      <c r="B4910" s="2" t="str">
        <f t="shared" si="2"/>
        <v/>
      </c>
      <c r="C4910" s="2" t="str">
        <f t="shared" si="3"/>
        <v>SP500</v>
      </c>
      <c r="D4910" s="2">
        <f t="shared" si="4"/>
        <v>6275.06</v>
      </c>
      <c r="E4910" s="2">
        <f t="shared" si="5"/>
        <v>6275.06</v>
      </c>
      <c r="G4910" s="10">
        <f t="shared" si="9"/>
        <v>42892.64583</v>
      </c>
      <c r="H4910" s="6" t="str">
        <f t="shared" si="6"/>
        <v/>
      </c>
      <c r="I4910" s="2">
        <f t="shared" si="7"/>
        <v>1426.89</v>
      </c>
      <c r="M4910" s="10">
        <f>IFERROR(__xludf.DUMMYFUNCTION("""COMPUTED_VALUE"""),45104.66666666667)</f>
        <v>45104.66667</v>
      </c>
      <c r="N4910" s="2">
        <f>IFERROR(__xludf.DUMMYFUNCTION("""COMPUTED_VALUE"""),13555.67)</f>
        <v>13555.67</v>
      </c>
      <c r="P4910" s="10">
        <f t="shared" si="10"/>
        <v>38572.64583</v>
      </c>
      <c r="Q4910" s="15">
        <v>1086.64</v>
      </c>
      <c r="R4910" s="18">
        <v>38572.0</v>
      </c>
    </row>
    <row r="4911">
      <c r="A4911" s="10">
        <f t="shared" si="8"/>
        <v>42893.66667</v>
      </c>
      <c r="B4911" s="2" t="str">
        <f t="shared" si="2"/>
        <v/>
      </c>
      <c r="C4911" s="2" t="str">
        <f t="shared" si="3"/>
        <v>SP500</v>
      </c>
      <c r="D4911" s="2">
        <f t="shared" si="4"/>
        <v>6297.38</v>
      </c>
      <c r="E4911" s="2">
        <f t="shared" si="5"/>
        <v>6297.38</v>
      </c>
      <c r="G4911" s="10">
        <f t="shared" si="9"/>
        <v>42893.64583</v>
      </c>
      <c r="H4911" s="6" t="str">
        <f t="shared" si="6"/>
        <v/>
      </c>
      <c r="I4911" s="2">
        <f t="shared" si="7"/>
        <v>1426.89</v>
      </c>
      <c r="M4911" s="10">
        <f>IFERROR(__xludf.DUMMYFUNCTION("""COMPUTED_VALUE"""),45105.66666666667)</f>
        <v>45105.66667</v>
      </c>
      <c r="N4911" s="2">
        <f>IFERROR(__xludf.DUMMYFUNCTION("""COMPUTED_VALUE"""),13591.75)</f>
        <v>13591.75</v>
      </c>
      <c r="P4911" s="10">
        <f t="shared" si="10"/>
        <v>38569.64583</v>
      </c>
      <c r="Q4911" s="15">
        <v>1089.36</v>
      </c>
      <c r="R4911" s="18">
        <v>38569.0</v>
      </c>
    </row>
    <row r="4912">
      <c r="A4912" s="10">
        <f t="shared" si="8"/>
        <v>42894.66667</v>
      </c>
      <c r="B4912" s="2" t="str">
        <f t="shared" si="2"/>
        <v/>
      </c>
      <c r="C4912" s="2" t="str">
        <f t="shared" si="3"/>
        <v>SP500</v>
      </c>
      <c r="D4912" s="2">
        <f t="shared" si="4"/>
        <v>6321.76</v>
      </c>
      <c r="E4912" s="2">
        <f t="shared" si="5"/>
        <v>6321.76</v>
      </c>
      <c r="G4912" s="10">
        <f t="shared" si="9"/>
        <v>42894.64583</v>
      </c>
      <c r="H4912" s="6" t="str">
        <f t="shared" si="6"/>
        <v/>
      </c>
      <c r="I4912" s="2">
        <f t="shared" si="7"/>
        <v>1426.89</v>
      </c>
      <c r="M4912" s="10">
        <f>IFERROR(__xludf.DUMMYFUNCTION("""COMPUTED_VALUE"""),45106.66666666667)</f>
        <v>45106.66667</v>
      </c>
      <c r="N4912" s="2">
        <f>IFERROR(__xludf.DUMMYFUNCTION("""COMPUTED_VALUE"""),13591.33)</f>
        <v>13591.33</v>
      </c>
      <c r="P4912" s="10">
        <f t="shared" si="10"/>
        <v>38568.64583</v>
      </c>
      <c r="Q4912" s="15">
        <v>1111.39</v>
      </c>
      <c r="R4912" s="18">
        <v>38568.0</v>
      </c>
    </row>
    <row r="4913">
      <c r="A4913" s="10">
        <f t="shared" si="8"/>
        <v>42895.66667</v>
      </c>
      <c r="B4913" s="2" t="str">
        <f t="shared" si="2"/>
        <v/>
      </c>
      <c r="C4913" s="2" t="str">
        <f t="shared" si="3"/>
        <v>SP500</v>
      </c>
      <c r="D4913" s="2">
        <f t="shared" si="4"/>
        <v>6207.92</v>
      </c>
      <c r="E4913" s="2">
        <f t="shared" si="5"/>
        <v>6207.92</v>
      </c>
      <c r="G4913" s="10">
        <f t="shared" si="9"/>
        <v>42895.64583</v>
      </c>
      <c r="H4913" s="6" t="str">
        <f t="shared" si="6"/>
        <v/>
      </c>
      <c r="I4913" s="2">
        <f t="shared" si="7"/>
        <v>1426.89</v>
      </c>
      <c r="M4913" s="10">
        <f>IFERROR(__xludf.DUMMYFUNCTION("""COMPUTED_VALUE"""),45107.66666666667)</f>
        <v>45107.66667</v>
      </c>
      <c r="N4913" s="2">
        <f>IFERROR(__xludf.DUMMYFUNCTION("""COMPUTED_VALUE"""),13787.92)</f>
        <v>13787.92</v>
      </c>
      <c r="P4913" s="10">
        <f t="shared" si="10"/>
        <v>38567.64583</v>
      </c>
      <c r="Q4913" s="15">
        <v>1117.11</v>
      </c>
      <c r="R4913" s="18">
        <v>38567.0</v>
      </c>
    </row>
    <row r="4914">
      <c r="A4914" s="10">
        <f t="shared" si="8"/>
        <v>42896.66667</v>
      </c>
      <c r="B4914" s="2" t="str">
        <f t="shared" si="2"/>
        <v/>
      </c>
      <c r="C4914" s="2" t="str">
        <f t="shared" si="3"/>
        <v>SP500</v>
      </c>
      <c r="D4914" s="2" t="str">
        <f t="shared" si="4"/>
        <v/>
      </c>
      <c r="E4914" s="2">
        <f t="shared" si="5"/>
        <v>6207.92</v>
      </c>
      <c r="G4914" s="10">
        <f t="shared" si="9"/>
        <v>42896.64583</v>
      </c>
      <c r="H4914" s="6" t="str">
        <f t="shared" si="6"/>
        <v/>
      </c>
      <c r="I4914" s="2">
        <f t="shared" si="7"/>
        <v>1426.89</v>
      </c>
      <c r="M4914" s="10">
        <f>IFERROR(__xludf.DUMMYFUNCTION("""COMPUTED_VALUE"""),45110.54513888889)</f>
        <v>45110.54514</v>
      </c>
      <c r="N4914" s="2">
        <f>IFERROR(__xludf.DUMMYFUNCTION("""COMPUTED_VALUE"""),13816.77)</f>
        <v>13816.77</v>
      </c>
      <c r="P4914" s="10">
        <f t="shared" si="10"/>
        <v>38566.64583</v>
      </c>
      <c r="Q4914" s="15">
        <v>1118.83</v>
      </c>
      <c r="R4914" s="18">
        <v>38566.0</v>
      </c>
    </row>
    <row r="4915">
      <c r="A4915" s="10">
        <f t="shared" si="8"/>
        <v>42897.66667</v>
      </c>
      <c r="B4915" s="2" t="str">
        <f t="shared" si="2"/>
        <v/>
      </c>
      <c r="C4915" s="2" t="str">
        <f t="shared" si="3"/>
        <v>SP500</v>
      </c>
      <c r="D4915" s="2" t="str">
        <f t="shared" si="4"/>
        <v/>
      </c>
      <c r="E4915" s="2">
        <f t="shared" si="5"/>
        <v>6207.92</v>
      </c>
      <c r="G4915" s="10">
        <f t="shared" si="9"/>
        <v>42897.64583</v>
      </c>
      <c r="H4915" s="6" t="str">
        <f t="shared" si="6"/>
        <v/>
      </c>
      <c r="I4915" s="2">
        <f t="shared" si="7"/>
        <v>1426.89</v>
      </c>
      <c r="M4915" s="10">
        <f>IFERROR(__xludf.DUMMYFUNCTION("""COMPUTED_VALUE"""),45112.66666666667)</f>
        <v>45112.66667</v>
      </c>
      <c r="N4915" s="2">
        <f>IFERROR(__xludf.DUMMYFUNCTION("""COMPUTED_VALUE"""),13791.65)</f>
        <v>13791.65</v>
      </c>
      <c r="P4915" s="10">
        <f t="shared" si="10"/>
        <v>38565.64583</v>
      </c>
      <c r="Q4915" s="15">
        <v>1115.98</v>
      </c>
      <c r="R4915" s="18">
        <v>38565.0</v>
      </c>
    </row>
    <row r="4916">
      <c r="A4916" s="10">
        <f t="shared" si="8"/>
        <v>42898.66667</v>
      </c>
      <c r="B4916" s="2" t="str">
        <f t="shared" si="2"/>
        <v/>
      </c>
      <c r="C4916" s="2" t="str">
        <f t="shared" si="3"/>
        <v>SP500</v>
      </c>
      <c r="D4916" s="2">
        <f t="shared" si="4"/>
        <v>6175.46</v>
      </c>
      <c r="E4916" s="2">
        <f t="shared" si="5"/>
        <v>6175.46</v>
      </c>
      <c r="G4916" s="10">
        <f t="shared" si="9"/>
        <v>42898.64583</v>
      </c>
      <c r="H4916" s="6" t="str">
        <f t="shared" si="6"/>
        <v/>
      </c>
      <c r="I4916" s="2">
        <f t="shared" si="7"/>
        <v>1426.89</v>
      </c>
      <c r="M4916" s="10">
        <f>IFERROR(__xludf.DUMMYFUNCTION("""COMPUTED_VALUE"""),45113.66666666667)</f>
        <v>45113.66667</v>
      </c>
      <c r="N4916" s="2">
        <f>IFERROR(__xludf.DUMMYFUNCTION("""COMPUTED_VALUE"""),13679.04)</f>
        <v>13679.04</v>
      </c>
      <c r="P4916" s="10">
        <f t="shared" si="10"/>
        <v>38562.64583</v>
      </c>
      <c r="Q4916" s="15">
        <v>1111.29</v>
      </c>
      <c r="R4916" s="18">
        <v>38562.0</v>
      </c>
    </row>
    <row r="4917">
      <c r="A4917" s="10">
        <f t="shared" si="8"/>
        <v>42899.66667</v>
      </c>
      <c r="B4917" s="2" t="str">
        <f t="shared" si="2"/>
        <v/>
      </c>
      <c r="C4917" s="2" t="str">
        <f t="shared" si="3"/>
        <v>SP500</v>
      </c>
      <c r="D4917" s="2">
        <f t="shared" si="4"/>
        <v>6220.37</v>
      </c>
      <c r="E4917" s="2">
        <f t="shared" si="5"/>
        <v>6220.37</v>
      </c>
      <c r="G4917" s="10">
        <f t="shared" si="9"/>
        <v>42899.64583</v>
      </c>
      <c r="H4917" s="6" t="str">
        <f t="shared" si="6"/>
        <v/>
      </c>
      <c r="I4917" s="2">
        <f t="shared" si="7"/>
        <v>1426.89</v>
      </c>
      <c r="M4917" s="10">
        <f>IFERROR(__xludf.DUMMYFUNCTION("""COMPUTED_VALUE"""),45114.66666666667)</f>
        <v>45114.66667</v>
      </c>
      <c r="N4917" s="2">
        <f>IFERROR(__xludf.DUMMYFUNCTION("""COMPUTED_VALUE"""),13660.72)</f>
        <v>13660.72</v>
      </c>
      <c r="P4917" s="10">
        <f t="shared" si="10"/>
        <v>38561.64583</v>
      </c>
      <c r="Q4917" s="15">
        <v>1104.72</v>
      </c>
      <c r="R4917" s="18">
        <v>38561.0</v>
      </c>
    </row>
    <row r="4918">
      <c r="A4918" s="10">
        <f t="shared" si="8"/>
        <v>42900.66667</v>
      </c>
      <c r="B4918" s="2" t="str">
        <f t="shared" si="2"/>
        <v/>
      </c>
      <c r="C4918" s="2" t="str">
        <f t="shared" si="3"/>
        <v>SP500</v>
      </c>
      <c r="D4918" s="2">
        <f t="shared" si="4"/>
        <v>6194.89</v>
      </c>
      <c r="E4918" s="2">
        <f t="shared" si="5"/>
        <v>6194.89</v>
      </c>
      <c r="G4918" s="10">
        <f t="shared" si="9"/>
        <v>42900.64583</v>
      </c>
      <c r="H4918" s="6" t="str">
        <f t="shared" si="6"/>
        <v/>
      </c>
      <c r="I4918" s="2">
        <f t="shared" si="7"/>
        <v>1426.89</v>
      </c>
      <c r="M4918" s="10">
        <f>IFERROR(__xludf.DUMMYFUNCTION("""COMPUTED_VALUE"""),45117.66666666667)</f>
        <v>45117.66667</v>
      </c>
      <c r="N4918" s="2">
        <f>IFERROR(__xludf.DUMMYFUNCTION("""COMPUTED_VALUE"""),13685.48)</f>
        <v>13685.48</v>
      </c>
      <c r="P4918" s="10">
        <f t="shared" si="10"/>
        <v>38560.64583</v>
      </c>
      <c r="Q4918" s="15">
        <v>1093.03</v>
      </c>
      <c r="R4918" s="18">
        <v>38560.0</v>
      </c>
    </row>
    <row r="4919">
      <c r="A4919" s="10">
        <f t="shared" si="8"/>
        <v>42901.66667</v>
      </c>
      <c r="B4919" s="2" t="str">
        <f t="shared" si="2"/>
        <v/>
      </c>
      <c r="C4919" s="2" t="str">
        <f t="shared" si="3"/>
        <v>SP500</v>
      </c>
      <c r="D4919" s="2">
        <f t="shared" si="4"/>
        <v>6165.5</v>
      </c>
      <c r="E4919" s="2">
        <f t="shared" si="5"/>
        <v>6165.5</v>
      </c>
      <c r="G4919" s="10">
        <f t="shared" si="9"/>
        <v>42901.64583</v>
      </c>
      <c r="H4919" s="6" t="str">
        <f t="shared" si="6"/>
        <v/>
      </c>
      <c r="I4919" s="2">
        <f t="shared" si="7"/>
        <v>1426.89</v>
      </c>
      <c r="M4919" s="10">
        <f>IFERROR(__xludf.DUMMYFUNCTION("""COMPUTED_VALUE"""),45118.66666666667)</f>
        <v>45118.66667</v>
      </c>
      <c r="N4919" s="2">
        <f>IFERROR(__xludf.DUMMYFUNCTION("""COMPUTED_VALUE"""),13760.7)</f>
        <v>13760.7</v>
      </c>
      <c r="P4919" s="10">
        <f t="shared" si="10"/>
        <v>38559.64583</v>
      </c>
      <c r="Q4919" s="15">
        <v>1090.6</v>
      </c>
      <c r="R4919" s="18">
        <v>38559.0</v>
      </c>
    </row>
    <row r="4920">
      <c r="A4920" s="10">
        <f t="shared" si="8"/>
        <v>42902.66667</v>
      </c>
      <c r="B4920" s="2" t="str">
        <f t="shared" si="2"/>
        <v/>
      </c>
      <c r="C4920" s="2" t="str">
        <f t="shared" si="3"/>
        <v>SP500</v>
      </c>
      <c r="D4920" s="2">
        <f t="shared" si="4"/>
        <v>6151.76</v>
      </c>
      <c r="E4920" s="2">
        <f t="shared" si="5"/>
        <v>6151.76</v>
      </c>
      <c r="G4920" s="10">
        <f t="shared" si="9"/>
        <v>42902.64583</v>
      </c>
      <c r="H4920" s="6" t="str">
        <f t="shared" si="6"/>
        <v/>
      </c>
      <c r="I4920" s="2">
        <f t="shared" si="7"/>
        <v>1426.89</v>
      </c>
      <c r="M4920" s="10">
        <f>IFERROR(__xludf.DUMMYFUNCTION("""COMPUTED_VALUE"""),45119.66666666667)</f>
        <v>45119.66667</v>
      </c>
      <c r="N4920" s="2">
        <f>IFERROR(__xludf.DUMMYFUNCTION("""COMPUTED_VALUE"""),13918.96)</f>
        <v>13918.96</v>
      </c>
      <c r="P4920" s="10">
        <f t="shared" si="10"/>
        <v>38558.64583</v>
      </c>
      <c r="Q4920" s="15">
        <v>1089.7</v>
      </c>
      <c r="R4920" s="18">
        <v>38558.0</v>
      </c>
    </row>
    <row r="4921">
      <c r="A4921" s="10">
        <f t="shared" si="8"/>
        <v>42903.66667</v>
      </c>
      <c r="B4921" s="2" t="str">
        <f t="shared" si="2"/>
        <v/>
      </c>
      <c r="C4921" s="2" t="str">
        <f t="shared" si="3"/>
        <v>SP500</v>
      </c>
      <c r="D4921" s="2" t="str">
        <f t="shared" si="4"/>
        <v/>
      </c>
      <c r="E4921" s="2">
        <f t="shared" si="5"/>
        <v>6151.76</v>
      </c>
      <c r="G4921" s="10">
        <f t="shared" si="9"/>
        <v>42903.64583</v>
      </c>
      <c r="H4921" s="6" t="str">
        <f t="shared" si="6"/>
        <v/>
      </c>
      <c r="I4921" s="2">
        <f t="shared" si="7"/>
        <v>1426.89</v>
      </c>
      <c r="M4921" s="10">
        <f>IFERROR(__xludf.DUMMYFUNCTION("""COMPUTED_VALUE"""),45120.66666666667)</f>
        <v>45120.66667</v>
      </c>
      <c r="N4921" s="2">
        <f>IFERROR(__xludf.DUMMYFUNCTION("""COMPUTED_VALUE"""),14138.57)</f>
        <v>14138.57</v>
      </c>
      <c r="P4921" s="10">
        <f t="shared" si="10"/>
        <v>38555.64583</v>
      </c>
      <c r="Q4921" s="15">
        <v>1074.22</v>
      </c>
      <c r="R4921" s="18">
        <v>38555.0</v>
      </c>
    </row>
    <row r="4922">
      <c r="A4922" s="10">
        <f t="shared" si="8"/>
        <v>42904.66667</v>
      </c>
      <c r="B4922" s="2" t="str">
        <f t="shared" si="2"/>
        <v/>
      </c>
      <c r="C4922" s="2" t="str">
        <f t="shared" si="3"/>
        <v>SP500</v>
      </c>
      <c r="D4922" s="2" t="str">
        <f t="shared" si="4"/>
        <v/>
      </c>
      <c r="E4922" s="2">
        <f t="shared" si="5"/>
        <v>6151.76</v>
      </c>
      <c r="G4922" s="10">
        <f t="shared" si="9"/>
        <v>42904.64583</v>
      </c>
      <c r="H4922" s="6" t="str">
        <f t="shared" si="6"/>
        <v/>
      </c>
      <c r="I4922" s="2">
        <f t="shared" si="7"/>
        <v>1426.89</v>
      </c>
      <c r="M4922" s="10">
        <f>IFERROR(__xludf.DUMMYFUNCTION("""COMPUTED_VALUE"""),45121.66666666667)</f>
        <v>45121.66667</v>
      </c>
      <c r="N4922" s="2">
        <f>IFERROR(__xludf.DUMMYFUNCTION("""COMPUTED_VALUE"""),14113.7)</f>
        <v>14113.7</v>
      </c>
      <c r="P4922" s="10">
        <f t="shared" si="10"/>
        <v>38554.64583</v>
      </c>
      <c r="Q4922" s="15">
        <v>1074.65</v>
      </c>
      <c r="R4922" s="18">
        <v>38554.0</v>
      </c>
    </row>
    <row r="4923">
      <c r="A4923" s="10">
        <f t="shared" si="8"/>
        <v>42905.66667</v>
      </c>
      <c r="B4923" s="2" t="str">
        <f t="shared" si="2"/>
        <v/>
      </c>
      <c r="C4923" s="2" t="str">
        <f t="shared" si="3"/>
        <v>SP500</v>
      </c>
      <c r="D4923" s="2">
        <f t="shared" si="4"/>
        <v>6239.01</v>
      </c>
      <c r="E4923" s="2">
        <f t="shared" si="5"/>
        <v>6239.01</v>
      </c>
      <c r="G4923" s="10">
        <f t="shared" si="9"/>
        <v>42905.64583</v>
      </c>
      <c r="H4923" s="6" t="str">
        <f t="shared" si="6"/>
        <v/>
      </c>
      <c r="I4923" s="2">
        <f t="shared" si="7"/>
        <v>1426.89</v>
      </c>
      <c r="M4923" s="10">
        <f>IFERROR(__xludf.DUMMYFUNCTION("""COMPUTED_VALUE"""),45124.66666666667)</f>
        <v>45124.66667</v>
      </c>
      <c r="N4923" s="2">
        <f>IFERROR(__xludf.DUMMYFUNCTION("""COMPUTED_VALUE"""),14244.95)</f>
        <v>14244.95</v>
      </c>
      <c r="P4923" s="10">
        <f t="shared" si="10"/>
        <v>38553.64583</v>
      </c>
      <c r="Q4923" s="15">
        <v>1074.4</v>
      </c>
      <c r="R4923" s="18">
        <v>38553.0</v>
      </c>
    </row>
    <row r="4924">
      <c r="A4924" s="10">
        <f t="shared" si="8"/>
        <v>42906.66667</v>
      </c>
      <c r="B4924" s="2" t="str">
        <f t="shared" si="2"/>
        <v/>
      </c>
      <c r="C4924" s="2" t="str">
        <f t="shared" si="3"/>
        <v>SP500</v>
      </c>
      <c r="D4924" s="2">
        <f t="shared" si="4"/>
        <v>6188.03</v>
      </c>
      <c r="E4924" s="2">
        <f t="shared" si="5"/>
        <v>6188.03</v>
      </c>
      <c r="G4924" s="10">
        <f t="shared" si="9"/>
        <v>42906.64583</v>
      </c>
      <c r="H4924" s="6" t="str">
        <f t="shared" si="6"/>
        <v/>
      </c>
      <c r="I4924" s="2">
        <f t="shared" si="7"/>
        <v>1426.89</v>
      </c>
      <c r="M4924" s="10">
        <f>IFERROR(__xludf.DUMMYFUNCTION("""COMPUTED_VALUE"""),45125.66666666667)</f>
        <v>45125.66667</v>
      </c>
      <c r="N4924" s="2">
        <f>IFERROR(__xludf.DUMMYFUNCTION("""COMPUTED_VALUE"""),14353.64)</f>
        <v>14353.64</v>
      </c>
      <c r="P4924" s="10">
        <f t="shared" si="10"/>
        <v>38552.64583</v>
      </c>
      <c r="Q4924" s="15">
        <v>1075.48</v>
      </c>
      <c r="R4924" s="18">
        <v>38552.0</v>
      </c>
    </row>
    <row r="4925">
      <c r="A4925" s="10">
        <f t="shared" si="8"/>
        <v>42907.66667</v>
      </c>
      <c r="B4925" s="2" t="str">
        <f t="shared" si="2"/>
        <v/>
      </c>
      <c r="C4925" s="2" t="str">
        <f t="shared" si="3"/>
        <v>SP500</v>
      </c>
      <c r="D4925" s="2">
        <f t="shared" si="4"/>
        <v>6233.95</v>
      </c>
      <c r="E4925" s="2">
        <f t="shared" si="5"/>
        <v>6233.95</v>
      </c>
      <c r="G4925" s="10">
        <f t="shared" si="9"/>
        <v>42907.64583</v>
      </c>
      <c r="H4925" s="6" t="str">
        <f t="shared" si="6"/>
        <v/>
      </c>
      <c r="I4925" s="2">
        <f t="shared" si="7"/>
        <v>1426.89</v>
      </c>
      <c r="M4925" s="10">
        <f>IFERROR(__xludf.DUMMYFUNCTION("""COMPUTED_VALUE"""),45126.66666666667)</f>
        <v>45126.66667</v>
      </c>
      <c r="N4925" s="2">
        <f>IFERROR(__xludf.DUMMYFUNCTION("""COMPUTED_VALUE"""),14358.02)</f>
        <v>14358.02</v>
      </c>
      <c r="P4925" s="10">
        <f t="shared" si="10"/>
        <v>38551.64583</v>
      </c>
      <c r="Q4925" s="15">
        <v>1062.43</v>
      </c>
      <c r="R4925" s="18">
        <v>38551.0</v>
      </c>
    </row>
    <row r="4926">
      <c r="A4926" s="10">
        <f t="shared" si="8"/>
        <v>42908.66667</v>
      </c>
      <c r="B4926" s="2" t="str">
        <f t="shared" si="2"/>
        <v/>
      </c>
      <c r="C4926" s="2" t="str">
        <f t="shared" si="3"/>
        <v>SP500</v>
      </c>
      <c r="D4926" s="2">
        <f t="shared" si="4"/>
        <v>6236.69</v>
      </c>
      <c r="E4926" s="2">
        <f t="shared" si="5"/>
        <v>6236.69</v>
      </c>
      <c r="G4926" s="10">
        <f t="shared" si="9"/>
        <v>42908.64583</v>
      </c>
      <c r="H4926" s="6" t="str">
        <f t="shared" si="6"/>
        <v/>
      </c>
      <c r="I4926" s="2">
        <f t="shared" si="7"/>
        <v>1426.89</v>
      </c>
      <c r="M4926" s="10">
        <f>IFERROR(__xludf.DUMMYFUNCTION("""COMPUTED_VALUE"""),45127.66666666667)</f>
        <v>45127.66667</v>
      </c>
      <c r="N4926" s="2">
        <f>IFERROR(__xludf.DUMMYFUNCTION("""COMPUTED_VALUE"""),14063.31)</f>
        <v>14063.31</v>
      </c>
      <c r="P4926" s="10">
        <f t="shared" si="10"/>
        <v>38548.64583</v>
      </c>
      <c r="Q4926" s="15">
        <v>1059.6</v>
      </c>
      <c r="R4926" s="18">
        <v>38548.0</v>
      </c>
    </row>
    <row r="4927">
      <c r="A4927" s="10">
        <f t="shared" si="8"/>
        <v>42909.66667</v>
      </c>
      <c r="B4927" s="2" t="str">
        <f t="shared" si="2"/>
        <v/>
      </c>
      <c r="C4927" s="2" t="str">
        <f t="shared" si="3"/>
        <v>SP500</v>
      </c>
      <c r="D4927" s="2">
        <f t="shared" si="4"/>
        <v>6265.25</v>
      </c>
      <c r="E4927" s="2">
        <f t="shared" si="5"/>
        <v>6265.25</v>
      </c>
      <c r="G4927" s="10">
        <f t="shared" si="9"/>
        <v>42909.64583</v>
      </c>
      <c r="H4927" s="6" t="str">
        <f t="shared" si="6"/>
        <v/>
      </c>
      <c r="I4927" s="2">
        <f t="shared" si="7"/>
        <v>1426.89</v>
      </c>
      <c r="M4927" s="10">
        <f>IFERROR(__xludf.DUMMYFUNCTION("""COMPUTED_VALUE"""),45128.66666666667)</f>
        <v>45128.66667</v>
      </c>
      <c r="N4927" s="2">
        <f>IFERROR(__xludf.DUMMYFUNCTION("""COMPUTED_VALUE"""),14032.81)</f>
        <v>14032.81</v>
      </c>
      <c r="P4927" s="10">
        <f t="shared" si="10"/>
        <v>38547.64583</v>
      </c>
      <c r="Q4927" s="15">
        <v>1061.93</v>
      </c>
      <c r="R4927" s="18">
        <v>38547.0</v>
      </c>
    </row>
    <row r="4928">
      <c r="A4928" s="10">
        <f t="shared" si="8"/>
        <v>42910.66667</v>
      </c>
      <c r="B4928" s="2" t="str">
        <f t="shared" si="2"/>
        <v/>
      </c>
      <c r="C4928" s="2" t="str">
        <f t="shared" si="3"/>
        <v>SP500</v>
      </c>
      <c r="D4928" s="2" t="str">
        <f t="shared" si="4"/>
        <v/>
      </c>
      <c r="E4928" s="2">
        <f t="shared" si="5"/>
        <v>6265.25</v>
      </c>
      <c r="G4928" s="10">
        <f t="shared" si="9"/>
        <v>42910.64583</v>
      </c>
      <c r="H4928" s="6" t="str">
        <f t="shared" si="6"/>
        <v/>
      </c>
      <c r="I4928" s="2">
        <f t="shared" si="7"/>
        <v>1426.89</v>
      </c>
      <c r="M4928" s="10">
        <f>IFERROR(__xludf.DUMMYFUNCTION("""COMPUTED_VALUE"""),45131.66666666667)</f>
        <v>45131.66667</v>
      </c>
      <c r="N4928" s="2">
        <f>IFERROR(__xludf.DUMMYFUNCTION("""COMPUTED_VALUE"""),14058.87)</f>
        <v>14058.87</v>
      </c>
      <c r="P4928" s="10">
        <f t="shared" si="10"/>
        <v>38546.64583</v>
      </c>
      <c r="Q4928" s="15">
        <v>1050.16</v>
      </c>
      <c r="R4928" s="18">
        <v>38546.0</v>
      </c>
    </row>
    <row r="4929">
      <c r="A4929" s="10">
        <f t="shared" si="8"/>
        <v>42911.66667</v>
      </c>
      <c r="B4929" s="2" t="str">
        <f t="shared" si="2"/>
        <v/>
      </c>
      <c r="C4929" s="2" t="str">
        <f t="shared" si="3"/>
        <v>SP500</v>
      </c>
      <c r="D4929" s="2" t="str">
        <f t="shared" si="4"/>
        <v/>
      </c>
      <c r="E4929" s="2">
        <f t="shared" si="5"/>
        <v>6265.25</v>
      </c>
      <c r="G4929" s="10">
        <f t="shared" si="9"/>
        <v>42911.64583</v>
      </c>
      <c r="H4929" s="6" t="str">
        <f t="shared" si="6"/>
        <v/>
      </c>
      <c r="I4929" s="2">
        <f t="shared" si="7"/>
        <v>1426.89</v>
      </c>
      <c r="M4929" s="10">
        <f>IFERROR(__xludf.DUMMYFUNCTION("""COMPUTED_VALUE"""),45132.66666666667)</f>
        <v>45132.66667</v>
      </c>
      <c r="N4929" s="2">
        <f>IFERROR(__xludf.DUMMYFUNCTION("""COMPUTED_VALUE"""),14144.56)</f>
        <v>14144.56</v>
      </c>
      <c r="P4929" s="10">
        <f t="shared" si="10"/>
        <v>38545.64583</v>
      </c>
      <c r="Q4929" s="15">
        <v>1043.88</v>
      </c>
      <c r="R4929" s="18">
        <v>38545.0</v>
      </c>
    </row>
    <row r="4930">
      <c r="A4930" s="10">
        <f t="shared" si="8"/>
        <v>42912.66667</v>
      </c>
      <c r="B4930" s="2" t="str">
        <f t="shared" si="2"/>
        <v/>
      </c>
      <c r="C4930" s="2" t="str">
        <f t="shared" si="3"/>
        <v>SP500</v>
      </c>
      <c r="D4930" s="2">
        <f t="shared" si="4"/>
        <v>6247.15</v>
      </c>
      <c r="E4930" s="2">
        <f t="shared" si="5"/>
        <v>6247.15</v>
      </c>
      <c r="G4930" s="10">
        <f t="shared" si="9"/>
        <v>42912.64583</v>
      </c>
      <c r="H4930" s="6" t="str">
        <f t="shared" si="6"/>
        <v/>
      </c>
      <c r="I4930" s="2">
        <f t="shared" si="7"/>
        <v>1426.89</v>
      </c>
      <c r="M4930" s="10">
        <f>IFERROR(__xludf.DUMMYFUNCTION("""COMPUTED_VALUE"""),45133.66666666667)</f>
        <v>45133.66667</v>
      </c>
      <c r="N4930" s="2">
        <f>IFERROR(__xludf.DUMMYFUNCTION("""COMPUTED_VALUE"""),14127.28)</f>
        <v>14127.28</v>
      </c>
      <c r="P4930" s="10">
        <f t="shared" si="10"/>
        <v>38544.64583</v>
      </c>
      <c r="Q4930" s="15">
        <v>1040.43</v>
      </c>
      <c r="R4930" s="18">
        <v>38544.0</v>
      </c>
    </row>
    <row r="4931">
      <c r="A4931" s="10">
        <f t="shared" si="8"/>
        <v>42913.66667</v>
      </c>
      <c r="B4931" s="2" t="str">
        <f t="shared" si="2"/>
        <v/>
      </c>
      <c r="C4931" s="2" t="str">
        <f t="shared" si="3"/>
        <v>SP500</v>
      </c>
      <c r="D4931" s="2">
        <f t="shared" si="4"/>
        <v>6146.62</v>
      </c>
      <c r="E4931" s="2">
        <f t="shared" si="5"/>
        <v>6146.62</v>
      </c>
      <c r="G4931" s="10">
        <f t="shared" si="9"/>
        <v>42913.64583</v>
      </c>
      <c r="H4931" s="6" t="str">
        <f t="shared" si="6"/>
        <v/>
      </c>
      <c r="I4931" s="2">
        <f t="shared" si="7"/>
        <v>1426.89</v>
      </c>
      <c r="M4931" s="10">
        <f>IFERROR(__xludf.DUMMYFUNCTION("""COMPUTED_VALUE"""),45134.66666666667)</f>
        <v>45134.66667</v>
      </c>
      <c r="N4931" s="2">
        <f>IFERROR(__xludf.DUMMYFUNCTION("""COMPUTED_VALUE"""),14050.11)</f>
        <v>14050.11</v>
      </c>
      <c r="P4931" s="10">
        <f t="shared" si="10"/>
        <v>38541.64583</v>
      </c>
      <c r="Q4931" s="15">
        <v>1021.95</v>
      </c>
      <c r="R4931" s="18">
        <v>38541.0</v>
      </c>
    </row>
    <row r="4932">
      <c r="A4932" s="10">
        <f t="shared" si="8"/>
        <v>42914.66667</v>
      </c>
      <c r="B4932" s="2" t="str">
        <f t="shared" si="2"/>
        <v/>
      </c>
      <c r="C4932" s="2" t="str">
        <f t="shared" si="3"/>
        <v>SP500</v>
      </c>
      <c r="D4932" s="2">
        <f t="shared" si="4"/>
        <v>6234.41</v>
      </c>
      <c r="E4932" s="2">
        <f t="shared" si="5"/>
        <v>6234.41</v>
      </c>
      <c r="G4932" s="10">
        <f t="shared" si="9"/>
        <v>42914.64583</v>
      </c>
      <c r="H4932" s="6" t="str">
        <f t="shared" si="6"/>
        <v/>
      </c>
      <c r="I4932" s="2">
        <f t="shared" si="7"/>
        <v>1426.89</v>
      </c>
      <c r="M4932" s="10">
        <f>IFERROR(__xludf.DUMMYFUNCTION("""COMPUTED_VALUE"""),45135.66666666667)</f>
        <v>45135.66667</v>
      </c>
      <c r="N4932" s="2">
        <f>IFERROR(__xludf.DUMMYFUNCTION("""COMPUTED_VALUE"""),14316.66)</f>
        <v>14316.66</v>
      </c>
      <c r="P4932" s="10">
        <f t="shared" si="10"/>
        <v>38540.64583</v>
      </c>
      <c r="Q4932" s="15">
        <v>1026.82</v>
      </c>
      <c r="R4932" s="18">
        <v>38540.0</v>
      </c>
    </row>
    <row r="4933">
      <c r="A4933" s="10">
        <f t="shared" si="8"/>
        <v>42915.66667</v>
      </c>
      <c r="B4933" s="2" t="str">
        <f t="shared" si="2"/>
        <v/>
      </c>
      <c r="C4933" s="2" t="str">
        <f t="shared" si="3"/>
        <v>SP500</v>
      </c>
      <c r="D4933" s="2">
        <f t="shared" si="4"/>
        <v>6144.35</v>
      </c>
      <c r="E4933" s="2">
        <f t="shared" si="5"/>
        <v>6144.35</v>
      </c>
      <c r="G4933" s="10">
        <f t="shared" si="9"/>
        <v>42915.64583</v>
      </c>
      <c r="H4933" s="6" t="str">
        <f t="shared" si="6"/>
        <v/>
      </c>
      <c r="I4933" s="2">
        <f t="shared" si="7"/>
        <v>1426.89</v>
      </c>
      <c r="M4933" s="10">
        <f>IFERROR(__xludf.DUMMYFUNCTION("""COMPUTED_VALUE"""),45138.66666666667)</f>
        <v>45138.66667</v>
      </c>
      <c r="N4933" s="2">
        <f>IFERROR(__xludf.DUMMYFUNCTION("""COMPUTED_VALUE"""),14346.02)</f>
        <v>14346.02</v>
      </c>
      <c r="P4933" s="10">
        <f t="shared" si="10"/>
        <v>38539.64583</v>
      </c>
      <c r="Q4933" s="15">
        <v>1019.01</v>
      </c>
      <c r="R4933" s="18">
        <v>38539.0</v>
      </c>
    </row>
    <row r="4934">
      <c r="A4934" s="10">
        <f t="shared" si="8"/>
        <v>42916.66667</v>
      </c>
      <c r="B4934" s="2" t="str">
        <f t="shared" si="2"/>
        <v/>
      </c>
      <c r="C4934" s="2" t="str">
        <f t="shared" si="3"/>
        <v>SP500</v>
      </c>
      <c r="D4934" s="2">
        <f t="shared" si="4"/>
        <v>6140.42</v>
      </c>
      <c r="E4934" s="2">
        <f t="shared" si="5"/>
        <v>6140.42</v>
      </c>
      <c r="G4934" s="10">
        <f t="shared" si="9"/>
        <v>42916.64583</v>
      </c>
      <c r="H4934" s="6" t="str">
        <f t="shared" si="6"/>
        <v/>
      </c>
      <c r="I4934" s="2">
        <f t="shared" si="7"/>
        <v>1426.89</v>
      </c>
      <c r="M4934" s="10">
        <f>IFERROR(__xludf.DUMMYFUNCTION("""COMPUTED_VALUE"""),45139.66666666667)</f>
        <v>45139.66667</v>
      </c>
      <c r="N4934" s="2">
        <f>IFERROR(__xludf.DUMMYFUNCTION("""COMPUTED_VALUE"""),14283.91)</f>
        <v>14283.91</v>
      </c>
      <c r="P4934" s="10">
        <f t="shared" si="10"/>
        <v>38538.64583</v>
      </c>
      <c r="Q4934" s="15">
        <v>1018.81</v>
      </c>
      <c r="R4934" s="18">
        <v>38538.0</v>
      </c>
    </row>
    <row r="4935">
      <c r="A4935" s="10">
        <f t="shared" si="8"/>
        <v>42917.66667</v>
      </c>
      <c r="B4935" s="2" t="str">
        <f t="shared" si="2"/>
        <v/>
      </c>
      <c r="C4935" s="2" t="str">
        <f t="shared" si="3"/>
        <v>SP500</v>
      </c>
      <c r="D4935" s="2" t="str">
        <f t="shared" si="4"/>
        <v/>
      </c>
      <c r="E4935" s="2">
        <f t="shared" si="5"/>
        <v>6140.42</v>
      </c>
      <c r="G4935" s="10">
        <f t="shared" si="9"/>
        <v>42917.64583</v>
      </c>
      <c r="H4935" s="6" t="str">
        <f t="shared" si="6"/>
        <v/>
      </c>
      <c r="I4935" s="2">
        <f t="shared" si="7"/>
        <v>1426.89</v>
      </c>
      <c r="M4935" s="10">
        <f>IFERROR(__xludf.DUMMYFUNCTION("""COMPUTED_VALUE"""),45140.66666666667)</f>
        <v>45140.66667</v>
      </c>
      <c r="N4935" s="2">
        <f>IFERROR(__xludf.DUMMYFUNCTION("""COMPUTED_VALUE"""),13973.45)</f>
        <v>13973.45</v>
      </c>
      <c r="P4935" s="10">
        <f t="shared" si="10"/>
        <v>38537.64583</v>
      </c>
      <c r="Q4935" s="15">
        <v>1021.71</v>
      </c>
      <c r="R4935" s="18">
        <v>38537.0</v>
      </c>
    </row>
    <row r="4936">
      <c r="A4936" s="10">
        <f t="shared" si="8"/>
        <v>42918.66667</v>
      </c>
      <c r="B4936" s="2" t="str">
        <f t="shared" si="2"/>
        <v/>
      </c>
      <c r="C4936" s="2" t="str">
        <f t="shared" si="3"/>
        <v>SP500</v>
      </c>
      <c r="D4936" s="2" t="str">
        <f t="shared" si="4"/>
        <v/>
      </c>
      <c r="E4936" s="2">
        <f t="shared" si="5"/>
        <v>6140.42</v>
      </c>
      <c r="G4936" s="10">
        <f t="shared" si="9"/>
        <v>42918.64583</v>
      </c>
      <c r="H4936" s="6" t="str">
        <f t="shared" si="6"/>
        <v/>
      </c>
      <c r="I4936" s="2">
        <f t="shared" si="7"/>
        <v>1426.89</v>
      </c>
      <c r="M4936" s="10">
        <f>IFERROR(__xludf.DUMMYFUNCTION("""COMPUTED_VALUE"""),45141.66666666667)</f>
        <v>45141.66667</v>
      </c>
      <c r="N4936" s="2">
        <f>IFERROR(__xludf.DUMMYFUNCTION("""COMPUTED_VALUE"""),13959.72)</f>
        <v>13959.72</v>
      </c>
      <c r="P4936" s="10">
        <f t="shared" si="10"/>
        <v>38534.64583</v>
      </c>
      <c r="Q4936" s="15">
        <v>1018.02</v>
      </c>
      <c r="R4936" s="18">
        <v>38534.0</v>
      </c>
    </row>
    <row r="4937">
      <c r="A4937" s="10">
        <f t="shared" si="8"/>
        <v>42919.66667</v>
      </c>
      <c r="B4937" s="2" t="str">
        <f t="shared" si="2"/>
        <v/>
      </c>
      <c r="C4937" s="2" t="str">
        <f t="shared" si="3"/>
        <v>SP500</v>
      </c>
      <c r="D4937" s="2">
        <f t="shared" si="4"/>
        <v>6110.06</v>
      </c>
      <c r="E4937" s="2">
        <f t="shared" si="5"/>
        <v>6110.06</v>
      </c>
      <c r="G4937" s="10">
        <f t="shared" si="9"/>
        <v>42919.64583</v>
      </c>
      <c r="H4937" s="6" t="str">
        <f t="shared" si="6"/>
        <v/>
      </c>
      <c r="I4937" s="2">
        <f t="shared" si="7"/>
        <v>1426.89</v>
      </c>
      <c r="M4937" s="10">
        <f>IFERROR(__xludf.DUMMYFUNCTION("""COMPUTED_VALUE"""),45142.66666666667)</f>
        <v>45142.66667</v>
      </c>
      <c r="N4937" s="2">
        <f>IFERROR(__xludf.DUMMYFUNCTION("""COMPUTED_VALUE"""),13892.07)</f>
        <v>13892.07</v>
      </c>
      <c r="P4937" s="10">
        <f t="shared" si="10"/>
        <v>38533.64583</v>
      </c>
      <c r="Q4937" s="15">
        <v>1008.16</v>
      </c>
      <c r="R4937" s="18">
        <v>38533.0</v>
      </c>
    </row>
    <row r="4938">
      <c r="A4938" s="10">
        <f t="shared" si="8"/>
        <v>42920.66667</v>
      </c>
      <c r="B4938" s="2" t="str">
        <f t="shared" si="2"/>
        <v/>
      </c>
      <c r="C4938" s="2" t="str">
        <f t="shared" si="3"/>
        <v>SP500</v>
      </c>
      <c r="D4938" s="2" t="str">
        <f t="shared" si="4"/>
        <v/>
      </c>
      <c r="E4938" s="2">
        <f t="shared" si="5"/>
        <v>6110.06</v>
      </c>
      <c r="G4938" s="10">
        <f t="shared" si="9"/>
        <v>42920.64583</v>
      </c>
      <c r="H4938" s="6" t="str">
        <f t="shared" si="6"/>
        <v/>
      </c>
      <c r="I4938" s="2">
        <f t="shared" si="7"/>
        <v>1426.89</v>
      </c>
      <c r="M4938" s="10">
        <f>IFERROR(__xludf.DUMMYFUNCTION("""COMPUTED_VALUE"""),45145.66666666667)</f>
        <v>45145.66667</v>
      </c>
      <c r="N4938" s="2">
        <f>IFERROR(__xludf.DUMMYFUNCTION("""COMPUTED_VALUE"""),13977.12)</f>
        <v>13977.12</v>
      </c>
      <c r="P4938" s="10">
        <f t="shared" si="10"/>
        <v>38532.64583</v>
      </c>
      <c r="Q4938" s="13">
        <v>999.08</v>
      </c>
      <c r="R4938" s="18">
        <v>38532.0</v>
      </c>
    </row>
    <row r="4939">
      <c r="A4939" s="10">
        <f t="shared" si="8"/>
        <v>42921.66667</v>
      </c>
      <c r="B4939" s="2" t="str">
        <f t="shared" si="2"/>
        <v/>
      </c>
      <c r="C4939" s="2" t="str">
        <f t="shared" si="3"/>
        <v>SP500</v>
      </c>
      <c r="D4939" s="2">
        <f t="shared" si="4"/>
        <v>6150.86</v>
      </c>
      <c r="E4939" s="2">
        <f t="shared" si="5"/>
        <v>6150.86</v>
      </c>
      <c r="G4939" s="10">
        <f t="shared" si="9"/>
        <v>42921.64583</v>
      </c>
      <c r="H4939" s="6" t="str">
        <f t="shared" si="6"/>
        <v/>
      </c>
      <c r="I4939" s="2">
        <f t="shared" si="7"/>
        <v>1426.89</v>
      </c>
      <c r="M4939" s="10">
        <f>IFERROR(__xludf.DUMMYFUNCTION("""COMPUTED_VALUE"""),45146.66666666667)</f>
        <v>45146.66667</v>
      </c>
      <c r="N4939" s="2">
        <f>IFERROR(__xludf.DUMMYFUNCTION("""COMPUTED_VALUE"""),13867.19)</f>
        <v>13867.19</v>
      </c>
      <c r="P4939" s="10">
        <f t="shared" si="10"/>
        <v>38531.64583</v>
      </c>
      <c r="Q4939" s="13">
        <v>994.74</v>
      </c>
      <c r="R4939" s="18">
        <v>38531.0</v>
      </c>
    </row>
    <row r="4940">
      <c r="A4940" s="10">
        <f t="shared" si="8"/>
        <v>42922.66667</v>
      </c>
      <c r="B4940" s="2" t="str">
        <f t="shared" si="2"/>
        <v/>
      </c>
      <c r="C4940" s="2" t="str">
        <f t="shared" si="3"/>
        <v>SP500</v>
      </c>
      <c r="D4940" s="2">
        <f t="shared" si="4"/>
        <v>6089.46</v>
      </c>
      <c r="E4940" s="2">
        <f t="shared" si="5"/>
        <v>6089.46</v>
      </c>
      <c r="G4940" s="10">
        <f t="shared" si="9"/>
        <v>42922.64583</v>
      </c>
      <c r="H4940" s="6" t="str">
        <f t="shared" si="6"/>
        <v/>
      </c>
      <c r="I4940" s="2">
        <f t="shared" si="7"/>
        <v>1426.89</v>
      </c>
      <c r="M4940" s="10">
        <f>IFERROR(__xludf.DUMMYFUNCTION("""COMPUTED_VALUE"""),45147.66666666667)</f>
        <v>45147.66667</v>
      </c>
      <c r="N4940" s="2">
        <f>IFERROR(__xludf.DUMMYFUNCTION("""COMPUTED_VALUE"""),13705.08)</f>
        <v>13705.08</v>
      </c>
      <c r="P4940" s="10">
        <f t="shared" si="10"/>
        <v>38530.64583</v>
      </c>
      <c r="Q4940" s="13">
        <v>991.11</v>
      </c>
      <c r="R4940" s="18">
        <v>38530.0</v>
      </c>
    </row>
    <row r="4941">
      <c r="A4941" s="10">
        <f t="shared" si="8"/>
        <v>42923.66667</v>
      </c>
      <c r="B4941" s="2" t="str">
        <f t="shared" si="2"/>
        <v/>
      </c>
      <c r="C4941" s="2" t="str">
        <f t="shared" si="3"/>
        <v>SP500</v>
      </c>
      <c r="D4941" s="2">
        <f t="shared" si="4"/>
        <v>6153.08</v>
      </c>
      <c r="E4941" s="2">
        <f t="shared" si="5"/>
        <v>6153.08</v>
      </c>
      <c r="G4941" s="10">
        <f t="shared" si="9"/>
        <v>42923.64583</v>
      </c>
      <c r="H4941" s="6" t="str">
        <f t="shared" si="6"/>
        <v/>
      </c>
      <c r="I4941" s="2">
        <f t="shared" si="7"/>
        <v>1426.89</v>
      </c>
      <c r="M4941" s="10">
        <f>IFERROR(__xludf.DUMMYFUNCTION("""COMPUTED_VALUE"""),45148.66666666667)</f>
        <v>45148.66667</v>
      </c>
      <c r="N4941" s="2">
        <f>IFERROR(__xludf.DUMMYFUNCTION("""COMPUTED_VALUE"""),13721.03)</f>
        <v>13721.03</v>
      </c>
      <c r="P4941" s="10">
        <f t="shared" si="10"/>
        <v>38527.64583</v>
      </c>
      <c r="Q4941" s="15">
        <v>1002.43</v>
      </c>
      <c r="R4941" s="18">
        <v>38527.0</v>
      </c>
    </row>
    <row r="4942">
      <c r="A4942" s="10">
        <f t="shared" si="8"/>
        <v>42924.66667</v>
      </c>
      <c r="B4942" s="2" t="str">
        <f t="shared" si="2"/>
        <v/>
      </c>
      <c r="C4942" s="2" t="str">
        <f t="shared" si="3"/>
        <v>SP500</v>
      </c>
      <c r="D4942" s="2" t="str">
        <f t="shared" si="4"/>
        <v/>
      </c>
      <c r="E4942" s="2">
        <f t="shared" si="5"/>
        <v>6153.08</v>
      </c>
      <c r="G4942" s="10">
        <f t="shared" si="9"/>
        <v>42924.64583</v>
      </c>
      <c r="H4942" s="6" t="str">
        <f t="shared" si="6"/>
        <v/>
      </c>
      <c r="I4942" s="2">
        <f t="shared" si="7"/>
        <v>1426.89</v>
      </c>
      <c r="M4942" s="10">
        <f>IFERROR(__xludf.DUMMYFUNCTION("""COMPUTED_VALUE"""),45149.66666666667)</f>
        <v>45149.66667</v>
      </c>
      <c r="N4942" s="2">
        <f>IFERROR(__xludf.DUMMYFUNCTION("""COMPUTED_VALUE"""),13644.85)</f>
        <v>13644.85</v>
      </c>
      <c r="P4942" s="10">
        <f t="shared" si="10"/>
        <v>38526.64583</v>
      </c>
      <c r="Q4942" s="15">
        <v>1010.8</v>
      </c>
      <c r="R4942" s="18">
        <v>38526.0</v>
      </c>
    </row>
    <row r="4943">
      <c r="A4943" s="10">
        <f t="shared" si="8"/>
        <v>42925.66667</v>
      </c>
      <c r="B4943" s="2" t="str">
        <f t="shared" si="2"/>
        <v/>
      </c>
      <c r="C4943" s="2" t="str">
        <f t="shared" si="3"/>
        <v>SP500</v>
      </c>
      <c r="D4943" s="2" t="str">
        <f t="shared" si="4"/>
        <v/>
      </c>
      <c r="E4943" s="2">
        <f t="shared" si="5"/>
        <v>6153.08</v>
      </c>
      <c r="G4943" s="10">
        <f t="shared" si="9"/>
        <v>42925.64583</v>
      </c>
      <c r="H4943" s="6" t="str">
        <f t="shared" si="6"/>
        <v/>
      </c>
      <c r="I4943" s="2">
        <f t="shared" si="7"/>
        <v>1426.89</v>
      </c>
      <c r="M4943" s="10">
        <f>IFERROR(__xludf.DUMMYFUNCTION("""COMPUTED_VALUE"""),45152.66666666667)</f>
        <v>45152.66667</v>
      </c>
      <c r="N4943" s="2">
        <f>IFERROR(__xludf.DUMMYFUNCTION("""COMPUTED_VALUE"""),13788.33)</f>
        <v>13788.33</v>
      </c>
      <c r="P4943" s="10">
        <f t="shared" si="10"/>
        <v>38525.64583</v>
      </c>
      <c r="Q4943" s="15">
        <v>1002.15</v>
      </c>
      <c r="R4943" s="18">
        <v>38525.0</v>
      </c>
    </row>
    <row r="4944">
      <c r="A4944" s="10">
        <f t="shared" si="8"/>
        <v>42926.66667</v>
      </c>
      <c r="B4944" s="2" t="str">
        <f t="shared" si="2"/>
        <v/>
      </c>
      <c r="C4944" s="2" t="str">
        <f t="shared" si="3"/>
        <v>SP500</v>
      </c>
      <c r="D4944" s="2">
        <f t="shared" si="4"/>
        <v>6176.39</v>
      </c>
      <c r="E4944" s="2">
        <f t="shared" si="5"/>
        <v>6176.39</v>
      </c>
      <c r="G4944" s="10">
        <f t="shared" si="9"/>
        <v>42926.64583</v>
      </c>
      <c r="H4944" s="6" t="str">
        <f t="shared" si="6"/>
        <v/>
      </c>
      <c r="I4944" s="2">
        <f t="shared" si="7"/>
        <v>1426.89</v>
      </c>
      <c r="M4944" s="10">
        <f>IFERROR(__xludf.DUMMYFUNCTION("""COMPUTED_VALUE"""),45153.66666666667)</f>
        <v>45153.66667</v>
      </c>
      <c r="N4944" s="2">
        <f>IFERROR(__xludf.DUMMYFUNCTION("""COMPUTED_VALUE"""),13631.05)</f>
        <v>13631.05</v>
      </c>
      <c r="P4944" s="10">
        <f t="shared" si="10"/>
        <v>38524.64583</v>
      </c>
      <c r="Q4944" s="13">
        <v>989.99</v>
      </c>
      <c r="R4944" s="18">
        <v>38524.0</v>
      </c>
    </row>
    <row r="4945">
      <c r="A4945" s="10">
        <f t="shared" si="8"/>
        <v>42927.66667</v>
      </c>
      <c r="B4945" s="2" t="str">
        <f t="shared" si="2"/>
        <v/>
      </c>
      <c r="C4945" s="2" t="str">
        <f t="shared" si="3"/>
        <v>SP500</v>
      </c>
      <c r="D4945" s="2">
        <f t="shared" si="4"/>
        <v>6193.3</v>
      </c>
      <c r="E4945" s="2">
        <f t="shared" si="5"/>
        <v>6193.3</v>
      </c>
      <c r="G4945" s="10">
        <f t="shared" si="9"/>
        <v>42927.64583</v>
      </c>
      <c r="H4945" s="6" t="str">
        <f t="shared" si="6"/>
        <v/>
      </c>
      <c r="I4945" s="2">
        <f t="shared" si="7"/>
        <v>1426.89</v>
      </c>
      <c r="M4945" s="10">
        <f>IFERROR(__xludf.DUMMYFUNCTION("""COMPUTED_VALUE"""),45154.66666666667)</f>
        <v>45154.66667</v>
      </c>
      <c r="N4945" s="2">
        <f>IFERROR(__xludf.DUMMYFUNCTION("""COMPUTED_VALUE"""),13474.63)</f>
        <v>13474.63</v>
      </c>
      <c r="P4945" s="10">
        <f t="shared" si="10"/>
        <v>38523.64583</v>
      </c>
      <c r="Q4945" s="13">
        <v>994.65</v>
      </c>
      <c r="R4945" s="18">
        <v>38523.0</v>
      </c>
    </row>
    <row r="4946">
      <c r="A4946" s="10">
        <f t="shared" si="8"/>
        <v>42928.66667</v>
      </c>
      <c r="B4946" s="2" t="str">
        <f t="shared" si="2"/>
        <v/>
      </c>
      <c r="C4946" s="2" t="str">
        <f t="shared" si="3"/>
        <v>SP500</v>
      </c>
      <c r="D4946" s="2">
        <f t="shared" si="4"/>
        <v>6261.17</v>
      </c>
      <c r="E4946" s="2">
        <f t="shared" si="5"/>
        <v>6261.17</v>
      </c>
      <c r="G4946" s="10">
        <f t="shared" si="9"/>
        <v>42928.64583</v>
      </c>
      <c r="H4946" s="6" t="str">
        <f t="shared" si="6"/>
        <v/>
      </c>
      <c r="I4946" s="2">
        <f t="shared" si="7"/>
        <v>1426.89</v>
      </c>
      <c r="M4946" s="10">
        <f>IFERROR(__xludf.DUMMYFUNCTION("""COMPUTED_VALUE"""),45155.66666666667)</f>
        <v>45155.66667</v>
      </c>
      <c r="N4946" s="2">
        <f>IFERROR(__xludf.DUMMYFUNCTION("""COMPUTED_VALUE"""),13316.93)</f>
        <v>13316.93</v>
      </c>
      <c r="P4946" s="10">
        <f t="shared" si="10"/>
        <v>38520.64583</v>
      </c>
      <c r="Q4946" s="15">
        <v>1003.68</v>
      </c>
      <c r="R4946" s="18">
        <v>38520.0</v>
      </c>
    </row>
    <row r="4947">
      <c r="A4947" s="10">
        <f t="shared" si="8"/>
        <v>42929.66667</v>
      </c>
      <c r="B4947" s="2" t="str">
        <f t="shared" si="2"/>
        <v/>
      </c>
      <c r="C4947" s="2" t="str">
        <f t="shared" si="3"/>
        <v>SP500</v>
      </c>
      <c r="D4947" s="2">
        <f t="shared" si="4"/>
        <v>6274.44</v>
      </c>
      <c r="E4947" s="2">
        <f t="shared" si="5"/>
        <v>6274.44</v>
      </c>
      <c r="G4947" s="10">
        <f t="shared" si="9"/>
        <v>42929.64583</v>
      </c>
      <c r="H4947" s="6" t="str">
        <f t="shared" si="6"/>
        <v/>
      </c>
      <c r="I4947" s="2">
        <f t="shared" si="7"/>
        <v>1426.89</v>
      </c>
      <c r="M4947" s="10">
        <f>IFERROR(__xludf.DUMMYFUNCTION("""COMPUTED_VALUE"""),45156.66666666667)</f>
        <v>45156.66667</v>
      </c>
      <c r="N4947" s="2">
        <f>IFERROR(__xludf.DUMMYFUNCTION("""COMPUTED_VALUE"""),13290.78)</f>
        <v>13290.78</v>
      </c>
      <c r="P4947" s="10">
        <f t="shared" si="10"/>
        <v>38519.64583</v>
      </c>
      <c r="Q4947" s="15">
        <v>1003.14</v>
      </c>
      <c r="R4947" s="18">
        <v>38519.0</v>
      </c>
    </row>
    <row r="4948">
      <c r="A4948" s="10">
        <f t="shared" si="8"/>
        <v>42930.66667</v>
      </c>
      <c r="B4948" s="2" t="str">
        <f t="shared" si="2"/>
        <v/>
      </c>
      <c r="C4948" s="2" t="str">
        <f t="shared" si="3"/>
        <v>SP500</v>
      </c>
      <c r="D4948" s="2">
        <f t="shared" si="4"/>
        <v>6312.47</v>
      </c>
      <c r="E4948" s="2">
        <f t="shared" si="5"/>
        <v>6312.47</v>
      </c>
      <c r="G4948" s="10">
        <f t="shared" si="9"/>
        <v>42930.64583</v>
      </c>
      <c r="H4948" s="6" t="str">
        <f t="shared" si="6"/>
        <v/>
      </c>
      <c r="I4948" s="2">
        <f t="shared" si="7"/>
        <v>1426.89</v>
      </c>
      <c r="M4948" s="10">
        <f>IFERROR(__xludf.DUMMYFUNCTION("""COMPUTED_VALUE"""),45159.66666666667)</f>
        <v>45159.66667</v>
      </c>
      <c r="N4948" s="2">
        <f>IFERROR(__xludf.DUMMYFUNCTION("""COMPUTED_VALUE"""),13497.59)</f>
        <v>13497.59</v>
      </c>
      <c r="P4948" s="10">
        <f t="shared" si="10"/>
        <v>38518.64583</v>
      </c>
      <c r="Q4948" s="15">
        <v>1001.94</v>
      </c>
      <c r="R4948" s="18">
        <v>38518.0</v>
      </c>
    </row>
    <row r="4949">
      <c r="A4949" s="10">
        <f t="shared" si="8"/>
        <v>42931.66667</v>
      </c>
      <c r="B4949" s="2" t="str">
        <f t="shared" si="2"/>
        <v/>
      </c>
      <c r="C4949" s="2" t="str">
        <f t="shared" si="3"/>
        <v>SP500</v>
      </c>
      <c r="D4949" s="2" t="str">
        <f t="shared" si="4"/>
        <v/>
      </c>
      <c r="E4949" s="2">
        <f t="shared" si="5"/>
        <v>6312.47</v>
      </c>
      <c r="G4949" s="10">
        <f t="shared" si="9"/>
        <v>42931.64583</v>
      </c>
      <c r="H4949" s="6" t="str">
        <f t="shared" si="6"/>
        <v/>
      </c>
      <c r="I4949" s="2">
        <f t="shared" si="7"/>
        <v>1426.89</v>
      </c>
      <c r="M4949" s="10">
        <f>IFERROR(__xludf.DUMMYFUNCTION("""COMPUTED_VALUE"""),45160.66666666667)</f>
        <v>45160.66667</v>
      </c>
      <c r="N4949" s="2">
        <f>IFERROR(__xludf.DUMMYFUNCTION("""COMPUTED_VALUE"""),13505.87)</f>
        <v>13505.87</v>
      </c>
      <c r="P4949" s="10">
        <f t="shared" si="10"/>
        <v>38517.64583</v>
      </c>
      <c r="Q4949" s="13">
        <v>983.75</v>
      </c>
      <c r="R4949" s="18">
        <v>38517.0</v>
      </c>
    </row>
    <row r="4950">
      <c r="A4950" s="10">
        <f t="shared" si="8"/>
        <v>42932.66667</v>
      </c>
      <c r="B4950" s="2" t="str">
        <f t="shared" si="2"/>
        <v/>
      </c>
      <c r="C4950" s="2" t="str">
        <f t="shared" si="3"/>
        <v>SP500</v>
      </c>
      <c r="D4950" s="2" t="str">
        <f t="shared" si="4"/>
        <v/>
      </c>
      <c r="E4950" s="2">
        <f t="shared" si="5"/>
        <v>6312.47</v>
      </c>
      <c r="G4950" s="10">
        <f t="shared" si="9"/>
        <v>42932.64583</v>
      </c>
      <c r="H4950" s="6" t="str">
        <f t="shared" si="6"/>
        <v/>
      </c>
      <c r="I4950" s="2">
        <f t="shared" si="7"/>
        <v>1426.89</v>
      </c>
      <c r="M4950" s="10">
        <f>IFERROR(__xludf.DUMMYFUNCTION("""COMPUTED_VALUE"""),45161.66666666667)</f>
        <v>45161.66667</v>
      </c>
      <c r="N4950" s="2">
        <f>IFERROR(__xludf.DUMMYFUNCTION("""COMPUTED_VALUE"""),13721.03)</f>
        <v>13721.03</v>
      </c>
      <c r="P4950" s="10">
        <f t="shared" si="10"/>
        <v>38516.64583</v>
      </c>
      <c r="Q4950" s="13">
        <v>990.49</v>
      </c>
      <c r="R4950" s="18">
        <v>38516.0</v>
      </c>
    </row>
    <row r="4951">
      <c r="A4951" s="10">
        <f t="shared" si="8"/>
        <v>42933.66667</v>
      </c>
      <c r="B4951" s="2" t="str">
        <f t="shared" si="2"/>
        <v/>
      </c>
      <c r="C4951" s="2" t="str">
        <f t="shared" si="3"/>
        <v>SP500</v>
      </c>
      <c r="D4951" s="2">
        <f t="shared" si="4"/>
        <v>6314.43</v>
      </c>
      <c r="E4951" s="2">
        <f t="shared" si="5"/>
        <v>6314.43</v>
      </c>
      <c r="G4951" s="10">
        <f t="shared" si="9"/>
        <v>42933.64583</v>
      </c>
      <c r="H4951" s="6" t="str">
        <f t="shared" si="6"/>
        <v/>
      </c>
      <c r="I4951" s="2">
        <f t="shared" si="7"/>
        <v>1426.89</v>
      </c>
      <c r="M4951" s="10">
        <f>IFERROR(__xludf.DUMMYFUNCTION("""COMPUTED_VALUE"""),45162.66666666667)</f>
        <v>45162.66667</v>
      </c>
      <c r="N4951" s="2">
        <f>IFERROR(__xludf.DUMMYFUNCTION("""COMPUTED_VALUE"""),13463.97)</f>
        <v>13463.97</v>
      </c>
      <c r="P4951" s="10">
        <f t="shared" si="10"/>
        <v>38513.64583</v>
      </c>
      <c r="Q4951" s="13">
        <v>990.79</v>
      </c>
      <c r="R4951" s="18">
        <v>38513.0</v>
      </c>
    </row>
    <row r="4952">
      <c r="A4952" s="10">
        <f t="shared" si="8"/>
        <v>42934.66667</v>
      </c>
      <c r="B4952" s="2" t="str">
        <f t="shared" si="2"/>
        <v/>
      </c>
      <c r="C4952" s="2" t="str">
        <f t="shared" si="3"/>
        <v>SP500</v>
      </c>
      <c r="D4952" s="2">
        <f t="shared" si="4"/>
        <v>6344.31</v>
      </c>
      <c r="E4952" s="2">
        <f t="shared" si="5"/>
        <v>6344.31</v>
      </c>
      <c r="G4952" s="10">
        <f t="shared" si="9"/>
        <v>42934.64583</v>
      </c>
      <c r="H4952" s="6" t="str">
        <f t="shared" si="6"/>
        <v/>
      </c>
      <c r="I4952" s="2">
        <f t="shared" si="7"/>
        <v>1426.89</v>
      </c>
      <c r="M4952" s="10">
        <f>IFERROR(__xludf.DUMMYFUNCTION("""COMPUTED_VALUE"""),45163.66666666667)</f>
        <v>45163.66667</v>
      </c>
      <c r="N4952" s="2">
        <f>IFERROR(__xludf.DUMMYFUNCTION("""COMPUTED_VALUE"""),13590.65)</f>
        <v>13590.65</v>
      </c>
      <c r="P4952" s="10">
        <f t="shared" si="10"/>
        <v>38512.64583</v>
      </c>
      <c r="Q4952" s="13">
        <v>987.58</v>
      </c>
      <c r="R4952" s="18">
        <v>38512.0</v>
      </c>
    </row>
    <row r="4953">
      <c r="A4953" s="10">
        <f t="shared" si="8"/>
        <v>42935.66667</v>
      </c>
      <c r="B4953" s="2" t="str">
        <f t="shared" si="2"/>
        <v/>
      </c>
      <c r="C4953" s="2" t="str">
        <f t="shared" si="3"/>
        <v>SP500</v>
      </c>
      <c r="D4953" s="2">
        <f t="shared" si="4"/>
        <v>6385.04</v>
      </c>
      <c r="E4953" s="2">
        <f t="shared" si="5"/>
        <v>6385.04</v>
      </c>
      <c r="G4953" s="10">
        <f t="shared" si="9"/>
        <v>42935.64583</v>
      </c>
      <c r="H4953" s="6" t="str">
        <f t="shared" si="6"/>
        <v/>
      </c>
      <c r="I4953" s="2">
        <f t="shared" si="7"/>
        <v>1426.89</v>
      </c>
      <c r="M4953" s="10">
        <f>IFERROR(__xludf.DUMMYFUNCTION("""COMPUTED_VALUE"""),45166.66666666667)</f>
        <v>45166.66667</v>
      </c>
      <c r="N4953" s="2">
        <f>IFERROR(__xludf.DUMMYFUNCTION("""COMPUTED_VALUE"""),13705.13)</f>
        <v>13705.13</v>
      </c>
      <c r="P4953" s="10">
        <f t="shared" si="10"/>
        <v>38511.64583</v>
      </c>
      <c r="Q4953" s="13">
        <v>976.22</v>
      </c>
      <c r="R4953" s="18">
        <v>38511.0</v>
      </c>
    </row>
    <row r="4954">
      <c r="A4954" s="10">
        <f t="shared" si="8"/>
        <v>42936.66667</v>
      </c>
      <c r="B4954" s="2" t="str">
        <f t="shared" si="2"/>
        <v/>
      </c>
      <c r="C4954" s="2" t="str">
        <f t="shared" si="3"/>
        <v>SP500</v>
      </c>
      <c r="D4954" s="2">
        <f t="shared" si="4"/>
        <v>6390</v>
      </c>
      <c r="E4954" s="2">
        <f t="shared" si="5"/>
        <v>6390</v>
      </c>
      <c r="G4954" s="10">
        <f t="shared" si="9"/>
        <v>42936.64583</v>
      </c>
      <c r="H4954" s="6" t="str">
        <f t="shared" si="6"/>
        <v/>
      </c>
      <c r="I4954" s="2">
        <f t="shared" si="7"/>
        <v>1426.89</v>
      </c>
      <c r="M4954" s="10">
        <f>IFERROR(__xludf.DUMMYFUNCTION("""COMPUTED_VALUE"""),45167.66666666667)</f>
        <v>45167.66667</v>
      </c>
      <c r="N4954" s="2">
        <f>IFERROR(__xludf.DUMMYFUNCTION("""COMPUTED_VALUE"""),13943.76)</f>
        <v>13943.76</v>
      </c>
      <c r="P4954" s="10">
        <f t="shared" si="10"/>
        <v>38510.64583</v>
      </c>
      <c r="Q4954" s="13">
        <v>970.88</v>
      </c>
      <c r="R4954" s="18">
        <v>38510.0</v>
      </c>
    </row>
    <row r="4955">
      <c r="A4955" s="10">
        <f t="shared" si="8"/>
        <v>42937.66667</v>
      </c>
      <c r="B4955" s="2" t="str">
        <f t="shared" si="2"/>
        <v/>
      </c>
      <c r="C4955" s="2" t="str">
        <f t="shared" si="3"/>
        <v>SP500</v>
      </c>
      <c r="D4955" s="2">
        <f t="shared" si="4"/>
        <v>6387.75</v>
      </c>
      <c r="E4955" s="2">
        <f t="shared" si="5"/>
        <v>6387.75</v>
      </c>
      <c r="G4955" s="10">
        <f t="shared" si="9"/>
        <v>42937.64583</v>
      </c>
      <c r="H4955" s="6" t="str">
        <f t="shared" si="6"/>
        <v/>
      </c>
      <c r="I4955" s="2">
        <f t="shared" si="7"/>
        <v>1426.89</v>
      </c>
      <c r="M4955" s="10">
        <f>IFERROR(__xludf.DUMMYFUNCTION("""COMPUTED_VALUE"""),45168.66666666667)</f>
        <v>45168.66667</v>
      </c>
      <c r="N4955" s="2">
        <f>IFERROR(__xludf.DUMMYFUNCTION("""COMPUTED_VALUE"""),14019.31)</f>
        <v>14019.31</v>
      </c>
      <c r="P4955" s="10">
        <f t="shared" si="10"/>
        <v>38506.64583</v>
      </c>
      <c r="Q4955" s="13">
        <v>976.09</v>
      </c>
      <c r="R4955" s="18">
        <v>38506.0</v>
      </c>
    </row>
    <row r="4956">
      <c r="A4956" s="10">
        <f t="shared" si="8"/>
        <v>42938.66667</v>
      </c>
      <c r="B4956" s="2" t="str">
        <f t="shared" si="2"/>
        <v/>
      </c>
      <c r="C4956" s="2" t="str">
        <f t="shared" si="3"/>
        <v>SP500</v>
      </c>
      <c r="D4956" s="2" t="str">
        <f t="shared" si="4"/>
        <v/>
      </c>
      <c r="E4956" s="2">
        <f t="shared" si="5"/>
        <v>6387.75</v>
      </c>
      <c r="G4956" s="10">
        <f t="shared" si="9"/>
        <v>42938.64583</v>
      </c>
      <c r="H4956" s="6" t="str">
        <f t="shared" si="6"/>
        <v/>
      </c>
      <c r="I4956" s="2">
        <f t="shared" si="7"/>
        <v>1426.89</v>
      </c>
      <c r="M4956" s="10">
        <f>IFERROR(__xludf.DUMMYFUNCTION("""COMPUTED_VALUE"""),45169.66666666667)</f>
        <v>45169.66667</v>
      </c>
      <c r="N4956" s="2">
        <f>IFERROR(__xludf.DUMMYFUNCTION("""COMPUTED_VALUE"""),14034.97)</f>
        <v>14034.97</v>
      </c>
      <c r="P4956" s="10">
        <f t="shared" si="10"/>
        <v>38505.64583</v>
      </c>
      <c r="Q4956" s="13">
        <v>970.88</v>
      </c>
      <c r="R4956" s="18">
        <v>38505.0</v>
      </c>
    </row>
    <row r="4957">
      <c r="A4957" s="10">
        <f t="shared" si="8"/>
        <v>42939.66667</v>
      </c>
      <c r="B4957" s="2" t="str">
        <f t="shared" si="2"/>
        <v/>
      </c>
      <c r="C4957" s="2" t="str">
        <f t="shared" si="3"/>
        <v>SP500</v>
      </c>
      <c r="D4957" s="2" t="str">
        <f t="shared" si="4"/>
        <v/>
      </c>
      <c r="E4957" s="2">
        <f t="shared" si="5"/>
        <v>6387.75</v>
      </c>
      <c r="G4957" s="10">
        <f t="shared" si="9"/>
        <v>42939.64583</v>
      </c>
      <c r="H4957" s="6" t="str">
        <f t="shared" si="6"/>
        <v/>
      </c>
      <c r="I4957" s="2">
        <f t="shared" si="7"/>
        <v>1426.89</v>
      </c>
      <c r="M4957" s="10">
        <f>IFERROR(__xludf.DUMMYFUNCTION("""COMPUTED_VALUE"""),45170.66666666667)</f>
        <v>45170.66667</v>
      </c>
      <c r="N4957" s="2">
        <f>IFERROR(__xludf.DUMMYFUNCTION("""COMPUTED_VALUE"""),14031.82)</f>
        <v>14031.82</v>
      </c>
      <c r="P4957" s="10">
        <f t="shared" si="10"/>
        <v>38504.64583</v>
      </c>
      <c r="Q4957" s="13">
        <v>969.51</v>
      </c>
      <c r="R4957" s="18">
        <v>38504.0</v>
      </c>
    </row>
    <row r="4958">
      <c r="A4958" s="10">
        <f t="shared" si="8"/>
        <v>42940.66667</v>
      </c>
      <c r="B4958" s="2" t="str">
        <f t="shared" si="2"/>
        <v/>
      </c>
      <c r="C4958" s="2" t="str">
        <f t="shared" si="3"/>
        <v>SP500</v>
      </c>
      <c r="D4958" s="2">
        <f t="shared" si="4"/>
        <v>6410.81</v>
      </c>
      <c r="E4958" s="2">
        <f t="shared" si="5"/>
        <v>6410.81</v>
      </c>
      <c r="G4958" s="10">
        <f t="shared" si="9"/>
        <v>42940.64583</v>
      </c>
      <c r="H4958" s="6" t="str">
        <f t="shared" si="6"/>
        <v/>
      </c>
      <c r="I4958" s="2">
        <f t="shared" si="7"/>
        <v>1426.89</v>
      </c>
      <c r="M4958" s="10">
        <f>IFERROR(__xludf.DUMMYFUNCTION("""COMPUTED_VALUE"""),45174.66666666667)</f>
        <v>45174.66667</v>
      </c>
      <c r="N4958" s="2">
        <f>IFERROR(__xludf.DUMMYFUNCTION("""COMPUTED_VALUE"""),14020.95)</f>
        <v>14020.95</v>
      </c>
      <c r="P4958" s="10">
        <f t="shared" si="10"/>
        <v>38503.64583</v>
      </c>
      <c r="Q4958" s="13">
        <v>970.21</v>
      </c>
      <c r="R4958" s="18">
        <v>38503.0</v>
      </c>
    </row>
    <row r="4959">
      <c r="A4959" s="10">
        <f t="shared" si="8"/>
        <v>42941.66667</v>
      </c>
      <c r="B4959" s="2" t="str">
        <f t="shared" si="2"/>
        <v/>
      </c>
      <c r="C4959" s="2" t="str">
        <f t="shared" si="3"/>
        <v>SP500</v>
      </c>
      <c r="D4959" s="2">
        <f t="shared" si="4"/>
        <v>6412.17</v>
      </c>
      <c r="E4959" s="2">
        <f t="shared" si="5"/>
        <v>6412.17</v>
      </c>
      <c r="G4959" s="10">
        <f t="shared" si="9"/>
        <v>42941.64583</v>
      </c>
      <c r="H4959" s="6" t="str">
        <f t="shared" si="6"/>
        <v/>
      </c>
      <c r="I4959" s="2">
        <f t="shared" si="7"/>
        <v>1426.89</v>
      </c>
      <c r="M4959" s="10">
        <f>IFERROR(__xludf.DUMMYFUNCTION("""COMPUTED_VALUE"""),45175.66666666667)</f>
        <v>45175.66667</v>
      </c>
      <c r="N4959" s="2">
        <f>IFERROR(__xludf.DUMMYFUNCTION("""COMPUTED_VALUE"""),13872.47)</f>
        <v>13872.47</v>
      </c>
      <c r="P4959" s="10">
        <f t="shared" si="10"/>
        <v>38502.64583</v>
      </c>
      <c r="Q4959" s="13">
        <v>969.04</v>
      </c>
      <c r="R4959" s="18">
        <v>38502.0</v>
      </c>
    </row>
    <row r="4960">
      <c r="A4960" s="10">
        <f t="shared" si="8"/>
        <v>42942.66667</v>
      </c>
      <c r="B4960" s="2" t="str">
        <f t="shared" si="2"/>
        <v/>
      </c>
      <c r="C4960" s="2" t="str">
        <f t="shared" si="3"/>
        <v>SP500</v>
      </c>
      <c r="D4960" s="2">
        <f t="shared" si="4"/>
        <v>6422.75</v>
      </c>
      <c r="E4960" s="2">
        <f t="shared" si="5"/>
        <v>6422.75</v>
      </c>
      <c r="G4960" s="10">
        <f t="shared" si="9"/>
        <v>42942.64583</v>
      </c>
      <c r="H4960" s="6" t="str">
        <f t="shared" si="6"/>
        <v/>
      </c>
      <c r="I4960" s="2">
        <f t="shared" si="7"/>
        <v>1426.89</v>
      </c>
      <c r="M4960" s="10">
        <f>IFERROR(__xludf.DUMMYFUNCTION("""COMPUTED_VALUE"""),45176.66666666667)</f>
        <v>45176.66667</v>
      </c>
      <c r="N4960" s="2">
        <f>IFERROR(__xludf.DUMMYFUNCTION("""COMPUTED_VALUE"""),13748.83)</f>
        <v>13748.83</v>
      </c>
      <c r="P4960" s="10">
        <f t="shared" si="10"/>
        <v>38499.64583</v>
      </c>
      <c r="Q4960" s="13">
        <v>960.91</v>
      </c>
      <c r="R4960" s="18">
        <v>38499.0</v>
      </c>
    </row>
    <row r="4961">
      <c r="A4961" s="10">
        <f t="shared" si="8"/>
        <v>42943.66667</v>
      </c>
      <c r="B4961" s="2" t="str">
        <f t="shared" si="2"/>
        <v/>
      </c>
      <c r="C4961" s="2" t="str">
        <f t="shared" si="3"/>
        <v>SP500</v>
      </c>
      <c r="D4961" s="2">
        <f t="shared" si="4"/>
        <v>6382.19</v>
      </c>
      <c r="E4961" s="2">
        <f t="shared" si="5"/>
        <v>6382.19</v>
      </c>
      <c r="G4961" s="10">
        <f t="shared" si="9"/>
        <v>42943.64583</v>
      </c>
      <c r="H4961" s="6" t="str">
        <f t="shared" si="6"/>
        <v/>
      </c>
      <c r="I4961" s="2">
        <f t="shared" si="7"/>
        <v>1426.89</v>
      </c>
      <c r="M4961" s="10">
        <f>IFERROR(__xludf.DUMMYFUNCTION("""COMPUTED_VALUE"""),45177.66666666667)</f>
        <v>45177.66667</v>
      </c>
      <c r="N4961" s="2">
        <f>IFERROR(__xludf.DUMMYFUNCTION("""COMPUTED_VALUE"""),13761.53)</f>
        <v>13761.53</v>
      </c>
      <c r="P4961" s="10">
        <f t="shared" si="10"/>
        <v>38498.64583</v>
      </c>
      <c r="Q4961" s="13">
        <v>943.91</v>
      </c>
      <c r="R4961" s="18">
        <v>38498.0</v>
      </c>
    </row>
    <row r="4962">
      <c r="A4962" s="10">
        <f t="shared" si="8"/>
        <v>42944.66667</v>
      </c>
      <c r="B4962" s="2" t="str">
        <f t="shared" si="2"/>
        <v/>
      </c>
      <c r="C4962" s="2" t="str">
        <f t="shared" si="3"/>
        <v>SP500</v>
      </c>
      <c r="D4962" s="2">
        <f t="shared" si="4"/>
        <v>6374.68</v>
      </c>
      <c r="E4962" s="2">
        <f t="shared" si="5"/>
        <v>6374.68</v>
      </c>
      <c r="G4962" s="10">
        <f t="shared" si="9"/>
        <v>42944.64583</v>
      </c>
      <c r="H4962" s="6" t="str">
        <f t="shared" si="6"/>
        <v/>
      </c>
      <c r="I4962" s="2">
        <f t="shared" si="7"/>
        <v>1426.89</v>
      </c>
      <c r="M4962" s="10">
        <f>IFERROR(__xludf.DUMMYFUNCTION("""COMPUTED_VALUE"""),45180.66666666667)</f>
        <v>45180.66667</v>
      </c>
      <c r="N4962" s="2">
        <f>IFERROR(__xludf.DUMMYFUNCTION("""COMPUTED_VALUE"""),13917.91)</f>
        <v>13917.91</v>
      </c>
      <c r="P4962" s="10">
        <f t="shared" si="10"/>
        <v>38497.64583</v>
      </c>
      <c r="Q4962" s="13">
        <v>941.3</v>
      </c>
      <c r="R4962" s="18">
        <v>38497.0</v>
      </c>
    </row>
    <row r="4963">
      <c r="A4963" s="10">
        <f t="shared" si="8"/>
        <v>42945.66667</v>
      </c>
      <c r="B4963" s="2" t="str">
        <f t="shared" si="2"/>
        <v/>
      </c>
      <c r="C4963" s="2" t="str">
        <f t="shared" si="3"/>
        <v>SP500</v>
      </c>
      <c r="D4963" s="2" t="str">
        <f t="shared" si="4"/>
        <v/>
      </c>
      <c r="E4963" s="2">
        <f t="shared" si="5"/>
        <v>6374.68</v>
      </c>
      <c r="G4963" s="10">
        <f t="shared" si="9"/>
        <v>42945.64583</v>
      </c>
      <c r="H4963" s="6" t="str">
        <f t="shared" si="6"/>
        <v/>
      </c>
      <c r="I4963" s="2">
        <f t="shared" si="7"/>
        <v>1426.89</v>
      </c>
      <c r="M4963" s="10">
        <f>IFERROR(__xludf.DUMMYFUNCTION("""COMPUTED_VALUE"""),45181.66666666667)</f>
        <v>45181.66667</v>
      </c>
      <c r="N4963" s="2">
        <f>IFERROR(__xludf.DUMMYFUNCTION("""COMPUTED_VALUE"""),13773.63)</f>
        <v>13773.63</v>
      </c>
      <c r="P4963" s="10">
        <f t="shared" si="10"/>
        <v>38496.64583</v>
      </c>
      <c r="Q4963" s="13">
        <v>951.61</v>
      </c>
      <c r="R4963" s="18">
        <v>38496.0</v>
      </c>
    </row>
    <row r="4964">
      <c r="A4964" s="10">
        <f t="shared" si="8"/>
        <v>42946.66667</v>
      </c>
      <c r="B4964" s="2" t="str">
        <f t="shared" si="2"/>
        <v/>
      </c>
      <c r="C4964" s="2" t="str">
        <f t="shared" si="3"/>
        <v>SP500</v>
      </c>
      <c r="D4964" s="2" t="str">
        <f t="shared" si="4"/>
        <v/>
      </c>
      <c r="E4964" s="2">
        <f t="shared" si="5"/>
        <v>6374.68</v>
      </c>
      <c r="G4964" s="10">
        <f t="shared" si="9"/>
        <v>42946.64583</v>
      </c>
      <c r="H4964" s="6" t="str">
        <f t="shared" si="6"/>
        <v/>
      </c>
      <c r="I4964" s="2">
        <f t="shared" si="7"/>
        <v>1426.89</v>
      </c>
      <c r="M4964" s="10">
        <f>IFERROR(__xludf.DUMMYFUNCTION("""COMPUTED_VALUE"""),45182.66666666667)</f>
        <v>45182.66667</v>
      </c>
      <c r="N4964" s="2">
        <f>IFERROR(__xludf.DUMMYFUNCTION("""COMPUTED_VALUE"""),13813.59)</f>
        <v>13813.59</v>
      </c>
      <c r="P4964" s="10">
        <f t="shared" si="10"/>
        <v>38495.64583</v>
      </c>
      <c r="Q4964" s="13">
        <v>951.05</v>
      </c>
      <c r="R4964" s="18">
        <v>38495.0</v>
      </c>
    </row>
    <row r="4965">
      <c r="A4965" s="10">
        <f t="shared" si="8"/>
        <v>42947.66667</v>
      </c>
      <c r="B4965" s="2" t="str">
        <f t="shared" si="2"/>
        <v/>
      </c>
      <c r="C4965" s="2" t="str">
        <f t="shared" si="3"/>
        <v>SP500</v>
      </c>
      <c r="D4965" s="2">
        <f t="shared" si="4"/>
        <v>6348.12</v>
      </c>
      <c r="E4965" s="2">
        <f t="shared" si="5"/>
        <v>6348.12</v>
      </c>
      <c r="G4965" s="10">
        <f t="shared" si="9"/>
        <v>42947.64583</v>
      </c>
      <c r="H4965" s="6" t="str">
        <f t="shared" si="6"/>
        <v/>
      </c>
      <c r="I4965" s="2">
        <f t="shared" si="7"/>
        <v>1426.89</v>
      </c>
      <c r="M4965" s="10">
        <f>IFERROR(__xludf.DUMMYFUNCTION("""COMPUTED_VALUE"""),45183.66666666667)</f>
        <v>45183.66667</v>
      </c>
      <c r="N4965" s="2">
        <f>IFERROR(__xludf.DUMMYFUNCTION("""COMPUTED_VALUE"""),13926.05)</f>
        <v>13926.05</v>
      </c>
      <c r="P4965" s="10">
        <f t="shared" si="10"/>
        <v>38492.64583</v>
      </c>
      <c r="Q4965" s="13">
        <v>952.19</v>
      </c>
      <c r="R4965" s="18">
        <v>38492.0</v>
      </c>
    </row>
    <row r="4966">
      <c r="A4966" s="10">
        <f t="shared" si="8"/>
        <v>42948.66667</v>
      </c>
      <c r="B4966" s="2" t="str">
        <f t="shared" si="2"/>
        <v/>
      </c>
      <c r="C4966" s="2" t="str">
        <f t="shared" si="3"/>
        <v>SP500</v>
      </c>
      <c r="D4966" s="2">
        <f t="shared" si="4"/>
        <v>6362.94</v>
      </c>
      <c r="E4966" s="2">
        <f t="shared" si="5"/>
        <v>6362.94</v>
      </c>
      <c r="G4966" s="10">
        <f t="shared" si="9"/>
        <v>42948.64583</v>
      </c>
      <c r="H4966" s="6" t="str">
        <f t="shared" si="6"/>
        <v/>
      </c>
      <c r="I4966" s="2">
        <f t="shared" si="7"/>
        <v>1426.89</v>
      </c>
      <c r="M4966" s="10">
        <f>IFERROR(__xludf.DUMMYFUNCTION("""COMPUTED_VALUE"""),45184.66666666667)</f>
        <v>45184.66667</v>
      </c>
      <c r="N4966" s="2">
        <f>IFERROR(__xludf.DUMMYFUNCTION("""COMPUTED_VALUE"""),13708.34)</f>
        <v>13708.34</v>
      </c>
      <c r="P4966" s="10">
        <f t="shared" si="10"/>
        <v>38491.64583</v>
      </c>
      <c r="Q4966" s="13">
        <v>952.09</v>
      </c>
      <c r="R4966" s="18">
        <v>38491.0</v>
      </c>
    </row>
    <row r="4967">
      <c r="A4967" s="10">
        <f t="shared" si="8"/>
        <v>42949.66667</v>
      </c>
      <c r="B4967" s="2" t="str">
        <f t="shared" si="2"/>
        <v/>
      </c>
      <c r="C4967" s="2" t="str">
        <f t="shared" si="3"/>
        <v>SP500</v>
      </c>
      <c r="D4967" s="2">
        <f t="shared" si="4"/>
        <v>6362.65</v>
      </c>
      <c r="E4967" s="2">
        <f t="shared" si="5"/>
        <v>6362.65</v>
      </c>
      <c r="G4967" s="10">
        <f t="shared" si="9"/>
        <v>42949.64583</v>
      </c>
      <c r="H4967" s="6" t="str">
        <f t="shared" si="6"/>
        <v/>
      </c>
      <c r="I4967" s="2">
        <f t="shared" si="7"/>
        <v>1426.89</v>
      </c>
      <c r="M4967" s="10">
        <f>IFERROR(__xludf.DUMMYFUNCTION("""COMPUTED_VALUE"""),45187.66666666667)</f>
        <v>45187.66667</v>
      </c>
      <c r="N4967" s="2">
        <f>IFERROR(__xludf.DUMMYFUNCTION("""COMPUTED_VALUE"""),13710.24)</f>
        <v>13710.24</v>
      </c>
      <c r="P4967" s="10">
        <f t="shared" si="10"/>
        <v>38490.64583</v>
      </c>
      <c r="Q4967" s="13">
        <v>930.36</v>
      </c>
      <c r="R4967" s="18">
        <v>38490.0</v>
      </c>
    </row>
    <row r="4968">
      <c r="A4968" s="10">
        <f t="shared" si="8"/>
        <v>42950.66667</v>
      </c>
      <c r="B4968" s="2" t="str">
        <f t="shared" si="2"/>
        <v/>
      </c>
      <c r="C4968" s="2" t="str">
        <f t="shared" si="3"/>
        <v>SP500</v>
      </c>
      <c r="D4968" s="2">
        <f t="shared" si="4"/>
        <v>6340.34</v>
      </c>
      <c r="E4968" s="2">
        <f t="shared" si="5"/>
        <v>6340.34</v>
      </c>
      <c r="G4968" s="10">
        <f t="shared" si="9"/>
        <v>42950.64583</v>
      </c>
      <c r="H4968" s="6" t="str">
        <f t="shared" si="6"/>
        <v/>
      </c>
      <c r="I4968" s="2">
        <f t="shared" si="7"/>
        <v>1426.89</v>
      </c>
      <c r="M4968" s="10">
        <f>IFERROR(__xludf.DUMMYFUNCTION("""COMPUTED_VALUE"""),45188.66666666667)</f>
        <v>45188.66667</v>
      </c>
      <c r="N4968" s="2">
        <f>IFERROR(__xludf.DUMMYFUNCTION("""COMPUTED_VALUE"""),13678.19)</f>
        <v>13678.19</v>
      </c>
      <c r="P4968" s="10">
        <f t="shared" si="10"/>
        <v>38489.64583</v>
      </c>
      <c r="Q4968" s="13">
        <v>927.16</v>
      </c>
      <c r="R4968" s="18">
        <v>38489.0</v>
      </c>
    </row>
    <row r="4969">
      <c r="A4969" s="10">
        <f t="shared" si="8"/>
        <v>42951.66667</v>
      </c>
      <c r="B4969" s="2" t="str">
        <f t="shared" si="2"/>
        <v/>
      </c>
      <c r="C4969" s="2" t="str">
        <f t="shared" si="3"/>
        <v>SP500</v>
      </c>
      <c r="D4969" s="2">
        <f t="shared" si="4"/>
        <v>6351.56</v>
      </c>
      <c r="E4969" s="2">
        <f t="shared" si="5"/>
        <v>6351.56</v>
      </c>
      <c r="G4969" s="10">
        <f t="shared" si="9"/>
        <v>42951.64583</v>
      </c>
      <c r="H4969" s="6" t="str">
        <f t="shared" si="6"/>
        <v/>
      </c>
      <c r="I4969" s="2">
        <f t="shared" si="7"/>
        <v>1426.89</v>
      </c>
      <c r="M4969" s="10">
        <f>IFERROR(__xludf.DUMMYFUNCTION("""COMPUTED_VALUE"""),45189.66666666667)</f>
        <v>45189.66667</v>
      </c>
      <c r="N4969" s="2">
        <f>IFERROR(__xludf.DUMMYFUNCTION("""COMPUTED_VALUE"""),13469.13)</f>
        <v>13469.13</v>
      </c>
      <c r="P4969" s="10">
        <f t="shared" si="10"/>
        <v>38488.64583</v>
      </c>
      <c r="Q4969" s="13">
        <v>929.04</v>
      </c>
      <c r="R4969" s="18">
        <v>38488.0</v>
      </c>
    </row>
    <row r="4970">
      <c r="A4970" s="10">
        <f t="shared" si="8"/>
        <v>42952.66667</v>
      </c>
      <c r="B4970" s="2" t="str">
        <f t="shared" si="2"/>
        <v/>
      </c>
      <c r="C4970" s="2" t="str">
        <f t="shared" si="3"/>
        <v>SP500</v>
      </c>
      <c r="D4970" s="2" t="str">
        <f t="shared" si="4"/>
        <v/>
      </c>
      <c r="E4970" s="2">
        <f t="shared" si="5"/>
        <v>6351.56</v>
      </c>
      <c r="G4970" s="10">
        <f t="shared" si="9"/>
        <v>42952.64583</v>
      </c>
      <c r="H4970" s="6" t="str">
        <f t="shared" si="6"/>
        <v/>
      </c>
      <c r="I4970" s="2">
        <f t="shared" si="7"/>
        <v>1426.89</v>
      </c>
      <c r="M4970" s="10">
        <f>IFERROR(__xludf.DUMMYFUNCTION("""COMPUTED_VALUE"""),45190.66666666667)</f>
        <v>45190.66667</v>
      </c>
      <c r="N4970" s="2">
        <f>IFERROR(__xludf.DUMMYFUNCTION("""COMPUTED_VALUE"""),13223.99)</f>
        <v>13223.99</v>
      </c>
      <c r="P4970" s="10">
        <f t="shared" si="10"/>
        <v>38485.64583</v>
      </c>
      <c r="Q4970" s="13">
        <v>923.19</v>
      </c>
      <c r="R4970" s="18">
        <v>38485.0</v>
      </c>
    </row>
    <row r="4971">
      <c r="A4971" s="10">
        <f t="shared" si="8"/>
        <v>42953.66667</v>
      </c>
      <c r="B4971" s="2" t="str">
        <f t="shared" si="2"/>
        <v/>
      </c>
      <c r="C4971" s="2" t="str">
        <f t="shared" si="3"/>
        <v>SP500</v>
      </c>
      <c r="D4971" s="2" t="str">
        <f t="shared" si="4"/>
        <v/>
      </c>
      <c r="E4971" s="2">
        <f t="shared" si="5"/>
        <v>6351.56</v>
      </c>
      <c r="G4971" s="10">
        <f t="shared" si="9"/>
        <v>42953.64583</v>
      </c>
      <c r="H4971" s="6" t="str">
        <f t="shared" si="6"/>
        <v/>
      </c>
      <c r="I4971" s="2">
        <f t="shared" si="7"/>
        <v>1426.89</v>
      </c>
      <c r="M4971" s="10">
        <f>IFERROR(__xludf.DUMMYFUNCTION("""COMPUTED_VALUE"""),45191.66666666667)</f>
        <v>45191.66667</v>
      </c>
      <c r="N4971" s="2">
        <f>IFERROR(__xludf.DUMMYFUNCTION("""COMPUTED_VALUE"""),13211.81)</f>
        <v>13211.81</v>
      </c>
      <c r="P4971" s="10">
        <f t="shared" si="10"/>
        <v>38484.64583</v>
      </c>
      <c r="Q4971" s="13">
        <v>921.21</v>
      </c>
      <c r="R4971" s="18">
        <v>38484.0</v>
      </c>
    </row>
    <row r="4972">
      <c r="A4972" s="10">
        <f t="shared" si="8"/>
        <v>42954.66667</v>
      </c>
      <c r="B4972" s="2" t="str">
        <f t="shared" si="2"/>
        <v/>
      </c>
      <c r="C4972" s="2" t="str">
        <f t="shared" si="3"/>
        <v>SP500</v>
      </c>
      <c r="D4972" s="2">
        <f t="shared" si="4"/>
        <v>6383.77</v>
      </c>
      <c r="E4972" s="2">
        <f t="shared" si="5"/>
        <v>6383.77</v>
      </c>
      <c r="G4972" s="10">
        <f t="shared" si="9"/>
        <v>42954.64583</v>
      </c>
      <c r="H4972" s="6" t="str">
        <f t="shared" si="6"/>
        <v/>
      </c>
      <c r="I4972" s="2">
        <f t="shared" si="7"/>
        <v>1426.89</v>
      </c>
      <c r="M4972" s="10">
        <f>IFERROR(__xludf.DUMMYFUNCTION("""COMPUTED_VALUE"""),45194.66666666667)</f>
        <v>45194.66667</v>
      </c>
      <c r="N4972" s="2">
        <f>IFERROR(__xludf.DUMMYFUNCTION("""COMPUTED_VALUE"""),13271.32)</f>
        <v>13271.32</v>
      </c>
      <c r="P4972" s="10">
        <f t="shared" si="10"/>
        <v>38483.64583</v>
      </c>
      <c r="Q4972" s="13">
        <v>923.38</v>
      </c>
      <c r="R4972" s="18">
        <v>38483.0</v>
      </c>
    </row>
    <row r="4973">
      <c r="A4973" s="10">
        <f t="shared" si="8"/>
        <v>42955.66667</v>
      </c>
      <c r="B4973" s="2" t="str">
        <f t="shared" si="2"/>
        <v/>
      </c>
      <c r="C4973" s="2" t="str">
        <f t="shared" si="3"/>
        <v>SP500</v>
      </c>
      <c r="D4973" s="2">
        <f t="shared" si="4"/>
        <v>6370.46</v>
      </c>
      <c r="E4973" s="2">
        <f t="shared" si="5"/>
        <v>6370.46</v>
      </c>
      <c r="G4973" s="10">
        <f t="shared" si="9"/>
        <v>42955.64583</v>
      </c>
      <c r="H4973" s="6" t="str">
        <f t="shared" si="6"/>
        <v/>
      </c>
      <c r="I4973" s="2">
        <f t="shared" si="7"/>
        <v>1426.89</v>
      </c>
      <c r="M4973" s="10">
        <f>IFERROR(__xludf.DUMMYFUNCTION("""COMPUTED_VALUE"""),45195.66666666667)</f>
        <v>45195.66667</v>
      </c>
      <c r="N4973" s="2">
        <f>IFERROR(__xludf.DUMMYFUNCTION("""COMPUTED_VALUE"""),13063.61)</f>
        <v>13063.61</v>
      </c>
      <c r="P4973" s="10">
        <f t="shared" si="10"/>
        <v>38482.64583</v>
      </c>
      <c r="Q4973" s="13">
        <v>934.28</v>
      </c>
      <c r="R4973" s="18">
        <v>38482.0</v>
      </c>
    </row>
    <row r="4974">
      <c r="A4974" s="10">
        <f t="shared" si="8"/>
        <v>42956.66667</v>
      </c>
      <c r="B4974" s="2" t="str">
        <f t="shared" si="2"/>
        <v/>
      </c>
      <c r="C4974" s="2" t="str">
        <f t="shared" si="3"/>
        <v>SP500</v>
      </c>
      <c r="D4974" s="2">
        <f t="shared" si="4"/>
        <v>6352.33</v>
      </c>
      <c r="E4974" s="2">
        <f t="shared" si="5"/>
        <v>6352.33</v>
      </c>
      <c r="G4974" s="10">
        <f t="shared" si="9"/>
        <v>42956.64583</v>
      </c>
      <c r="H4974" s="6" t="str">
        <f t="shared" si="6"/>
        <v/>
      </c>
      <c r="I4974" s="2">
        <f t="shared" si="7"/>
        <v>1426.89</v>
      </c>
      <c r="M4974" s="10">
        <f>IFERROR(__xludf.DUMMYFUNCTION("""COMPUTED_VALUE"""),45196.66666666667)</f>
        <v>45196.66667</v>
      </c>
      <c r="N4974" s="2">
        <f>IFERROR(__xludf.DUMMYFUNCTION("""COMPUTED_VALUE"""),13092.85)</f>
        <v>13092.85</v>
      </c>
      <c r="P4974" s="10">
        <f t="shared" si="10"/>
        <v>38481.64583</v>
      </c>
      <c r="Q4974" s="13">
        <v>935.2</v>
      </c>
      <c r="R4974" s="18">
        <v>38481.0</v>
      </c>
    </row>
    <row r="4975">
      <c r="A4975" s="10">
        <f t="shared" si="8"/>
        <v>42957.66667</v>
      </c>
      <c r="B4975" s="2" t="str">
        <f t="shared" si="2"/>
        <v/>
      </c>
      <c r="C4975" s="2" t="str">
        <f t="shared" si="3"/>
        <v>SP500</v>
      </c>
      <c r="D4975" s="2">
        <f t="shared" si="4"/>
        <v>6216.87</v>
      </c>
      <c r="E4975" s="2">
        <f t="shared" si="5"/>
        <v>6216.87</v>
      </c>
      <c r="G4975" s="10">
        <f t="shared" si="9"/>
        <v>42957.64583</v>
      </c>
      <c r="H4975" s="6" t="str">
        <f t="shared" si="6"/>
        <v/>
      </c>
      <c r="I4975" s="2">
        <f t="shared" si="7"/>
        <v>1426.89</v>
      </c>
      <c r="M4975" s="10">
        <f>IFERROR(__xludf.DUMMYFUNCTION("""COMPUTED_VALUE"""),45197.66666666667)</f>
        <v>45197.66667</v>
      </c>
      <c r="N4975" s="2">
        <f>IFERROR(__xludf.DUMMYFUNCTION("""COMPUTED_VALUE"""),13201.28)</f>
        <v>13201.28</v>
      </c>
      <c r="P4975" s="10">
        <f t="shared" si="10"/>
        <v>38478.64583</v>
      </c>
      <c r="Q4975" s="13">
        <v>940.85</v>
      </c>
      <c r="R4975" s="18">
        <v>38478.0</v>
      </c>
    </row>
    <row r="4976">
      <c r="A4976" s="10">
        <f t="shared" si="8"/>
        <v>42958.66667</v>
      </c>
      <c r="B4976" s="2" t="str">
        <f t="shared" si="2"/>
        <v/>
      </c>
      <c r="C4976" s="2" t="str">
        <f t="shared" si="3"/>
        <v>SP500</v>
      </c>
      <c r="D4976" s="2">
        <f t="shared" si="4"/>
        <v>6256.56</v>
      </c>
      <c r="E4976" s="2">
        <f t="shared" si="5"/>
        <v>6256.56</v>
      </c>
      <c r="G4976" s="10">
        <f t="shared" si="9"/>
        <v>42958.64583</v>
      </c>
      <c r="H4976" s="6" t="str">
        <f t="shared" si="6"/>
        <v/>
      </c>
      <c r="I4976" s="2">
        <f t="shared" si="7"/>
        <v>1426.89</v>
      </c>
      <c r="M4976" s="10">
        <f>IFERROR(__xludf.DUMMYFUNCTION("""COMPUTED_VALUE"""),45198.66666666667)</f>
        <v>45198.66667</v>
      </c>
      <c r="N4976" s="2">
        <f>IFERROR(__xludf.DUMMYFUNCTION("""COMPUTED_VALUE"""),13219.32)</f>
        <v>13219.32</v>
      </c>
      <c r="P4976" s="10">
        <f t="shared" si="10"/>
        <v>38476.64583</v>
      </c>
      <c r="Q4976" s="13">
        <v>929.35</v>
      </c>
      <c r="R4976" s="18">
        <v>38476.0</v>
      </c>
    </row>
    <row r="4977">
      <c r="A4977" s="10">
        <f t="shared" si="8"/>
        <v>42959.66667</v>
      </c>
      <c r="B4977" s="2" t="str">
        <f t="shared" si="2"/>
        <v/>
      </c>
      <c r="C4977" s="2" t="str">
        <f t="shared" si="3"/>
        <v>SP500</v>
      </c>
      <c r="D4977" s="2" t="str">
        <f t="shared" si="4"/>
        <v/>
      </c>
      <c r="E4977" s="2">
        <f t="shared" si="5"/>
        <v>6256.56</v>
      </c>
      <c r="G4977" s="10">
        <f t="shared" si="9"/>
        <v>42959.64583</v>
      </c>
      <c r="H4977" s="6" t="str">
        <f t="shared" si="6"/>
        <v/>
      </c>
      <c r="I4977" s="2">
        <f t="shared" si="7"/>
        <v>1426.89</v>
      </c>
      <c r="M4977" s="10">
        <f>IFERROR(__xludf.DUMMYFUNCTION("""COMPUTED_VALUE"""),45201.66666666667)</f>
        <v>45201.66667</v>
      </c>
      <c r="N4977" s="2">
        <f>IFERROR(__xludf.DUMMYFUNCTION("""COMPUTED_VALUE"""),13307.77)</f>
        <v>13307.77</v>
      </c>
      <c r="P4977" s="10">
        <f t="shared" si="10"/>
        <v>38475.64583</v>
      </c>
      <c r="Q4977" s="13">
        <v>913.82</v>
      </c>
      <c r="R4977" s="18">
        <v>38475.0</v>
      </c>
    </row>
    <row r="4978">
      <c r="A4978" s="10">
        <f t="shared" si="8"/>
        <v>42960.66667</v>
      </c>
      <c r="B4978" s="2" t="str">
        <f t="shared" si="2"/>
        <v/>
      </c>
      <c r="C4978" s="2" t="str">
        <f t="shared" si="3"/>
        <v>SP500</v>
      </c>
      <c r="D4978" s="2" t="str">
        <f t="shared" si="4"/>
        <v/>
      </c>
      <c r="E4978" s="2">
        <f t="shared" si="5"/>
        <v>6256.56</v>
      </c>
      <c r="G4978" s="10">
        <f t="shared" si="9"/>
        <v>42960.64583</v>
      </c>
      <c r="H4978" s="6" t="str">
        <f t="shared" si="6"/>
        <v/>
      </c>
      <c r="I4978" s="2">
        <f t="shared" si="7"/>
        <v>1426.89</v>
      </c>
      <c r="M4978" s="10">
        <f>IFERROR(__xludf.DUMMYFUNCTION("""COMPUTED_VALUE"""),45202.66666666667)</f>
        <v>45202.66667</v>
      </c>
      <c r="N4978" s="2">
        <f>IFERROR(__xludf.DUMMYFUNCTION("""COMPUTED_VALUE"""),13059.47)</f>
        <v>13059.47</v>
      </c>
      <c r="P4978" s="10">
        <f t="shared" si="10"/>
        <v>38474.64583</v>
      </c>
      <c r="Q4978" s="13">
        <v>918.42</v>
      </c>
      <c r="R4978" s="18">
        <v>38474.0</v>
      </c>
    </row>
    <row r="4979">
      <c r="A4979" s="10">
        <f t="shared" si="8"/>
        <v>42961.66667</v>
      </c>
      <c r="B4979" s="2" t="str">
        <f t="shared" si="2"/>
        <v/>
      </c>
      <c r="C4979" s="2" t="str">
        <f t="shared" si="3"/>
        <v>SP500</v>
      </c>
      <c r="D4979" s="2">
        <f t="shared" si="4"/>
        <v>6340.23</v>
      </c>
      <c r="E4979" s="2">
        <f t="shared" si="5"/>
        <v>6340.23</v>
      </c>
      <c r="G4979" s="10">
        <f t="shared" si="9"/>
        <v>42961.64583</v>
      </c>
      <c r="H4979" s="6" t="str">
        <f t="shared" si="6"/>
        <v/>
      </c>
      <c r="I4979" s="2">
        <f t="shared" si="7"/>
        <v>1426.89</v>
      </c>
      <c r="M4979" s="10">
        <f>IFERROR(__xludf.DUMMYFUNCTION("""COMPUTED_VALUE"""),45203.66666666667)</f>
        <v>45203.66667</v>
      </c>
      <c r="N4979" s="2">
        <f>IFERROR(__xludf.DUMMYFUNCTION("""COMPUTED_VALUE"""),13236.01)</f>
        <v>13236.01</v>
      </c>
      <c r="P4979" s="10">
        <f t="shared" si="10"/>
        <v>38471.64583</v>
      </c>
      <c r="Q4979" s="13">
        <v>911.3</v>
      </c>
      <c r="R4979" s="18">
        <v>38471.0</v>
      </c>
    </row>
    <row r="4980">
      <c r="A4980" s="10">
        <f t="shared" si="8"/>
        <v>42962.66667</v>
      </c>
      <c r="B4980" s="2" t="str">
        <f t="shared" si="2"/>
        <v/>
      </c>
      <c r="C4980" s="2" t="str">
        <f t="shared" si="3"/>
        <v>SP500</v>
      </c>
      <c r="D4980" s="2">
        <f t="shared" si="4"/>
        <v>6333.01</v>
      </c>
      <c r="E4980" s="2">
        <f t="shared" si="5"/>
        <v>6333.01</v>
      </c>
      <c r="G4980" s="10">
        <f t="shared" si="9"/>
        <v>42962.64583</v>
      </c>
      <c r="H4980" s="6" t="str">
        <f t="shared" si="6"/>
        <v/>
      </c>
      <c r="I4980" s="2">
        <f t="shared" si="7"/>
        <v>1426.89</v>
      </c>
      <c r="M4980" s="10">
        <f>IFERROR(__xludf.DUMMYFUNCTION("""COMPUTED_VALUE"""),45204.66666666667)</f>
        <v>45204.66667</v>
      </c>
      <c r="N4980" s="2">
        <f>IFERROR(__xludf.DUMMYFUNCTION("""COMPUTED_VALUE"""),13219.83)</f>
        <v>13219.83</v>
      </c>
      <c r="P4980" s="10">
        <f t="shared" si="10"/>
        <v>38470.64583</v>
      </c>
      <c r="Q4980" s="13">
        <v>917.73</v>
      </c>
      <c r="R4980" s="18">
        <v>38470.0</v>
      </c>
    </row>
    <row r="4981">
      <c r="A4981" s="10">
        <f t="shared" si="8"/>
        <v>42963.66667</v>
      </c>
      <c r="B4981" s="2" t="str">
        <f t="shared" si="2"/>
        <v/>
      </c>
      <c r="C4981" s="2" t="str">
        <f t="shared" si="3"/>
        <v>SP500</v>
      </c>
      <c r="D4981" s="2">
        <f t="shared" si="4"/>
        <v>6345.11</v>
      </c>
      <c r="E4981" s="2">
        <f t="shared" si="5"/>
        <v>6345.11</v>
      </c>
      <c r="G4981" s="10">
        <f t="shared" si="9"/>
        <v>42963.64583</v>
      </c>
      <c r="H4981" s="6" t="str">
        <f t="shared" si="6"/>
        <v/>
      </c>
      <c r="I4981" s="2">
        <f t="shared" si="7"/>
        <v>1426.89</v>
      </c>
      <c r="M4981" s="10">
        <f>IFERROR(__xludf.DUMMYFUNCTION("""COMPUTED_VALUE"""),45205.66666666667)</f>
        <v>45205.66667</v>
      </c>
      <c r="N4981" s="2">
        <f>IFERROR(__xludf.DUMMYFUNCTION("""COMPUTED_VALUE"""),13431.34)</f>
        <v>13431.34</v>
      </c>
      <c r="P4981" s="10">
        <f t="shared" si="10"/>
        <v>38469.64583</v>
      </c>
      <c r="Q4981" s="13">
        <v>930.16</v>
      </c>
      <c r="R4981" s="18">
        <v>38469.0</v>
      </c>
    </row>
    <row r="4982">
      <c r="A4982" s="10">
        <f t="shared" si="8"/>
        <v>42964.66667</v>
      </c>
      <c r="B4982" s="2" t="str">
        <f t="shared" si="2"/>
        <v/>
      </c>
      <c r="C4982" s="2" t="str">
        <f t="shared" si="3"/>
        <v>SP500</v>
      </c>
      <c r="D4982" s="2">
        <f t="shared" si="4"/>
        <v>6221.91</v>
      </c>
      <c r="E4982" s="2">
        <f t="shared" si="5"/>
        <v>6221.91</v>
      </c>
      <c r="G4982" s="10">
        <f t="shared" si="9"/>
        <v>42964.64583</v>
      </c>
      <c r="H4982" s="6" t="str">
        <f t="shared" si="6"/>
        <v/>
      </c>
      <c r="I4982" s="2">
        <f t="shared" si="7"/>
        <v>1426.89</v>
      </c>
      <c r="M4982" s="10">
        <f>IFERROR(__xludf.DUMMYFUNCTION("""COMPUTED_VALUE"""),45208.66666666667)</f>
        <v>45208.66667</v>
      </c>
      <c r="N4982" s="2">
        <f>IFERROR(__xludf.DUMMYFUNCTION("""COMPUTED_VALUE"""),13484.24)</f>
        <v>13484.24</v>
      </c>
      <c r="P4982" s="10">
        <f t="shared" si="10"/>
        <v>38468.64583</v>
      </c>
      <c r="Q4982" s="13">
        <v>944.46</v>
      </c>
      <c r="R4982" s="18">
        <v>38468.0</v>
      </c>
    </row>
    <row r="4983">
      <c r="A4983" s="10">
        <f t="shared" si="8"/>
        <v>42965.66667</v>
      </c>
      <c r="B4983" s="2" t="str">
        <f t="shared" si="2"/>
        <v/>
      </c>
      <c r="C4983" s="2" t="str">
        <f t="shared" si="3"/>
        <v>SP500</v>
      </c>
      <c r="D4983" s="2">
        <f t="shared" si="4"/>
        <v>6216.53</v>
      </c>
      <c r="E4983" s="2">
        <f t="shared" si="5"/>
        <v>6216.53</v>
      </c>
      <c r="G4983" s="10">
        <f t="shared" si="9"/>
        <v>42965.64583</v>
      </c>
      <c r="H4983" s="6" t="str">
        <f t="shared" si="6"/>
        <v/>
      </c>
      <c r="I4983" s="2">
        <f t="shared" si="7"/>
        <v>1426.89</v>
      </c>
      <c r="M4983" s="10">
        <f>IFERROR(__xludf.DUMMYFUNCTION("""COMPUTED_VALUE"""),45209.66666666667)</f>
        <v>45209.66667</v>
      </c>
      <c r="N4983" s="2">
        <f>IFERROR(__xludf.DUMMYFUNCTION("""COMPUTED_VALUE"""),13562.84)</f>
        <v>13562.84</v>
      </c>
      <c r="P4983" s="10">
        <f t="shared" si="10"/>
        <v>38467.64583</v>
      </c>
      <c r="Q4983" s="13">
        <v>946.17</v>
      </c>
      <c r="R4983" s="18">
        <v>38467.0</v>
      </c>
    </row>
    <row r="4984">
      <c r="A4984" s="10">
        <f t="shared" si="8"/>
        <v>42966.66667</v>
      </c>
      <c r="B4984" s="2" t="str">
        <f t="shared" si="2"/>
        <v/>
      </c>
      <c r="C4984" s="2" t="str">
        <f t="shared" si="3"/>
        <v>SP500</v>
      </c>
      <c r="D4984" s="2" t="str">
        <f t="shared" si="4"/>
        <v/>
      </c>
      <c r="E4984" s="2">
        <f t="shared" si="5"/>
        <v>6216.53</v>
      </c>
      <c r="G4984" s="10">
        <f t="shared" si="9"/>
        <v>42966.64583</v>
      </c>
      <c r="H4984" s="6" t="str">
        <f t="shared" si="6"/>
        <v/>
      </c>
      <c r="I4984" s="2">
        <f t="shared" si="7"/>
        <v>1426.89</v>
      </c>
      <c r="M4984" s="10">
        <f>IFERROR(__xludf.DUMMYFUNCTION("""COMPUTED_VALUE"""),45210.66666666667)</f>
        <v>45210.66667</v>
      </c>
      <c r="N4984" s="2">
        <f>IFERROR(__xludf.DUMMYFUNCTION("""COMPUTED_VALUE"""),13659.68)</f>
        <v>13659.68</v>
      </c>
      <c r="P4984" s="10">
        <f t="shared" si="10"/>
        <v>38464.64583</v>
      </c>
      <c r="Q4984" s="13">
        <v>940.79</v>
      </c>
      <c r="R4984" s="18">
        <v>38464.0</v>
      </c>
    </row>
    <row r="4985">
      <c r="A4985" s="10">
        <f t="shared" si="8"/>
        <v>42967.66667</v>
      </c>
      <c r="B4985" s="2" t="str">
        <f t="shared" si="2"/>
        <v/>
      </c>
      <c r="C4985" s="2" t="str">
        <f t="shared" si="3"/>
        <v>SP500</v>
      </c>
      <c r="D4985" s="2" t="str">
        <f t="shared" si="4"/>
        <v/>
      </c>
      <c r="E4985" s="2">
        <f t="shared" si="5"/>
        <v>6216.53</v>
      </c>
      <c r="G4985" s="10">
        <f t="shared" si="9"/>
        <v>42967.64583</v>
      </c>
      <c r="H4985" s="6" t="str">
        <f t="shared" si="6"/>
        <v/>
      </c>
      <c r="I4985" s="2">
        <f t="shared" si="7"/>
        <v>1426.89</v>
      </c>
      <c r="M4985" s="10">
        <f>IFERROR(__xludf.DUMMYFUNCTION("""COMPUTED_VALUE"""),45211.66666666667)</f>
        <v>45211.66667</v>
      </c>
      <c r="N4985" s="2">
        <f>IFERROR(__xludf.DUMMYFUNCTION("""COMPUTED_VALUE"""),13574.22)</f>
        <v>13574.22</v>
      </c>
      <c r="P4985" s="10">
        <f t="shared" si="10"/>
        <v>38463.64583</v>
      </c>
      <c r="Q4985" s="13">
        <v>939.14</v>
      </c>
      <c r="R4985" s="18">
        <v>38463.0</v>
      </c>
    </row>
    <row r="4986">
      <c r="A4986" s="10">
        <f t="shared" si="8"/>
        <v>42968.66667</v>
      </c>
      <c r="B4986" s="2" t="str">
        <f t="shared" si="2"/>
        <v/>
      </c>
      <c r="C4986" s="2" t="str">
        <f t="shared" si="3"/>
        <v>SP500</v>
      </c>
      <c r="D4986" s="2">
        <f t="shared" si="4"/>
        <v>6213.13</v>
      </c>
      <c r="E4986" s="2">
        <f t="shared" si="5"/>
        <v>6213.13</v>
      </c>
      <c r="G4986" s="10">
        <f t="shared" si="9"/>
        <v>42968.64583</v>
      </c>
      <c r="H4986" s="6" t="str">
        <f t="shared" si="6"/>
        <v/>
      </c>
      <c r="I4986" s="2">
        <f t="shared" si="7"/>
        <v>1426.89</v>
      </c>
      <c r="M4986" s="10">
        <f>IFERROR(__xludf.DUMMYFUNCTION("""COMPUTED_VALUE"""),45212.66666666667)</f>
        <v>45212.66667</v>
      </c>
      <c r="N4986" s="2">
        <f>IFERROR(__xludf.DUMMYFUNCTION("""COMPUTED_VALUE"""),13407.23)</f>
        <v>13407.23</v>
      </c>
      <c r="P4986" s="10">
        <f t="shared" si="10"/>
        <v>38462.64583</v>
      </c>
      <c r="Q4986" s="13">
        <v>937.36</v>
      </c>
      <c r="R4986" s="18">
        <v>38462.0</v>
      </c>
    </row>
    <row r="4987">
      <c r="A4987" s="10">
        <f t="shared" si="8"/>
        <v>42969.66667</v>
      </c>
      <c r="B4987" s="2" t="str">
        <f t="shared" si="2"/>
        <v/>
      </c>
      <c r="C4987" s="2" t="str">
        <f t="shared" si="3"/>
        <v>SP500</v>
      </c>
      <c r="D4987" s="2">
        <f t="shared" si="4"/>
        <v>6297.48</v>
      </c>
      <c r="E4987" s="2">
        <f t="shared" si="5"/>
        <v>6297.48</v>
      </c>
      <c r="G4987" s="10">
        <f t="shared" si="9"/>
        <v>42969.64583</v>
      </c>
      <c r="H4987" s="6" t="str">
        <f t="shared" si="6"/>
        <v/>
      </c>
      <c r="I4987" s="2">
        <f t="shared" si="7"/>
        <v>1426.89</v>
      </c>
      <c r="M4987" s="10">
        <f>IFERROR(__xludf.DUMMYFUNCTION("""COMPUTED_VALUE"""),45215.66666666667)</f>
        <v>45215.66667</v>
      </c>
      <c r="N4987" s="2">
        <f>IFERROR(__xludf.DUMMYFUNCTION("""COMPUTED_VALUE"""),13567.98)</f>
        <v>13567.98</v>
      </c>
      <c r="P4987" s="10">
        <f t="shared" si="10"/>
        <v>38461.64583</v>
      </c>
      <c r="Q4987" s="13">
        <v>932.45</v>
      </c>
      <c r="R4987" s="18">
        <v>38461.0</v>
      </c>
    </row>
    <row r="4988">
      <c r="A4988" s="10">
        <f t="shared" si="8"/>
        <v>42970.66667</v>
      </c>
      <c r="B4988" s="2" t="str">
        <f t="shared" si="2"/>
        <v/>
      </c>
      <c r="C4988" s="2" t="str">
        <f t="shared" si="3"/>
        <v>SP500</v>
      </c>
      <c r="D4988" s="2">
        <f t="shared" si="4"/>
        <v>6278.41</v>
      </c>
      <c r="E4988" s="2">
        <f t="shared" si="5"/>
        <v>6278.41</v>
      </c>
      <c r="G4988" s="10">
        <f t="shared" si="9"/>
        <v>42970.64583</v>
      </c>
      <c r="H4988" s="6" t="str">
        <f t="shared" si="6"/>
        <v/>
      </c>
      <c r="I4988" s="2">
        <f t="shared" si="7"/>
        <v>1426.89</v>
      </c>
      <c r="M4988" s="10">
        <f>IFERROR(__xludf.DUMMYFUNCTION("""COMPUTED_VALUE"""),45216.66666666667)</f>
        <v>45216.66667</v>
      </c>
      <c r="N4988" s="2">
        <f>IFERROR(__xludf.DUMMYFUNCTION("""COMPUTED_VALUE"""),13533.75)</f>
        <v>13533.75</v>
      </c>
      <c r="P4988" s="10">
        <f t="shared" si="10"/>
        <v>38460.64583</v>
      </c>
      <c r="Q4988" s="13">
        <v>925.0</v>
      </c>
      <c r="R4988" s="18">
        <v>38460.0</v>
      </c>
    </row>
    <row r="4989">
      <c r="A4989" s="10">
        <f t="shared" si="8"/>
        <v>42971.66667</v>
      </c>
      <c r="B4989" s="2" t="str">
        <f t="shared" si="2"/>
        <v/>
      </c>
      <c r="C4989" s="2" t="str">
        <f t="shared" si="3"/>
        <v>SP500</v>
      </c>
      <c r="D4989" s="2">
        <f t="shared" si="4"/>
        <v>6271.33</v>
      </c>
      <c r="E4989" s="2">
        <f t="shared" si="5"/>
        <v>6271.33</v>
      </c>
      <c r="G4989" s="10">
        <f t="shared" si="9"/>
        <v>42971.64583</v>
      </c>
      <c r="H4989" s="6" t="str">
        <f t="shared" si="6"/>
        <v/>
      </c>
      <c r="I4989" s="2">
        <f t="shared" si="7"/>
        <v>1426.89</v>
      </c>
      <c r="M4989" s="10">
        <f>IFERROR(__xludf.DUMMYFUNCTION("""COMPUTED_VALUE"""),45217.66666666667)</f>
        <v>45217.66667</v>
      </c>
      <c r="N4989" s="2">
        <f>IFERROR(__xludf.DUMMYFUNCTION("""COMPUTED_VALUE"""),13314.3)</f>
        <v>13314.3</v>
      </c>
      <c r="P4989" s="10">
        <f t="shared" si="10"/>
        <v>38457.64583</v>
      </c>
      <c r="Q4989" s="13">
        <v>947.22</v>
      </c>
      <c r="R4989" s="18">
        <v>38457.0</v>
      </c>
    </row>
    <row r="4990">
      <c r="A4990" s="10">
        <f t="shared" si="8"/>
        <v>42972.66667</v>
      </c>
      <c r="B4990" s="2" t="str">
        <f t="shared" si="2"/>
        <v/>
      </c>
      <c r="C4990" s="2" t="str">
        <f t="shared" si="3"/>
        <v>SP500</v>
      </c>
      <c r="D4990" s="2">
        <f t="shared" si="4"/>
        <v>6265.64</v>
      </c>
      <c r="E4990" s="2">
        <f t="shared" si="5"/>
        <v>6265.64</v>
      </c>
      <c r="G4990" s="10">
        <f t="shared" si="9"/>
        <v>42972.64583</v>
      </c>
      <c r="H4990" s="6" t="str">
        <f t="shared" si="6"/>
        <v/>
      </c>
      <c r="I4990" s="2">
        <f t="shared" si="7"/>
        <v>1426.89</v>
      </c>
      <c r="M4990" s="10">
        <f>IFERROR(__xludf.DUMMYFUNCTION("""COMPUTED_VALUE"""),45218.66666666667)</f>
        <v>45218.66667</v>
      </c>
      <c r="N4990" s="2">
        <f>IFERROR(__xludf.DUMMYFUNCTION("""COMPUTED_VALUE"""),13186.18)</f>
        <v>13186.18</v>
      </c>
      <c r="P4990" s="10">
        <f t="shared" si="10"/>
        <v>38456.64583</v>
      </c>
      <c r="Q4990" s="13">
        <v>953.92</v>
      </c>
      <c r="R4990" s="18">
        <v>38456.0</v>
      </c>
    </row>
    <row r="4991">
      <c r="A4991" s="10">
        <f t="shared" si="8"/>
        <v>42973.66667</v>
      </c>
      <c r="B4991" s="2" t="str">
        <f t="shared" si="2"/>
        <v/>
      </c>
      <c r="C4991" s="2" t="str">
        <f t="shared" si="3"/>
        <v>SP500</v>
      </c>
      <c r="D4991" s="2" t="str">
        <f t="shared" si="4"/>
        <v/>
      </c>
      <c r="E4991" s="2">
        <f t="shared" si="5"/>
        <v>6265.64</v>
      </c>
      <c r="G4991" s="10">
        <f t="shared" si="9"/>
        <v>42973.64583</v>
      </c>
      <c r="H4991" s="6" t="str">
        <f t="shared" si="6"/>
        <v/>
      </c>
      <c r="I4991" s="2">
        <f t="shared" si="7"/>
        <v>1426.89</v>
      </c>
      <c r="M4991" s="10">
        <f>IFERROR(__xludf.DUMMYFUNCTION("""COMPUTED_VALUE"""),45219.66666666667)</f>
        <v>45219.66667</v>
      </c>
      <c r="N4991" s="2">
        <f>IFERROR(__xludf.DUMMYFUNCTION("""COMPUTED_VALUE"""),12983.81)</f>
        <v>12983.81</v>
      </c>
      <c r="P4991" s="10">
        <f t="shared" si="10"/>
        <v>38455.64583</v>
      </c>
      <c r="Q4991" s="13">
        <v>981.31</v>
      </c>
      <c r="R4991" s="18">
        <v>38455.0</v>
      </c>
    </row>
    <row r="4992">
      <c r="A4992" s="10">
        <f t="shared" si="8"/>
        <v>42974.66667</v>
      </c>
      <c r="B4992" s="2" t="str">
        <f t="shared" si="2"/>
        <v/>
      </c>
      <c r="C4992" s="2" t="str">
        <f t="shared" si="3"/>
        <v>SP500</v>
      </c>
      <c r="D4992" s="2" t="str">
        <f t="shared" si="4"/>
        <v/>
      </c>
      <c r="E4992" s="2">
        <f t="shared" si="5"/>
        <v>6265.64</v>
      </c>
      <c r="G4992" s="10">
        <f t="shared" si="9"/>
        <v>42974.64583</v>
      </c>
      <c r="H4992" s="6" t="str">
        <f t="shared" si="6"/>
        <v/>
      </c>
      <c r="I4992" s="2">
        <f t="shared" si="7"/>
        <v>1426.89</v>
      </c>
      <c r="M4992" s="10">
        <f>IFERROR(__xludf.DUMMYFUNCTION("""COMPUTED_VALUE"""),45222.66666666667)</f>
        <v>45222.66667</v>
      </c>
      <c r="N4992" s="2">
        <f>IFERROR(__xludf.DUMMYFUNCTION("""COMPUTED_VALUE"""),13018.33)</f>
        <v>13018.33</v>
      </c>
      <c r="P4992" s="10">
        <f t="shared" si="10"/>
        <v>38454.64583</v>
      </c>
      <c r="Q4992" s="13">
        <v>981.79</v>
      </c>
      <c r="R4992" s="18">
        <v>38454.0</v>
      </c>
    </row>
    <row r="4993">
      <c r="A4993" s="10">
        <f t="shared" si="8"/>
        <v>42975.66667</v>
      </c>
      <c r="B4993" s="2" t="str">
        <f t="shared" si="2"/>
        <v/>
      </c>
      <c r="C4993" s="2" t="str">
        <f t="shared" si="3"/>
        <v>SP500</v>
      </c>
      <c r="D4993" s="2">
        <f t="shared" si="4"/>
        <v>6283.02</v>
      </c>
      <c r="E4993" s="2">
        <f t="shared" si="5"/>
        <v>6283.02</v>
      </c>
      <c r="G4993" s="10">
        <f t="shared" si="9"/>
        <v>42975.64583</v>
      </c>
      <c r="H4993" s="6" t="str">
        <f t="shared" si="6"/>
        <v/>
      </c>
      <c r="I4993" s="2">
        <f t="shared" si="7"/>
        <v>1426.89</v>
      </c>
      <c r="M4993" s="10">
        <f>IFERROR(__xludf.DUMMYFUNCTION("""COMPUTED_VALUE"""),45223.66666666667)</f>
        <v>45223.66667</v>
      </c>
      <c r="N4993" s="2">
        <f>IFERROR(__xludf.DUMMYFUNCTION("""COMPUTED_VALUE"""),13139.88)</f>
        <v>13139.88</v>
      </c>
      <c r="P4993" s="10">
        <f t="shared" si="10"/>
        <v>38453.64583</v>
      </c>
      <c r="Q4993" s="13">
        <v>985.94</v>
      </c>
      <c r="R4993" s="18">
        <v>38453.0</v>
      </c>
    </row>
    <row r="4994">
      <c r="A4994" s="10">
        <f t="shared" si="8"/>
        <v>42976.66667</v>
      </c>
      <c r="B4994" s="2" t="str">
        <f t="shared" si="2"/>
        <v/>
      </c>
      <c r="C4994" s="2" t="str">
        <f t="shared" si="3"/>
        <v>SP500</v>
      </c>
      <c r="D4994" s="2">
        <f t="shared" si="4"/>
        <v>6301.89</v>
      </c>
      <c r="E4994" s="2">
        <f t="shared" si="5"/>
        <v>6301.89</v>
      </c>
      <c r="G4994" s="10">
        <f t="shared" si="9"/>
        <v>42976.64583</v>
      </c>
      <c r="H4994" s="6" t="str">
        <f t="shared" si="6"/>
        <v/>
      </c>
      <c r="I4994" s="2">
        <f t="shared" si="7"/>
        <v>1426.89</v>
      </c>
      <c r="M4994" s="10">
        <f>IFERROR(__xludf.DUMMYFUNCTION("""COMPUTED_VALUE"""),45224.66666666667)</f>
        <v>45224.66667</v>
      </c>
      <c r="N4994" s="2">
        <f>IFERROR(__xludf.DUMMYFUNCTION("""COMPUTED_VALUE"""),12821.22)</f>
        <v>12821.22</v>
      </c>
      <c r="P4994" s="10">
        <f t="shared" si="10"/>
        <v>38450.64583</v>
      </c>
      <c r="Q4994" s="13">
        <v>992.17</v>
      </c>
      <c r="R4994" s="18">
        <v>38450.0</v>
      </c>
    </row>
    <row r="4995">
      <c r="A4995" s="10">
        <f t="shared" si="8"/>
        <v>42977.66667</v>
      </c>
      <c r="B4995" s="2" t="str">
        <f t="shared" si="2"/>
        <v/>
      </c>
      <c r="C4995" s="2" t="str">
        <f t="shared" si="3"/>
        <v>SP500</v>
      </c>
      <c r="D4995" s="2">
        <f t="shared" si="4"/>
        <v>6368.31</v>
      </c>
      <c r="E4995" s="2">
        <f t="shared" si="5"/>
        <v>6368.31</v>
      </c>
      <c r="G4995" s="10">
        <f t="shared" si="9"/>
        <v>42977.64583</v>
      </c>
      <c r="H4995" s="6" t="str">
        <f t="shared" si="6"/>
        <v/>
      </c>
      <c r="I4995" s="2">
        <f t="shared" si="7"/>
        <v>1426.89</v>
      </c>
      <c r="M4995" s="10">
        <f>IFERROR(__xludf.DUMMYFUNCTION("""COMPUTED_VALUE"""),45225.66666666667)</f>
        <v>45225.66667</v>
      </c>
      <c r="N4995" s="2">
        <f>IFERROR(__xludf.DUMMYFUNCTION("""COMPUTED_VALUE"""),12595.61)</f>
        <v>12595.61</v>
      </c>
      <c r="P4995" s="10">
        <f t="shared" si="10"/>
        <v>38449.64583</v>
      </c>
      <c r="Q4995" s="13">
        <v>988.9</v>
      </c>
      <c r="R4995" s="18">
        <v>38449.0</v>
      </c>
    </row>
    <row r="4996">
      <c r="A4996" s="10">
        <f t="shared" si="8"/>
        <v>42978.66667</v>
      </c>
      <c r="B4996" s="2" t="str">
        <f t="shared" si="2"/>
        <v/>
      </c>
      <c r="C4996" s="2" t="str">
        <f t="shared" si="3"/>
        <v>SP500</v>
      </c>
      <c r="D4996" s="2">
        <f t="shared" si="4"/>
        <v>6428.66</v>
      </c>
      <c r="E4996" s="2">
        <f t="shared" si="5"/>
        <v>6428.66</v>
      </c>
      <c r="G4996" s="10">
        <f t="shared" si="9"/>
        <v>42978.64583</v>
      </c>
      <c r="H4996" s="6" t="str">
        <f t="shared" si="6"/>
        <v/>
      </c>
      <c r="I4996" s="2">
        <f t="shared" si="7"/>
        <v>1426.89</v>
      </c>
      <c r="M4996" s="10">
        <f>IFERROR(__xludf.DUMMYFUNCTION("""COMPUTED_VALUE"""),45226.66666666667)</f>
        <v>45226.66667</v>
      </c>
      <c r="N4996" s="2">
        <f>IFERROR(__xludf.DUMMYFUNCTION("""COMPUTED_VALUE"""),12643.01)</f>
        <v>12643.01</v>
      </c>
      <c r="P4996" s="10">
        <f t="shared" si="10"/>
        <v>38448.64583</v>
      </c>
      <c r="Q4996" s="13">
        <v>988.0</v>
      </c>
      <c r="R4996" s="18">
        <v>38448.0</v>
      </c>
    </row>
    <row r="4997">
      <c r="A4997" s="10">
        <f t="shared" si="8"/>
        <v>42979.66667</v>
      </c>
      <c r="B4997" s="2" t="str">
        <f t="shared" si="2"/>
        <v/>
      </c>
      <c r="C4997" s="2" t="str">
        <f t="shared" si="3"/>
        <v>SP500</v>
      </c>
      <c r="D4997" s="2">
        <f t="shared" si="4"/>
        <v>6435.33</v>
      </c>
      <c r="E4997" s="2">
        <f t="shared" si="5"/>
        <v>6435.33</v>
      </c>
      <c r="G4997" s="10">
        <f t="shared" si="9"/>
        <v>42979.64583</v>
      </c>
      <c r="H4997" s="6" t="str">
        <f t="shared" si="6"/>
        <v/>
      </c>
      <c r="I4997" s="2">
        <f t="shared" si="7"/>
        <v>1426.89</v>
      </c>
      <c r="M4997" s="10">
        <f>IFERROR(__xludf.DUMMYFUNCTION("""COMPUTED_VALUE"""),45229.66666666667)</f>
        <v>45229.66667</v>
      </c>
      <c r="N4997" s="2">
        <f>IFERROR(__xludf.DUMMYFUNCTION("""COMPUTED_VALUE"""),12789.48)</f>
        <v>12789.48</v>
      </c>
      <c r="P4997" s="10">
        <f t="shared" si="10"/>
        <v>38446.64583</v>
      </c>
      <c r="Q4997" s="13">
        <v>982.5</v>
      </c>
      <c r="R4997" s="18">
        <v>38446.0</v>
      </c>
    </row>
    <row r="4998">
      <c r="A4998" s="10">
        <f t="shared" si="8"/>
        <v>42980.66667</v>
      </c>
      <c r="B4998" s="2" t="str">
        <f t="shared" si="2"/>
        <v/>
      </c>
      <c r="C4998" s="2" t="str">
        <f t="shared" si="3"/>
        <v>SP500</v>
      </c>
      <c r="D4998" s="2" t="str">
        <f t="shared" si="4"/>
        <v/>
      </c>
      <c r="E4998" s="2">
        <f t="shared" si="5"/>
        <v>6435.33</v>
      </c>
      <c r="G4998" s="10">
        <f t="shared" si="9"/>
        <v>42980.64583</v>
      </c>
      <c r="H4998" s="6" t="str">
        <f t="shared" si="6"/>
        <v/>
      </c>
      <c r="I4998" s="2">
        <f t="shared" si="7"/>
        <v>1426.89</v>
      </c>
      <c r="M4998" s="10">
        <f>IFERROR(__xludf.DUMMYFUNCTION("""COMPUTED_VALUE"""),45230.66666666667)</f>
        <v>45230.66667</v>
      </c>
      <c r="N4998" s="2">
        <f>IFERROR(__xludf.DUMMYFUNCTION("""COMPUTED_VALUE"""),12851.24)</f>
        <v>12851.24</v>
      </c>
      <c r="P4998" s="10">
        <f t="shared" si="10"/>
        <v>38443.64583</v>
      </c>
      <c r="Q4998" s="13">
        <v>981.9</v>
      </c>
      <c r="R4998" s="18">
        <v>38443.0</v>
      </c>
    </row>
    <row r="4999">
      <c r="A4999" s="10">
        <f t="shared" si="8"/>
        <v>42981.66667</v>
      </c>
      <c r="B4999" s="2" t="str">
        <f t="shared" si="2"/>
        <v/>
      </c>
      <c r="C4999" s="2" t="str">
        <f t="shared" si="3"/>
        <v>SP500</v>
      </c>
      <c r="D4999" s="2" t="str">
        <f t="shared" si="4"/>
        <v/>
      </c>
      <c r="E4999" s="2">
        <f t="shared" si="5"/>
        <v>6435.33</v>
      </c>
      <c r="G4999" s="10">
        <f t="shared" si="9"/>
        <v>42981.64583</v>
      </c>
      <c r="H4999" s="6" t="str">
        <f t="shared" si="6"/>
        <v/>
      </c>
      <c r="I4999" s="2">
        <f t="shared" si="7"/>
        <v>1426.89</v>
      </c>
      <c r="M4999" s="10">
        <f>IFERROR(__xludf.DUMMYFUNCTION("""COMPUTED_VALUE"""),45231.66666666667)</f>
        <v>45231.66667</v>
      </c>
      <c r="N4999" s="2">
        <f>IFERROR(__xludf.DUMMYFUNCTION("""COMPUTED_VALUE"""),13061.47)</f>
        <v>13061.47</v>
      </c>
      <c r="P4999" s="10">
        <f t="shared" si="10"/>
        <v>38442.64583</v>
      </c>
      <c r="Q4999" s="13">
        <v>965.68</v>
      </c>
      <c r="R4999" s="18">
        <v>38442.0</v>
      </c>
    </row>
    <row r="5000">
      <c r="A5000" s="10">
        <f t="shared" si="8"/>
        <v>42982.66667</v>
      </c>
      <c r="B5000" s="2" t="str">
        <f t="shared" si="2"/>
        <v/>
      </c>
      <c r="C5000" s="2" t="str">
        <f t="shared" si="3"/>
        <v>SP500</v>
      </c>
      <c r="D5000" s="2" t="str">
        <f t="shared" si="4"/>
        <v/>
      </c>
      <c r="E5000" s="2">
        <f t="shared" si="5"/>
        <v>6435.33</v>
      </c>
      <c r="G5000" s="10">
        <f t="shared" si="9"/>
        <v>42982.64583</v>
      </c>
      <c r="H5000" s="6" t="str">
        <f t="shared" si="6"/>
        <v/>
      </c>
      <c r="I5000" s="2">
        <f t="shared" si="7"/>
        <v>1426.89</v>
      </c>
      <c r="M5000" s="10">
        <f>IFERROR(__xludf.DUMMYFUNCTION("""COMPUTED_VALUE"""),45232.66666666667)</f>
        <v>45232.66667</v>
      </c>
      <c r="N5000" s="2">
        <f>IFERROR(__xludf.DUMMYFUNCTION("""COMPUTED_VALUE"""),13294.19)</f>
        <v>13294.19</v>
      </c>
      <c r="P5000" s="10">
        <f t="shared" si="10"/>
        <v>38441.64583</v>
      </c>
      <c r="Q5000" s="13">
        <v>955.45</v>
      </c>
      <c r="R5000" s="18">
        <v>38441.0</v>
      </c>
    </row>
    <row r="5001">
      <c r="A5001" s="10">
        <f t="shared" si="8"/>
        <v>42983.66667</v>
      </c>
      <c r="B5001" s="2" t="str">
        <f t="shared" si="2"/>
        <v/>
      </c>
      <c r="C5001" s="2" t="str">
        <f t="shared" si="3"/>
        <v>SP500</v>
      </c>
      <c r="D5001" s="2">
        <f t="shared" si="4"/>
        <v>6375.57</v>
      </c>
      <c r="E5001" s="2">
        <f t="shared" si="5"/>
        <v>6375.57</v>
      </c>
      <c r="G5001" s="10">
        <f t="shared" si="9"/>
        <v>42983.64583</v>
      </c>
      <c r="H5001" s="6" t="str">
        <f t="shared" si="6"/>
        <v/>
      </c>
      <c r="I5001" s="2">
        <f t="shared" si="7"/>
        <v>1426.89</v>
      </c>
      <c r="M5001" s="10">
        <f>IFERROR(__xludf.DUMMYFUNCTION("""COMPUTED_VALUE"""),45233.66666666667)</f>
        <v>45233.66667</v>
      </c>
      <c r="N5001" s="2">
        <f>IFERROR(__xludf.DUMMYFUNCTION("""COMPUTED_VALUE"""),13478.28)</f>
        <v>13478.28</v>
      </c>
      <c r="P5001" s="10">
        <f t="shared" si="10"/>
        <v>38440.64583</v>
      </c>
      <c r="Q5001" s="13">
        <v>958.96</v>
      </c>
      <c r="R5001" s="18">
        <v>38440.0</v>
      </c>
    </row>
    <row r="5002">
      <c r="A5002" s="10">
        <f t="shared" si="8"/>
        <v>42984.66667</v>
      </c>
      <c r="B5002" s="2" t="str">
        <f t="shared" si="2"/>
        <v/>
      </c>
      <c r="C5002" s="2" t="str">
        <f t="shared" si="3"/>
        <v>SP500</v>
      </c>
      <c r="D5002" s="2">
        <f t="shared" si="4"/>
        <v>6393.31</v>
      </c>
      <c r="E5002" s="2">
        <f t="shared" si="5"/>
        <v>6393.31</v>
      </c>
      <c r="G5002" s="10">
        <f t="shared" si="9"/>
        <v>42984.64583</v>
      </c>
      <c r="H5002" s="6" t="str">
        <f t="shared" si="6"/>
        <v/>
      </c>
      <c r="I5002" s="2">
        <f t="shared" si="7"/>
        <v>1426.89</v>
      </c>
      <c r="M5002" s="10">
        <f>IFERROR(__xludf.DUMMYFUNCTION("""COMPUTED_VALUE"""),45236.66666666667)</f>
        <v>45236.66667</v>
      </c>
      <c r="N5002" s="2">
        <f>IFERROR(__xludf.DUMMYFUNCTION("""COMPUTED_VALUE"""),13518.78)</f>
        <v>13518.78</v>
      </c>
      <c r="P5002" s="10">
        <f t="shared" si="10"/>
        <v>38439.64583</v>
      </c>
      <c r="Q5002" s="13">
        <v>977.7</v>
      </c>
      <c r="R5002" s="18">
        <v>38439.0</v>
      </c>
    </row>
    <row r="5003">
      <c r="A5003" s="10">
        <f t="shared" si="8"/>
        <v>42985.66667</v>
      </c>
      <c r="B5003" s="2" t="str">
        <f t="shared" si="2"/>
        <v/>
      </c>
      <c r="C5003" s="2" t="str">
        <f t="shared" si="3"/>
        <v>SP500</v>
      </c>
      <c r="D5003" s="2">
        <f t="shared" si="4"/>
        <v>6397.87</v>
      </c>
      <c r="E5003" s="2">
        <f t="shared" si="5"/>
        <v>6397.87</v>
      </c>
      <c r="G5003" s="10">
        <f t="shared" si="9"/>
        <v>42985.64583</v>
      </c>
      <c r="H5003" s="6" t="str">
        <f t="shared" si="6"/>
        <v/>
      </c>
      <c r="I5003" s="2">
        <f t="shared" si="7"/>
        <v>1426.89</v>
      </c>
      <c r="M5003" s="10">
        <f>IFERROR(__xludf.DUMMYFUNCTION("""COMPUTED_VALUE"""),45237.66666666667)</f>
        <v>45237.66667</v>
      </c>
      <c r="N5003" s="2">
        <f>IFERROR(__xludf.DUMMYFUNCTION("""COMPUTED_VALUE"""),13639.86)</f>
        <v>13639.86</v>
      </c>
      <c r="P5003" s="10">
        <f t="shared" si="10"/>
        <v>38436.64583</v>
      </c>
      <c r="Q5003" s="13">
        <v>965.3</v>
      </c>
      <c r="R5003" s="18">
        <v>38436.0</v>
      </c>
    </row>
    <row r="5004">
      <c r="A5004" s="10">
        <f t="shared" si="8"/>
        <v>42986.66667</v>
      </c>
      <c r="B5004" s="2" t="str">
        <f t="shared" si="2"/>
        <v/>
      </c>
      <c r="C5004" s="2" t="str">
        <f t="shared" si="3"/>
        <v>SP500</v>
      </c>
      <c r="D5004" s="2">
        <f t="shared" si="4"/>
        <v>6360.19</v>
      </c>
      <c r="E5004" s="2">
        <f t="shared" si="5"/>
        <v>6360.19</v>
      </c>
      <c r="G5004" s="10">
        <f t="shared" si="9"/>
        <v>42986.64583</v>
      </c>
      <c r="H5004" s="6" t="str">
        <f t="shared" si="6"/>
        <v/>
      </c>
      <c r="I5004" s="2">
        <f t="shared" si="7"/>
        <v>1426.89</v>
      </c>
      <c r="M5004" s="10">
        <f>IFERROR(__xludf.DUMMYFUNCTION("""COMPUTED_VALUE"""),45238.66666666667)</f>
        <v>45238.66667</v>
      </c>
      <c r="N5004" s="2">
        <f>IFERROR(__xludf.DUMMYFUNCTION("""COMPUTED_VALUE"""),13650.41)</f>
        <v>13650.41</v>
      </c>
      <c r="P5004" s="10">
        <f t="shared" si="10"/>
        <v>38435.64583</v>
      </c>
      <c r="Q5004" s="13">
        <v>956.33</v>
      </c>
      <c r="R5004" s="18">
        <v>38435.0</v>
      </c>
    </row>
    <row r="5005">
      <c r="A5005" s="10">
        <f t="shared" si="8"/>
        <v>42987.66667</v>
      </c>
      <c r="B5005" s="2" t="str">
        <f t="shared" si="2"/>
        <v/>
      </c>
      <c r="C5005" s="2" t="str">
        <f t="shared" si="3"/>
        <v>SP500</v>
      </c>
      <c r="D5005" s="2" t="str">
        <f t="shared" si="4"/>
        <v/>
      </c>
      <c r="E5005" s="2">
        <f t="shared" si="5"/>
        <v>6360.19</v>
      </c>
      <c r="G5005" s="10">
        <f t="shared" si="9"/>
        <v>42987.64583</v>
      </c>
      <c r="H5005" s="6" t="str">
        <f t="shared" si="6"/>
        <v/>
      </c>
      <c r="I5005" s="2">
        <f t="shared" si="7"/>
        <v>1426.89</v>
      </c>
      <c r="M5005" s="10">
        <f>IFERROR(__xludf.DUMMYFUNCTION("""COMPUTED_VALUE"""),45239.66666666667)</f>
        <v>45239.66667</v>
      </c>
      <c r="N5005" s="2">
        <f>IFERROR(__xludf.DUMMYFUNCTION("""COMPUTED_VALUE"""),13521.45)</f>
        <v>13521.45</v>
      </c>
      <c r="P5005" s="10">
        <f t="shared" si="10"/>
        <v>38434.64583</v>
      </c>
      <c r="Q5005" s="13">
        <v>966.81</v>
      </c>
      <c r="R5005" s="18">
        <v>38434.0</v>
      </c>
    </row>
    <row r="5006">
      <c r="A5006" s="10">
        <f t="shared" si="8"/>
        <v>42988.66667</v>
      </c>
      <c r="B5006" s="2" t="str">
        <f t="shared" si="2"/>
        <v/>
      </c>
      <c r="C5006" s="2" t="str">
        <f t="shared" si="3"/>
        <v>SP500</v>
      </c>
      <c r="D5006" s="2" t="str">
        <f t="shared" si="4"/>
        <v/>
      </c>
      <c r="E5006" s="2">
        <f t="shared" si="5"/>
        <v>6360.19</v>
      </c>
      <c r="G5006" s="10">
        <f t="shared" si="9"/>
        <v>42988.64583</v>
      </c>
      <c r="H5006" s="6" t="str">
        <f t="shared" si="6"/>
        <v/>
      </c>
      <c r="I5006" s="2">
        <f t="shared" si="7"/>
        <v>1426.89</v>
      </c>
      <c r="M5006" s="10">
        <f>IFERROR(__xludf.DUMMYFUNCTION("""COMPUTED_VALUE"""),45240.66666666667)</f>
        <v>45240.66667</v>
      </c>
      <c r="N5006" s="2">
        <f>IFERROR(__xludf.DUMMYFUNCTION("""COMPUTED_VALUE"""),13798.11)</f>
        <v>13798.11</v>
      </c>
      <c r="P5006" s="10">
        <f t="shared" si="10"/>
        <v>38433.64583</v>
      </c>
      <c r="Q5006" s="13">
        <v>980.41</v>
      </c>
      <c r="R5006" s="18">
        <v>38433.0</v>
      </c>
    </row>
    <row r="5007">
      <c r="A5007" s="10">
        <f t="shared" si="8"/>
        <v>42989.66667</v>
      </c>
      <c r="B5007" s="2" t="str">
        <f t="shared" si="2"/>
        <v/>
      </c>
      <c r="C5007" s="2" t="str">
        <f t="shared" si="3"/>
        <v>SP500</v>
      </c>
      <c r="D5007" s="2">
        <f t="shared" si="4"/>
        <v>6432.26</v>
      </c>
      <c r="E5007" s="2">
        <f t="shared" si="5"/>
        <v>6432.26</v>
      </c>
      <c r="G5007" s="10">
        <f t="shared" si="9"/>
        <v>42989.64583</v>
      </c>
      <c r="H5007" s="6" t="str">
        <f t="shared" si="6"/>
        <v/>
      </c>
      <c r="I5007" s="2">
        <f t="shared" si="7"/>
        <v>1426.89</v>
      </c>
      <c r="M5007" s="10">
        <f>IFERROR(__xludf.DUMMYFUNCTION("""COMPUTED_VALUE"""),45243.66666666667)</f>
        <v>45243.66667</v>
      </c>
      <c r="N5007" s="2">
        <f>IFERROR(__xludf.DUMMYFUNCTION("""COMPUTED_VALUE"""),13767.74)</f>
        <v>13767.74</v>
      </c>
      <c r="P5007" s="10">
        <f t="shared" si="10"/>
        <v>38432.64583</v>
      </c>
      <c r="Q5007" s="13">
        <v>979.27</v>
      </c>
      <c r="R5007" s="18">
        <v>38432.0</v>
      </c>
    </row>
    <row r="5008">
      <c r="A5008" s="10">
        <f t="shared" si="8"/>
        <v>42990.66667</v>
      </c>
      <c r="B5008" s="2" t="str">
        <f t="shared" si="2"/>
        <v/>
      </c>
      <c r="C5008" s="2" t="str">
        <f t="shared" si="3"/>
        <v>SP500</v>
      </c>
      <c r="D5008" s="2">
        <f t="shared" si="4"/>
        <v>6454.28</v>
      </c>
      <c r="E5008" s="2">
        <f t="shared" si="5"/>
        <v>6454.28</v>
      </c>
      <c r="G5008" s="10">
        <f t="shared" si="9"/>
        <v>42990.64583</v>
      </c>
      <c r="H5008" s="6" t="str">
        <f t="shared" si="6"/>
        <v/>
      </c>
      <c r="I5008" s="2">
        <f t="shared" si="7"/>
        <v>1426.89</v>
      </c>
      <c r="M5008" s="10">
        <f>IFERROR(__xludf.DUMMYFUNCTION("""COMPUTED_VALUE"""),45244.66666666667)</f>
        <v>45244.66667</v>
      </c>
      <c r="N5008" s="2">
        <f>IFERROR(__xludf.DUMMYFUNCTION("""COMPUTED_VALUE"""),14094.38)</f>
        <v>14094.38</v>
      </c>
      <c r="P5008" s="10">
        <f t="shared" si="10"/>
        <v>38429.64583</v>
      </c>
      <c r="Q5008" s="13">
        <v>979.72</v>
      </c>
      <c r="R5008" s="18">
        <v>38429.0</v>
      </c>
    </row>
    <row r="5009">
      <c r="A5009" s="10">
        <f t="shared" si="8"/>
        <v>42991.66667</v>
      </c>
      <c r="B5009" s="2" t="str">
        <f t="shared" si="2"/>
        <v/>
      </c>
      <c r="C5009" s="2" t="str">
        <f t="shared" si="3"/>
        <v>SP500</v>
      </c>
      <c r="D5009" s="2">
        <f t="shared" si="4"/>
        <v>6460.19</v>
      </c>
      <c r="E5009" s="2">
        <f t="shared" si="5"/>
        <v>6460.19</v>
      </c>
      <c r="G5009" s="10">
        <f t="shared" si="9"/>
        <v>42991.64583</v>
      </c>
      <c r="H5009" s="6" t="str">
        <f t="shared" si="6"/>
        <v/>
      </c>
      <c r="I5009" s="2">
        <f t="shared" si="7"/>
        <v>1426.89</v>
      </c>
      <c r="M5009" s="10">
        <f>IFERROR(__xludf.DUMMYFUNCTION("""COMPUTED_VALUE"""),45245.66666666667)</f>
        <v>45245.66667</v>
      </c>
      <c r="N5009" s="2">
        <f>IFERROR(__xludf.DUMMYFUNCTION("""COMPUTED_VALUE"""),14103.84)</f>
        <v>14103.84</v>
      </c>
      <c r="P5009" s="10">
        <f t="shared" si="10"/>
        <v>38428.64583</v>
      </c>
      <c r="Q5009" s="13">
        <v>980.05</v>
      </c>
      <c r="R5009" s="18">
        <v>38428.0</v>
      </c>
    </row>
    <row r="5010">
      <c r="A5010" s="10">
        <f t="shared" si="8"/>
        <v>42992.66667</v>
      </c>
      <c r="B5010" s="2" t="str">
        <f t="shared" si="2"/>
        <v/>
      </c>
      <c r="C5010" s="2" t="str">
        <f t="shared" si="3"/>
        <v>SP500</v>
      </c>
      <c r="D5010" s="2">
        <f t="shared" si="4"/>
        <v>6429.08</v>
      </c>
      <c r="E5010" s="2">
        <f t="shared" si="5"/>
        <v>6429.08</v>
      </c>
      <c r="G5010" s="10">
        <f t="shared" si="9"/>
        <v>42992.64583</v>
      </c>
      <c r="H5010" s="6" t="str">
        <f t="shared" si="6"/>
        <v/>
      </c>
      <c r="I5010" s="2">
        <f t="shared" si="7"/>
        <v>1426.89</v>
      </c>
      <c r="M5010" s="10">
        <f>IFERROR(__xludf.DUMMYFUNCTION("""COMPUTED_VALUE"""),45246.66666666667)</f>
        <v>45246.66667</v>
      </c>
      <c r="N5010" s="2">
        <f>IFERROR(__xludf.DUMMYFUNCTION("""COMPUTED_VALUE"""),14113.67)</f>
        <v>14113.67</v>
      </c>
      <c r="P5010" s="10">
        <f t="shared" si="10"/>
        <v>38427.64583</v>
      </c>
      <c r="Q5010" s="13">
        <v>993.13</v>
      </c>
      <c r="R5010" s="18">
        <v>38427.0</v>
      </c>
    </row>
    <row r="5011">
      <c r="A5011" s="10">
        <f t="shared" si="8"/>
        <v>42993.66667</v>
      </c>
      <c r="B5011" s="2" t="str">
        <f t="shared" si="2"/>
        <v/>
      </c>
      <c r="C5011" s="2" t="str">
        <f t="shared" si="3"/>
        <v>SP500</v>
      </c>
      <c r="D5011" s="2">
        <f t="shared" si="4"/>
        <v>6448.47</v>
      </c>
      <c r="E5011" s="2">
        <f t="shared" si="5"/>
        <v>6448.47</v>
      </c>
      <c r="G5011" s="10">
        <f t="shared" si="9"/>
        <v>42993.64583</v>
      </c>
      <c r="H5011" s="6" t="str">
        <f t="shared" si="6"/>
        <v/>
      </c>
      <c r="I5011" s="2">
        <f t="shared" si="7"/>
        <v>1426.89</v>
      </c>
      <c r="M5011" s="10">
        <f>IFERROR(__xludf.DUMMYFUNCTION("""COMPUTED_VALUE"""),45247.66666666667)</f>
        <v>45247.66667</v>
      </c>
      <c r="N5011" s="2">
        <f>IFERROR(__xludf.DUMMYFUNCTION("""COMPUTED_VALUE"""),14125.48)</f>
        <v>14125.48</v>
      </c>
      <c r="P5011" s="10">
        <f t="shared" si="10"/>
        <v>38426.64583</v>
      </c>
      <c r="Q5011" s="13">
        <v>993.13</v>
      </c>
      <c r="R5011" s="18">
        <v>38426.0</v>
      </c>
    </row>
    <row r="5012">
      <c r="A5012" s="10">
        <f t="shared" si="8"/>
        <v>42994.66667</v>
      </c>
      <c r="B5012" s="2" t="str">
        <f t="shared" si="2"/>
        <v/>
      </c>
      <c r="C5012" s="2" t="str">
        <f t="shared" si="3"/>
        <v>SP500</v>
      </c>
      <c r="D5012" s="2" t="str">
        <f t="shared" si="4"/>
        <v/>
      </c>
      <c r="E5012" s="2">
        <f t="shared" si="5"/>
        <v>6448.47</v>
      </c>
      <c r="G5012" s="10">
        <f t="shared" si="9"/>
        <v>42994.64583</v>
      </c>
      <c r="H5012" s="6" t="str">
        <f t="shared" si="6"/>
        <v/>
      </c>
      <c r="I5012" s="2">
        <f t="shared" si="7"/>
        <v>1426.89</v>
      </c>
      <c r="M5012" s="10">
        <f>IFERROR(__xludf.DUMMYFUNCTION("""COMPUTED_VALUE"""),45250.66666666667)</f>
        <v>45250.66667</v>
      </c>
      <c r="N5012" s="2">
        <f>IFERROR(__xludf.DUMMYFUNCTION("""COMPUTED_VALUE"""),14284.53)</f>
        <v>14284.53</v>
      </c>
      <c r="P5012" s="10">
        <f t="shared" si="10"/>
        <v>38425.64583</v>
      </c>
      <c r="Q5012" s="15">
        <v>1019.69</v>
      </c>
      <c r="R5012" s="18">
        <v>38425.0</v>
      </c>
    </row>
    <row r="5013">
      <c r="A5013" s="10">
        <f t="shared" si="8"/>
        <v>42995.66667</v>
      </c>
      <c r="B5013" s="2" t="str">
        <f t="shared" si="2"/>
        <v/>
      </c>
      <c r="C5013" s="2" t="str">
        <f t="shared" si="3"/>
        <v>SP500</v>
      </c>
      <c r="D5013" s="2" t="str">
        <f t="shared" si="4"/>
        <v/>
      </c>
      <c r="E5013" s="2">
        <f t="shared" si="5"/>
        <v>6448.47</v>
      </c>
      <c r="G5013" s="10">
        <f t="shared" si="9"/>
        <v>42995.64583</v>
      </c>
      <c r="H5013" s="6" t="str">
        <f t="shared" si="6"/>
        <v/>
      </c>
      <c r="I5013" s="2">
        <f t="shared" si="7"/>
        <v>1426.89</v>
      </c>
      <c r="M5013" s="10">
        <f>IFERROR(__xludf.DUMMYFUNCTION("""COMPUTED_VALUE"""),45251.66666666667)</f>
        <v>45251.66667</v>
      </c>
      <c r="N5013" s="2">
        <f>IFERROR(__xludf.DUMMYFUNCTION("""COMPUTED_VALUE"""),14199.98)</f>
        <v>14199.98</v>
      </c>
      <c r="P5013" s="10">
        <f t="shared" si="10"/>
        <v>38422.64583</v>
      </c>
      <c r="Q5013" s="15">
        <v>1022.79</v>
      </c>
      <c r="R5013" s="18">
        <v>38422.0</v>
      </c>
    </row>
    <row r="5014">
      <c r="A5014" s="10">
        <f t="shared" si="8"/>
        <v>42996.66667</v>
      </c>
      <c r="B5014" s="2" t="str">
        <f t="shared" si="2"/>
        <v/>
      </c>
      <c r="C5014" s="2" t="str">
        <f t="shared" si="3"/>
        <v>SP500</v>
      </c>
      <c r="D5014" s="2">
        <f t="shared" si="4"/>
        <v>6454.64</v>
      </c>
      <c r="E5014" s="2">
        <f t="shared" si="5"/>
        <v>6454.64</v>
      </c>
      <c r="G5014" s="10">
        <f t="shared" si="9"/>
        <v>42996.64583</v>
      </c>
      <c r="H5014" s="6" t="str">
        <f t="shared" si="6"/>
        <v/>
      </c>
      <c r="I5014" s="2">
        <f t="shared" si="7"/>
        <v>1426.89</v>
      </c>
      <c r="M5014" s="10">
        <f>IFERROR(__xludf.DUMMYFUNCTION("""COMPUTED_VALUE"""),45252.66666666667)</f>
        <v>45252.66667</v>
      </c>
      <c r="N5014" s="2">
        <f>IFERROR(__xludf.DUMMYFUNCTION("""COMPUTED_VALUE"""),14265.86)</f>
        <v>14265.86</v>
      </c>
      <c r="P5014" s="10">
        <f t="shared" si="10"/>
        <v>38421.64583</v>
      </c>
      <c r="Q5014" s="13">
        <v>998.66</v>
      </c>
      <c r="R5014" s="18">
        <v>38421.0</v>
      </c>
    </row>
    <row r="5015">
      <c r="A5015" s="10">
        <f t="shared" si="8"/>
        <v>42997.66667</v>
      </c>
      <c r="B5015" s="2" t="str">
        <f t="shared" si="2"/>
        <v/>
      </c>
      <c r="C5015" s="2" t="str">
        <f t="shared" si="3"/>
        <v>SP500</v>
      </c>
      <c r="D5015" s="2">
        <f t="shared" si="4"/>
        <v>6461.32</v>
      </c>
      <c r="E5015" s="2">
        <f t="shared" si="5"/>
        <v>6461.32</v>
      </c>
      <c r="G5015" s="10">
        <f t="shared" si="9"/>
        <v>42997.64583</v>
      </c>
      <c r="H5015" s="6" t="str">
        <f t="shared" si="6"/>
        <v/>
      </c>
      <c r="I5015" s="2">
        <f t="shared" si="7"/>
        <v>1426.89</v>
      </c>
      <c r="M5015" s="10">
        <f>IFERROR(__xludf.DUMMYFUNCTION("""COMPUTED_VALUE"""),45254.54513888889)</f>
        <v>45254.54514</v>
      </c>
      <c r="N5015" s="2">
        <f>IFERROR(__xludf.DUMMYFUNCTION("""COMPUTED_VALUE"""),14250.86)</f>
        <v>14250.86</v>
      </c>
      <c r="P5015" s="10">
        <f t="shared" si="10"/>
        <v>38420.64583</v>
      </c>
      <c r="Q5015" s="15">
        <v>1008.79</v>
      </c>
      <c r="R5015" s="18">
        <v>38420.0</v>
      </c>
    </row>
    <row r="5016">
      <c r="A5016" s="10">
        <f t="shared" si="8"/>
        <v>42998.66667</v>
      </c>
      <c r="B5016" s="2" t="str">
        <f t="shared" si="2"/>
        <v/>
      </c>
      <c r="C5016" s="2" t="str">
        <f t="shared" si="3"/>
        <v>SP500</v>
      </c>
      <c r="D5016" s="2">
        <f t="shared" si="4"/>
        <v>6456.04</v>
      </c>
      <c r="E5016" s="2">
        <f t="shared" si="5"/>
        <v>6456.04</v>
      </c>
      <c r="G5016" s="10">
        <f t="shared" si="9"/>
        <v>42998.64583</v>
      </c>
      <c r="H5016" s="6" t="str">
        <f t="shared" si="6"/>
        <v/>
      </c>
      <c r="I5016" s="2">
        <f t="shared" si="7"/>
        <v>1426.89</v>
      </c>
      <c r="M5016" s="10">
        <f>IFERROR(__xludf.DUMMYFUNCTION("""COMPUTED_VALUE"""),45257.66666666667)</f>
        <v>45257.66667</v>
      </c>
      <c r="N5016" s="2">
        <f>IFERROR(__xludf.DUMMYFUNCTION("""COMPUTED_VALUE"""),14241.02)</f>
        <v>14241.02</v>
      </c>
      <c r="P5016" s="10">
        <f t="shared" si="10"/>
        <v>38419.64583</v>
      </c>
      <c r="Q5016" s="15">
        <v>1000.28</v>
      </c>
      <c r="R5016" s="18">
        <v>38419.0</v>
      </c>
    </row>
    <row r="5017">
      <c r="A5017" s="10">
        <f t="shared" si="8"/>
        <v>42999.66667</v>
      </c>
      <c r="B5017" s="2" t="str">
        <f t="shared" si="2"/>
        <v/>
      </c>
      <c r="C5017" s="2" t="str">
        <f t="shared" si="3"/>
        <v>SP500</v>
      </c>
      <c r="D5017" s="2">
        <f t="shared" si="4"/>
        <v>6422.69</v>
      </c>
      <c r="E5017" s="2">
        <f t="shared" si="5"/>
        <v>6422.69</v>
      </c>
      <c r="G5017" s="10">
        <f t="shared" si="9"/>
        <v>42999.64583</v>
      </c>
      <c r="H5017" s="6" t="str">
        <f t="shared" si="6"/>
        <v/>
      </c>
      <c r="I5017" s="2">
        <f t="shared" si="7"/>
        <v>1426.89</v>
      </c>
      <c r="M5017" s="10">
        <f>IFERROR(__xludf.DUMMYFUNCTION("""COMPUTED_VALUE"""),45258.66666666667)</f>
        <v>45258.66667</v>
      </c>
      <c r="N5017" s="2">
        <f>IFERROR(__xludf.DUMMYFUNCTION("""COMPUTED_VALUE"""),14281.76)</f>
        <v>14281.76</v>
      </c>
      <c r="P5017" s="10">
        <f t="shared" si="10"/>
        <v>38418.64583</v>
      </c>
      <c r="Q5017" s="15">
        <v>1007.5</v>
      </c>
      <c r="R5017" s="18">
        <v>38418.0</v>
      </c>
    </row>
    <row r="5018">
      <c r="A5018" s="10">
        <f t="shared" si="8"/>
        <v>43000.66667</v>
      </c>
      <c r="B5018" s="2" t="str">
        <f t="shared" si="2"/>
        <v/>
      </c>
      <c r="C5018" s="2" t="str">
        <f t="shared" si="3"/>
        <v>SP500</v>
      </c>
      <c r="D5018" s="2">
        <f t="shared" si="4"/>
        <v>6426.92</v>
      </c>
      <c r="E5018" s="2">
        <f t="shared" si="5"/>
        <v>6426.92</v>
      </c>
      <c r="G5018" s="10">
        <f t="shared" si="9"/>
        <v>43000.64583</v>
      </c>
      <c r="H5018" s="6" t="str">
        <f t="shared" si="6"/>
        <v/>
      </c>
      <c r="I5018" s="2">
        <f t="shared" si="7"/>
        <v>1426.89</v>
      </c>
      <c r="M5018" s="10">
        <f>IFERROR(__xludf.DUMMYFUNCTION("""COMPUTED_VALUE"""),45259.66666666667)</f>
        <v>45259.66667</v>
      </c>
      <c r="N5018" s="2">
        <f>IFERROR(__xludf.DUMMYFUNCTION("""COMPUTED_VALUE"""),14258.49)</f>
        <v>14258.49</v>
      </c>
      <c r="P5018" s="10">
        <f t="shared" si="10"/>
        <v>38415.64583</v>
      </c>
      <c r="Q5018" s="15">
        <v>1012.96</v>
      </c>
      <c r="R5018" s="18">
        <v>38415.0</v>
      </c>
    </row>
    <row r="5019">
      <c r="A5019" s="10">
        <f t="shared" si="8"/>
        <v>43001.66667</v>
      </c>
      <c r="B5019" s="2" t="str">
        <f t="shared" si="2"/>
        <v/>
      </c>
      <c r="C5019" s="2" t="str">
        <f t="shared" si="3"/>
        <v>SP500</v>
      </c>
      <c r="D5019" s="2" t="str">
        <f t="shared" si="4"/>
        <v/>
      </c>
      <c r="E5019" s="2">
        <f t="shared" si="5"/>
        <v>6426.92</v>
      </c>
      <c r="G5019" s="10">
        <f t="shared" si="9"/>
        <v>43001.64583</v>
      </c>
      <c r="H5019" s="6" t="str">
        <f t="shared" si="6"/>
        <v/>
      </c>
      <c r="I5019" s="2">
        <f t="shared" si="7"/>
        <v>1426.89</v>
      </c>
      <c r="M5019" s="10">
        <f>IFERROR(__xludf.DUMMYFUNCTION("""COMPUTED_VALUE"""),45260.66666666667)</f>
        <v>45260.66667</v>
      </c>
      <c r="N5019" s="2">
        <f>IFERROR(__xludf.DUMMYFUNCTION("""COMPUTED_VALUE"""),14226.22)</f>
        <v>14226.22</v>
      </c>
      <c r="P5019" s="10">
        <f t="shared" si="10"/>
        <v>38414.64583</v>
      </c>
      <c r="Q5019" s="15">
        <v>1010.92</v>
      </c>
      <c r="R5019" s="18">
        <v>38414.0</v>
      </c>
    </row>
    <row r="5020">
      <c r="A5020" s="10">
        <f t="shared" si="8"/>
        <v>43002.66667</v>
      </c>
      <c r="B5020" s="2" t="str">
        <f t="shared" si="2"/>
        <v/>
      </c>
      <c r="C5020" s="2" t="str">
        <f t="shared" si="3"/>
        <v>SP500</v>
      </c>
      <c r="D5020" s="2" t="str">
        <f t="shared" si="4"/>
        <v/>
      </c>
      <c r="E5020" s="2">
        <f t="shared" si="5"/>
        <v>6426.92</v>
      </c>
      <c r="G5020" s="10">
        <f t="shared" si="9"/>
        <v>43002.64583</v>
      </c>
      <c r="H5020" s="6" t="str">
        <f t="shared" si="6"/>
        <v/>
      </c>
      <c r="I5020" s="2">
        <f t="shared" si="7"/>
        <v>1426.89</v>
      </c>
      <c r="M5020" s="10">
        <f>IFERROR(__xludf.DUMMYFUNCTION("""COMPUTED_VALUE"""),45261.66666666667)</f>
        <v>45261.66667</v>
      </c>
      <c r="N5020" s="2">
        <f>IFERROR(__xludf.DUMMYFUNCTION("""COMPUTED_VALUE"""),14305.03)</f>
        <v>14305.03</v>
      </c>
      <c r="P5020" s="10">
        <f t="shared" si="10"/>
        <v>38413.64583</v>
      </c>
      <c r="Q5020" s="15">
        <v>1007.48</v>
      </c>
      <c r="R5020" s="18">
        <v>38413.0</v>
      </c>
    </row>
    <row r="5021">
      <c r="A5021" s="10">
        <f t="shared" si="8"/>
        <v>43003.66667</v>
      </c>
      <c r="B5021" s="2" t="str">
        <f t="shared" si="2"/>
        <v/>
      </c>
      <c r="C5021" s="2" t="str">
        <f t="shared" si="3"/>
        <v>SP500</v>
      </c>
      <c r="D5021" s="2">
        <f t="shared" si="4"/>
        <v>6370.59</v>
      </c>
      <c r="E5021" s="2">
        <f t="shared" si="5"/>
        <v>6370.59</v>
      </c>
      <c r="G5021" s="10">
        <f t="shared" si="9"/>
        <v>43003.64583</v>
      </c>
      <c r="H5021" s="6" t="str">
        <f t="shared" si="6"/>
        <v/>
      </c>
      <c r="I5021" s="2">
        <f t="shared" si="7"/>
        <v>1426.89</v>
      </c>
      <c r="M5021" s="10">
        <f>IFERROR(__xludf.DUMMYFUNCTION("""COMPUTED_VALUE"""),45264.66666666667)</f>
        <v>45264.66667</v>
      </c>
      <c r="N5021" s="2">
        <f>IFERROR(__xludf.DUMMYFUNCTION("""COMPUTED_VALUE"""),14185.49)</f>
        <v>14185.49</v>
      </c>
      <c r="P5021" s="10">
        <f t="shared" si="10"/>
        <v>38411.64583</v>
      </c>
      <c r="Q5021" s="15">
        <v>1011.36</v>
      </c>
      <c r="R5021" s="18">
        <v>38411.0</v>
      </c>
    </row>
    <row r="5022">
      <c r="A5022" s="10">
        <f t="shared" si="8"/>
        <v>43004.66667</v>
      </c>
      <c r="B5022" s="2" t="str">
        <f t="shared" si="2"/>
        <v/>
      </c>
      <c r="C5022" s="2" t="str">
        <f t="shared" si="3"/>
        <v>SP500</v>
      </c>
      <c r="D5022" s="2">
        <f t="shared" si="4"/>
        <v>6380.16</v>
      </c>
      <c r="E5022" s="2">
        <f t="shared" si="5"/>
        <v>6380.16</v>
      </c>
      <c r="G5022" s="10">
        <f t="shared" si="9"/>
        <v>43004.64583</v>
      </c>
      <c r="H5022" s="6" t="str">
        <f t="shared" si="6"/>
        <v/>
      </c>
      <c r="I5022" s="2">
        <f t="shared" si="7"/>
        <v>1426.89</v>
      </c>
      <c r="M5022" s="10">
        <f>IFERROR(__xludf.DUMMYFUNCTION("""COMPUTED_VALUE"""),45265.66666666667)</f>
        <v>45265.66667</v>
      </c>
      <c r="N5022" s="2">
        <f>IFERROR(__xludf.DUMMYFUNCTION("""COMPUTED_VALUE"""),14229.91)</f>
        <v>14229.91</v>
      </c>
      <c r="P5022" s="10">
        <f t="shared" si="10"/>
        <v>38408.64583</v>
      </c>
      <c r="Q5022" s="13">
        <v>996.95</v>
      </c>
      <c r="R5022" s="18">
        <v>38408.0</v>
      </c>
    </row>
    <row r="5023">
      <c r="A5023" s="10">
        <f t="shared" si="8"/>
        <v>43005.66667</v>
      </c>
      <c r="B5023" s="2" t="str">
        <f t="shared" si="2"/>
        <v/>
      </c>
      <c r="C5023" s="2" t="str">
        <f t="shared" si="3"/>
        <v>SP500</v>
      </c>
      <c r="D5023" s="2">
        <f t="shared" si="4"/>
        <v>6453.26</v>
      </c>
      <c r="E5023" s="2">
        <f t="shared" si="5"/>
        <v>6453.26</v>
      </c>
      <c r="G5023" s="10">
        <f t="shared" si="9"/>
        <v>43005.64583</v>
      </c>
      <c r="H5023" s="6" t="str">
        <f t="shared" si="6"/>
        <v/>
      </c>
      <c r="I5023" s="2">
        <f t="shared" si="7"/>
        <v>1426.89</v>
      </c>
      <c r="M5023" s="10">
        <f>IFERROR(__xludf.DUMMYFUNCTION("""COMPUTED_VALUE"""),45266.66666666667)</f>
        <v>45266.66667</v>
      </c>
      <c r="N5023" s="2">
        <f>IFERROR(__xludf.DUMMYFUNCTION("""COMPUTED_VALUE"""),14146.71)</f>
        <v>14146.71</v>
      </c>
      <c r="P5023" s="10">
        <f t="shared" si="10"/>
        <v>38407.64583</v>
      </c>
      <c r="Q5023" s="13">
        <v>987.1</v>
      </c>
      <c r="R5023" s="18">
        <v>38407.0</v>
      </c>
    </row>
    <row r="5024">
      <c r="A5024" s="10">
        <f t="shared" si="8"/>
        <v>43006.66667</v>
      </c>
      <c r="B5024" s="2" t="str">
        <f t="shared" si="2"/>
        <v/>
      </c>
      <c r="C5024" s="2" t="str">
        <f t="shared" si="3"/>
        <v>SP500</v>
      </c>
      <c r="D5024" s="2">
        <f t="shared" si="4"/>
        <v>6453.45</v>
      </c>
      <c r="E5024" s="2">
        <f t="shared" si="5"/>
        <v>6453.45</v>
      </c>
      <c r="G5024" s="10">
        <f t="shared" si="9"/>
        <v>43006.64583</v>
      </c>
      <c r="H5024" s="6" t="str">
        <f t="shared" si="6"/>
        <v/>
      </c>
      <c r="I5024" s="2">
        <f t="shared" si="7"/>
        <v>1426.89</v>
      </c>
      <c r="M5024" s="10">
        <f>IFERROR(__xludf.DUMMYFUNCTION("""COMPUTED_VALUE"""),45267.66666666667)</f>
        <v>45267.66667</v>
      </c>
      <c r="N5024" s="2">
        <f>IFERROR(__xludf.DUMMYFUNCTION("""COMPUTED_VALUE"""),14339.99)</f>
        <v>14339.99</v>
      </c>
      <c r="P5024" s="10">
        <f t="shared" si="10"/>
        <v>38406.64583</v>
      </c>
      <c r="Q5024" s="13">
        <v>968.43</v>
      </c>
      <c r="R5024" s="18">
        <v>38406.0</v>
      </c>
    </row>
    <row r="5025">
      <c r="A5025" s="10">
        <f t="shared" si="8"/>
        <v>43007.66667</v>
      </c>
      <c r="B5025" s="2" t="str">
        <f t="shared" si="2"/>
        <v/>
      </c>
      <c r="C5025" s="2" t="str">
        <f t="shared" si="3"/>
        <v>SP500</v>
      </c>
      <c r="D5025" s="2">
        <f t="shared" si="4"/>
        <v>6495.96</v>
      </c>
      <c r="E5025" s="2">
        <f t="shared" si="5"/>
        <v>6495.96</v>
      </c>
      <c r="G5025" s="10">
        <f t="shared" si="9"/>
        <v>43007.64583</v>
      </c>
      <c r="H5025" s="6" t="str">
        <f t="shared" si="6"/>
        <v/>
      </c>
      <c r="I5025" s="2">
        <f t="shared" si="7"/>
        <v>1426.89</v>
      </c>
      <c r="M5025" s="10">
        <f>IFERROR(__xludf.DUMMYFUNCTION("""COMPUTED_VALUE"""),45268.66666666667)</f>
        <v>45268.66667</v>
      </c>
      <c r="N5025" s="2">
        <f>IFERROR(__xludf.DUMMYFUNCTION("""COMPUTED_VALUE"""),14403.97)</f>
        <v>14403.97</v>
      </c>
      <c r="P5025" s="10">
        <f t="shared" si="10"/>
        <v>38405.64583</v>
      </c>
      <c r="Q5025" s="13">
        <v>977.8</v>
      </c>
      <c r="R5025" s="18">
        <v>38405.0</v>
      </c>
    </row>
    <row r="5026">
      <c r="A5026" s="10">
        <f t="shared" si="8"/>
        <v>43008.66667</v>
      </c>
      <c r="B5026" s="2" t="str">
        <f t="shared" si="2"/>
        <v/>
      </c>
      <c r="C5026" s="2" t="str">
        <f t="shared" si="3"/>
        <v>SP500</v>
      </c>
      <c r="D5026" s="2" t="str">
        <f t="shared" si="4"/>
        <v/>
      </c>
      <c r="E5026" s="2">
        <f t="shared" si="5"/>
        <v>6495.96</v>
      </c>
      <c r="G5026" s="10">
        <f t="shared" si="9"/>
        <v>43008.64583</v>
      </c>
      <c r="H5026" s="6" t="str">
        <f t="shared" si="6"/>
        <v/>
      </c>
      <c r="I5026" s="2">
        <f t="shared" si="7"/>
        <v>1426.89</v>
      </c>
      <c r="M5026" s="10">
        <f>IFERROR(__xludf.DUMMYFUNCTION("""COMPUTED_VALUE"""),45271.66666666667)</f>
        <v>45271.66667</v>
      </c>
      <c r="N5026" s="2">
        <f>IFERROR(__xludf.DUMMYFUNCTION("""COMPUTED_VALUE"""),14432.49)</f>
        <v>14432.49</v>
      </c>
      <c r="P5026" s="10">
        <f t="shared" si="10"/>
        <v>38404.64583</v>
      </c>
      <c r="Q5026" s="13">
        <v>988.71</v>
      </c>
      <c r="R5026" s="18">
        <v>38404.0</v>
      </c>
    </row>
    <row r="5027">
      <c r="A5027" s="10">
        <f t="shared" si="8"/>
        <v>43009.66667</v>
      </c>
      <c r="B5027" s="2" t="str">
        <f t="shared" si="2"/>
        <v/>
      </c>
      <c r="C5027" s="2" t="str">
        <f t="shared" si="3"/>
        <v>SP500</v>
      </c>
      <c r="D5027" s="2" t="str">
        <f t="shared" si="4"/>
        <v/>
      </c>
      <c r="E5027" s="2">
        <f t="shared" si="5"/>
        <v>6495.96</v>
      </c>
      <c r="G5027" s="10">
        <f t="shared" si="9"/>
        <v>43009.64583</v>
      </c>
      <c r="H5027" s="6" t="str">
        <f t="shared" si="6"/>
        <v/>
      </c>
      <c r="I5027" s="2">
        <f t="shared" si="7"/>
        <v>1426.89</v>
      </c>
      <c r="M5027" s="10">
        <f>IFERROR(__xludf.DUMMYFUNCTION("""COMPUTED_VALUE"""),45272.66666666667)</f>
        <v>45272.66667</v>
      </c>
      <c r="N5027" s="2">
        <f>IFERROR(__xludf.DUMMYFUNCTION("""COMPUTED_VALUE"""),14533.4)</f>
        <v>14533.4</v>
      </c>
      <c r="P5027" s="10">
        <f t="shared" si="10"/>
        <v>38401.64583</v>
      </c>
      <c r="Q5027" s="13">
        <v>984.1</v>
      </c>
      <c r="R5027" s="18">
        <v>38401.0</v>
      </c>
    </row>
    <row r="5028">
      <c r="A5028" s="10">
        <f t="shared" si="8"/>
        <v>43010.66667</v>
      </c>
      <c r="B5028" s="2" t="str">
        <f t="shared" si="2"/>
        <v/>
      </c>
      <c r="C5028" s="2" t="str">
        <f t="shared" si="3"/>
        <v>SP500</v>
      </c>
      <c r="D5028" s="2">
        <f t="shared" si="4"/>
        <v>6516.72</v>
      </c>
      <c r="E5028" s="2">
        <f t="shared" si="5"/>
        <v>6516.72</v>
      </c>
      <c r="G5028" s="10">
        <f t="shared" si="9"/>
        <v>43010.64583</v>
      </c>
      <c r="H5028" s="6" t="str">
        <f t="shared" si="6"/>
        <v/>
      </c>
      <c r="I5028" s="2">
        <f t="shared" si="7"/>
        <v>1426.89</v>
      </c>
      <c r="M5028" s="10">
        <f>IFERROR(__xludf.DUMMYFUNCTION("""COMPUTED_VALUE"""),45273.66666666667)</f>
        <v>45273.66667</v>
      </c>
      <c r="N5028" s="2">
        <f>IFERROR(__xludf.DUMMYFUNCTION("""COMPUTED_VALUE"""),14733.96)</f>
        <v>14733.96</v>
      </c>
      <c r="P5028" s="10">
        <f t="shared" si="10"/>
        <v>38400.64583</v>
      </c>
      <c r="Q5028" s="13">
        <v>972.56</v>
      </c>
      <c r="R5028" s="18">
        <v>38400.0</v>
      </c>
    </row>
    <row r="5029">
      <c r="A5029" s="10">
        <f t="shared" si="8"/>
        <v>43011.66667</v>
      </c>
      <c r="B5029" s="2" t="str">
        <f t="shared" si="2"/>
        <v/>
      </c>
      <c r="C5029" s="2" t="str">
        <f t="shared" si="3"/>
        <v>SP500</v>
      </c>
      <c r="D5029" s="2">
        <f t="shared" si="4"/>
        <v>6531.71</v>
      </c>
      <c r="E5029" s="2">
        <f t="shared" si="5"/>
        <v>6531.71</v>
      </c>
      <c r="G5029" s="10">
        <f t="shared" si="9"/>
        <v>43011.64583</v>
      </c>
      <c r="H5029" s="6" t="str">
        <f t="shared" si="6"/>
        <v/>
      </c>
      <c r="I5029" s="2">
        <f t="shared" si="7"/>
        <v>1426.89</v>
      </c>
      <c r="M5029" s="10">
        <f>IFERROR(__xludf.DUMMYFUNCTION("""COMPUTED_VALUE"""),45274.66666666667)</f>
        <v>45274.66667</v>
      </c>
      <c r="N5029" s="2">
        <f>IFERROR(__xludf.DUMMYFUNCTION("""COMPUTED_VALUE"""),14761.56)</f>
        <v>14761.56</v>
      </c>
      <c r="P5029" s="10">
        <f t="shared" si="10"/>
        <v>38399.64583</v>
      </c>
      <c r="Q5029" s="13">
        <v>971.56</v>
      </c>
      <c r="R5029" s="18">
        <v>38399.0</v>
      </c>
    </row>
    <row r="5030">
      <c r="A5030" s="10">
        <f t="shared" si="8"/>
        <v>43012.66667</v>
      </c>
      <c r="B5030" s="2" t="str">
        <f t="shared" si="2"/>
        <v/>
      </c>
      <c r="C5030" s="2" t="str">
        <f t="shared" si="3"/>
        <v>SP500</v>
      </c>
      <c r="D5030" s="2">
        <f t="shared" si="4"/>
        <v>6534.63</v>
      </c>
      <c r="E5030" s="2">
        <f t="shared" si="5"/>
        <v>6534.63</v>
      </c>
      <c r="G5030" s="10">
        <f t="shared" si="9"/>
        <v>43012.64583</v>
      </c>
      <c r="H5030" s="6" t="str">
        <f t="shared" si="6"/>
        <v/>
      </c>
      <c r="I5030" s="2">
        <f t="shared" si="7"/>
        <v>1426.89</v>
      </c>
      <c r="M5030" s="10">
        <f>IFERROR(__xludf.DUMMYFUNCTION("""COMPUTED_VALUE"""),45275.66666666667)</f>
        <v>45275.66667</v>
      </c>
      <c r="N5030" s="2">
        <f>IFERROR(__xludf.DUMMYFUNCTION("""COMPUTED_VALUE"""),14813.92)</f>
        <v>14813.92</v>
      </c>
      <c r="P5030" s="10">
        <f t="shared" si="10"/>
        <v>38398.64583</v>
      </c>
      <c r="Q5030" s="13">
        <v>968.88</v>
      </c>
      <c r="R5030" s="18">
        <v>38398.0</v>
      </c>
    </row>
    <row r="5031">
      <c r="A5031" s="10">
        <f t="shared" si="8"/>
        <v>43013.66667</v>
      </c>
      <c r="B5031" s="2" t="str">
        <f t="shared" si="2"/>
        <v/>
      </c>
      <c r="C5031" s="2" t="str">
        <f t="shared" si="3"/>
        <v>SP500</v>
      </c>
      <c r="D5031" s="2">
        <f t="shared" si="4"/>
        <v>6585.36</v>
      </c>
      <c r="E5031" s="2">
        <f t="shared" si="5"/>
        <v>6585.36</v>
      </c>
      <c r="G5031" s="10">
        <f t="shared" si="9"/>
        <v>43013.64583</v>
      </c>
      <c r="H5031" s="6" t="str">
        <f t="shared" si="6"/>
        <v/>
      </c>
      <c r="I5031" s="2">
        <f t="shared" si="7"/>
        <v>1426.89</v>
      </c>
      <c r="M5031" s="10">
        <f>IFERROR(__xludf.DUMMYFUNCTION("""COMPUTED_VALUE"""),45278.66666666667)</f>
        <v>45278.66667</v>
      </c>
      <c r="N5031" s="2">
        <f>IFERROR(__xludf.DUMMYFUNCTION("""COMPUTED_VALUE"""),14905.19)</f>
        <v>14905.19</v>
      </c>
      <c r="P5031" s="10">
        <f t="shared" si="10"/>
        <v>38397.64583</v>
      </c>
      <c r="Q5031" s="13">
        <v>964.79</v>
      </c>
      <c r="R5031" s="18">
        <v>38397.0</v>
      </c>
    </row>
    <row r="5032">
      <c r="A5032" s="10">
        <f t="shared" si="8"/>
        <v>43014.66667</v>
      </c>
      <c r="B5032" s="2" t="str">
        <f t="shared" si="2"/>
        <v/>
      </c>
      <c r="C5032" s="2" t="str">
        <f t="shared" si="3"/>
        <v>SP500</v>
      </c>
      <c r="D5032" s="2">
        <f t="shared" si="4"/>
        <v>6590.18</v>
      </c>
      <c r="E5032" s="2">
        <f t="shared" si="5"/>
        <v>6590.18</v>
      </c>
      <c r="G5032" s="10">
        <f t="shared" si="9"/>
        <v>43014.64583</v>
      </c>
      <c r="H5032" s="6" t="str">
        <f t="shared" si="6"/>
        <v/>
      </c>
      <c r="I5032" s="2">
        <f t="shared" si="7"/>
        <v>1426.89</v>
      </c>
      <c r="M5032" s="10">
        <f>IFERROR(__xludf.DUMMYFUNCTION("""COMPUTED_VALUE"""),45279.66666666667)</f>
        <v>45279.66667</v>
      </c>
      <c r="N5032" s="2">
        <f>IFERROR(__xludf.DUMMYFUNCTION("""COMPUTED_VALUE"""),15003.22)</f>
        <v>15003.22</v>
      </c>
      <c r="P5032" s="10">
        <f t="shared" si="10"/>
        <v>38394.64583</v>
      </c>
      <c r="Q5032" s="13">
        <v>947.23</v>
      </c>
      <c r="R5032" s="18">
        <v>38394.0</v>
      </c>
    </row>
    <row r="5033">
      <c r="A5033" s="10">
        <f t="shared" si="8"/>
        <v>43015.66667</v>
      </c>
      <c r="B5033" s="2" t="str">
        <f t="shared" si="2"/>
        <v/>
      </c>
      <c r="C5033" s="2" t="str">
        <f t="shared" si="3"/>
        <v>SP500</v>
      </c>
      <c r="D5033" s="2" t="str">
        <f t="shared" si="4"/>
        <v/>
      </c>
      <c r="E5033" s="2">
        <f t="shared" si="5"/>
        <v>6590.18</v>
      </c>
      <c r="G5033" s="10">
        <f t="shared" si="9"/>
        <v>43015.64583</v>
      </c>
      <c r="H5033" s="6" t="str">
        <f t="shared" si="6"/>
        <v/>
      </c>
      <c r="I5033" s="2">
        <f t="shared" si="7"/>
        <v>1426.89</v>
      </c>
      <c r="M5033" s="10">
        <f>IFERROR(__xludf.DUMMYFUNCTION("""COMPUTED_VALUE"""),45280.66666666667)</f>
        <v>45280.66667</v>
      </c>
      <c r="N5033" s="2">
        <f>IFERROR(__xludf.DUMMYFUNCTION("""COMPUTED_VALUE"""),14777.94)</f>
        <v>14777.94</v>
      </c>
      <c r="P5033" s="10">
        <f t="shared" si="10"/>
        <v>38390.64583</v>
      </c>
      <c r="Q5033" s="13">
        <v>949.19</v>
      </c>
      <c r="R5033" s="18">
        <v>38390.0</v>
      </c>
    </row>
    <row r="5034">
      <c r="A5034" s="10">
        <f t="shared" si="8"/>
        <v>43016.66667</v>
      </c>
      <c r="B5034" s="2" t="str">
        <f t="shared" si="2"/>
        <v/>
      </c>
      <c r="C5034" s="2" t="str">
        <f t="shared" si="3"/>
        <v>SP500</v>
      </c>
      <c r="D5034" s="2" t="str">
        <f t="shared" si="4"/>
        <v/>
      </c>
      <c r="E5034" s="2">
        <f t="shared" si="5"/>
        <v>6590.18</v>
      </c>
      <c r="G5034" s="10">
        <f t="shared" si="9"/>
        <v>43016.64583</v>
      </c>
      <c r="H5034" s="6" t="str">
        <f t="shared" si="6"/>
        <v/>
      </c>
      <c r="I5034" s="2">
        <f t="shared" si="7"/>
        <v>1426.89</v>
      </c>
      <c r="M5034" s="10">
        <f>IFERROR(__xludf.DUMMYFUNCTION("""COMPUTED_VALUE"""),45281.66666666667)</f>
        <v>45281.66667</v>
      </c>
      <c r="N5034" s="2">
        <f>IFERROR(__xludf.DUMMYFUNCTION("""COMPUTED_VALUE"""),14963.87)</f>
        <v>14963.87</v>
      </c>
      <c r="P5034" s="10">
        <f t="shared" si="10"/>
        <v>38387.64583</v>
      </c>
      <c r="Q5034" s="13">
        <v>933.55</v>
      </c>
      <c r="R5034" s="18">
        <v>38387.0</v>
      </c>
    </row>
    <row r="5035">
      <c r="A5035" s="10">
        <f t="shared" si="8"/>
        <v>43017.66667</v>
      </c>
      <c r="B5035" s="2" t="str">
        <f t="shared" si="2"/>
        <v/>
      </c>
      <c r="C5035" s="2" t="str">
        <f t="shared" si="3"/>
        <v>SP500</v>
      </c>
      <c r="D5035" s="2">
        <f t="shared" si="4"/>
        <v>6579.73</v>
      </c>
      <c r="E5035" s="2">
        <f t="shared" si="5"/>
        <v>6579.73</v>
      </c>
      <c r="G5035" s="10">
        <f t="shared" si="9"/>
        <v>43017.64583</v>
      </c>
      <c r="H5035" s="6" t="str">
        <f t="shared" si="6"/>
        <v/>
      </c>
      <c r="I5035" s="2">
        <f t="shared" si="7"/>
        <v>1426.89</v>
      </c>
      <c r="M5035" s="10">
        <f>IFERROR(__xludf.DUMMYFUNCTION("""COMPUTED_VALUE"""),45282.66666666667)</f>
        <v>45282.66667</v>
      </c>
      <c r="N5035" s="2">
        <f>IFERROR(__xludf.DUMMYFUNCTION("""COMPUTED_VALUE"""),14992.97)</f>
        <v>14992.97</v>
      </c>
      <c r="P5035" s="10">
        <f t="shared" si="10"/>
        <v>38386.64583</v>
      </c>
      <c r="Q5035" s="13">
        <v>928.79</v>
      </c>
      <c r="R5035" s="18">
        <v>38386.0</v>
      </c>
    </row>
    <row r="5036">
      <c r="A5036" s="10">
        <f t="shared" si="8"/>
        <v>43018.66667</v>
      </c>
      <c r="B5036" s="2" t="str">
        <f t="shared" si="2"/>
        <v/>
      </c>
      <c r="C5036" s="2" t="str">
        <f t="shared" si="3"/>
        <v>SP500</v>
      </c>
      <c r="D5036" s="2">
        <f t="shared" si="4"/>
        <v>6587.25</v>
      </c>
      <c r="E5036" s="2">
        <f t="shared" si="5"/>
        <v>6587.25</v>
      </c>
      <c r="G5036" s="10">
        <f t="shared" si="9"/>
        <v>43018.64583</v>
      </c>
      <c r="H5036" s="6" t="str">
        <f t="shared" si="6"/>
        <v/>
      </c>
      <c r="I5036" s="2">
        <f t="shared" si="7"/>
        <v>1426.89</v>
      </c>
      <c r="M5036" s="10">
        <f>IFERROR(__xludf.DUMMYFUNCTION("""COMPUTED_VALUE"""),45286.66666666667)</f>
        <v>45286.66667</v>
      </c>
      <c r="N5036" s="2">
        <f>IFERROR(__xludf.DUMMYFUNCTION("""COMPUTED_VALUE"""),15074.57)</f>
        <v>15074.57</v>
      </c>
      <c r="P5036" s="10">
        <f t="shared" si="10"/>
        <v>38385.64583</v>
      </c>
      <c r="Q5036" s="13">
        <v>921.44</v>
      </c>
      <c r="R5036" s="18">
        <v>38385.0</v>
      </c>
    </row>
    <row r="5037">
      <c r="A5037" s="10">
        <f t="shared" si="8"/>
        <v>43019.66667</v>
      </c>
      <c r="B5037" s="2" t="str">
        <f t="shared" si="2"/>
        <v/>
      </c>
      <c r="C5037" s="2" t="str">
        <f t="shared" si="3"/>
        <v>SP500</v>
      </c>
      <c r="D5037" s="2">
        <f t="shared" si="4"/>
        <v>6603.55</v>
      </c>
      <c r="E5037" s="2">
        <f t="shared" si="5"/>
        <v>6603.55</v>
      </c>
      <c r="G5037" s="10">
        <f t="shared" si="9"/>
        <v>43019.64583</v>
      </c>
      <c r="H5037" s="6" t="str">
        <f t="shared" si="6"/>
        <v/>
      </c>
      <c r="I5037" s="2">
        <f t="shared" si="7"/>
        <v>1426.89</v>
      </c>
      <c r="M5037" s="10">
        <f>IFERROR(__xludf.DUMMYFUNCTION("""COMPUTED_VALUE"""),45287.66666666667)</f>
        <v>45287.66667</v>
      </c>
      <c r="N5037" s="2">
        <f>IFERROR(__xludf.DUMMYFUNCTION("""COMPUTED_VALUE"""),15099.18)</f>
        <v>15099.18</v>
      </c>
      <c r="P5037" s="10">
        <f t="shared" si="10"/>
        <v>38384.64583</v>
      </c>
      <c r="Q5037" s="13">
        <v>923.69</v>
      </c>
      <c r="R5037" s="18">
        <v>38384.0</v>
      </c>
    </row>
    <row r="5038">
      <c r="A5038" s="10">
        <f t="shared" si="8"/>
        <v>43020.66667</v>
      </c>
      <c r="B5038" s="2" t="str">
        <f t="shared" si="2"/>
        <v/>
      </c>
      <c r="C5038" s="2" t="str">
        <f t="shared" si="3"/>
        <v>SP500</v>
      </c>
      <c r="D5038" s="2">
        <f t="shared" si="4"/>
        <v>6591.51</v>
      </c>
      <c r="E5038" s="2">
        <f t="shared" si="5"/>
        <v>6591.51</v>
      </c>
      <c r="G5038" s="10">
        <f t="shared" si="9"/>
        <v>43020.64583</v>
      </c>
      <c r="H5038" s="6" t="str">
        <f t="shared" si="6"/>
        <v/>
      </c>
      <c r="I5038" s="2">
        <f t="shared" si="7"/>
        <v>1426.89</v>
      </c>
      <c r="M5038" s="10">
        <f>IFERROR(__xludf.DUMMYFUNCTION("""COMPUTED_VALUE"""),45288.66666666667)</f>
        <v>45288.66667</v>
      </c>
      <c r="N5038" s="2">
        <f>IFERROR(__xludf.DUMMYFUNCTION("""COMPUTED_VALUE"""),15095.14)</f>
        <v>15095.14</v>
      </c>
      <c r="P5038" s="10">
        <f t="shared" si="10"/>
        <v>38383.64583</v>
      </c>
      <c r="Q5038" s="13">
        <v>932.7</v>
      </c>
      <c r="R5038" s="18">
        <v>38383.0</v>
      </c>
    </row>
    <row r="5039">
      <c r="A5039" s="10">
        <f t="shared" si="8"/>
        <v>43021.66667</v>
      </c>
      <c r="B5039" s="2" t="str">
        <f t="shared" si="2"/>
        <v/>
      </c>
      <c r="C5039" s="2" t="str">
        <f t="shared" si="3"/>
        <v>SP500</v>
      </c>
      <c r="D5039" s="2">
        <f t="shared" si="4"/>
        <v>6605.8</v>
      </c>
      <c r="E5039" s="2">
        <f t="shared" si="5"/>
        <v>6605.8</v>
      </c>
      <c r="G5039" s="10">
        <f t="shared" si="9"/>
        <v>43021.64583</v>
      </c>
      <c r="H5039" s="6" t="str">
        <f t="shared" si="6"/>
        <v/>
      </c>
      <c r="I5039" s="2">
        <f t="shared" si="7"/>
        <v>1426.89</v>
      </c>
      <c r="M5039" s="10">
        <f>IFERROR(__xludf.DUMMYFUNCTION("""COMPUTED_VALUE"""),45289.66666666667)</f>
        <v>45289.66667</v>
      </c>
      <c r="N5039" s="2">
        <f>IFERROR(__xludf.DUMMYFUNCTION("""COMPUTED_VALUE"""),15011.35)</f>
        <v>15011.35</v>
      </c>
      <c r="P5039" s="10">
        <f t="shared" si="10"/>
        <v>38380.64583</v>
      </c>
      <c r="Q5039" s="13">
        <v>921.59</v>
      </c>
      <c r="R5039" s="18">
        <v>38380.0</v>
      </c>
    </row>
    <row r="5040">
      <c r="A5040" s="10">
        <f t="shared" si="8"/>
        <v>43022.66667</v>
      </c>
      <c r="B5040" s="2" t="str">
        <f t="shared" si="2"/>
        <v/>
      </c>
      <c r="C5040" s="2" t="str">
        <f t="shared" si="3"/>
        <v>SP500</v>
      </c>
      <c r="D5040" s="2" t="str">
        <f t="shared" si="4"/>
        <v/>
      </c>
      <c r="E5040" s="2">
        <f t="shared" si="5"/>
        <v>6605.8</v>
      </c>
      <c r="G5040" s="10">
        <f t="shared" si="9"/>
        <v>43022.64583</v>
      </c>
      <c r="H5040" s="6" t="str">
        <f t="shared" si="6"/>
        <v/>
      </c>
      <c r="I5040" s="2">
        <f t="shared" si="7"/>
        <v>1426.89</v>
      </c>
      <c r="M5040" s="10">
        <f>IFERROR(__xludf.DUMMYFUNCTION("""COMPUTED_VALUE"""),45293.66666666667)</f>
        <v>45293.66667</v>
      </c>
      <c r="N5040" s="2">
        <f>IFERROR(__xludf.DUMMYFUNCTION("""COMPUTED_VALUE"""),14765.94)</f>
        <v>14765.94</v>
      </c>
      <c r="P5040" s="10">
        <f t="shared" si="10"/>
        <v>38379.64583</v>
      </c>
      <c r="Q5040" s="13">
        <v>924.87</v>
      </c>
      <c r="R5040" s="18">
        <v>38379.0</v>
      </c>
    </row>
    <row r="5041">
      <c r="A5041" s="10">
        <f t="shared" si="8"/>
        <v>43023.66667</v>
      </c>
      <c r="B5041" s="2" t="str">
        <f t="shared" si="2"/>
        <v/>
      </c>
      <c r="C5041" s="2" t="str">
        <f t="shared" si="3"/>
        <v>SP500</v>
      </c>
      <c r="D5041" s="2" t="str">
        <f t="shared" si="4"/>
        <v/>
      </c>
      <c r="E5041" s="2">
        <f t="shared" si="5"/>
        <v>6605.8</v>
      </c>
      <c r="G5041" s="10">
        <f t="shared" si="9"/>
        <v>43023.64583</v>
      </c>
      <c r="H5041" s="6" t="str">
        <f t="shared" si="6"/>
        <v/>
      </c>
      <c r="I5041" s="2">
        <f t="shared" si="7"/>
        <v>1426.89</v>
      </c>
      <c r="M5041" s="10">
        <f>IFERROR(__xludf.DUMMYFUNCTION("""COMPUTED_VALUE"""),45294.66666666667)</f>
        <v>45294.66667</v>
      </c>
      <c r="N5041" s="2">
        <f>IFERROR(__xludf.DUMMYFUNCTION("""COMPUTED_VALUE"""),14592.21)</f>
        <v>14592.21</v>
      </c>
      <c r="P5041" s="10">
        <f t="shared" si="10"/>
        <v>38378.64583</v>
      </c>
      <c r="Q5041" s="13">
        <v>927.0</v>
      </c>
      <c r="R5041" s="18">
        <v>38378.0</v>
      </c>
    </row>
    <row r="5042">
      <c r="A5042" s="10">
        <f t="shared" si="8"/>
        <v>43024.66667</v>
      </c>
      <c r="B5042" s="2" t="str">
        <f t="shared" si="2"/>
        <v/>
      </c>
      <c r="C5042" s="2" t="str">
        <f t="shared" si="3"/>
        <v>SP500</v>
      </c>
      <c r="D5042" s="2">
        <f t="shared" si="4"/>
        <v>6624</v>
      </c>
      <c r="E5042" s="2">
        <f t="shared" si="5"/>
        <v>6624</v>
      </c>
      <c r="G5042" s="10">
        <f t="shared" si="9"/>
        <v>43024.64583</v>
      </c>
      <c r="H5042" s="6" t="str">
        <f t="shared" si="6"/>
        <v/>
      </c>
      <c r="I5042" s="2">
        <f t="shared" si="7"/>
        <v>1426.89</v>
      </c>
      <c r="M5042" s="10">
        <f>IFERROR(__xludf.DUMMYFUNCTION("""COMPUTED_VALUE"""),45295.66666666667)</f>
        <v>45295.66667</v>
      </c>
      <c r="N5042" s="2">
        <f>IFERROR(__xludf.DUMMYFUNCTION("""COMPUTED_VALUE"""),14510.3)</f>
        <v>14510.3</v>
      </c>
      <c r="P5042" s="10">
        <f t="shared" si="10"/>
        <v>38377.64583</v>
      </c>
      <c r="Q5042" s="13">
        <v>915.1</v>
      </c>
      <c r="R5042" s="18">
        <v>38377.0</v>
      </c>
    </row>
    <row r="5043">
      <c r="A5043" s="10">
        <f t="shared" si="8"/>
        <v>43025.66667</v>
      </c>
      <c r="B5043" s="2" t="str">
        <f t="shared" si="2"/>
        <v/>
      </c>
      <c r="C5043" s="2" t="str">
        <f t="shared" si="3"/>
        <v>SP500</v>
      </c>
      <c r="D5043" s="2">
        <f t="shared" si="4"/>
        <v>6623.66</v>
      </c>
      <c r="E5043" s="2">
        <f t="shared" si="5"/>
        <v>6623.66</v>
      </c>
      <c r="G5043" s="10">
        <f t="shared" si="9"/>
        <v>43025.64583</v>
      </c>
      <c r="H5043" s="6" t="str">
        <f t="shared" si="6"/>
        <v/>
      </c>
      <c r="I5043" s="2">
        <f t="shared" si="7"/>
        <v>1426.89</v>
      </c>
      <c r="M5043" s="10">
        <f>IFERROR(__xludf.DUMMYFUNCTION("""COMPUTED_VALUE"""),45296.66666666667)</f>
        <v>45296.66667</v>
      </c>
      <c r="N5043" s="2">
        <f>IFERROR(__xludf.DUMMYFUNCTION("""COMPUTED_VALUE"""),14524.07)</f>
        <v>14524.07</v>
      </c>
      <c r="P5043" s="10">
        <f t="shared" si="10"/>
        <v>38376.64583</v>
      </c>
      <c r="Q5043" s="13">
        <v>923.11</v>
      </c>
      <c r="R5043" s="18">
        <v>38376.0</v>
      </c>
    </row>
    <row r="5044">
      <c r="A5044" s="10">
        <f t="shared" si="8"/>
        <v>43026.66667</v>
      </c>
      <c r="B5044" s="2" t="str">
        <f t="shared" si="2"/>
        <v/>
      </c>
      <c r="C5044" s="2" t="str">
        <f t="shared" si="3"/>
        <v>SP500</v>
      </c>
      <c r="D5044" s="2">
        <f t="shared" si="4"/>
        <v>6624.22</v>
      </c>
      <c r="E5044" s="2">
        <f t="shared" si="5"/>
        <v>6624.22</v>
      </c>
      <c r="G5044" s="10">
        <f t="shared" si="9"/>
        <v>43026.64583</v>
      </c>
      <c r="H5044" s="6" t="str">
        <f t="shared" si="6"/>
        <v/>
      </c>
      <c r="I5044" s="2">
        <f t="shared" si="7"/>
        <v>1426.89</v>
      </c>
      <c r="M5044" s="10">
        <f>IFERROR(__xludf.DUMMYFUNCTION("""COMPUTED_VALUE"""),45299.66666666667)</f>
        <v>45299.66667</v>
      </c>
      <c r="N5044" s="2">
        <f>IFERROR(__xludf.DUMMYFUNCTION("""COMPUTED_VALUE"""),14843.77)</f>
        <v>14843.77</v>
      </c>
      <c r="P5044" s="10">
        <f t="shared" si="10"/>
        <v>38373.64583</v>
      </c>
      <c r="Q5044" s="13">
        <v>919.61</v>
      </c>
      <c r="R5044" s="18">
        <v>38373.0</v>
      </c>
    </row>
    <row r="5045">
      <c r="A5045" s="10">
        <f t="shared" si="8"/>
        <v>43027.66667</v>
      </c>
      <c r="B5045" s="2" t="str">
        <f t="shared" si="2"/>
        <v/>
      </c>
      <c r="C5045" s="2" t="str">
        <f t="shared" si="3"/>
        <v>SP500</v>
      </c>
      <c r="D5045" s="2">
        <f t="shared" si="4"/>
        <v>6605.07</v>
      </c>
      <c r="E5045" s="2">
        <f t="shared" si="5"/>
        <v>6605.07</v>
      </c>
      <c r="G5045" s="10">
        <f t="shared" si="9"/>
        <v>43027.64583</v>
      </c>
      <c r="H5045" s="6" t="str">
        <f t="shared" si="6"/>
        <v/>
      </c>
      <c r="I5045" s="2">
        <f t="shared" si="7"/>
        <v>1426.89</v>
      </c>
      <c r="M5045" s="10">
        <f>IFERROR(__xludf.DUMMYFUNCTION("""COMPUTED_VALUE"""),45300.66666666667)</f>
        <v>45300.66667</v>
      </c>
      <c r="N5045" s="2">
        <f>IFERROR(__xludf.DUMMYFUNCTION("""COMPUTED_VALUE"""),14857.71)</f>
        <v>14857.71</v>
      </c>
      <c r="P5045" s="10">
        <f t="shared" si="10"/>
        <v>38372.64583</v>
      </c>
      <c r="Q5045" s="13">
        <v>909.37</v>
      </c>
      <c r="R5045" s="18">
        <v>38372.0</v>
      </c>
    </row>
    <row r="5046">
      <c r="A5046" s="10">
        <f t="shared" si="8"/>
        <v>43028.66667</v>
      </c>
      <c r="B5046" s="2" t="str">
        <f t="shared" si="2"/>
        <v/>
      </c>
      <c r="C5046" s="2" t="str">
        <f t="shared" si="3"/>
        <v>SP500</v>
      </c>
      <c r="D5046" s="2">
        <f t="shared" si="4"/>
        <v>6629.05</v>
      </c>
      <c r="E5046" s="2">
        <f t="shared" si="5"/>
        <v>6629.05</v>
      </c>
      <c r="G5046" s="10">
        <f t="shared" si="9"/>
        <v>43028.64583</v>
      </c>
      <c r="H5046" s="6" t="str">
        <f t="shared" si="6"/>
        <v/>
      </c>
      <c r="I5046" s="2">
        <f t="shared" si="7"/>
        <v>1426.89</v>
      </c>
      <c r="M5046" s="10">
        <f>IFERROR(__xludf.DUMMYFUNCTION("""COMPUTED_VALUE"""),45301.66666666667)</f>
        <v>45301.66667</v>
      </c>
      <c r="N5046" s="2">
        <f>IFERROR(__xludf.DUMMYFUNCTION("""COMPUTED_VALUE"""),14969.65)</f>
        <v>14969.65</v>
      </c>
      <c r="P5046" s="10">
        <f t="shared" si="10"/>
        <v>38371.64583</v>
      </c>
      <c r="Q5046" s="13">
        <v>916.27</v>
      </c>
      <c r="R5046" s="18">
        <v>38371.0</v>
      </c>
    </row>
    <row r="5047">
      <c r="A5047" s="10">
        <f t="shared" si="8"/>
        <v>43029.66667</v>
      </c>
      <c r="B5047" s="2" t="str">
        <f t="shared" si="2"/>
        <v/>
      </c>
      <c r="C5047" s="2" t="str">
        <f t="shared" si="3"/>
        <v>SP500</v>
      </c>
      <c r="D5047" s="2" t="str">
        <f t="shared" si="4"/>
        <v/>
      </c>
      <c r="E5047" s="2">
        <f t="shared" si="5"/>
        <v>6629.05</v>
      </c>
      <c r="G5047" s="10">
        <f t="shared" si="9"/>
        <v>43029.64583</v>
      </c>
      <c r="H5047" s="6" t="str">
        <f t="shared" si="6"/>
        <v/>
      </c>
      <c r="I5047" s="2">
        <f t="shared" si="7"/>
        <v>1426.89</v>
      </c>
      <c r="M5047" s="10">
        <f>IFERROR(__xludf.DUMMYFUNCTION("""COMPUTED_VALUE"""),45302.66666666667)</f>
        <v>45302.66667</v>
      </c>
      <c r="N5047" s="2">
        <f>IFERROR(__xludf.DUMMYFUNCTION("""COMPUTED_VALUE"""),14970.19)</f>
        <v>14970.19</v>
      </c>
      <c r="P5047" s="10">
        <f t="shared" si="10"/>
        <v>38370.64583</v>
      </c>
      <c r="Q5047" s="13">
        <v>920.57</v>
      </c>
      <c r="R5047" s="18">
        <v>38370.0</v>
      </c>
    </row>
    <row r="5048">
      <c r="A5048" s="10">
        <f t="shared" si="8"/>
        <v>43030.66667</v>
      </c>
      <c r="B5048" s="2" t="str">
        <f t="shared" si="2"/>
        <v/>
      </c>
      <c r="C5048" s="2" t="str">
        <f t="shared" si="3"/>
        <v>SP500</v>
      </c>
      <c r="D5048" s="2" t="str">
        <f t="shared" si="4"/>
        <v/>
      </c>
      <c r="E5048" s="2">
        <f t="shared" si="5"/>
        <v>6629.05</v>
      </c>
      <c r="G5048" s="10">
        <f t="shared" si="9"/>
        <v>43030.64583</v>
      </c>
      <c r="H5048" s="6" t="str">
        <f t="shared" si="6"/>
        <v/>
      </c>
      <c r="I5048" s="2">
        <f t="shared" si="7"/>
        <v>1426.89</v>
      </c>
      <c r="M5048" s="10">
        <f>IFERROR(__xludf.DUMMYFUNCTION("""COMPUTED_VALUE"""),45303.66666666667)</f>
        <v>45303.66667</v>
      </c>
      <c r="N5048" s="2">
        <f>IFERROR(__xludf.DUMMYFUNCTION("""COMPUTED_VALUE"""),14972.76)</f>
        <v>14972.76</v>
      </c>
      <c r="P5048" s="10">
        <f t="shared" si="10"/>
        <v>38369.64583</v>
      </c>
      <c r="Q5048" s="13">
        <v>923.08</v>
      </c>
      <c r="R5048" s="18">
        <v>38369.0</v>
      </c>
    </row>
    <row r="5049">
      <c r="A5049" s="10">
        <f t="shared" si="8"/>
        <v>43031.66667</v>
      </c>
      <c r="B5049" s="2" t="str">
        <f t="shared" si="2"/>
        <v/>
      </c>
      <c r="C5049" s="2" t="str">
        <f t="shared" si="3"/>
        <v>SP500</v>
      </c>
      <c r="D5049" s="2">
        <f t="shared" si="4"/>
        <v>6586.83</v>
      </c>
      <c r="E5049" s="2">
        <f t="shared" si="5"/>
        <v>6586.83</v>
      </c>
      <c r="G5049" s="10">
        <f t="shared" si="9"/>
        <v>43031.64583</v>
      </c>
      <c r="H5049" s="6" t="str">
        <f t="shared" si="6"/>
        <v/>
      </c>
      <c r="I5049" s="2">
        <f t="shared" si="7"/>
        <v>1426.89</v>
      </c>
      <c r="M5049" s="10">
        <f>IFERROR(__xludf.DUMMYFUNCTION("""COMPUTED_VALUE"""),45307.66666666667)</f>
        <v>45307.66667</v>
      </c>
      <c r="N5049" s="2">
        <f>IFERROR(__xludf.DUMMYFUNCTION("""COMPUTED_VALUE"""),14944.35)</f>
        <v>14944.35</v>
      </c>
      <c r="P5049" s="10">
        <f t="shared" si="10"/>
        <v>38366.64583</v>
      </c>
      <c r="Q5049" s="13">
        <v>905.1</v>
      </c>
      <c r="R5049" s="18">
        <v>38366.0</v>
      </c>
    </row>
    <row r="5050">
      <c r="A5050" s="10">
        <f t="shared" si="8"/>
        <v>43032.66667</v>
      </c>
      <c r="B5050" s="2" t="str">
        <f t="shared" si="2"/>
        <v/>
      </c>
      <c r="C5050" s="2" t="str">
        <f t="shared" si="3"/>
        <v>SP500</v>
      </c>
      <c r="D5050" s="2">
        <f t="shared" si="4"/>
        <v>6598.43</v>
      </c>
      <c r="E5050" s="2">
        <f t="shared" si="5"/>
        <v>6598.43</v>
      </c>
      <c r="G5050" s="10">
        <f t="shared" si="9"/>
        <v>43032.64583</v>
      </c>
      <c r="H5050" s="6" t="str">
        <f t="shared" si="6"/>
        <v/>
      </c>
      <c r="I5050" s="2">
        <f t="shared" si="7"/>
        <v>1426.89</v>
      </c>
      <c r="M5050" s="10">
        <f>IFERROR(__xludf.DUMMYFUNCTION("""COMPUTED_VALUE"""),45308.66666666667)</f>
        <v>45308.66667</v>
      </c>
      <c r="N5050" s="2">
        <f>IFERROR(__xludf.DUMMYFUNCTION("""COMPUTED_VALUE"""),14855.62)</f>
        <v>14855.62</v>
      </c>
      <c r="P5050" s="10">
        <f t="shared" si="10"/>
        <v>38365.64583</v>
      </c>
      <c r="Q5050" s="13">
        <v>885.54</v>
      </c>
      <c r="R5050" s="18">
        <v>38365.0</v>
      </c>
    </row>
    <row r="5051">
      <c r="A5051" s="10">
        <f t="shared" si="8"/>
        <v>43033.66667</v>
      </c>
      <c r="B5051" s="2" t="str">
        <f t="shared" si="2"/>
        <v/>
      </c>
      <c r="C5051" s="2" t="str">
        <f t="shared" si="3"/>
        <v>SP500</v>
      </c>
      <c r="D5051" s="2">
        <f t="shared" si="4"/>
        <v>6563.89</v>
      </c>
      <c r="E5051" s="2">
        <f t="shared" si="5"/>
        <v>6563.89</v>
      </c>
      <c r="G5051" s="10">
        <f t="shared" si="9"/>
        <v>43033.64583</v>
      </c>
      <c r="H5051" s="6" t="str">
        <f t="shared" si="6"/>
        <v/>
      </c>
      <c r="I5051" s="2">
        <f t="shared" si="7"/>
        <v>1426.89</v>
      </c>
      <c r="M5051" s="10">
        <f>IFERROR(__xludf.DUMMYFUNCTION("""COMPUTED_VALUE"""),45309.66666666667)</f>
        <v>45309.66667</v>
      </c>
      <c r="N5051" s="2">
        <f>IFERROR(__xludf.DUMMYFUNCTION("""COMPUTED_VALUE"""),15055.65)</f>
        <v>15055.65</v>
      </c>
      <c r="P5051" s="10">
        <f t="shared" si="10"/>
        <v>38364.64583</v>
      </c>
      <c r="Q5051" s="13">
        <v>880.03</v>
      </c>
      <c r="R5051" s="18">
        <v>38364.0</v>
      </c>
    </row>
    <row r="5052">
      <c r="A5052" s="10">
        <f t="shared" si="8"/>
        <v>43034.66667</v>
      </c>
      <c r="B5052" s="2" t="str">
        <f t="shared" si="2"/>
        <v/>
      </c>
      <c r="C5052" s="2" t="str">
        <f t="shared" si="3"/>
        <v>SP500</v>
      </c>
      <c r="D5052" s="2">
        <f t="shared" si="4"/>
        <v>6556.77</v>
      </c>
      <c r="E5052" s="2">
        <f t="shared" si="5"/>
        <v>6556.77</v>
      </c>
      <c r="G5052" s="10">
        <f t="shared" si="9"/>
        <v>43034.64583</v>
      </c>
      <c r="H5052" s="6" t="str">
        <f t="shared" si="6"/>
        <v/>
      </c>
      <c r="I5052" s="2">
        <f t="shared" si="7"/>
        <v>1426.89</v>
      </c>
      <c r="M5052" s="10">
        <f>IFERROR(__xludf.DUMMYFUNCTION("""COMPUTED_VALUE"""),45310.66666666667)</f>
        <v>45310.66667</v>
      </c>
      <c r="N5052" s="2">
        <f>IFERROR(__xludf.DUMMYFUNCTION("""COMPUTED_VALUE"""),15310.97)</f>
        <v>15310.97</v>
      </c>
      <c r="P5052" s="10">
        <f t="shared" si="10"/>
        <v>38363.64583</v>
      </c>
      <c r="Q5052" s="13">
        <v>884.29</v>
      </c>
      <c r="R5052" s="18">
        <v>38363.0</v>
      </c>
    </row>
    <row r="5053">
      <c r="A5053" s="10">
        <f t="shared" si="8"/>
        <v>43035.66667</v>
      </c>
      <c r="B5053" s="2" t="str">
        <f t="shared" si="2"/>
        <v/>
      </c>
      <c r="C5053" s="2" t="str">
        <f t="shared" si="3"/>
        <v>SP500</v>
      </c>
      <c r="D5053" s="2">
        <f t="shared" si="4"/>
        <v>6701.26</v>
      </c>
      <c r="E5053" s="2">
        <f t="shared" si="5"/>
        <v>6701.26</v>
      </c>
      <c r="G5053" s="10">
        <f t="shared" si="9"/>
        <v>43035.64583</v>
      </c>
      <c r="H5053" s="6" t="str">
        <f t="shared" si="6"/>
        <v/>
      </c>
      <c r="I5053" s="2">
        <f t="shared" si="7"/>
        <v>1426.89</v>
      </c>
      <c r="M5053" s="10">
        <f>IFERROR(__xludf.DUMMYFUNCTION("""COMPUTED_VALUE"""),45313.66666666667)</f>
        <v>45313.66667</v>
      </c>
      <c r="N5053" s="2">
        <f>IFERROR(__xludf.DUMMYFUNCTION("""COMPUTED_VALUE"""),15360.29)</f>
        <v>15360.29</v>
      </c>
      <c r="P5053" s="10">
        <f t="shared" si="10"/>
        <v>38362.64583</v>
      </c>
      <c r="Q5053" s="13">
        <v>874.18</v>
      </c>
      <c r="R5053" s="18">
        <v>38362.0</v>
      </c>
    </row>
    <row r="5054">
      <c r="A5054" s="10">
        <f t="shared" si="8"/>
        <v>43036.66667</v>
      </c>
      <c r="B5054" s="2" t="str">
        <f t="shared" si="2"/>
        <v/>
      </c>
      <c r="C5054" s="2" t="str">
        <f t="shared" si="3"/>
        <v>SP500</v>
      </c>
      <c r="D5054" s="2" t="str">
        <f t="shared" si="4"/>
        <v/>
      </c>
      <c r="E5054" s="2">
        <f t="shared" si="5"/>
        <v>6701.26</v>
      </c>
      <c r="G5054" s="10">
        <f t="shared" si="9"/>
        <v>43036.64583</v>
      </c>
      <c r="H5054" s="6" t="str">
        <f t="shared" si="6"/>
        <v/>
      </c>
      <c r="I5054" s="2">
        <f t="shared" si="7"/>
        <v>1426.89</v>
      </c>
      <c r="M5054" s="10">
        <f>IFERROR(__xludf.DUMMYFUNCTION("""COMPUTED_VALUE"""),45314.66666666667)</f>
        <v>45314.66667</v>
      </c>
      <c r="N5054" s="2">
        <f>IFERROR(__xludf.DUMMYFUNCTION("""COMPUTED_VALUE"""),15425.94)</f>
        <v>15425.94</v>
      </c>
      <c r="P5054" s="10">
        <f t="shared" si="10"/>
        <v>38359.64583</v>
      </c>
      <c r="Q5054" s="13">
        <v>870.84</v>
      </c>
      <c r="R5054" s="18">
        <v>38359.0</v>
      </c>
    </row>
    <row r="5055">
      <c r="A5055" s="10">
        <f t="shared" si="8"/>
        <v>43037.66667</v>
      </c>
      <c r="B5055" s="2" t="str">
        <f t="shared" si="2"/>
        <v/>
      </c>
      <c r="C5055" s="2" t="str">
        <f t="shared" si="3"/>
        <v>SP500</v>
      </c>
      <c r="D5055" s="2" t="str">
        <f t="shared" si="4"/>
        <v/>
      </c>
      <c r="E5055" s="2">
        <f t="shared" si="5"/>
        <v>6701.26</v>
      </c>
      <c r="G5055" s="10">
        <f t="shared" si="9"/>
        <v>43037.64583</v>
      </c>
      <c r="H5055" s="6" t="str">
        <f t="shared" si="6"/>
        <v/>
      </c>
      <c r="I5055" s="2">
        <f t="shared" si="7"/>
        <v>1426.89</v>
      </c>
      <c r="M5055" s="10">
        <f>IFERROR(__xludf.DUMMYFUNCTION("""COMPUTED_VALUE"""),45315.66666666667)</f>
        <v>45315.66667</v>
      </c>
      <c r="N5055" s="2">
        <f>IFERROR(__xludf.DUMMYFUNCTION("""COMPUTED_VALUE"""),15481.92)</f>
        <v>15481.92</v>
      </c>
      <c r="P5055" s="10">
        <f t="shared" si="10"/>
        <v>38358.64583</v>
      </c>
      <c r="Q5055" s="13">
        <v>871.28</v>
      </c>
      <c r="R5055" s="18">
        <v>38358.0</v>
      </c>
    </row>
    <row r="5056">
      <c r="A5056" s="10">
        <f t="shared" si="8"/>
        <v>43038.66667</v>
      </c>
      <c r="B5056" s="2" t="str">
        <f t="shared" si="2"/>
        <v/>
      </c>
      <c r="C5056" s="2" t="str">
        <f t="shared" si="3"/>
        <v>SP500</v>
      </c>
      <c r="D5056" s="2">
        <f t="shared" si="4"/>
        <v>6698.96</v>
      </c>
      <c r="E5056" s="2">
        <f t="shared" si="5"/>
        <v>6698.96</v>
      </c>
      <c r="G5056" s="10">
        <f t="shared" si="9"/>
        <v>43038.64583</v>
      </c>
      <c r="H5056" s="6" t="str">
        <f t="shared" si="6"/>
        <v/>
      </c>
      <c r="I5056" s="2">
        <f t="shared" si="7"/>
        <v>1426.89</v>
      </c>
      <c r="M5056" s="10">
        <f>IFERROR(__xludf.DUMMYFUNCTION("""COMPUTED_VALUE"""),45316.66666666667)</f>
        <v>45316.66667</v>
      </c>
      <c r="N5056" s="2">
        <f>IFERROR(__xludf.DUMMYFUNCTION("""COMPUTED_VALUE"""),15510.5)</f>
        <v>15510.5</v>
      </c>
      <c r="P5056" s="10">
        <f t="shared" si="10"/>
        <v>38357.64583</v>
      </c>
      <c r="Q5056" s="13">
        <v>885.19</v>
      </c>
      <c r="R5056" s="18">
        <v>38357.0</v>
      </c>
    </row>
    <row r="5057">
      <c r="A5057" s="10">
        <f t="shared" si="8"/>
        <v>43039.66667</v>
      </c>
      <c r="B5057" s="2" t="str">
        <f t="shared" si="2"/>
        <v/>
      </c>
      <c r="C5057" s="2" t="str">
        <f t="shared" si="3"/>
        <v>SP500</v>
      </c>
      <c r="D5057" s="2">
        <f t="shared" si="4"/>
        <v>6727.67</v>
      </c>
      <c r="E5057" s="2">
        <f t="shared" si="5"/>
        <v>6727.67</v>
      </c>
      <c r="G5057" s="10">
        <f t="shared" si="9"/>
        <v>43039.64583</v>
      </c>
      <c r="H5057" s="6" t="str">
        <f t="shared" si="6"/>
        <v/>
      </c>
      <c r="I5057" s="2">
        <f t="shared" si="7"/>
        <v>1426.89</v>
      </c>
      <c r="M5057" s="10">
        <f>IFERROR(__xludf.DUMMYFUNCTION("""COMPUTED_VALUE"""),45317.66666666667)</f>
        <v>45317.66667</v>
      </c>
      <c r="N5057" s="2">
        <f>IFERROR(__xludf.DUMMYFUNCTION("""COMPUTED_VALUE"""),15455.36)</f>
        <v>15455.36</v>
      </c>
      <c r="P5057" s="10">
        <f t="shared" si="10"/>
        <v>38356.64583</v>
      </c>
      <c r="Q5057" s="13">
        <v>886.9</v>
      </c>
      <c r="R5057" s="18">
        <v>38356.0</v>
      </c>
    </row>
    <row r="5058">
      <c r="A5058" s="10">
        <f t="shared" si="8"/>
        <v>43040.66667</v>
      </c>
      <c r="B5058" s="2" t="str">
        <f t="shared" si="2"/>
        <v/>
      </c>
      <c r="C5058" s="2" t="str">
        <f t="shared" si="3"/>
        <v>SP500</v>
      </c>
      <c r="D5058" s="2">
        <f t="shared" si="4"/>
        <v>6716.53</v>
      </c>
      <c r="E5058" s="2">
        <f t="shared" si="5"/>
        <v>6716.53</v>
      </c>
      <c r="G5058" s="10">
        <f t="shared" si="9"/>
        <v>43040.64583</v>
      </c>
      <c r="H5058" s="6" t="str">
        <f t="shared" si="6"/>
        <v/>
      </c>
      <c r="I5058" s="2">
        <f t="shared" si="7"/>
        <v>1426.89</v>
      </c>
      <c r="M5058" s="10">
        <f>IFERROR(__xludf.DUMMYFUNCTION("""COMPUTED_VALUE"""),45320.66666666667)</f>
        <v>45320.66667</v>
      </c>
      <c r="N5058" s="2">
        <f>IFERROR(__xludf.DUMMYFUNCTION("""COMPUTED_VALUE"""),15628.04)</f>
        <v>15628.04</v>
      </c>
      <c r="P5058" s="10">
        <f t="shared" si="10"/>
        <v>38355.64583</v>
      </c>
      <c r="Q5058" s="13">
        <v>893.71</v>
      </c>
      <c r="R5058" s="18">
        <v>38355.0</v>
      </c>
    </row>
    <row r="5059">
      <c r="A5059" s="10">
        <f t="shared" si="8"/>
        <v>43041.66667</v>
      </c>
      <c r="B5059" s="2" t="str">
        <f t="shared" si="2"/>
        <v/>
      </c>
      <c r="C5059" s="2" t="str">
        <f t="shared" si="3"/>
        <v>SP500</v>
      </c>
      <c r="D5059" s="2">
        <f t="shared" si="4"/>
        <v>6714.94</v>
      </c>
      <c r="E5059" s="2">
        <f t="shared" si="5"/>
        <v>6714.94</v>
      </c>
      <c r="G5059" s="10">
        <f t="shared" si="9"/>
        <v>43041.64583</v>
      </c>
      <c r="H5059" s="6" t="str">
        <f t="shared" si="6"/>
        <v/>
      </c>
      <c r="I5059" s="2">
        <f t="shared" si="7"/>
        <v>1426.89</v>
      </c>
      <c r="M5059" s="10">
        <f>IFERROR(__xludf.DUMMYFUNCTION("""COMPUTED_VALUE"""),45321.66666666667)</f>
        <v>45321.66667</v>
      </c>
      <c r="N5059" s="2">
        <f>IFERROR(__xludf.DUMMYFUNCTION("""COMPUTED_VALUE"""),15509.9)</f>
        <v>15509.9</v>
      </c>
    </row>
    <row r="5060">
      <c r="A5060" s="10">
        <f t="shared" si="8"/>
        <v>43042.66667</v>
      </c>
      <c r="B5060" s="2" t="str">
        <f t="shared" si="2"/>
        <v/>
      </c>
      <c r="C5060" s="2" t="str">
        <f t="shared" si="3"/>
        <v>SP500</v>
      </c>
      <c r="D5060" s="2">
        <f t="shared" si="4"/>
        <v>6764.44</v>
      </c>
      <c r="E5060" s="2">
        <f t="shared" si="5"/>
        <v>6764.44</v>
      </c>
      <c r="G5060" s="10">
        <f t="shared" si="9"/>
        <v>43042.64583</v>
      </c>
      <c r="H5060" s="6" t="str">
        <f t="shared" si="6"/>
        <v/>
      </c>
      <c r="I5060" s="2">
        <f t="shared" si="7"/>
        <v>1426.89</v>
      </c>
      <c r="M5060" s="10">
        <f>IFERROR(__xludf.DUMMYFUNCTION("""COMPUTED_VALUE"""),45322.66666666667)</f>
        <v>45322.66667</v>
      </c>
      <c r="N5060" s="2">
        <f>IFERROR(__xludf.DUMMYFUNCTION("""COMPUTED_VALUE"""),15164.01)</f>
        <v>15164.01</v>
      </c>
    </row>
    <row r="5061">
      <c r="A5061" s="10">
        <f t="shared" si="8"/>
        <v>43043.66667</v>
      </c>
      <c r="B5061" s="2" t="str">
        <f t="shared" si="2"/>
        <v/>
      </c>
      <c r="C5061" s="2" t="str">
        <f t="shared" si="3"/>
        <v>SP500</v>
      </c>
      <c r="D5061" s="2" t="str">
        <f t="shared" si="4"/>
        <v/>
      </c>
      <c r="E5061" s="2">
        <f t="shared" si="5"/>
        <v>6764.44</v>
      </c>
      <c r="G5061" s="10">
        <f t="shared" si="9"/>
        <v>43043.64583</v>
      </c>
      <c r="H5061" s="6" t="str">
        <f t="shared" si="6"/>
        <v/>
      </c>
      <c r="I5061" s="2">
        <f t="shared" si="7"/>
        <v>1426.89</v>
      </c>
      <c r="M5061" s="10">
        <f>IFERROR(__xludf.DUMMYFUNCTION("""COMPUTED_VALUE"""),45323.66666666667)</f>
        <v>45323.66667</v>
      </c>
      <c r="N5061" s="2">
        <f>IFERROR(__xludf.DUMMYFUNCTION("""COMPUTED_VALUE"""),15361.64)</f>
        <v>15361.64</v>
      </c>
    </row>
    <row r="5062">
      <c r="A5062" s="10">
        <f t="shared" si="8"/>
        <v>43044.66667</v>
      </c>
      <c r="B5062" s="2" t="str">
        <f t="shared" si="2"/>
        <v/>
      </c>
      <c r="C5062" s="2" t="str">
        <f t="shared" si="3"/>
        <v>SP500</v>
      </c>
      <c r="D5062" s="2" t="str">
        <f t="shared" si="4"/>
        <v/>
      </c>
      <c r="E5062" s="2">
        <f t="shared" si="5"/>
        <v>6764.44</v>
      </c>
      <c r="G5062" s="10">
        <f t="shared" si="9"/>
        <v>43044.64583</v>
      </c>
      <c r="H5062" s="6" t="str">
        <f t="shared" si="6"/>
        <v/>
      </c>
      <c r="I5062" s="2">
        <f t="shared" si="7"/>
        <v>1426.89</v>
      </c>
      <c r="M5062" s="10">
        <f>IFERROR(__xludf.DUMMYFUNCTION("""COMPUTED_VALUE"""),45324.66666666667)</f>
        <v>45324.66667</v>
      </c>
      <c r="N5062" s="2">
        <f>IFERROR(__xludf.DUMMYFUNCTION("""COMPUTED_VALUE"""),15628.95)</f>
        <v>15628.95</v>
      </c>
    </row>
    <row r="5063">
      <c r="A5063" s="10">
        <f t="shared" si="8"/>
        <v>43045.66667</v>
      </c>
      <c r="B5063" s="2" t="str">
        <f t="shared" si="2"/>
        <v/>
      </c>
      <c r="C5063" s="2" t="str">
        <f t="shared" si="3"/>
        <v>SP500</v>
      </c>
      <c r="D5063" s="2">
        <f t="shared" si="4"/>
        <v>6786.44</v>
      </c>
      <c r="E5063" s="2">
        <f t="shared" si="5"/>
        <v>6786.44</v>
      </c>
      <c r="G5063" s="10">
        <f t="shared" si="9"/>
        <v>43045.64583</v>
      </c>
      <c r="H5063" s="6" t="str">
        <f t="shared" si="6"/>
        <v/>
      </c>
      <c r="I5063" s="2">
        <f t="shared" si="7"/>
        <v>1426.89</v>
      </c>
      <c r="M5063" s="10">
        <f>IFERROR(__xludf.DUMMYFUNCTION("""COMPUTED_VALUE"""),45327.66666666667)</f>
        <v>45327.66667</v>
      </c>
      <c r="N5063" s="2">
        <f>IFERROR(__xludf.DUMMYFUNCTION("""COMPUTED_VALUE"""),15597.68)</f>
        <v>15597.68</v>
      </c>
    </row>
    <row r="5064">
      <c r="A5064" s="10">
        <f t="shared" si="8"/>
        <v>43046.66667</v>
      </c>
      <c r="B5064" s="2" t="str">
        <f t="shared" si="2"/>
        <v/>
      </c>
      <c r="C5064" s="2" t="str">
        <f t="shared" si="3"/>
        <v>SP500</v>
      </c>
      <c r="D5064" s="2">
        <f t="shared" si="4"/>
        <v>6767.78</v>
      </c>
      <c r="E5064" s="2">
        <f t="shared" si="5"/>
        <v>6767.78</v>
      </c>
      <c r="G5064" s="10">
        <f t="shared" si="9"/>
        <v>43046.64583</v>
      </c>
      <c r="H5064" s="6" t="str">
        <f t="shared" si="6"/>
        <v/>
      </c>
      <c r="I5064" s="2">
        <f t="shared" si="7"/>
        <v>1426.89</v>
      </c>
      <c r="M5064" s="10">
        <f>IFERROR(__xludf.DUMMYFUNCTION("""COMPUTED_VALUE"""),45328.66666666667)</f>
        <v>45328.66667</v>
      </c>
      <c r="N5064" s="2">
        <f>IFERROR(__xludf.DUMMYFUNCTION("""COMPUTED_VALUE"""),15609.0)</f>
        <v>15609</v>
      </c>
    </row>
    <row r="5065">
      <c r="A5065" s="10">
        <f t="shared" si="8"/>
        <v>43047.66667</v>
      </c>
      <c r="B5065" s="2" t="str">
        <f t="shared" si="2"/>
        <v/>
      </c>
      <c r="C5065" s="2" t="str">
        <f t="shared" si="3"/>
        <v>SP500</v>
      </c>
      <c r="D5065" s="2">
        <f t="shared" si="4"/>
        <v>6789.12</v>
      </c>
      <c r="E5065" s="2">
        <f t="shared" si="5"/>
        <v>6789.12</v>
      </c>
      <c r="G5065" s="10">
        <f t="shared" si="9"/>
        <v>43047.64583</v>
      </c>
      <c r="H5065" s="6" t="str">
        <f t="shared" si="6"/>
        <v/>
      </c>
      <c r="I5065" s="2">
        <f t="shared" si="7"/>
        <v>1426.89</v>
      </c>
      <c r="M5065" s="10">
        <f>IFERROR(__xludf.DUMMYFUNCTION("""COMPUTED_VALUE"""),45329.66666666667)</f>
        <v>45329.66667</v>
      </c>
      <c r="N5065" s="2">
        <f>IFERROR(__xludf.DUMMYFUNCTION("""COMPUTED_VALUE"""),15756.64)</f>
        <v>15756.64</v>
      </c>
    </row>
    <row r="5066">
      <c r="A5066" s="10">
        <f t="shared" si="8"/>
        <v>43048.66667</v>
      </c>
      <c r="B5066" s="2" t="str">
        <f t="shared" si="2"/>
        <v/>
      </c>
      <c r="C5066" s="2" t="str">
        <f t="shared" si="3"/>
        <v>SP500</v>
      </c>
      <c r="D5066" s="2">
        <f t="shared" si="4"/>
        <v>6750.05</v>
      </c>
      <c r="E5066" s="2">
        <f t="shared" si="5"/>
        <v>6750.05</v>
      </c>
      <c r="G5066" s="10">
        <f t="shared" si="9"/>
        <v>43048.64583</v>
      </c>
      <c r="H5066" s="6" t="str">
        <f t="shared" si="6"/>
        <v/>
      </c>
      <c r="I5066" s="2">
        <f t="shared" si="7"/>
        <v>1426.89</v>
      </c>
      <c r="M5066" s="10">
        <f>IFERROR(__xludf.DUMMYFUNCTION("""COMPUTED_VALUE"""),45330.66666666667)</f>
        <v>45330.66667</v>
      </c>
      <c r="N5066" s="2">
        <f>IFERROR(__xludf.DUMMYFUNCTION("""COMPUTED_VALUE"""),15793.72)</f>
        <v>15793.72</v>
      </c>
    </row>
    <row r="5067">
      <c r="A5067" s="10">
        <f t="shared" si="8"/>
        <v>43049.66667</v>
      </c>
      <c r="B5067" s="2" t="str">
        <f t="shared" si="2"/>
        <v/>
      </c>
      <c r="C5067" s="2" t="str">
        <f t="shared" si="3"/>
        <v>SP500</v>
      </c>
      <c r="D5067" s="2">
        <f t="shared" si="4"/>
        <v>6750.94</v>
      </c>
      <c r="E5067" s="2">
        <f t="shared" si="5"/>
        <v>6750.94</v>
      </c>
      <c r="G5067" s="10">
        <f t="shared" si="9"/>
        <v>43049.64583</v>
      </c>
      <c r="H5067" s="6" t="str">
        <f t="shared" si="6"/>
        <v/>
      </c>
      <c r="I5067" s="2">
        <f t="shared" si="7"/>
        <v>1426.89</v>
      </c>
      <c r="M5067" s="10">
        <f>IFERROR(__xludf.DUMMYFUNCTION("""COMPUTED_VALUE"""),45331.66666666667)</f>
        <v>45331.66667</v>
      </c>
      <c r="N5067" s="2">
        <f>IFERROR(__xludf.DUMMYFUNCTION("""COMPUTED_VALUE"""),15990.66)</f>
        <v>15990.66</v>
      </c>
    </row>
    <row r="5068">
      <c r="A5068" s="10">
        <f t="shared" si="8"/>
        <v>43050.66667</v>
      </c>
      <c r="B5068" s="2" t="str">
        <f t="shared" si="2"/>
        <v/>
      </c>
      <c r="C5068" s="2" t="str">
        <f t="shared" si="3"/>
        <v>SP500</v>
      </c>
      <c r="D5068" s="2" t="str">
        <f t="shared" si="4"/>
        <v/>
      </c>
      <c r="E5068" s="2">
        <f t="shared" si="5"/>
        <v>6750.94</v>
      </c>
      <c r="G5068" s="10">
        <f t="shared" si="9"/>
        <v>43050.64583</v>
      </c>
      <c r="H5068" s="6" t="str">
        <f t="shared" si="6"/>
        <v/>
      </c>
      <c r="I5068" s="2">
        <f t="shared" si="7"/>
        <v>1426.89</v>
      </c>
      <c r="M5068" s="10">
        <f>IFERROR(__xludf.DUMMYFUNCTION("""COMPUTED_VALUE"""),45334.66666666667)</f>
        <v>45334.66667</v>
      </c>
      <c r="N5068" s="2">
        <f>IFERROR(__xludf.DUMMYFUNCTION("""COMPUTED_VALUE"""),15942.55)</f>
        <v>15942.55</v>
      </c>
    </row>
    <row r="5069">
      <c r="A5069" s="10">
        <f t="shared" si="8"/>
        <v>43051.66667</v>
      </c>
      <c r="B5069" s="2" t="str">
        <f t="shared" si="2"/>
        <v/>
      </c>
      <c r="C5069" s="2" t="str">
        <f t="shared" si="3"/>
        <v>SP500</v>
      </c>
      <c r="D5069" s="2" t="str">
        <f t="shared" si="4"/>
        <v/>
      </c>
      <c r="E5069" s="2">
        <f t="shared" si="5"/>
        <v>6750.94</v>
      </c>
      <c r="G5069" s="10">
        <f t="shared" si="9"/>
        <v>43051.64583</v>
      </c>
      <c r="H5069" s="6" t="str">
        <f t="shared" si="6"/>
        <v/>
      </c>
      <c r="I5069" s="2">
        <f t="shared" si="7"/>
        <v>1426.89</v>
      </c>
      <c r="M5069" s="10">
        <f>IFERROR(__xludf.DUMMYFUNCTION("""COMPUTED_VALUE"""),45335.66666666667)</f>
        <v>45335.66667</v>
      </c>
      <c r="N5069" s="2">
        <f>IFERROR(__xludf.DUMMYFUNCTION("""COMPUTED_VALUE"""),15655.6)</f>
        <v>15655.6</v>
      </c>
    </row>
    <row r="5070">
      <c r="A5070" s="10">
        <f t="shared" si="8"/>
        <v>43052.66667</v>
      </c>
      <c r="B5070" s="2" t="str">
        <f t="shared" si="2"/>
        <v/>
      </c>
      <c r="C5070" s="2" t="str">
        <f t="shared" si="3"/>
        <v>SP500</v>
      </c>
      <c r="D5070" s="2">
        <f t="shared" si="4"/>
        <v>6757.6</v>
      </c>
      <c r="E5070" s="2">
        <f t="shared" si="5"/>
        <v>6757.6</v>
      </c>
      <c r="G5070" s="10">
        <f t="shared" si="9"/>
        <v>43052.64583</v>
      </c>
      <c r="H5070" s="6" t="str">
        <f t="shared" si="6"/>
        <v/>
      </c>
      <c r="I5070" s="2">
        <f t="shared" si="7"/>
        <v>1426.89</v>
      </c>
      <c r="M5070" s="10">
        <f>IFERROR(__xludf.DUMMYFUNCTION("""COMPUTED_VALUE"""),45336.66666666667)</f>
        <v>45336.66667</v>
      </c>
      <c r="N5070" s="2">
        <f>IFERROR(__xludf.DUMMYFUNCTION("""COMPUTED_VALUE"""),15859.15)</f>
        <v>15859.15</v>
      </c>
    </row>
    <row r="5071">
      <c r="A5071" s="10">
        <f t="shared" si="8"/>
        <v>43053.66667</v>
      </c>
      <c r="B5071" s="2" t="str">
        <f t="shared" si="2"/>
        <v/>
      </c>
      <c r="C5071" s="2" t="str">
        <f t="shared" si="3"/>
        <v>SP500</v>
      </c>
      <c r="D5071" s="2">
        <f t="shared" si="4"/>
        <v>6737.87</v>
      </c>
      <c r="E5071" s="2">
        <f t="shared" si="5"/>
        <v>6737.87</v>
      </c>
      <c r="G5071" s="10">
        <f t="shared" si="9"/>
        <v>43053.64583</v>
      </c>
      <c r="H5071" s="6" t="str">
        <f t="shared" si="6"/>
        <v/>
      </c>
      <c r="I5071" s="2">
        <f t="shared" si="7"/>
        <v>1426.89</v>
      </c>
      <c r="M5071" s="10">
        <f>IFERROR(__xludf.DUMMYFUNCTION("""COMPUTED_VALUE"""),45337.66666666667)</f>
        <v>45337.66667</v>
      </c>
      <c r="N5071" s="2">
        <f>IFERROR(__xludf.DUMMYFUNCTION("""COMPUTED_VALUE"""),15906.17)</f>
        <v>15906.17</v>
      </c>
    </row>
    <row r="5072">
      <c r="A5072" s="10">
        <f t="shared" si="8"/>
        <v>43054.66667</v>
      </c>
      <c r="B5072" s="2" t="str">
        <f t="shared" si="2"/>
        <v/>
      </c>
      <c r="C5072" s="2" t="str">
        <f t="shared" si="3"/>
        <v>SP500</v>
      </c>
      <c r="D5072" s="2">
        <f t="shared" si="4"/>
        <v>6706.21</v>
      </c>
      <c r="E5072" s="2">
        <f t="shared" si="5"/>
        <v>6706.21</v>
      </c>
      <c r="G5072" s="10">
        <f t="shared" si="9"/>
        <v>43054.64583</v>
      </c>
      <c r="H5072" s="6" t="str">
        <f t="shared" si="6"/>
        <v/>
      </c>
      <c r="I5072" s="2">
        <f t="shared" si="7"/>
        <v>1426.89</v>
      </c>
      <c r="M5072" s="10">
        <f>IFERROR(__xludf.DUMMYFUNCTION("""COMPUTED_VALUE"""),45338.66666666667)</f>
        <v>45338.66667</v>
      </c>
      <c r="N5072" s="2">
        <f>IFERROR(__xludf.DUMMYFUNCTION("""COMPUTED_VALUE"""),15775.65)</f>
        <v>15775.65</v>
      </c>
    </row>
    <row r="5073">
      <c r="A5073" s="10">
        <f t="shared" si="8"/>
        <v>43055.66667</v>
      </c>
      <c r="B5073" s="2" t="str">
        <f t="shared" si="2"/>
        <v/>
      </c>
      <c r="C5073" s="2" t="str">
        <f t="shared" si="3"/>
        <v>SP500</v>
      </c>
      <c r="D5073" s="2">
        <f t="shared" si="4"/>
        <v>6793.29</v>
      </c>
      <c r="E5073" s="2">
        <f t="shared" si="5"/>
        <v>6793.29</v>
      </c>
      <c r="G5073" s="10">
        <f t="shared" si="9"/>
        <v>43055.64583</v>
      </c>
      <c r="H5073" s="6" t="str">
        <f t="shared" si="6"/>
        <v/>
      </c>
      <c r="I5073" s="2">
        <f t="shared" si="7"/>
        <v>1426.89</v>
      </c>
      <c r="M5073" s="10">
        <f>IFERROR(__xludf.DUMMYFUNCTION("""COMPUTED_VALUE"""),45342.66666666667)</f>
        <v>45342.66667</v>
      </c>
      <c r="N5073" s="2">
        <f>IFERROR(__xludf.DUMMYFUNCTION("""COMPUTED_VALUE"""),15630.78)</f>
        <v>15630.78</v>
      </c>
    </row>
    <row r="5074">
      <c r="A5074" s="10">
        <f t="shared" si="8"/>
        <v>43056.66667</v>
      </c>
      <c r="B5074" s="2" t="str">
        <f t="shared" si="2"/>
        <v/>
      </c>
      <c r="C5074" s="2" t="str">
        <f t="shared" si="3"/>
        <v>SP500</v>
      </c>
      <c r="D5074" s="2">
        <f t="shared" si="4"/>
        <v>6782.79</v>
      </c>
      <c r="E5074" s="2">
        <f t="shared" si="5"/>
        <v>6782.79</v>
      </c>
      <c r="G5074" s="10">
        <f t="shared" si="9"/>
        <v>43056.64583</v>
      </c>
      <c r="H5074" s="6" t="str">
        <f t="shared" si="6"/>
        <v/>
      </c>
      <c r="I5074" s="2">
        <f t="shared" si="7"/>
        <v>1426.89</v>
      </c>
      <c r="M5074" s="10">
        <f>IFERROR(__xludf.DUMMYFUNCTION("""COMPUTED_VALUE"""),45343.66666666667)</f>
        <v>45343.66667</v>
      </c>
      <c r="N5074" s="2">
        <f>IFERROR(__xludf.DUMMYFUNCTION("""COMPUTED_VALUE"""),15580.87)</f>
        <v>15580.87</v>
      </c>
    </row>
    <row r="5075">
      <c r="A5075" s="10">
        <f t="shared" si="8"/>
        <v>43057.66667</v>
      </c>
      <c r="B5075" s="2" t="str">
        <f t="shared" si="2"/>
        <v/>
      </c>
      <c r="C5075" s="2" t="str">
        <f t="shared" si="3"/>
        <v>SP500</v>
      </c>
      <c r="D5075" s="2" t="str">
        <f t="shared" si="4"/>
        <v/>
      </c>
      <c r="E5075" s="2">
        <f t="shared" si="5"/>
        <v>6782.79</v>
      </c>
      <c r="G5075" s="10">
        <f t="shared" si="9"/>
        <v>43057.64583</v>
      </c>
      <c r="H5075" s="6" t="str">
        <f t="shared" si="6"/>
        <v/>
      </c>
      <c r="I5075" s="2">
        <f t="shared" si="7"/>
        <v>1426.89</v>
      </c>
      <c r="M5075" s="10">
        <f>IFERROR(__xludf.DUMMYFUNCTION("""COMPUTED_VALUE"""),45344.66666666667)</f>
        <v>45344.66667</v>
      </c>
      <c r="N5075" s="2">
        <f>IFERROR(__xludf.DUMMYFUNCTION("""COMPUTED_VALUE"""),16041.62)</f>
        <v>16041.62</v>
      </c>
    </row>
    <row r="5076">
      <c r="A5076" s="10">
        <f t="shared" si="8"/>
        <v>43058.66667</v>
      </c>
      <c r="B5076" s="2" t="str">
        <f t="shared" si="2"/>
        <v/>
      </c>
      <c r="C5076" s="2" t="str">
        <f t="shared" si="3"/>
        <v>SP500</v>
      </c>
      <c r="D5076" s="2" t="str">
        <f t="shared" si="4"/>
        <v/>
      </c>
      <c r="E5076" s="2">
        <f t="shared" si="5"/>
        <v>6782.79</v>
      </c>
      <c r="G5076" s="10">
        <f t="shared" si="9"/>
        <v>43058.64583</v>
      </c>
      <c r="H5076" s="6" t="str">
        <f t="shared" si="6"/>
        <v/>
      </c>
      <c r="I5076" s="2">
        <f t="shared" si="7"/>
        <v>1426.89</v>
      </c>
      <c r="M5076" s="10">
        <f>IFERROR(__xludf.DUMMYFUNCTION("""COMPUTED_VALUE"""),45345.66666666667)</f>
        <v>45345.66667</v>
      </c>
      <c r="N5076" s="2">
        <f>IFERROR(__xludf.DUMMYFUNCTION("""COMPUTED_VALUE"""),15996.82)</f>
        <v>15996.82</v>
      </c>
    </row>
    <row r="5077">
      <c r="A5077" s="10">
        <f t="shared" si="8"/>
        <v>43059.66667</v>
      </c>
      <c r="B5077" s="2" t="str">
        <f t="shared" si="2"/>
        <v/>
      </c>
      <c r="C5077" s="2" t="str">
        <f t="shared" si="3"/>
        <v>SP500</v>
      </c>
      <c r="D5077" s="2">
        <f t="shared" si="4"/>
        <v>6790.71</v>
      </c>
      <c r="E5077" s="2">
        <f t="shared" si="5"/>
        <v>6790.71</v>
      </c>
      <c r="G5077" s="10">
        <f t="shared" si="9"/>
        <v>43059.64583</v>
      </c>
      <c r="H5077" s="6" t="str">
        <f t="shared" si="6"/>
        <v/>
      </c>
      <c r="I5077" s="2">
        <f t="shared" si="7"/>
        <v>1426.89</v>
      </c>
      <c r="M5077" s="10">
        <f>IFERROR(__xludf.DUMMYFUNCTION("""COMPUTED_VALUE"""),45348.66666666667)</f>
        <v>45348.66667</v>
      </c>
      <c r="N5077" s="2">
        <f>IFERROR(__xludf.DUMMYFUNCTION("""COMPUTED_VALUE"""),15976.25)</f>
        <v>15976.25</v>
      </c>
    </row>
    <row r="5078">
      <c r="A5078" s="10">
        <f t="shared" si="8"/>
        <v>43060.66667</v>
      </c>
      <c r="B5078" s="2" t="str">
        <f t="shared" si="2"/>
        <v/>
      </c>
      <c r="C5078" s="2" t="str">
        <f t="shared" si="3"/>
        <v>SP500</v>
      </c>
      <c r="D5078" s="2">
        <f t="shared" si="4"/>
        <v>6862.48</v>
      </c>
      <c r="E5078" s="2">
        <f t="shared" si="5"/>
        <v>6862.48</v>
      </c>
      <c r="G5078" s="10">
        <f t="shared" si="9"/>
        <v>43060.64583</v>
      </c>
      <c r="H5078" s="6" t="str">
        <f t="shared" si="6"/>
        <v/>
      </c>
      <c r="I5078" s="2">
        <f t="shared" si="7"/>
        <v>1426.89</v>
      </c>
      <c r="M5078" s="10">
        <f>IFERROR(__xludf.DUMMYFUNCTION("""COMPUTED_VALUE"""),45349.66666666667)</f>
        <v>45349.66667</v>
      </c>
      <c r="N5078" s="2">
        <f>IFERROR(__xludf.DUMMYFUNCTION("""COMPUTED_VALUE"""),16035.3)</f>
        <v>16035.3</v>
      </c>
    </row>
    <row r="5079">
      <c r="A5079" s="10">
        <f t="shared" si="8"/>
        <v>43061.66667</v>
      </c>
      <c r="B5079" s="2" t="str">
        <f t="shared" si="2"/>
        <v/>
      </c>
      <c r="C5079" s="2" t="str">
        <f t="shared" si="3"/>
        <v>SP500</v>
      </c>
      <c r="D5079" s="2">
        <f t="shared" si="4"/>
        <v>6867.36</v>
      </c>
      <c r="E5079" s="2">
        <f t="shared" si="5"/>
        <v>6867.36</v>
      </c>
      <c r="G5079" s="10">
        <f t="shared" si="9"/>
        <v>43061.64583</v>
      </c>
      <c r="H5079" s="6" t="str">
        <f t="shared" si="6"/>
        <v/>
      </c>
      <c r="I5079" s="2">
        <f t="shared" si="7"/>
        <v>1426.89</v>
      </c>
      <c r="M5079" s="10">
        <f>IFERROR(__xludf.DUMMYFUNCTION("""COMPUTED_VALUE"""),45350.66666666667)</f>
        <v>45350.66667</v>
      </c>
      <c r="N5079" s="2">
        <f>IFERROR(__xludf.DUMMYFUNCTION("""COMPUTED_VALUE"""),15947.74)</f>
        <v>15947.74</v>
      </c>
    </row>
    <row r="5080">
      <c r="A5080" s="10">
        <f t="shared" si="8"/>
        <v>43062.66667</v>
      </c>
      <c r="B5080" s="2" t="str">
        <f t="shared" si="2"/>
        <v/>
      </c>
      <c r="C5080" s="2" t="str">
        <f t="shared" si="3"/>
        <v>SP500</v>
      </c>
      <c r="D5080" s="2" t="str">
        <f t="shared" si="4"/>
        <v/>
      </c>
      <c r="E5080" s="2">
        <f t="shared" si="5"/>
        <v>6867.36</v>
      </c>
      <c r="G5080" s="10">
        <f t="shared" si="9"/>
        <v>43062.64583</v>
      </c>
      <c r="H5080" s="6" t="str">
        <f t="shared" si="6"/>
        <v/>
      </c>
      <c r="I5080" s="2">
        <f t="shared" si="7"/>
        <v>1426.89</v>
      </c>
      <c r="M5080" s="10">
        <f>IFERROR(__xludf.DUMMYFUNCTION("""COMPUTED_VALUE"""),45351.66666666667)</f>
        <v>45351.66667</v>
      </c>
      <c r="N5080" s="2">
        <f>IFERROR(__xludf.DUMMYFUNCTION("""COMPUTED_VALUE"""),16091.92)</f>
        <v>16091.92</v>
      </c>
    </row>
    <row r="5081">
      <c r="A5081" s="10">
        <f t="shared" si="8"/>
        <v>43063.66667</v>
      </c>
      <c r="B5081" s="2" t="str">
        <f t="shared" si="2"/>
        <v/>
      </c>
      <c r="C5081" s="2" t="str">
        <f t="shared" si="3"/>
        <v>SP500</v>
      </c>
      <c r="D5081" s="2" t="str">
        <f t="shared" si="4"/>
        <v/>
      </c>
      <c r="E5081" s="2">
        <f t="shared" si="5"/>
        <v>6867.36</v>
      </c>
      <c r="G5081" s="10">
        <f t="shared" si="9"/>
        <v>43063.64583</v>
      </c>
      <c r="H5081" s="6" t="str">
        <f t="shared" si="6"/>
        <v/>
      </c>
      <c r="I5081" s="2">
        <f t="shared" si="7"/>
        <v>1426.89</v>
      </c>
      <c r="M5081" s="10">
        <f>IFERROR(__xludf.DUMMYFUNCTION("""COMPUTED_VALUE"""),45352.66666666667)</f>
        <v>45352.66667</v>
      </c>
      <c r="N5081" s="2">
        <f>IFERROR(__xludf.DUMMYFUNCTION("""COMPUTED_VALUE"""),16274.94)</f>
        <v>16274.94</v>
      </c>
    </row>
    <row r="5082">
      <c r="A5082" s="10">
        <f t="shared" si="8"/>
        <v>43064.66667</v>
      </c>
      <c r="B5082" s="2" t="str">
        <f t="shared" si="2"/>
        <v/>
      </c>
      <c r="C5082" s="2" t="str">
        <f t="shared" si="3"/>
        <v>SP500</v>
      </c>
      <c r="D5082" s="2" t="str">
        <f t="shared" si="4"/>
        <v/>
      </c>
      <c r="E5082" s="2">
        <f t="shared" si="5"/>
        <v>6867.36</v>
      </c>
      <c r="G5082" s="10">
        <f t="shared" si="9"/>
        <v>43064.64583</v>
      </c>
      <c r="H5082" s="6" t="str">
        <f t="shared" si="6"/>
        <v/>
      </c>
      <c r="I5082" s="2">
        <f t="shared" si="7"/>
        <v>1426.89</v>
      </c>
      <c r="M5082" s="10">
        <f>IFERROR(__xludf.DUMMYFUNCTION("""COMPUTED_VALUE"""),45355.66666666667)</f>
        <v>45355.66667</v>
      </c>
      <c r="N5082" s="2">
        <f>IFERROR(__xludf.DUMMYFUNCTION("""COMPUTED_VALUE"""),16207.51)</f>
        <v>16207.51</v>
      </c>
    </row>
    <row r="5083">
      <c r="A5083" s="10">
        <f t="shared" si="8"/>
        <v>43065.66667</v>
      </c>
      <c r="B5083" s="2" t="str">
        <f t="shared" si="2"/>
        <v/>
      </c>
      <c r="C5083" s="2" t="str">
        <f t="shared" si="3"/>
        <v>SP500</v>
      </c>
      <c r="D5083" s="2" t="str">
        <f t="shared" si="4"/>
        <v/>
      </c>
      <c r="E5083" s="2">
        <f t="shared" si="5"/>
        <v>6867.36</v>
      </c>
      <c r="G5083" s="10">
        <f t="shared" si="9"/>
        <v>43065.64583</v>
      </c>
      <c r="H5083" s="6" t="str">
        <f t="shared" si="6"/>
        <v/>
      </c>
      <c r="I5083" s="2">
        <f t="shared" si="7"/>
        <v>1426.89</v>
      </c>
      <c r="M5083" s="10">
        <f>IFERROR(__xludf.DUMMYFUNCTION("""COMPUTED_VALUE"""),45356.66666666667)</f>
        <v>45356.66667</v>
      </c>
      <c r="N5083" s="2">
        <f>IFERROR(__xludf.DUMMYFUNCTION("""COMPUTED_VALUE"""),15939.59)</f>
        <v>15939.59</v>
      </c>
    </row>
    <row r="5084">
      <c r="A5084" s="10">
        <f t="shared" si="8"/>
        <v>43066.66667</v>
      </c>
      <c r="B5084" s="2" t="str">
        <f t="shared" si="2"/>
        <v/>
      </c>
      <c r="C5084" s="2" t="str">
        <f t="shared" si="3"/>
        <v>SP500</v>
      </c>
      <c r="D5084" s="2">
        <f t="shared" si="4"/>
        <v>6878.52</v>
      </c>
      <c r="E5084" s="2">
        <f t="shared" si="5"/>
        <v>6878.52</v>
      </c>
      <c r="G5084" s="10">
        <f t="shared" si="9"/>
        <v>43066.64583</v>
      </c>
      <c r="H5084" s="6" t="str">
        <f t="shared" si="6"/>
        <v/>
      </c>
      <c r="I5084" s="2">
        <f t="shared" si="7"/>
        <v>1426.89</v>
      </c>
      <c r="M5084" s="10">
        <f>IFERROR(__xludf.DUMMYFUNCTION("""COMPUTED_VALUE"""),45357.66666666667)</f>
        <v>45357.66667</v>
      </c>
      <c r="N5084" s="2">
        <f>IFERROR(__xludf.DUMMYFUNCTION("""COMPUTED_VALUE"""),16031.54)</f>
        <v>16031.54</v>
      </c>
    </row>
    <row r="5085">
      <c r="A5085" s="10">
        <f t="shared" si="8"/>
        <v>43067.66667</v>
      </c>
      <c r="B5085" s="2" t="str">
        <f t="shared" si="2"/>
        <v/>
      </c>
      <c r="C5085" s="2" t="str">
        <f t="shared" si="3"/>
        <v>SP500</v>
      </c>
      <c r="D5085" s="2">
        <f t="shared" si="4"/>
        <v>6912.36</v>
      </c>
      <c r="E5085" s="2">
        <f t="shared" si="5"/>
        <v>6912.36</v>
      </c>
      <c r="G5085" s="10">
        <f t="shared" si="9"/>
        <v>43067.64583</v>
      </c>
      <c r="H5085" s="6" t="str">
        <f t="shared" si="6"/>
        <v/>
      </c>
      <c r="I5085" s="2">
        <f t="shared" si="7"/>
        <v>1426.89</v>
      </c>
      <c r="M5085" s="10">
        <f>IFERROR(__xludf.DUMMYFUNCTION("""COMPUTED_VALUE"""),45358.66666666667)</f>
        <v>45358.66667</v>
      </c>
      <c r="N5085" s="2">
        <f>IFERROR(__xludf.DUMMYFUNCTION("""COMPUTED_VALUE"""),16273.38)</f>
        <v>16273.38</v>
      </c>
    </row>
    <row r="5086">
      <c r="A5086" s="10">
        <f t="shared" si="8"/>
        <v>43068.66667</v>
      </c>
      <c r="B5086" s="2" t="str">
        <f t="shared" si="2"/>
        <v/>
      </c>
      <c r="C5086" s="2" t="str">
        <f t="shared" si="3"/>
        <v>SP500</v>
      </c>
      <c r="D5086" s="2">
        <f t="shared" si="4"/>
        <v>6824.39</v>
      </c>
      <c r="E5086" s="2">
        <f t="shared" si="5"/>
        <v>6824.39</v>
      </c>
      <c r="G5086" s="10">
        <f t="shared" si="9"/>
        <v>43068.64583</v>
      </c>
      <c r="H5086" s="6" t="str">
        <f t="shared" si="6"/>
        <v/>
      </c>
      <c r="I5086" s="2">
        <f t="shared" si="7"/>
        <v>1426.89</v>
      </c>
      <c r="M5086" s="10">
        <f>IFERROR(__xludf.DUMMYFUNCTION("""COMPUTED_VALUE"""),45359.66666666667)</f>
        <v>45359.66667</v>
      </c>
      <c r="N5086" s="2">
        <f>IFERROR(__xludf.DUMMYFUNCTION("""COMPUTED_VALUE"""),16085.11)</f>
        <v>16085.11</v>
      </c>
    </row>
    <row r="5087">
      <c r="A5087" s="10">
        <f t="shared" si="8"/>
        <v>43069.66667</v>
      </c>
      <c r="B5087" s="2" t="str">
        <f t="shared" si="2"/>
        <v/>
      </c>
      <c r="C5087" s="2" t="str">
        <f t="shared" si="3"/>
        <v>SP500</v>
      </c>
      <c r="D5087" s="2">
        <f t="shared" si="4"/>
        <v>6873.97</v>
      </c>
      <c r="E5087" s="2">
        <f t="shared" si="5"/>
        <v>6873.97</v>
      </c>
      <c r="G5087" s="10">
        <f t="shared" si="9"/>
        <v>43069.64583</v>
      </c>
      <c r="H5087" s="6" t="str">
        <f t="shared" si="6"/>
        <v/>
      </c>
      <c r="I5087" s="2">
        <f t="shared" si="7"/>
        <v>1426.89</v>
      </c>
      <c r="M5087" s="10">
        <f>IFERROR(__xludf.DUMMYFUNCTION("""COMPUTED_VALUE"""),45362.66666666667)</f>
        <v>45362.66667</v>
      </c>
      <c r="N5087" s="2">
        <f>IFERROR(__xludf.DUMMYFUNCTION("""COMPUTED_VALUE"""),16019.27)</f>
        <v>16019.27</v>
      </c>
    </row>
    <row r="5088">
      <c r="A5088" s="10">
        <f t="shared" si="8"/>
        <v>43070.66667</v>
      </c>
      <c r="B5088" s="2" t="str">
        <f t="shared" si="2"/>
        <v/>
      </c>
      <c r="C5088" s="2" t="str">
        <f t="shared" si="3"/>
        <v>SP500</v>
      </c>
      <c r="D5088" s="2">
        <f t="shared" si="4"/>
        <v>6847.59</v>
      </c>
      <c r="E5088" s="2">
        <f t="shared" si="5"/>
        <v>6847.59</v>
      </c>
      <c r="G5088" s="10">
        <f t="shared" si="9"/>
        <v>43070.64583</v>
      </c>
      <c r="H5088" s="6" t="str">
        <f t="shared" si="6"/>
        <v/>
      </c>
      <c r="I5088" s="2">
        <f t="shared" si="7"/>
        <v>1426.89</v>
      </c>
      <c r="M5088" s="10">
        <f>IFERROR(__xludf.DUMMYFUNCTION("""COMPUTED_VALUE"""),45363.66666666667)</f>
        <v>45363.66667</v>
      </c>
      <c r="N5088" s="2">
        <f>IFERROR(__xludf.DUMMYFUNCTION("""COMPUTED_VALUE"""),16265.64)</f>
        <v>16265.64</v>
      </c>
    </row>
    <row r="5089">
      <c r="A5089" s="10">
        <f t="shared" si="8"/>
        <v>43071.66667</v>
      </c>
      <c r="B5089" s="2" t="str">
        <f t="shared" si="2"/>
        <v/>
      </c>
      <c r="C5089" s="2" t="str">
        <f t="shared" si="3"/>
        <v>SP500</v>
      </c>
      <c r="D5089" s="2" t="str">
        <f t="shared" si="4"/>
        <v/>
      </c>
      <c r="E5089" s="2">
        <f t="shared" si="5"/>
        <v>6847.59</v>
      </c>
      <c r="G5089" s="10">
        <f t="shared" si="9"/>
        <v>43071.64583</v>
      </c>
      <c r="H5089" s="6" t="str">
        <f t="shared" si="6"/>
        <v/>
      </c>
      <c r="I5089" s="2">
        <f t="shared" si="7"/>
        <v>1426.89</v>
      </c>
      <c r="M5089" s="10">
        <f>IFERROR(__xludf.DUMMYFUNCTION("""COMPUTED_VALUE"""),45364.66666666667)</f>
        <v>45364.66667</v>
      </c>
      <c r="N5089" s="2">
        <f>IFERROR(__xludf.DUMMYFUNCTION("""COMPUTED_VALUE"""),16177.77)</f>
        <v>16177.77</v>
      </c>
    </row>
    <row r="5090">
      <c r="A5090" s="10">
        <f t="shared" si="8"/>
        <v>43072.66667</v>
      </c>
      <c r="B5090" s="2" t="str">
        <f t="shared" si="2"/>
        <v/>
      </c>
      <c r="C5090" s="2" t="str">
        <f t="shared" si="3"/>
        <v>SP500</v>
      </c>
      <c r="D5090" s="2" t="str">
        <f t="shared" si="4"/>
        <v/>
      </c>
      <c r="E5090" s="2">
        <f t="shared" si="5"/>
        <v>6847.59</v>
      </c>
      <c r="G5090" s="10">
        <f t="shared" si="9"/>
        <v>43072.64583</v>
      </c>
      <c r="H5090" s="6" t="str">
        <f t="shared" si="6"/>
        <v/>
      </c>
      <c r="I5090" s="2">
        <f t="shared" si="7"/>
        <v>1426.89</v>
      </c>
      <c r="M5090" s="10">
        <f>IFERROR(__xludf.DUMMYFUNCTION("""COMPUTED_VALUE"""),45365.66666666667)</f>
        <v>45365.66667</v>
      </c>
      <c r="N5090" s="2">
        <f>IFERROR(__xludf.DUMMYFUNCTION("""COMPUTED_VALUE"""),16128.53)</f>
        <v>16128.53</v>
      </c>
    </row>
    <row r="5091">
      <c r="A5091" s="10">
        <f t="shared" si="8"/>
        <v>43073.66667</v>
      </c>
      <c r="B5091" s="2" t="str">
        <f t="shared" si="2"/>
        <v/>
      </c>
      <c r="C5091" s="2" t="str">
        <f t="shared" si="3"/>
        <v>SP500</v>
      </c>
      <c r="D5091" s="2">
        <f t="shared" si="4"/>
        <v>6775.37</v>
      </c>
      <c r="E5091" s="2">
        <f t="shared" si="5"/>
        <v>6775.37</v>
      </c>
      <c r="G5091" s="10">
        <f t="shared" si="9"/>
        <v>43073.64583</v>
      </c>
      <c r="H5091" s="6" t="str">
        <f t="shared" si="6"/>
        <v/>
      </c>
      <c r="I5091" s="2">
        <f t="shared" si="7"/>
        <v>1426.89</v>
      </c>
      <c r="M5091" s="10">
        <f>IFERROR(__xludf.DUMMYFUNCTION("""COMPUTED_VALUE"""),45366.66666666667)</f>
        <v>45366.66667</v>
      </c>
      <c r="N5091" s="2">
        <f>IFERROR(__xludf.DUMMYFUNCTION("""COMPUTED_VALUE"""),15973.17)</f>
        <v>15973.17</v>
      </c>
    </row>
    <row r="5092">
      <c r="A5092" s="10">
        <f t="shared" si="8"/>
        <v>43074.66667</v>
      </c>
      <c r="B5092" s="2" t="str">
        <f t="shared" si="2"/>
        <v/>
      </c>
      <c r="C5092" s="2" t="str">
        <f t="shared" si="3"/>
        <v>SP500</v>
      </c>
      <c r="D5092" s="2">
        <f t="shared" si="4"/>
        <v>6762.21</v>
      </c>
      <c r="E5092" s="2">
        <f t="shared" si="5"/>
        <v>6762.21</v>
      </c>
      <c r="G5092" s="10">
        <f t="shared" si="9"/>
        <v>43074.64583</v>
      </c>
      <c r="H5092" s="6" t="str">
        <f t="shared" si="6"/>
        <v/>
      </c>
      <c r="I5092" s="2">
        <f t="shared" si="7"/>
        <v>1426.89</v>
      </c>
      <c r="M5092" s="10">
        <f>IFERROR(__xludf.DUMMYFUNCTION("""COMPUTED_VALUE"""),45369.66666666667)</f>
        <v>45369.66667</v>
      </c>
      <c r="N5092" s="2">
        <f>IFERROR(__xludf.DUMMYFUNCTION("""COMPUTED_VALUE"""),16103.45)</f>
        <v>16103.45</v>
      </c>
    </row>
    <row r="5093">
      <c r="A5093" s="10">
        <f t="shared" si="8"/>
        <v>43075.66667</v>
      </c>
      <c r="B5093" s="2" t="str">
        <f t="shared" si="2"/>
        <v/>
      </c>
      <c r="C5093" s="2" t="str">
        <f t="shared" si="3"/>
        <v>SP500</v>
      </c>
      <c r="D5093" s="2">
        <f t="shared" si="4"/>
        <v>6776.38</v>
      </c>
      <c r="E5093" s="2">
        <f t="shared" si="5"/>
        <v>6776.38</v>
      </c>
      <c r="G5093" s="10">
        <f t="shared" si="9"/>
        <v>43075.64583</v>
      </c>
      <c r="H5093" s="6" t="str">
        <f t="shared" si="6"/>
        <v/>
      </c>
      <c r="I5093" s="2">
        <f t="shared" si="7"/>
        <v>1426.89</v>
      </c>
      <c r="M5093" s="10">
        <f>IFERROR(__xludf.DUMMYFUNCTION("""COMPUTED_VALUE"""),45370.66666666667)</f>
        <v>45370.66667</v>
      </c>
      <c r="N5093" s="2">
        <f>IFERROR(__xludf.DUMMYFUNCTION("""COMPUTED_VALUE"""),16166.79)</f>
        <v>16166.79</v>
      </c>
    </row>
    <row r="5094">
      <c r="A5094" s="10">
        <f t="shared" si="8"/>
        <v>43076.66667</v>
      </c>
      <c r="B5094" s="2" t="str">
        <f t="shared" si="2"/>
        <v/>
      </c>
      <c r="C5094" s="2" t="str">
        <f t="shared" si="3"/>
        <v>SP500</v>
      </c>
      <c r="D5094" s="2">
        <f t="shared" si="4"/>
        <v>6812.84</v>
      </c>
      <c r="E5094" s="2">
        <f t="shared" si="5"/>
        <v>6812.84</v>
      </c>
      <c r="G5094" s="10">
        <f t="shared" si="9"/>
        <v>43076.64583</v>
      </c>
      <c r="H5094" s="6" t="str">
        <f t="shared" si="6"/>
        <v/>
      </c>
      <c r="I5094" s="2">
        <f t="shared" si="7"/>
        <v>1426.89</v>
      </c>
      <c r="M5094" s="10">
        <f>IFERROR(__xludf.DUMMYFUNCTION("""COMPUTED_VALUE"""),45371.66666666667)</f>
        <v>45371.66667</v>
      </c>
      <c r="N5094" s="2">
        <f>IFERROR(__xludf.DUMMYFUNCTION("""COMPUTED_VALUE"""),16369.41)</f>
        <v>16369.41</v>
      </c>
    </row>
    <row r="5095">
      <c r="A5095" s="10">
        <f t="shared" si="8"/>
        <v>43077.66667</v>
      </c>
      <c r="B5095" s="2" t="str">
        <f t="shared" si="2"/>
        <v/>
      </c>
      <c r="C5095" s="2" t="str">
        <f t="shared" si="3"/>
        <v>SP500</v>
      </c>
      <c r="D5095" s="2">
        <f t="shared" si="4"/>
        <v>6840.08</v>
      </c>
      <c r="E5095" s="2">
        <f t="shared" si="5"/>
        <v>6840.08</v>
      </c>
      <c r="G5095" s="10">
        <f t="shared" si="9"/>
        <v>43077.64583</v>
      </c>
      <c r="H5095" s="6" t="str">
        <f t="shared" si="6"/>
        <v/>
      </c>
      <c r="I5095" s="2">
        <f t="shared" si="7"/>
        <v>1426.89</v>
      </c>
      <c r="M5095" s="10">
        <f>IFERROR(__xludf.DUMMYFUNCTION("""COMPUTED_VALUE"""),45372.66666666667)</f>
        <v>45372.66667</v>
      </c>
      <c r="N5095" s="2">
        <f>IFERROR(__xludf.DUMMYFUNCTION("""COMPUTED_VALUE"""),16401.84)</f>
        <v>16401.84</v>
      </c>
    </row>
    <row r="5096">
      <c r="A5096" s="10">
        <f t="shared" si="8"/>
        <v>43078.66667</v>
      </c>
      <c r="B5096" s="2" t="str">
        <f t="shared" si="2"/>
        <v/>
      </c>
      <c r="C5096" s="2" t="str">
        <f t="shared" si="3"/>
        <v>SP500</v>
      </c>
      <c r="D5096" s="2" t="str">
        <f t="shared" si="4"/>
        <v/>
      </c>
      <c r="E5096" s="2">
        <f t="shared" si="5"/>
        <v>6840.08</v>
      </c>
      <c r="G5096" s="10">
        <f t="shared" si="9"/>
        <v>43078.64583</v>
      </c>
      <c r="H5096" s="6" t="str">
        <f t="shared" si="6"/>
        <v/>
      </c>
      <c r="I5096" s="2">
        <f t="shared" si="7"/>
        <v>1426.89</v>
      </c>
      <c r="M5096" s="10">
        <f>IFERROR(__xludf.DUMMYFUNCTION("""COMPUTED_VALUE"""),45373.66666666667)</f>
        <v>45373.66667</v>
      </c>
      <c r="N5096" s="2">
        <f>IFERROR(__xludf.DUMMYFUNCTION("""COMPUTED_VALUE"""),16428.82)</f>
        <v>16428.82</v>
      </c>
    </row>
    <row r="5097">
      <c r="A5097" s="10">
        <f t="shared" si="8"/>
        <v>43079.66667</v>
      </c>
      <c r="B5097" s="2" t="str">
        <f t="shared" si="2"/>
        <v/>
      </c>
      <c r="C5097" s="2" t="str">
        <f t="shared" si="3"/>
        <v>SP500</v>
      </c>
      <c r="D5097" s="2" t="str">
        <f t="shared" si="4"/>
        <v/>
      </c>
      <c r="E5097" s="2">
        <f t="shared" si="5"/>
        <v>6840.08</v>
      </c>
      <c r="G5097" s="10">
        <f t="shared" si="9"/>
        <v>43079.64583</v>
      </c>
      <c r="H5097" s="6" t="str">
        <f t="shared" si="6"/>
        <v/>
      </c>
      <c r="I5097" s="2">
        <f t="shared" si="7"/>
        <v>1426.89</v>
      </c>
      <c r="M5097" s="10">
        <f>IFERROR(__xludf.DUMMYFUNCTION("""COMPUTED_VALUE"""),45376.66666666667)</f>
        <v>45376.66667</v>
      </c>
      <c r="N5097" s="2">
        <f>IFERROR(__xludf.DUMMYFUNCTION("""COMPUTED_VALUE"""),16384.47)</f>
        <v>16384.47</v>
      </c>
    </row>
    <row r="5098">
      <c r="A5098" s="10">
        <f t="shared" si="8"/>
        <v>43080.66667</v>
      </c>
      <c r="B5098" s="2" t="str">
        <f t="shared" si="2"/>
        <v/>
      </c>
      <c r="C5098" s="2" t="str">
        <f t="shared" si="3"/>
        <v>SP500</v>
      </c>
      <c r="D5098" s="2">
        <f t="shared" si="4"/>
        <v>6875.08</v>
      </c>
      <c r="E5098" s="2">
        <f t="shared" si="5"/>
        <v>6875.08</v>
      </c>
      <c r="G5098" s="10">
        <f t="shared" si="9"/>
        <v>43080.64583</v>
      </c>
      <c r="H5098" s="6" t="str">
        <f t="shared" si="6"/>
        <v/>
      </c>
      <c r="I5098" s="2">
        <f t="shared" si="7"/>
        <v>1426.89</v>
      </c>
      <c r="M5098" s="10">
        <f>IFERROR(__xludf.DUMMYFUNCTION("""COMPUTED_VALUE"""),45377.66666666667)</f>
        <v>45377.66667</v>
      </c>
      <c r="N5098" s="2">
        <f>IFERROR(__xludf.DUMMYFUNCTION("""COMPUTED_VALUE"""),16315.7)</f>
        <v>16315.7</v>
      </c>
    </row>
    <row r="5099">
      <c r="A5099" s="10">
        <f t="shared" si="8"/>
        <v>43081.66667</v>
      </c>
      <c r="B5099" s="2" t="str">
        <f t="shared" si="2"/>
        <v/>
      </c>
      <c r="C5099" s="2" t="str">
        <f t="shared" si="3"/>
        <v>SP500</v>
      </c>
      <c r="D5099" s="2">
        <f t="shared" si="4"/>
        <v>6862.32</v>
      </c>
      <c r="E5099" s="2">
        <f t="shared" si="5"/>
        <v>6862.32</v>
      </c>
      <c r="G5099" s="10">
        <f t="shared" si="9"/>
        <v>43081.64583</v>
      </c>
      <c r="H5099" s="6" t="str">
        <f t="shared" si="6"/>
        <v/>
      </c>
      <c r="I5099" s="2">
        <f t="shared" si="7"/>
        <v>1426.89</v>
      </c>
      <c r="M5099" s="10">
        <f>IFERROR(__xludf.DUMMYFUNCTION("""COMPUTED_VALUE"""),45378.66666666667)</f>
        <v>45378.66667</v>
      </c>
      <c r="N5099" s="2">
        <f>IFERROR(__xludf.DUMMYFUNCTION("""COMPUTED_VALUE"""),16399.52)</f>
        <v>16399.52</v>
      </c>
    </row>
    <row r="5100">
      <c r="A5100" s="10">
        <f t="shared" si="8"/>
        <v>43082.66667</v>
      </c>
      <c r="B5100" s="2" t="str">
        <f t="shared" si="2"/>
        <v/>
      </c>
      <c r="C5100" s="2" t="str">
        <f t="shared" si="3"/>
        <v>SP500</v>
      </c>
      <c r="D5100" s="2">
        <f t="shared" si="4"/>
        <v>6875.8</v>
      </c>
      <c r="E5100" s="2">
        <f t="shared" si="5"/>
        <v>6875.8</v>
      </c>
      <c r="G5100" s="10">
        <f t="shared" si="9"/>
        <v>43082.64583</v>
      </c>
      <c r="H5100" s="6" t="str">
        <f t="shared" si="6"/>
        <v/>
      </c>
      <c r="I5100" s="2">
        <f t="shared" si="7"/>
        <v>1426.89</v>
      </c>
      <c r="M5100" s="10">
        <f>IFERROR(__xludf.DUMMYFUNCTION("""COMPUTED_VALUE"""),45379.66666666667)</f>
        <v>45379.66667</v>
      </c>
      <c r="N5100" s="2">
        <f>IFERROR(__xludf.DUMMYFUNCTION("""COMPUTED_VALUE"""),16379.46)</f>
        <v>16379.46</v>
      </c>
    </row>
    <row r="5101">
      <c r="A5101" s="10">
        <f t="shared" si="8"/>
        <v>43083.66667</v>
      </c>
      <c r="B5101" s="2" t="str">
        <f t="shared" si="2"/>
        <v/>
      </c>
      <c r="C5101" s="2" t="str">
        <f t="shared" si="3"/>
        <v>SP500</v>
      </c>
      <c r="D5101" s="2">
        <f t="shared" si="4"/>
        <v>6856.53</v>
      </c>
      <c r="E5101" s="2">
        <f t="shared" si="5"/>
        <v>6856.53</v>
      </c>
      <c r="G5101" s="10">
        <f t="shared" si="9"/>
        <v>43083.64583</v>
      </c>
      <c r="H5101" s="6" t="str">
        <f t="shared" si="6"/>
        <v/>
      </c>
      <c r="I5101" s="2">
        <f t="shared" si="7"/>
        <v>1426.89</v>
      </c>
      <c r="M5101" s="10">
        <f>IFERROR(__xludf.DUMMYFUNCTION("""COMPUTED_VALUE"""),45383.66666666667)</f>
        <v>45383.66667</v>
      </c>
      <c r="N5101" s="2">
        <f>IFERROR(__xludf.DUMMYFUNCTION("""COMPUTED_VALUE"""),16396.83)</f>
        <v>16396.83</v>
      </c>
    </row>
    <row r="5102">
      <c r="A5102" s="10">
        <f t="shared" si="8"/>
        <v>43084.66667</v>
      </c>
      <c r="B5102" s="2" t="str">
        <f t="shared" si="2"/>
        <v/>
      </c>
      <c r="C5102" s="2" t="str">
        <f t="shared" si="3"/>
        <v>SP500</v>
      </c>
      <c r="D5102" s="2">
        <f t="shared" si="4"/>
        <v>6936.58</v>
      </c>
      <c r="E5102" s="2">
        <f t="shared" si="5"/>
        <v>6936.58</v>
      </c>
      <c r="G5102" s="10">
        <f t="shared" si="9"/>
        <v>43084.64583</v>
      </c>
      <c r="H5102" s="6" t="str">
        <f t="shared" si="6"/>
        <v/>
      </c>
      <c r="I5102" s="2">
        <f t="shared" si="7"/>
        <v>1426.89</v>
      </c>
      <c r="M5102" s="10">
        <f>IFERROR(__xludf.DUMMYFUNCTION("""COMPUTED_VALUE"""),45384.66666666667)</f>
        <v>45384.66667</v>
      </c>
      <c r="N5102" s="2">
        <f>IFERROR(__xludf.DUMMYFUNCTION("""COMPUTED_VALUE"""),16240.45)</f>
        <v>16240.45</v>
      </c>
    </row>
    <row r="5103">
      <c r="A5103" s="10">
        <f t="shared" si="8"/>
        <v>43085.66667</v>
      </c>
      <c r="B5103" s="2" t="str">
        <f t="shared" si="2"/>
        <v/>
      </c>
      <c r="C5103" s="2" t="str">
        <f t="shared" si="3"/>
        <v>SP500</v>
      </c>
      <c r="D5103" s="2" t="str">
        <f t="shared" si="4"/>
        <v/>
      </c>
      <c r="E5103" s="2">
        <f t="shared" si="5"/>
        <v>6936.58</v>
      </c>
      <c r="G5103" s="10">
        <f t="shared" si="9"/>
        <v>43085.64583</v>
      </c>
      <c r="H5103" s="6" t="str">
        <f t="shared" si="6"/>
        <v/>
      </c>
      <c r="I5103" s="2">
        <f t="shared" si="7"/>
        <v>1426.89</v>
      </c>
      <c r="M5103" s="10">
        <f>IFERROR(__xludf.DUMMYFUNCTION("""COMPUTED_VALUE"""),45385.66666666667)</f>
        <v>45385.66667</v>
      </c>
      <c r="N5103" s="2">
        <f>IFERROR(__xludf.DUMMYFUNCTION("""COMPUTED_VALUE"""),16277.46)</f>
        <v>16277.46</v>
      </c>
    </row>
    <row r="5104">
      <c r="A5104" s="10">
        <f t="shared" si="8"/>
        <v>43086.66667</v>
      </c>
      <c r="B5104" s="2" t="str">
        <f t="shared" si="2"/>
        <v/>
      </c>
      <c r="C5104" s="2" t="str">
        <f t="shared" si="3"/>
        <v>SP500</v>
      </c>
      <c r="D5104" s="2" t="str">
        <f t="shared" si="4"/>
        <v/>
      </c>
      <c r="E5104" s="2">
        <f t="shared" si="5"/>
        <v>6936.58</v>
      </c>
      <c r="G5104" s="10">
        <f t="shared" si="9"/>
        <v>43086.64583</v>
      </c>
      <c r="H5104" s="6" t="str">
        <f t="shared" si="6"/>
        <v/>
      </c>
      <c r="I5104" s="2">
        <f t="shared" si="7"/>
        <v>1426.89</v>
      </c>
      <c r="M5104" s="10">
        <f>IFERROR(__xludf.DUMMYFUNCTION("""COMPUTED_VALUE"""),45386.66666666667)</f>
        <v>45386.66667</v>
      </c>
      <c r="N5104" s="2">
        <f>IFERROR(__xludf.DUMMYFUNCTION("""COMPUTED_VALUE"""),16049.08)</f>
        <v>16049.08</v>
      </c>
    </row>
    <row r="5105">
      <c r="A5105" s="10">
        <f t="shared" si="8"/>
        <v>43087.66667</v>
      </c>
      <c r="B5105" s="2" t="str">
        <f t="shared" si="2"/>
        <v/>
      </c>
      <c r="C5105" s="2" t="str">
        <f t="shared" si="3"/>
        <v>SP500</v>
      </c>
      <c r="D5105" s="2">
        <f t="shared" si="4"/>
        <v>6994.76</v>
      </c>
      <c r="E5105" s="2">
        <f t="shared" si="5"/>
        <v>6994.76</v>
      </c>
      <c r="G5105" s="10">
        <f t="shared" si="9"/>
        <v>43087.64583</v>
      </c>
      <c r="H5105" s="6" t="str">
        <f t="shared" si="6"/>
        <v/>
      </c>
      <c r="I5105" s="2">
        <f t="shared" si="7"/>
        <v>1426.89</v>
      </c>
      <c r="M5105" s="10">
        <f>IFERROR(__xludf.DUMMYFUNCTION("""COMPUTED_VALUE"""),45387.66666666667)</f>
        <v>45387.66667</v>
      </c>
      <c r="N5105" s="2">
        <f>IFERROR(__xludf.DUMMYFUNCTION("""COMPUTED_VALUE"""),16248.52)</f>
        <v>16248.52</v>
      </c>
    </row>
    <row r="5106">
      <c r="A5106" s="10">
        <f t="shared" si="8"/>
        <v>43088.66667</v>
      </c>
      <c r="B5106" s="2" t="str">
        <f t="shared" si="2"/>
        <v/>
      </c>
      <c r="C5106" s="2" t="str">
        <f t="shared" si="3"/>
        <v>SP500</v>
      </c>
      <c r="D5106" s="2">
        <f t="shared" si="4"/>
        <v>6963.85</v>
      </c>
      <c r="E5106" s="2">
        <f t="shared" si="5"/>
        <v>6963.85</v>
      </c>
      <c r="G5106" s="10">
        <f t="shared" si="9"/>
        <v>43088.64583</v>
      </c>
      <c r="H5106" s="6" t="str">
        <f t="shared" si="6"/>
        <v/>
      </c>
      <c r="I5106" s="2">
        <f t="shared" si="7"/>
        <v>1426.89</v>
      </c>
      <c r="M5106" s="10">
        <f>IFERROR(__xludf.DUMMYFUNCTION("""COMPUTED_VALUE"""),45390.66666666667)</f>
        <v>45390.66667</v>
      </c>
      <c r="N5106" s="2">
        <f>IFERROR(__xludf.DUMMYFUNCTION("""COMPUTED_VALUE"""),16253.96)</f>
        <v>16253.96</v>
      </c>
    </row>
    <row r="5107">
      <c r="A5107" s="10">
        <f t="shared" si="8"/>
        <v>43089.66667</v>
      </c>
      <c r="B5107" s="2" t="str">
        <f t="shared" si="2"/>
        <v/>
      </c>
      <c r="C5107" s="2" t="str">
        <f t="shared" si="3"/>
        <v>SP500</v>
      </c>
      <c r="D5107" s="2">
        <f t="shared" si="4"/>
        <v>6960.96</v>
      </c>
      <c r="E5107" s="2">
        <f t="shared" si="5"/>
        <v>6960.96</v>
      </c>
      <c r="G5107" s="10">
        <f t="shared" si="9"/>
        <v>43089.64583</v>
      </c>
      <c r="H5107" s="6" t="str">
        <f t="shared" si="6"/>
        <v/>
      </c>
      <c r="I5107" s="2">
        <f t="shared" si="7"/>
        <v>1426.89</v>
      </c>
      <c r="M5107" s="10">
        <f>IFERROR(__xludf.DUMMYFUNCTION("""COMPUTED_VALUE"""),45391.66666666667)</f>
        <v>45391.66667</v>
      </c>
      <c r="N5107" s="2">
        <f>IFERROR(__xludf.DUMMYFUNCTION("""COMPUTED_VALUE"""),16306.64)</f>
        <v>16306.64</v>
      </c>
    </row>
    <row r="5108">
      <c r="A5108" s="10">
        <f t="shared" si="8"/>
        <v>43090.66667</v>
      </c>
      <c r="B5108" s="2" t="str">
        <f t="shared" si="2"/>
        <v/>
      </c>
      <c r="C5108" s="2" t="str">
        <f t="shared" si="3"/>
        <v>SP500</v>
      </c>
      <c r="D5108" s="2">
        <f t="shared" si="4"/>
        <v>6965.36</v>
      </c>
      <c r="E5108" s="2">
        <f t="shared" si="5"/>
        <v>6965.36</v>
      </c>
      <c r="G5108" s="10">
        <f t="shared" si="9"/>
        <v>43090.64583</v>
      </c>
      <c r="H5108" s="6" t="str">
        <f t="shared" si="6"/>
        <v/>
      </c>
      <c r="I5108" s="2">
        <f t="shared" si="7"/>
        <v>1426.89</v>
      </c>
      <c r="M5108" s="10">
        <f>IFERROR(__xludf.DUMMYFUNCTION("""COMPUTED_VALUE"""),45392.66666666667)</f>
        <v>45392.66667</v>
      </c>
      <c r="N5108" s="2">
        <f>IFERROR(__xludf.DUMMYFUNCTION("""COMPUTED_VALUE"""),16170.36)</f>
        <v>16170.36</v>
      </c>
    </row>
    <row r="5109">
      <c r="A5109" s="10">
        <f t="shared" si="8"/>
        <v>43091.66667</v>
      </c>
      <c r="B5109" s="2" t="str">
        <f t="shared" si="2"/>
        <v/>
      </c>
      <c r="C5109" s="2" t="str">
        <f t="shared" si="3"/>
        <v>SP500</v>
      </c>
      <c r="D5109" s="2">
        <f t="shared" si="4"/>
        <v>6959.96</v>
      </c>
      <c r="E5109" s="2">
        <f t="shared" si="5"/>
        <v>6959.96</v>
      </c>
      <c r="G5109" s="10">
        <f t="shared" si="9"/>
        <v>43091.64583</v>
      </c>
      <c r="H5109" s="6" t="str">
        <f t="shared" si="6"/>
        <v/>
      </c>
      <c r="I5109" s="2">
        <f t="shared" si="7"/>
        <v>1426.89</v>
      </c>
      <c r="M5109" s="10">
        <f>IFERROR(__xludf.DUMMYFUNCTION("""COMPUTED_VALUE"""),45393.66666666667)</f>
        <v>45393.66667</v>
      </c>
      <c r="N5109" s="2">
        <f>IFERROR(__xludf.DUMMYFUNCTION("""COMPUTED_VALUE"""),16442.2)</f>
        <v>16442.2</v>
      </c>
    </row>
    <row r="5110">
      <c r="A5110" s="10">
        <f t="shared" si="8"/>
        <v>43092.66667</v>
      </c>
      <c r="B5110" s="2" t="str">
        <f t="shared" si="2"/>
        <v/>
      </c>
      <c r="C5110" s="2" t="str">
        <f t="shared" si="3"/>
        <v>SP500</v>
      </c>
      <c r="D5110" s="2" t="str">
        <f t="shared" si="4"/>
        <v/>
      </c>
      <c r="E5110" s="2">
        <f t="shared" si="5"/>
        <v>6959.96</v>
      </c>
      <c r="G5110" s="10">
        <f t="shared" si="9"/>
        <v>43092.64583</v>
      </c>
      <c r="H5110" s="6" t="str">
        <f t="shared" si="6"/>
        <v/>
      </c>
      <c r="I5110" s="2">
        <f t="shared" si="7"/>
        <v>1426.89</v>
      </c>
      <c r="M5110" s="10">
        <f>IFERROR(__xludf.DUMMYFUNCTION("""COMPUTED_VALUE"""),45394.66666666667)</f>
        <v>45394.66667</v>
      </c>
      <c r="N5110" s="2">
        <f>IFERROR(__xludf.DUMMYFUNCTION("""COMPUTED_VALUE"""),16175.09)</f>
        <v>16175.09</v>
      </c>
    </row>
    <row r="5111">
      <c r="A5111" s="10">
        <f t="shared" si="8"/>
        <v>43093.66667</v>
      </c>
      <c r="B5111" s="2" t="str">
        <f t="shared" si="2"/>
        <v/>
      </c>
      <c r="C5111" s="2" t="str">
        <f t="shared" si="3"/>
        <v>SP500</v>
      </c>
      <c r="D5111" s="2" t="str">
        <f t="shared" si="4"/>
        <v/>
      </c>
      <c r="E5111" s="2">
        <f t="shared" si="5"/>
        <v>6959.96</v>
      </c>
      <c r="G5111" s="10">
        <f t="shared" si="9"/>
        <v>43093.64583</v>
      </c>
      <c r="H5111" s="6" t="str">
        <f t="shared" si="6"/>
        <v/>
      </c>
      <c r="I5111" s="2">
        <f t="shared" si="7"/>
        <v>1426.89</v>
      </c>
      <c r="M5111" s="10">
        <f>IFERROR(__xludf.DUMMYFUNCTION("""COMPUTED_VALUE"""),45397.66666666667)</f>
        <v>45397.66667</v>
      </c>
      <c r="N5111" s="2">
        <f>IFERROR(__xludf.DUMMYFUNCTION("""COMPUTED_VALUE"""),15885.02)</f>
        <v>15885.02</v>
      </c>
    </row>
    <row r="5112">
      <c r="A5112" s="10">
        <f t="shared" si="8"/>
        <v>43094.66667</v>
      </c>
      <c r="B5112" s="2" t="str">
        <f t="shared" si="2"/>
        <v/>
      </c>
      <c r="C5112" s="2" t="str">
        <f t="shared" si="3"/>
        <v>SP500</v>
      </c>
      <c r="D5112" s="2" t="str">
        <f t="shared" si="4"/>
        <v/>
      </c>
      <c r="E5112" s="2">
        <f t="shared" si="5"/>
        <v>6959.96</v>
      </c>
      <c r="G5112" s="10">
        <f t="shared" si="9"/>
        <v>43094.64583</v>
      </c>
      <c r="H5112" s="6" t="str">
        <f t="shared" si="6"/>
        <v/>
      </c>
      <c r="I5112" s="2">
        <f t="shared" si="7"/>
        <v>1426.89</v>
      </c>
      <c r="M5112" s="10">
        <f>IFERROR(__xludf.DUMMYFUNCTION("""COMPUTED_VALUE"""),45398.66666666667)</f>
        <v>45398.66667</v>
      </c>
      <c r="N5112" s="2">
        <f>IFERROR(__xludf.DUMMYFUNCTION("""COMPUTED_VALUE"""),15865.25)</f>
        <v>15865.25</v>
      </c>
    </row>
    <row r="5113">
      <c r="A5113" s="10">
        <f t="shared" si="8"/>
        <v>43095.66667</v>
      </c>
      <c r="B5113" s="2" t="str">
        <f t="shared" si="2"/>
        <v/>
      </c>
      <c r="C5113" s="2" t="str">
        <f t="shared" si="3"/>
        <v>SP500</v>
      </c>
      <c r="D5113" s="2">
        <f t="shared" si="4"/>
        <v>6936.25</v>
      </c>
      <c r="E5113" s="2">
        <f t="shared" si="5"/>
        <v>6936.25</v>
      </c>
      <c r="G5113" s="10">
        <f t="shared" si="9"/>
        <v>43095.64583</v>
      </c>
      <c r="H5113" s="6" t="str">
        <f t="shared" si="6"/>
        <v/>
      </c>
      <c r="I5113" s="2">
        <f t="shared" si="7"/>
        <v>1426.89</v>
      </c>
      <c r="M5113" s="10">
        <f>IFERROR(__xludf.DUMMYFUNCTION("""COMPUTED_VALUE"""),45399.66666666667)</f>
        <v>45399.66667</v>
      </c>
      <c r="N5113" s="2">
        <f>IFERROR(__xludf.DUMMYFUNCTION("""COMPUTED_VALUE"""),15683.37)</f>
        <v>15683.37</v>
      </c>
    </row>
    <row r="5114">
      <c r="A5114" s="10">
        <f t="shared" si="8"/>
        <v>43096.66667</v>
      </c>
      <c r="B5114" s="2" t="str">
        <f t="shared" si="2"/>
        <v/>
      </c>
      <c r="C5114" s="2" t="str">
        <f t="shared" si="3"/>
        <v>SP500</v>
      </c>
      <c r="D5114" s="2">
        <f t="shared" si="4"/>
        <v>6939.34</v>
      </c>
      <c r="E5114" s="2">
        <f t="shared" si="5"/>
        <v>6939.34</v>
      </c>
      <c r="G5114" s="10">
        <f t="shared" si="9"/>
        <v>43096.64583</v>
      </c>
      <c r="H5114" s="6" t="str">
        <f t="shared" si="6"/>
        <v/>
      </c>
      <c r="I5114" s="2">
        <f t="shared" si="7"/>
        <v>1426.89</v>
      </c>
      <c r="M5114" s="10">
        <f>IFERROR(__xludf.DUMMYFUNCTION("""COMPUTED_VALUE"""),45400.66666666667)</f>
        <v>45400.66667</v>
      </c>
      <c r="N5114" s="2">
        <f>IFERROR(__xludf.DUMMYFUNCTION("""COMPUTED_VALUE"""),15601.5)</f>
        <v>15601.5</v>
      </c>
    </row>
    <row r="5115">
      <c r="A5115" s="10">
        <f t="shared" si="8"/>
        <v>43097.66667</v>
      </c>
      <c r="B5115" s="2" t="str">
        <f t="shared" si="2"/>
        <v/>
      </c>
      <c r="C5115" s="2" t="str">
        <f t="shared" si="3"/>
        <v>SP500</v>
      </c>
      <c r="D5115" s="2">
        <f t="shared" si="4"/>
        <v>6950.16</v>
      </c>
      <c r="E5115" s="2">
        <f t="shared" si="5"/>
        <v>6950.16</v>
      </c>
      <c r="G5115" s="10">
        <f t="shared" si="9"/>
        <v>43097.64583</v>
      </c>
      <c r="H5115" s="6" t="str">
        <f t="shared" si="6"/>
        <v/>
      </c>
      <c r="I5115" s="2">
        <f t="shared" si="7"/>
        <v>1426.89</v>
      </c>
      <c r="M5115" s="10">
        <f>IFERROR(__xludf.DUMMYFUNCTION("""COMPUTED_VALUE"""),45401.66666666667)</f>
        <v>45401.66667</v>
      </c>
      <c r="N5115" s="2">
        <f>IFERROR(__xludf.DUMMYFUNCTION("""COMPUTED_VALUE"""),15282.01)</f>
        <v>15282.01</v>
      </c>
    </row>
    <row r="5116">
      <c r="A5116" s="10">
        <f t="shared" si="8"/>
        <v>43098.66667</v>
      </c>
      <c r="B5116" s="2" t="str">
        <f t="shared" si="2"/>
        <v/>
      </c>
      <c r="C5116" s="2" t="str">
        <f t="shared" si="3"/>
        <v>SP500</v>
      </c>
      <c r="D5116" s="2">
        <f t="shared" si="4"/>
        <v>6903.39</v>
      </c>
      <c r="E5116" s="2">
        <f t="shared" si="5"/>
        <v>6903.39</v>
      </c>
      <c r="G5116" s="10">
        <f t="shared" si="9"/>
        <v>43098.64583</v>
      </c>
      <c r="H5116" s="6" t="str">
        <f t="shared" si="6"/>
        <v/>
      </c>
      <c r="I5116" s="2">
        <f t="shared" si="7"/>
        <v>1426.89</v>
      </c>
      <c r="M5116" s="10">
        <f>IFERROR(__xludf.DUMMYFUNCTION("""COMPUTED_VALUE"""),45404.66666666667)</f>
        <v>45404.66667</v>
      </c>
      <c r="N5116" s="2">
        <f>IFERROR(__xludf.DUMMYFUNCTION("""COMPUTED_VALUE"""),15451.31)</f>
        <v>15451.31</v>
      </c>
    </row>
    <row r="5117">
      <c r="A5117" s="10">
        <f t="shared" si="8"/>
        <v>43099.66667</v>
      </c>
      <c r="B5117" s="2" t="str">
        <f t="shared" si="2"/>
        <v/>
      </c>
      <c r="C5117" s="2" t="str">
        <f t="shared" si="3"/>
        <v>SP500</v>
      </c>
      <c r="D5117" s="2" t="str">
        <f t="shared" si="4"/>
        <v/>
      </c>
      <c r="E5117" s="2">
        <f t="shared" si="5"/>
        <v>6903.39</v>
      </c>
      <c r="G5117" s="10">
        <f t="shared" si="9"/>
        <v>43099.64583</v>
      </c>
      <c r="H5117" s="6" t="str">
        <f t="shared" si="6"/>
        <v/>
      </c>
      <c r="I5117" s="2">
        <f t="shared" si="7"/>
        <v>1426.89</v>
      </c>
      <c r="M5117" s="10">
        <f>IFERROR(__xludf.DUMMYFUNCTION("""COMPUTED_VALUE"""),45405.66666666667)</f>
        <v>45405.66667</v>
      </c>
      <c r="N5117" s="2">
        <f>IFERROR(__xludf.DUMMYFUNCTION("""COMPUTED_VALUE"""),15696.64)</f>
        <v>15696.64</v>
      </c>
    </row>
    <row r="5118">
      <c r="A5118" s="10">
        <f t="shared" si="8"/>
        <v>43100.66667</v>
      </c>
      <c r="B5118" s="2" t="str">
        <f t="shared" si="2"/>
        <v/>
      </c>
      <c r="C5118" s="2" t="str">
        <f t="shared" si="3"/>
        <v>SP500</v>
      </c>
      <c r="D5118" s="2" t="str">
        <f t="shared" si="4"/>
        <v/>
      </c>
      <c r="E5118" s="2">
        <f t="shared" si="5"/>
        <v>6903.39</v>
      </c>
      <c r="G5118" s="10">
        <f t="shared" si="9"/>
        <v>43100.64583</v>
      </c>
      <c r="H5118" s="6" t="str">
        <f t="shared" si="6"/>
        <v/>
      </c>
      <c r="I5118" s="2">
        <f t="shared" si="7"/>
        <v>1426.89</v>
      </c>
      <c r="M5118" s="10">
        <f>IFERROR(__xludf.DUMMYFUNCTION("""COMPUTED_VALUE"""),45406.66666666667)</f>
        <v>45406.66667</v>
      </c>
      <c r="N5118" s="2">
        <f>IFERROR(__xludf.DUMMYFUNCTION("""COMPUTED_VALUE"""),15712.75)</f>
        <v>15712.75</v>
      </c>
    </row>
    <row r="5119">
      <c r="A5119" s="10">
        <f t="shared" si="8"/>
        <v>43101.66667</v>
      </c>
      <c r="B5119" s="2" t="str">
        <f t="shared" si="2"/>
        <v/>
      </c>
      <c r="C5119" s="2" t="str">
        <f t="shared" si="3"/>
        <v>SP500</v>
      </c>
      <c r="D5119" s="2" t="str">
        <f t="shared" si="4"/>
        <v/>
      </c>
      <c r="E5119" s="2">
        <f t="shared" si="5"/>
        <v>6903.39</v>
      </c>
      <c r="G5119" s="10">
        <f t="shared" si="9"/>
        <v>43101.64583</v>
      </c>
      <c r="H5119" s="6" t="str">
        <f t="shared" si="6"/>
        <v/>
      </c>
      <c r="I5119" s="2">
        <f t="shared" si="7"/>
        <v>1426.89</v>
      </c>
      <c r="M5119" s="10">
        <f>IFERROR(__xludf.DUMMYFUNCTION("""COMPUTED_VALUE"""),45407.66666666667)</f>
        <v>45407.66667</v>
      </c>
      <c r="N5119" s="2">
        <f>IFERROR(__xludf.DUMMYFUNCTION("""COMPUTED_VALUE"""),15611.76)</f>
        <v>15611.76</v>
      </c>
    </row>
    <row r="5120">
      <c r="A5120" s="10">
        <f t="shared" si="8"/>
        <v>43102.66667</v>
      </c>
      <c r="B5120" s="2" t="str">
        <f t="shared" si="2"/>
        <v/>
      </c>
      <c r="C5120" s="2" t="str">
        <f t="shared" si="3"/>
        <v>SP500</v>
      </c>
      <c r="D5120" s="2">
        <f t="shared" si="4"/>
        <v>7006.9</v>
      </c>
      <c r="E5120" s="2">
        <f t="shared" si="5"/>
        <v>7006.9</v>
      </c>
      <c r="G5120" s="10">
        <f t="shared" si="9"/>
        <v>43102.64583</v>
      </c>
      <c r="H5120" s="6" t="str">
        <f t="shared" si="6"/>
        <v/>
      </c>
      <c r="I5120" s="2">
        <f t="shared" si="7"/>
        <v>1426.89</v>
      </c>
      <c r="M5120" s="10">
        <f>IFERROR(__xludf.DUMMYFUNCTION("""COMPUTED_VALUE"""),45408.66666666667)</f>
        <v>45408.66667</v>
      </c>
      <c r="N5120" s="2">
        <f>IFERROR(__xludf.DUMMYFUNCTION("""COMPUTED_VALUE"""),15927.9)</f>
        <v>15927.9</v>
      </c>
    </row>
    <row r="5121">
      <c r="A5121" s="10">
        <f t="shared" si="8"/>
        <v>43103.66667</v>
      </c>
      <c r="B5121" s="2" t="str">
        <f t="shared" si="2"/>
        <v/>
      </c>
      <c r="C5121" s="2" t="str">
        <f t="shared" si="3"/>
        <v>SP500</v>
      </c>
      <c r="D5121" s="2">
        <f t="shared" si="4"/>
        <v>7065.53</v>
      </c>
      <c r="E5121" s="2">
        <f t="shared" si="5"/>
        <v>7065.53</v>
      </c>
      <c r="G5121" s="10">
        <f t="shared" si="9"/>
        <v>43103.64583</v>
      </c>
      <c r="H5121" s="6" t="str">
        <f t="shared" si="6"/>
        <v/>
      </c>
      <c r="I5121" s="2">
        <f t="shared" si="7"/>
        <v>1426.89</v>
      </c>
      <c r="M5121" s="10">
        <f>IFERROR(__xludf.DUMMYFUNCTION("""COMPUTED_VALUE"""),45411.66666666667)</f>
        <v>45411.66667</v>
      </c>
      <c r="N5121" s="2">
        <f>IFERROR(__xludf.DUMMYFUNCTION("""COMPUTED_VALUE"""),15983.08)</f>
        <v>15983.08</v>
      </c>
    </row>
    <row r="5122">
      <c r="A5122" s="10">
        <f t="shared" si="8"/>
        <v>43104.66667</v>
      </c>
      <c r="B5122" s="2" t="str">
        <f t="shared" si="2"/>
        <v/>
      </c>
      <c r="C5122" s="2" t="str">
        <f t="shared" si="3"/>
        <v>SP500</v>
      </c>
      <c r="D5122" s="2">
        <f t="shared" si="4"/>
        <v>7077.92</v>
      </c>
      <c r="E5122" s="2">
        <f t="shared" si="5"/>
        <v>7077.92</v>
      </c>
      <c r="G5122" s="10">
        <f t="shared" si="9"/>
        <v>43104.64583</v>
      </c>
      <c r="H5122" s="6" t="str">
        <f t="shared" si="6"/>
        <v/>
      </c>
      <c r="I5122" s="2">
        <f t="shared" si="7"/>
        <v>1426.89</v>
      </c>
      <c r="M5122" s="10">
        <f>IFERROR(__xludf.DUMMYFUNCTION("""COMPUTED_VALUE"""),45412.66666666667)</f>
        <v>45412.66667</v>
      </c>
      <c r="N5122" s="2">
        <f>IFERROR(__xludf.DUMMYFUNCTION("""COMPUTED_VALUE"""),15657.82)</f>
        <v>15657.82</v>
      </c>
    </row>
    <row r="5123">
      <c r="A5123" s="10">
        <f t="shared" si="8"/>
        <v>43105.66667</v>
      </c>
      <c r="B5123" s="2" t="str">
        <f t="shared" si="2"/>
        <v/>
      </c>
      <c r="C5123" s="2" t="str">
        <f t="shared" si="3"/>
        <v>SP500</v>
      </c>
      <c r="D5123" s="2">
        <f t="shared" si="4"/>
        <v>7136.56</v>
      </c>
      <c r="E5123" s="2">
        <f t="shared" si="5"/>
        <v>7136.56</v>
      </c>
      <c r="G5123" s="10">
        <f t="shared" si="9"/>
        <v>43105.64583</v>
      </c>
      <c r="H5123" s="6" t="str">
        <f t="shared" si="6"/>
        <v/>
      </c>
      <c r="I5123" s="2">
        <f t="shared" si="7"/>
        <v>1426.89</v>
      </c>
      <c r="M5123" s="10">
        <f>IFERROR(__xludf.DUMMYFUNCTION("""COMPUTED_VALUE"""),45413.66666666667)</f>
        <v>45413.66667</v>
      </c>
      <c r="N5123" s="2">
        <f>IFERROR(__xludf.DUMMYFUNCTION("""COMPUTED_VALUE"""),15605.48)</f>
        <v>15605.48</v>
      </c>
    </row>
    <row r="5124">
      <c r="A5124" s="10">
        <f t="shared" si="8"/>
        <v>43106.66667</v>
      </c>
      <c r="B5124" s="2" t="str">
        <f t="shared" si="2"/>
        <v/>
      </c>
      <c r="C5124" s="2" t="str">
        <f t="shared" si="3"/>
        <v>SP500</v>
      </c>
      <c r="D5124" s="2" t="str">
        <f t="shared" si="4"/>
        <v/>
      </c>
      <c r="E5124" s="2">
        <f t="shared" si="5"/>
        <v>7136.56</v>
      </c>
      <c r="G5124" s="10">
        <f t="shared" si="9"/>
        <v>43106.64583</v>
      </c>
      <c r="H5124" s="6" t="str">
        <f t="shared" si="6"/>
        <v/>
      </c>
      <c r="I5124" s="2">
        <f t="shared" si="7"/>
        <v>1426.89</v>
      </c>
      <c r="M5124" s="10">
        <f>IFERROR(__xludf.DUMMYFUNCTION("""COMPUTED_VALUE"""),45414.66666666667)</f>
        <v>45414.66667</v>
      </c>
      <c r="N5124" s="2">
        <f>IFERROR(__xludf.DUMMYFUNCTION("""COMPUTED_VALUE"""),15840.96)</f>
        <v>15840.96</v>
      </c>
    </row>
    <row r="5125">
      <c r="A5125" s="10">
        <f t="shared" si="8"/>
        <v>43107.66667</v>
      </c>
      <c r="B5125" s="2" t="str">
        <f t="shared" si="2"/>
        <v/>
      </c>
      <c r="C5125" s="2" t="str">
        <f t="shared" si="3"/>
        <v>SP500</v>
      </c>
      <c r="D5125" s="2" t="str">
        <f t="shared" si="4"/>
        <v/>
      </c>
      <c r="E5125" s="2">
        <f t="shared" si="5"/>
        <v>7136.56</v>
      </c>
      <c r="G5125" s="10">
        <f t="shared" si="9"/>
        <v>43107.64583</v>
      </c>
      <c r="H5125" s="6" t="str">
        <f t="shared" si="6"/>
        <v/>
      </c>
      <c r="I5125" s="2">
        <f t="shared" si="7"/>
        <v>1426.89</v>
      </c>
      <c r="M5125" s="10">
        <f>IFERROR(__xludf.DUMMYFUNCTION("""COMPUTED_VALUE"""),45415.66666666667)</f>
        <v>45415.66667</v>
      </c>
      <c r="N5125" s="2">
        <f>IFERROR(__xludf.DUMMYFUNCTION("""COMPUTED_VALUE"""),16156.33)</f>
        <v>16156.33</v>
      </c>
    </row>
    <row r="5126">
      <c r="A5126" s="10">
        <f t="shared" si="8"/>
        <v>43108.66667</v>
      </c>
      <c r="B5126" s="2" t="str">
        <f t="shared" si="2"/>
        <v/>
      </c>
      <c r="C5126" s="2" t="str">
        <f t="shared" si="3"/>
        <v>SP500</v>
      </c>
      <c r="D5126" s="2">
        <f t="shared" si="4"/>
        <v>7157.39</v>
      </c>
      <c r="E5126" s="2">
        <f t="shared" si="5"/>
        <v>7157.39</v>
      </c>
      <c r="G5126" s="10">
        <f t="shared" si="9"/>
        <v>43108.64583</v>
      </c>
      <c r="H5126" s="6" t="str">
        <f t="shared" si="6"/>
        <v/>
      </c>
      <c r="I5126" s="2">
        <f t="shared" si="7"/>
        <v>1426.89</v>
      </c>
      <c r="M5126" s="10">
        <f>IFERROR(__xludf.DUMMYFUNCTION("""COMPUTED_VALUE"""),45418.66666666667)</f>
        <v>45418.66667</v>
      </c>
      <c r="N5126" s="2">
        <f>IFERROR(__xludf.DUMMYFUNCTION("""COMPUTED_VALUE"""),16349.25)</f>
        <v>16349.25</v>
      </c>
    </row>
    <row r="5127">
      <c r="A5127" s="10">
        <f t="shared" si="8"/>
        <v>43109.66667</v>
      </c>
      <c r="B5127" s="2" t="str">
        <f t="shared" si="2"/>
        <v/>
      </c>
      <c r="C5127" s="2" t="str">
        <f t="shared" si="3"/>
        <v>SP500</v>
      </c>
      <c r="D5127" s="2">
        <f t="shared" si="4"/>
        <v>7163.58</v>
      </c>
      <c r="E5127" s="2">
        <f t="shared" si="5"/>
        <v>7163.58</v>
      </c>
      <c r="G5127" s="10">
        <f t="shared" si="9"/>
        <v>43109.64583</v>
      </c>
      <c r="H5127" s="6" t="str">
        <f t="shared" si="6"/>
        <v/>
      </c>
      <c r="I5127" s="2">
        <f t="shared" si="7"/>
        <v>1426.89</v>
      </c>
      <c r="M5127" s="10">
        <f>IFERROR(__xludf.DUMMYFUNCTION("""COMPUTED_VALUE"""),45419.66666666667)</f>
        <v>45419.66667</v>
      </c>
      <c r="N5127" s="2">
        <f>IFERROR(__xludf.DUMMYFUNCTION("""COMPUTED_VALUE"""),16332.56)</f>
        <v>16332.56</v>
      </c>
    </row>
    <row r="5128">
      <c r="A5128" s="10">
        <f t="shared" si="8"/>
        <v>43110.66667</v>
      </c>
      <c r="B5128" s="2" t="str">
        <f t="shared" si="2"/>
        <v/>
      </c>
      <c r="C5128" s="2" t="str">
        <f t="shared" si="3"/>
        <v>SP500</v>
      </c>
      <c r="D5128" s="2">
        <f t="shared" si="4"/>
        <v>7153.57</v>
      </c>
      <c r="E5128" s="2">
        <f t="shared" si="5"/>
        <v>7153.57</v>
      </c>
      <c r="G5128" s="10">
        <f t="shared" si="9"/>
        <v>43110.64583</v>
      </c>
      <c r="H5128" s="6" t="str">
        <f t="shared" si="6"/>
        <v/>
      </c>
      <c r="I5128" s="2">
        <f t="shared" si="7"/>
        <v>1426.89</v>
      </c>
      <c r="M5128" s="10">
        <f>IFERROR(__xludf.DUMMYFUNCTION("""COMPUTED_VALUE"""),45420.66666666667)</f>
        <v>45420.66667</v>
      </c>
      <c r="N5128" s="2">
        <f>IFERROR(__xludf.DUMMYFUNCTION("""COMPUTED_VALUE"""),16302.76)</f>
        <v>16302.76</v>
      </c>
    </row>
    <row r="5129">
      <c r="A5129" s="10">
        <f t="shared" si="8"/>
        <v>43111.66667</v>
      </c>
      <c r="B5129" s="2" t="str">
        <f t="shared" si="2"/>
        <v/>
      </c>
      <c r="C5129" s="2" t="str">
        <f t="shared" si="3"/>
        <v>SP500</v>
      </c>
      <c r="D5129" s="2">
        <f t="shared" si="4"/>
        <v>7211.78</v>
      </c>
      <c r="E5129" s="2">
        <f t="shared" si="5"/>
        <v>7211.78</v>
      </c>
      <c r="G5129" s="10">
        <f t="shared" si="9"/>
        <v>43111.64583</v>
      </c>
      <c r="H5129" s="6" t="str">
        <f t="shared" si="6"/>
        <v/>
      </c>
      <c r="I5129" s="2">
        <f t="shared" si="7"/>
        <v>1426.89</v>
      </c>
      <c r="M5129" s="10">
        <f>IFERROR(__xludf.DUMMYFUNCTION("""COMPUTED_VALUE"""),45421.66666666667)</f>
        <v>45421.66667</v>
      </c>
      <c r="N5129" s="2">
        <f>IFERROR(__xludf.DUMMYFUNCTION("""COMPUTED_VALUE"""),16346.27)</f>
        <v>16346.27</v>
      </c>
    </row>
    <row r="5130">
      <c r="A5130" s="10">
        <f t="shared" si="8"/>
        <v>43112.66667</v>
      </c>
      <c r="B5130" s="2" t="str">
        <f t="shared" si="2"/>
        <v/>
      </c>
      <c r="C5130" s="2" t="str">
        <f t="shared" si="3"/>
        <v>SP500</v>
      </c>
      <c r="D5130" s="2">
        <f t="shared" si="4"/>
        <v>7261.06</v>
      </c>
      <c r="E5130" s="2">
        <f t="shared" si="5"/>
        <v>7261.06</v>
      </c>
      <c r="G5130" s="10">
        <f t="shared" si="9"/>
        <v>43112.64583</v>
      </c>
      <c r="H5130" s="6" t="str">
        <f t="shared" si="6"/>
        <v/>
      </c>
      <c r="I5130" s="2">
        <f t="shared" si="7"/>
        <v>1426.89</v>
      </c>
      <c r="M5130" s="10">
        <f>IFERROR(__xludf.DUMMYFUNCTION("""COMPUTED_VALUE"""),45422.66666666667)</f>
        <v>45422.66667</v>
      </c>
      <c r="N5130" s="2">
        <f>IFERROR(__xludf.DUMMYFUNCTION("""COMPUTED_VALUE"""),16340.87)</f>
        <v>16340.87</v>
      </c>
    </row>
    <row r="5131">
      <c r="A5131" s="10">
        <f t="shared" si="8"/>
        <v>43113.66667</v>
      </c>
      <c r="B5131" s="2" t="str">
        <f t="shared" si="2"/>
        <v/>
      </c>
      <c r="C5131" s="2" t="str">
        <f t="shared" si="3"/>
        <v>SP500</v>
      </c>
      <c r="D5131" s="2" t="str">
        <f t="shared" si="4"/>
        <v/>
      </c>
      <c r="E5131" s="2">
        <f t="shared" si="5"/>
        <v>7261.06</v>
      </c>
      <c r="G5131" s="10">
        <f t="shared" si="9"/>
        <v>43113.64583</v>
      </c>
      <c r="H5131" s="6" t="str">
        <f t="shared" si="6"/>
        <v/>
      </c>
      <c r="I5131" s="2">
        <f t="shared" si="7"/>
        <v>1426.89</v>
      </c>
      <c r="M5131" s="10">
        <f>IFERROR(__xludf.DUMMYFUNCTION("""COMPUTED_VALUE"""),45425.66666666667)</f>
        <v>45425.66667</v>
      </c>
      <c r="N5131" s="2">
        <f>IFERROR(__xludf.DUMMYFUNCTION("""COMPUTED_VALUE"""),16388.24)</f>
        <v>16388.24</v>
      </c>
    </row>
    <row r="5132">
      <c r="A5132" s="10">
        <f t="shared" si="8"/>
        <v>43114.66667</v>
      </c>
      <c r="B5132" s="2" t="str">
        <f t="shared" si="2"/>
        <v/>
      </c>
      <c r="C5132" s="2" t="str">
        <f t="shared" si="3"/>
        <v>SP500</v>
      </c>
      <c r="D5132" s="2" t="str">
        <f t="shared" si="4"/>
        <v/>
      </c>
      <c r="E5132" s="2">
        <f t="shared" si="5"/>
        <v>7261.06</v>
      </c>
      <c r="G5132" s="10">
        <f t="shared" si="9"/>
        <v>43114.64583</v>
      </c>
      <c r="H5132" s="6" t="str">
        <f t="shared" si="6"/>
        <v/>
      </c>
      <c r="I5132" s="2">
        <f t="shared" si="7"/>
        <v>1426.89</v>
      </c>
      <c r="M5132" s="10">
        <f>IFERROR(__xludf.DUMMYFUNCTION("""COMPUTED_VALUE"""),45426.66666666667)</f>
        <v>45426.66667</v>
      </c>
      <c r="N5132" s="2">
        <f>IFERROR(__xludf.DUMMYFUNCTION("""COMPUTED_VALUE"""),16511.18)</f>
        <v>16511.18</v>
      </c>
    </row>
    <row r="5133">
      <c r="A5133" s="10">
        <f t="shared" si="8"/>
        <v>43115.66667</v>
      </c>
      <c r="B5133" s="2" t="str">
        <f t="shared" si="2"/>
        <v/>
      </c>
      <c r="C5133" s="2" t="str">
        <f t="shared" si="3"/>
        <v>SP500</v>
      </c>
      <c r="D5133" s="2" t="str">
        <f t="shared" si="4"/>
        <v/>
      </c>
      <c r="E5133" s="2">
        <f t="shared" si="5"/>
        <v>7261.06</v>
      </c>
      <c r="G5133" s="10">
        <f t="shared" si="9"/>
        <v>43115.64583</v>
      </c>
      <c r="H5133" s="6" t="str">
        <f t="shared" si="6"/>
        <v/>
      </c>
      <c r="I5133" s="2">
        <f t="shared" si="7"/>
        <v>1426.89</v>
      </c>
      <c r="M5133" s="10">
        <f>IFERROR(__xludf.DUMMYFUNCTION("""COMPUTED_VALUE"""),45427.66666666667)</f>
        <v>45427.66667</v>
      </c>
      <c r="N5133" s="2">
        <f>IFERROR(__xludf.DUMMYFUNCTION("""COMPUTED_VALUE"""),16742.39)</f>
        <v>16742.39</v>
      </c>
    </row>
    <row r="5134">
      <c r="A5134" s="10">
        <f t="shared" si="8"/>
        <v>43116.66667</v>
      </c>
      <c r="B5134" s="2" t="str">
        <f t="shared" si="2"/>
        <v/>
      </c>
      <c r="C5134" s="2" t="str">
        <f t="shared" si="3"/>
        <v>SP500</v>
      </c>
      <c r="D5134" s="2">
        <f t="shared" si="4"/>
        <v>7223.69</v>
      </c>
      <c r="E5134" s="2">
        <f t="shared" si="5"/>
        <v>7223.69</v>
      </c>
      <c r="G5134" s="10">
        <f t="shared" si="9"/>
        <v>43116.64583</v>
      </c>
      <c r="H5134" s="6" t="str">
        <f t="shared" si="6"/>
        <v/>
      </c>
      <c r="I5134" s="2">
        <f t="shared" si="7"/>
        <v>1426.89</v>
      </c>
      <c r="M5134" s="10">
        <f>IFERROR(__xludf.DUMMYFUNCTION("""COMPUTED_VALUE"""),45428.66666666667)</f>
        <v>45428.66667</v>
      </c>
      <c r="N5134" s="2">
        <f>IFERROR(__xludf.DUMMYFUNCTION("""COMPUTED_VALUE"""),16698.32)</f>
        <v>16698.32</v>
      </c>
    </row>
    <row r="5135">
      <c r="A5135" s="10">
        <f t="shared" si="8"/>
        <v>43117.66667</v>
      </c>
      <c r="B5135" s="2" t="str">
        <f t="shared" si="2"/>
        <v/>
      </c>
      <c r="C5135" s="2" t="str">
        <f t="shared" si="3"/>
        <v>SP500</v>
      </c>
      <c r="D5135" s="2">
        <f t="shared" si="4"/>
        <v>7298.28</v>
      </c>
      <c r="E5135" s="2">
        <f t="shared" si="5"/>
        <v>7298.28</v>
      </c>
      <c r="G5135" s="10">
        <f t="shared" si="9"/>
        <v>43117.64583</v>
      </c>
      <c r="H5135" s="6" t="str">
        <f t="shared" si="6"/>
        <v/>
      </c>
      <c r="I5135" s="2">
        <f t="shared" si="7"/>
        <v>1426.89</v>
      </c>
      <c r="M5135" s="10">
        <f>IFERROR(__xludf.DUMMYFUNCTION("""COMPUTED_VALUE"""),45429.66666666667)</f>
        <v>45429.66667</v>
      </c>
      <c r="N5135" s="2">
        <f>IFERROR(__xludf.DUMMYFUNCTION("""COMPUTED_VALUE"""),16685.97)</f>
        <v>16685.97</v>
      </c>
    </row>
    <row r="5136">
      <c r="A5136" s="10">
        <f t="shared" si="8"/>
        <v>43118.66667</v>
      </c>
      <c r="B5136" s="2" t="str">
        <f t="shared" si="2"/>
        <v/>
      </c>
      <c r="C5136" s="2" t="str">
        <f t="shared" si="3"/>
        <v>SP500</v>
      </c>
      <c r="D5136" s="2">
        <f t="shared" si="4"/>
        <v>7296.05</v>
      </c>
      <c r="E5136" s="2">
        <f t="shared" si="5"/>
        <v>7296.05</v>
      </c>
      <c r="G5136" s="10">
        <f t="shared" si="9"/>
        <v>43118.64583</v>
      </c>
      <c r="H5136" s="6" t="str">
        <f t="shared" si="6"/>
        <v/>
      </c>
      <c r="I5136" s="2">
        <f t="shared" si="7"/>
        <v>1426.89</v>
      </c>
      <c r="M5136" s="10">
        <f>IFERROR(__xludf.DUMMYFUNCTION("""COMPUTED_VALUE"""),45432.66666666667)</f>
        <v>45432.66667</v>
      </c>
      <c r="N5136" s="2">
        <f>IFERROR(__xludf.DUMMYFUNCTION("""COMPUTED_VALUE"""),16794.87)</f>
        <v>16794.87</v>
      </c>
    </row>
    <row r="5137">
      <c r="A5137" s="10">
        <f t="shared" si="8"/>
        <v>43119.66667</v>
      </c>
      <c r="B5137" s="2" t="str">
        <f t="shared" si="2"/>
        <v/>
      </c>
      <c r="C5137" s="2" t="str">
        <f t="shared" si="3"/>
        <v>SP500</v>
      </c>
      <c r="D5137" s="2">
        <f t="shared" si="4"/>
        <v>7336.38</v>
      </c>
      <c r="E5137" s="2">
        <f t="shared" si="5"/>
        <v>7336.38</v>
      </c>
      <c r="G5137" s="10">
        <f t="shared" si="9"/>
        <v>43119.64583</v>
      </c>
      <c r="H5137" s="6" t="str">
        <f t="shared" si="6"/>
        <v/>
      </c>
      <c r="I5137" s="2">
        <f t="shared" si="7"/>
        <v>1426.89</v>
      </c>
      <c r="M5137" s="10">
        <f>IFERROR(__xludf.DUMMYFUNCTION("""COMPUTED_VALUE"""),45433.66666666667)</f>
        <v>45433.66667</v>
      </c>
      <c r="N5137" s="2">
        <f>IFERROR(__xludf.DUMMYFUNCTION("""COMPUTED_VALUE"""),16832.62)</f>
        <v>16832.62</v>
      </c>
    </row>
    <row r="5138">
      <c r="A5138" s="10">
        <f t="shared" si="8"/>
        <v>43120.66667</v>
      </c>
      <c r="B5138" s="2" t="str">
        <f t="shared" si="2"/>
        <v/>
      </c>
      <c r="C5138" s="2" t="str">
        <f t="shared" si="3"/>
        <v>SP500</v>
      </c>
      <c r="D5138" s="2" t="str">
        <f t="shared" si="4"/>
        <v/>
      </c>
      <c r="E5138" s="2">
        <f t="shared" si="5"/>
        <v>7336.38</v>
      </c>
      <c r="G5138" s="10">
        <f t="shared" si="9"/>
        <v>43120.64583</v>
      </c>
      <c r="H5138" s="6" t="str">
        <f t="shared" si="6"/>
        <v/>
      </c>
      <c r="I5138" s="2">
        <f t="shared" si="7"/>
        <v>1426.89</v>
      </c>
      <c r="M5138" s="10">
        <f>IFERROR(__xludf.DUMMYFUNCTION("""COMPUTED_VALUE"""),45434.66666666667)</f>
        <v>45434.66667</v>
      </c>
      <c r="N5138" s="2">
        <f>IFERROR(__xludf.DUMMYFUNCTION("""COMPUTED_VALUE"""),16801.54)</f>
        <v>16801.54</v>
      </c>
    </row>
    <row r="5139">
      <c r="A5139" s="10">
        <f t="shared" si="8"/>
        <v>43121.66667</v>
      </c>
      <c r="B5139" s="2" t="str">
        <f t="shared" si="2"/>
        <v/>
      </c>
      <c r="C5139" s="2" t="str">
        <f t="shared" si="3"/>
        <v>SP500</v>
      </c>
      <c r="D5139" s="2" t="str">
        <f t="shared" si="4"/>
        <v/>
      </c>
      <c r="E5139" s="2">
        <f t="shared" si="5"/>
        <v>7336.38</v>
      </c>
      <c r="G5139" s="10">
        <f t="shared" si="9"/>
        <v>43121.64583</v>
      </c>
      <c r="H5139" s="6" t="str">
        <f t="shared" si="6"/>
        <v/>
      </c>
      <c r="I5139" s="2">
        <f t="shared" si="7"/>
        <v>1426.89</v>
      </c>
      <c r="M5139" s="10">
        <f>IFERROR(__xludf.DUMMYFUNCTION("""COMPUTED_VALUE"""),45435.66666666667)</f>
        <v>45435.66667</v>
      </c>
      <c r="N5139" s="2">
        <f>IFERROR(__xludf.DUMMYFUNCTION("""COMPUTED_VALUE"""),16736.03)</f>
        <v>16736.03</v>
      </c>
    </row>
    <row r="5140">
      <c r="A5140" s="10">
        <f t="shared" si="8"/>
        <v>43122.66667</v>
      </c>
      <c r="B5140" s="2" t="str">
        <f t="shared" si="2"/>
        <v/>
      </c>
      <c r="C5140" s="2" t="str">
        <f t="shared" si="3"/>
        <v>SP500</v>
      </c>
      <c r="D5140" s="2">
        <f t="shared" si="4"/>
        <v>7408.03</v>
      </c>
      <c r="E5140" s="2">
        <f t="shared" si="5"/>
        <v>7408.03</v>
      </c>
      <c r="G5140" s="10">
        <f t="shared" si="9"/>
        <v>43122.64583</v>
      </c>
      <c r="H5140" s="6" t="str">
        <f t="shared" si="6"/>
        <v/>
      </c>
      <c r="I5140" s="2">
        <f t="shared" si="7"/>
        <v>1426.89</v>
      </c>
      <c r="M5140" s="10">
        <f>IFERROR(__xludf.DUMMYFUNCTION("""COMPUTED_VALUE"""),45436.66666666667)</f>
        <v>45436.66667</v>
      </c>
      <c r="N5140" s="2">
        <f>IFERROR(__xludf.DUMMYFUNCTION("""COMPUTED_VALUE"""),16920.79)</f>
        <v>16920.79</v>
      </c>
    </row>
    <row r="5141">
      <c r="A5141" s="10">
        <f t="shared" si="8"/>
        <v>43123.66667</v>
      </c>
      <c r="B5141" s="2" t="str">
        <f t="shared" si="2"/>
        <v/>
      </c>
      <c r="C5141" s="2" t="str">
        <f t="shared" si="3"/>
        <v>SP500</v>
      </c>
      <c r="D5141" s="2">
        <f t="shared" si="4"/>
        <v>7460.29</v>
      </c>
      <c r="E5141" s="2">
        <f t="shared" si="5"/>
        <v>7460.29</v>
      </c>
      <c r="G5141" s="10">
        <f t="shared" si="9"/>
        <v>43123.64583</v>
      </c>
      <c r="H5141" s="6" t="str">
        <f t="shared" si="6"/>
        <v/>
      </c>
      <c r="I5141" s="2">
        <f t="shared" si="7"/>
        <v>1426.89</v>
      </c>
      <c r="M5141" s="10">
        <f>IFERROR(__xludf.DUMMYFUNCTION("""COMPUTED_VALUE"""),45440.66666666667)</f>
        <v>45440.66667</v>
      </c>
      <c r="N5141" s="2">
        <f>IFERROR(__xludf.DUMMYFUNCTION("""COMPUTED_VALUE"""),17019.88)</f>
        <v>17019.88</v>
      </c>
    </row>
    <row r="5142">
      <c r="A5142" s="10">
        <f t="shared" si="8"/>
        <v>43124.66667</v>
      </c>
      <c r="B5142" s="2" t="str">
        <f t="shared" si="2"/>
        <v/>
      </c>
      <c r="C5142" s="2" t="str">
        <f t="shared" si="3"/>
        <v>SP500</v>
      </c>
      <c r="D5142" s="2">
        <f t="shared" si="4"/>
        <v>7415.06</v>
      </c>
      <c r="E5142" s="2">
        <f t="shared" si="5"/>
        <v>7415.06</v>
      </c>
      <c r="G5142" s="10">
        <f t="shared" si="9"/>
        <v>43124.64583</v>
      </c>
      <c r="H5142" s="6" t="str">
        <f t="shared" si="6"/>
        <v/>
      </c>
      <c r="I5142" s="2">
        <f t="shared" si="7"/>
        <v>1426.89</v>
      </c>
      <c r="M5142" s="10">
        <f>IFERROR(__xludf.DUMMYFUNCTION("""COMPUTED_VALUE"""),45441.66666666667)</f>
        <v>45441.66667</v>
      </c>
      <c r="N5142" s="2">
        <f>IFERROR(__xludf.DUMMYFUNCTION("""COMPUTED_VALUE"""),16920.58)</f>
        <v>16920.58</v>
      </c>
    </row>
    <row r="5143">
      <c r="A5143" s="10">
        <f t="shared" si="8"/>
        <v>43125.66667</v>
      </c>
      <c r="B5143" s="2" t="str">
        <f t="shared" si="2"/>
        <v/>
      </c>
      <c r="C5143" s="2" t="str">
        <f t="shared" si="3"/>
        <v>SP500</v>
      </c>
      <c r="D5143" s="2">
        <f t="shared" si="4"/>
        <v>7411.16</v>
      </c>
      <c r="E5143" s="2">
        <f t="shared" si="5"/>
        <v>7411.16</v>
      </c>
      <c r="G5143" s="10">
        <f t="shared" si="9"/>
        <v>43125.64583</v>
      </c>
      <c r="H5143" s="6" t="str">
        <f t="shared" si="6"/>
        <v/>
      </c>
      <c r="I5143" s="2">
        <f t="shared" si="7"/>
        <v>1426.89</v>
      </c>
      <c r="M5143" s="10">
        <f>IFERROR(__xludf.DUMMYFUNCTION("""COMPUTED_VALUE"""),45442.66666666667)</f>
        <v>45442.66667</v>
      </c>
      <c r="N5143" s="2">
        <f>IFERROR(__xludf.DUMMYFUNCTION("""COMPUTED_VALUE"""),16737.08)</f>
        <v>16737.08</v>
      </c>
    </row>
    <row r="5144">
      <c r="A5144" s="10">
        <f t="shared" si="8"/>
        <v>43126.66667</v>
      </c>
      <c r="B5144" s="2" t="str">
        <f t="shared" si="2"/>
        <v/>
      </c>
      <c r="C5144" s="2" t="str">
        <f t="shared" si="3"/>
        <v>SP500</v>
      </c>
      <c r="D5144" s="2">
        <f t="shared" si="4"/>
        <v>7505.77</v>
      </c>
      <c r="E5144" s="2">
        <f t="shared" si="5"/>
        <v>7505.77</v>
      </c>
      <c r="G5144" s="10">
        <f t="shared" si="9"/>
        <v>43126.64583</v>
      </c>
      <c r="H5144" s="6" t="str">
        <f t="shared" si="6"/>
        <v/>
      </c>
      <c r="I5144" s="2">
        <f t="shared" si="7"/>
        <v>1426.89</v>
      </c>
      <c r="M5144" s="10">
        <f>IFERROR(__xludf.DUMMYFUNCTION("""COMPUTED_VALUE"""),45443.66666666667)</f>
        <v>45443.66667</v>
      </c>
      <c r="N5144" s="2">
        <f>IFERROR(__xludf.DUMMYFUNCTION("""COMPUTED_VALUE"""),16735.02)</f>
        <v>16735.02</v>
      </c>
    </row>
    <row r="5145">
      <c r="A5145" s="10">
        <f t="shared" si="8"/>
        <v>43127.66667</v>
      </c>
      <c r="B5145" s="2" t="str">
        <f t="shared" si="2"/>
        <v/>
      </c>
      <c r="C5145" s="2" t="str">
        <f t="shared" si="3"/>
        <v>SP500</v>
      </c>
      <c r="D5145" s="2" t="str">
        <f t="shared" si="4"/>
        <v/>
      </c>
      <c r="E5145" s="2">
        <f t="shared" si="5"/>
        <v>7505.77</v>
      </c>
      <c r="G5145" s="10">
        <f t="shared" si="9"/>
        <v>43127.64583</v>
      </c>
      <c r="H5145" s="6" t="str">
        <f t="shared" si="6"/>
        <v/>
      </c>
      <c r="I5145" s="2">
        <f t="shared" si="7"/>
        <v>1426.89</v>
      </c>
      <c r="M5145" s="10">
        <f>IFERROR(__xludf.DUMMYFUNCTION("""COMPUTED_VALUE"""),45446.66666666667)</f>
        <v>45446.66667</v>
      </c>
      <c r="N5145" s="2">
        <f>IFERROR(__xludf.DUMMYFUNCTION("""COMPUTED_VALUE"""),16828.67)</f>
        <v>16828.67</v>
      </c>
    </row>
    <row r="5146">
      <c r="A5146" s="10">
        <f t="shared" si="8"/>
        <v>43128.66667</v>
      </c>
      <c r="B5146" s="2" t="str">
        <f t="shared" si="2"/>
        <v/>
      </c>
      <c r="C5146" s="2" t="str">
        <f t="shared" si="3"/>
        <v>SP500</v>
      </c>
      <c r="D5146" s="2" t="str">
        <f t="shared" si="4"/>
        <v/>
      </c>
      <c r="E5146" s="2">
        <f t="shared" si="5"/>
        <v>7505.77</v>
      </c>
      <c r="G5146" s="10">
        <f t="shared" si="9"/>
        <v>43128.64583</v>
      </c>
      <c r="H5146" s="6" t="str">
        <f t="shared" si="6"/>
        <v/>
      </c>
      <c r="I5146" s="2">
        <f t="shared" si="7"/>
        <v>1426.89</v>
      </c>
      <c r="M5146" s="10">
        <f>IFERROR(__xludf.DUMMYFUNCTION("""COMPUTED_VALUE"""),45447.66666666667)</f>
        <v>45447.66667</v>
      </c>
      <c r="N5146" s="2">
        <f>IFERROR(__xludf.DUMMYFUNCTION("""COMPUTED_VALUE"""),16857.05)</f>
        <v>16857.05</v>
      </c>
    </row>
    <row r="5147">
      <c r="A5147" s="10">
        <f t="shared" si="8"/>
        <v>43129.66667</v>
      </c>
      <c r="B5147" s="2" t="str">
        <f t="shared" si="2"/>
        <v/>
      </c>
      <c r="C5147" s="2" t="str">
        <f t="shared" si="3"/>
        <v>SP500</v>
      </c>
      <c r="D5147" s="2">
        <f t="shared" si="4"/>
        <v>7466.51</v>
      </c>
      <c r="E5147" s="2">
        <f t="shared" si="5"/>
        <v>7466.51</v>
      </c>
      <c r="G5147" s="10">
        <f t="shared" si="9"/>
        <v>43129.64583</v>
      </c>
      <c r="H5147" s="6" t="str">
        <f t="shared" si="6"/>
        <v/>
      </c>
      <c r="I5147" s="2">
        <f t="shared" si="7"/>
        <v>1426.89</v>
      </c>
      <c r="M5147" s="10">
        <f>IFERROR(__xludf.DUMMYFUNCTION("""COMPUTED_VALUE"""),45448.66666666667)</f>
        <v>45448.66667</v>
      </c>
      <c r="N5147" s="2">
        <f>IFERROR(__xludf.DUMMYFUNCTION("""COMPUTED_VALUE"""),17187.91)</f>
        <v>17187.91</v>
      </c>
    </row>
    <row r="5148">
      <c r="A5148" s="10">
        <f t="shared" si="8"/>
        <v>43130.66667</v>
      </c>
      <c r="B5148" s="2" t="str">
        <f t="shared" si="2"/>
        <v/>
      </c>
      <c r="C5148" s="2" t="str">
        <f t="shared" si="3"/>
        <v>SP500</v>
      </c>
      <c r="D5148" s="2">
        <f t="shared" si="4"/>
        <v>7402.48</v>
      </c>
      <c r="E5148" s="2">
        <f t="shared" si="5"/>
        <v>7402.48</v>
      </c>
      <c r="G5148" s="10">
        <f t="shared" si="9"/>
        <v>43130.64583</v>
      </c>
      <c r="H5148" s="6" t="str">
        <f t="shared" si="6"/>
        <v/>
      </c>
      <c r="I5148" s="2">
        <f t="shared" si="7"/>
        <v>1426.89</v>
      </c>
      <c r="M5148" s="10">
        <f>IFERROR(__xludf.DUMMYFUNCTION("""COMPUTED_VALUE"""),45449.66666666667)</f>
        <v>45449.66667</v>
      </c>
      <c r="N5148" s="2">
        <f>IFERROR(__xludf.DUMMYFUNCTION("""COMPUTED_VALUE"""),17173.12)</f>
        <v>17173.12</v>
      </c>
    </row>
    <row r="5149">
      <c r="A5149" s="10">
        <f t="shared" si="8"/>
        <v>43131.66667</v>
      </c>
      <c r="B5149" s="2" t="str">
        <f t="shared" si="2"/>
        <v/>
      </c>
      <c r="C5149" s="2" t="str">
        <f t="shared" si="3"/>
        <v>SP500</v>
      </c>
      <c r="D5149" s="2">
        <f t="shared" si="4"/>
        <v>7411.48</v>
      </c>
      <c r="E5149" s="2">
        <f t="shared" si="5"/>
        <v>7411.48</v>
      </c>
      <c r="G5149" s="10">
        <f t="shared" si="9"/>
        <v>43131.64583</v>
      </c>
      <c r="H5149" s="6" t="str">
        <f t="shared" si="6"/>
        <v/>
      </c>
      <c r="I5149" s="2">
        <f t="shared" si="7"/>
        <v>1426.89</v>
      </c>
      <c r="M5149" s="10">
        <f>IFERROR(__xludf.DUMMYFUNCTION("""COMPUTED_VALUE"""),45450.66666666667)</f>
        <v>45450.66667</v>
      </c>
      <c r="N5149" s="2">
        <f>IFERROR(__xludf.DUMMYFUNCTION("""COMPUTED_VALUE"""),17133.13)</f>
        <v>17133.13</v>
      </c>
    </row>
    <row r="5150">
      <c r="A5150" s="10">
        <f t="shared" si="8"/>
        <v>43132.66667</v>
      </c>
      <c r="B5150" s="2" t="str">
        <f t="shared" si="2"/>
        <v/>
      </c>
      <c r="C5150" s="2" t="str">
        <f t="shared" si="3"/>
        <v>SP500</v>
      </c>
      <c r="D5150" s="2">
        <f t="shared" si="4"/>
        <v>7385.86</v>
      </c>
      <c r="E5150" s="2">
        <f t="shared" si="5"/>
        <v>7385.86</v>
      </c>
      <c r="G5150" s="10">
        <f t="shared" si="9"/>
        <v>43132.64583</v>
      </c>
      <c r="H5150" s="6" t="str">
        <f t="shared" si="6"/>
        <v/>
      </c>
      <c r="I5150" s="2">
        <f t="shared" si="7"/>
        <v>1426.89</v>
      </c>
      <c r="M5150" s="10">
        <f>IFERROR(__xludf.DUMMYFUNCTION("""COMPUTED_VALUE"""),45453.66666666667)</f>
        <v>45453.66667</v>
      </c>
      <c r="N5150" s="2">
        <f>IFERROR(__xludf.DUMMYFUNCTION("""COMPUTED_VALUE"""),17192.53)</f>
        <v>17192.53</v>
      </c>
    </row>
    <row r="5151">
      <c r="A5151" s="10">
        <f t="shared" si="8"/>
        <v>43133.66667</v>
      </c>
      <c r="B5151" s="2" t="str">
        <f t="shared" si="2"/>
        <v/>
      </c>
      <c r="C5151" s="2" t="str">
        <f t="shared" si="3"/>
        <v>SP500</v>
      </c>
      <c r="D5151" s="2">
        <f t="shared" si="4"/>
        <v>7240.95</v>
      </c>
      <c r="E5151" s="2">
        <f t="shared" si="5"/>
        <v>7240.95</v>
      </c>
      <c r="G5151" s="10">
        <f t="shared" si="9"/>
        <v>43133.64583</v>
      </c>
      <c r="H5151" s="6" t="str">
        <f t="shared" si="6"/>
        <v/>
      </c>
      <c r="I5151" s="2">
        <f t="shared" si="7"/>
        <v>1426.89</v>
      </c>
      <c r="M5151" s="10">
        <f>IFERROR(__xludf.DUMMYFUNCTION("""COMPUTED_VALUE"""),45454.66666666667)</f>
        <v>45454.66667</v>
      </c>
      <c r="N5151" s="2">
        <f>IFERROR(__xludf.DUMMYFUNCTION("""COMPUTED_VALUE"""),17343.55)</f>
        <v>17343.55</v>
      </c>
    </row>
    <row r="5152">
      <c r="A5152" s="10">
        <f t="shared" si="8"/>
        <v>43134.66667</v>
      </c>
      <c r="B5152" s="2" t="str">
        <f t="shared" si="2"/>
        <v/>
      </c>
      <c r="C5152" s="2" t="str">
        <f t="shared" si="3"/>
        <v>SP500</v>
      </c>
      <c r="D5152" s="2" t="str">
        <f t="shared" si="4"/>
        <v/>
      </c>
      <c r="E5152" s="2">
        <f t="shared" si="5"/>
        <v>7240.95</v>
      </c>
      <c r="G5152" s="10">
        <f t="shared" si="9"/>
        <v>43134.64583</v>
      </c>
      <c r="H5152" s="6" t="str">
        <f t="shared" si="6"/>
        <v/>
      </c>
      <c r="I5152" s="2">
        <f t="shared" si="7"/>
        <v>1426.89</v>
      </c>
      <c r="M5152" s="10">
        <f>IFERROR(__xludf.DUMMYFUNCTION("""COMPUTED_VALUE"""),45455.66666666667)</f>
        <v>45455.66667</v>
      </c>
      <c r="N5152" s="2">
        <f>IFERROR(__xludf.DUMMYFUNCTION("""COMPUTED_VALUE"""),17608.44)</f>
        <v>17608.44</v>
      </c>
    </row>
    <row r="5153">
      <c r="A5153" s="10">
        <f t="shared" si="8"/>
        <v>43135.66667</v>
      </c>
      <c r="B5153" s="2" t="str">
        <f t="shared" si="2"/>
        <v/>
      </c>
      <c r="C5153" s="2" t="str">
        <f t="shared" si="3"/>
        <v>SP500</v>
      </c>
      <c r="D5153" s="2" t="str">
        <f t="shared" si="4"/>
        <v/>
      </c>
      <c r="E5153" s="2">
        <f t="shared" si="5"/>
        <v>7240.95</v>
      </c>
      <c r="G5153" s="10">
        <f t="shared" si="9"/>
        <v>43135.64583</v>
      </c>
      <c r="H5153" s="6" t="str">
        <f t="shared" si="6"/>
        <v/>
      </c>
      <c r="I5153" s="2">
        <f t="shared" si="7"/>
        <v>1426.89</v>
      </c>
      <c r="M5153" s="10">
        <f>IFERROR(__xludf.DUMMYFUNCTION("""COMPUTED_VALUE"""),45456.66666666667)</f>
        <v>45456.66667</v>
      </c>
      <c r="N5153" s="2">
        <f>IFERROR(__xludf.DUMMYFUNCTION("""COMPUTED_VALUE"""),17667.56)</f>
        <v>17667.56</v>
      </c>
    </row>
    <row r="5154">
      <c r="A5154" s="10">
        <f t="shared" si="8"/>
        <v>43136.66667</v>
      </c>
      <c r="B5154" s="2" t="str">
        <f t="shared" si="2"/>
        <v/>
      </c>
      <c r="C5154" s="2" t="str">
        <f t="shared" si="3"/>
        <v>SP500</v>
      </c>
      <c r="D5154" s="2">
        <f t="shared" si="4"/>
        <v>6967.53</v>
      </c>
      <c r="E5154" s="2">
        <f t="shared" si="5"/>
        <v>6967.53</v>
      </c>
      <c r="G5154" s="10">
        <f t="shared" si="9"/>
        <v>43136.64583</v>
      </c>
      <c r="H5154" s="6" t="str">
        <f t="shared" si="6"/>
        <v/>
      </c>
      <c r="I5154" s="2">
        <f t="shared" si="7"/>
        <v>1426.89</v>
      </c>
      <c r="M5154" s="10">
        <f>IFERROR(__xludf.DUMMYFUNCTION("""COMPUTED_VALUE"""),45457.66666666667)</f>
        <v>45457.66667</v>
      </c>
      <c r="N5154" s="2">
        <f>IFERROR(__xludf.DUMMYFUNCTION("""COMPUTED_VALUE"""),17688.88)</f>
        <v>17688.88</v>
      </c>
    </row>
    <row r="5155">
      <c r="A5155" s="10">
        <f t="shared" si="8"/>
        <v>43137.66667</v>
      </c>
      <c r="B5155" s="2" t="str">
        <f t="shared" si="2"/>
        <v/>
      </c>
      <c r="C5155" s="2" t="str">
        <f t="shared" si="3"/>
        <v>SP500</v>
      </c>
      <c r="D5155" s="2">
        <f t="shared" si="4"/>
        <v>7115.88</v>
      </c>
      <c r="E5155" s="2">
        <f t="shared" si="5"/>
        <v>7115.88</v>
      </c>
      <c r="G5155" s="10">
        <f t="shared" si="9"/>
        <v>43137.64583</v>
      </c>
      <c r="H5155" s="6" t="str">
        <f t="shared" si="6"/>
        <v/>
      </c>
      <c r="I5155" s="2">
        <f t="shared" si="7"/>
        <v>1426.89</v>
      </c>
      <c r="M5155" s="10">
        <f>IFERROR(__xludf.DUMMYFUNCTION("""COMPUTED_VALUE"""),45460.66666666667)</f>
        <v>45460.66667</v>
      </c>
      <c r="N5155" s="2">
        <f>IFERROR(__xludf.DUMMYFUNCTION("""COMPUTED_VALUE"""),17857.02)</f>
        <v>17857.02</v>
      </c>
    </row>
    <row r="5156">
      <c r="A5156" s="10">
        <f t="shared" si="8"/>
        <v>43138.66667</v>
      </c>
      <c r="B5156" s="2" t="str">
        <f t="shared" si="2"/>
        <v/>
      </c>
      <c r="C5156" s="2" t="str">
        <f t="shared" si="3"/>
        <v>SP500</v>
      </c>
      <c r="D5156" s="2">
        <f t="shared" si="4"/>
        <v>7051.98</v>
      </c>
      <c r="E5156" s="2">
        <f t="shared" si="5"/>
        <v>7051.98</v>
      </c>
      <c r="G5156" s="10">
        <f t="shared" si="9"/>
        <v>43138.64583</v>
      </c>
      <c r="H5156" s="6" t="str">
        <f t="shared" si="6"/>
        <v/>
      </c>
      <c r="I5156" s="2">
        <f t="shared" si="7"/>
        <v>1426.89</v>
      </c>
      <c r="M5156" s="10">
        <f>IFERROR(__xludf.DUMMYFUNCTION("""COMPUTED_VALUE"""),45461.66666666667)</f>
        <v>45461.66667</v>
      </c>
      <c r="N5156" s="2">
        <f>IFERROR(__xludf.DUMMYFUNCTION("""COMPUTED_VALUE"""),17862.23)</f>
        <v>17862.23</v>
      </c>
    </row>
    <row r="5157">
      <c r="A5157" s="10">
        <f t="shared" si="8"/>
        <v>43139.66667</v>
      </c>
      <c r="B5157" s="2" t="str">
        <f t="shared" si="2"/>
        <v/>
      </c>
      <c r="C5157" s="2" t="str">
        <f t="shared" si="3"/>
        <v>SP500</v>
      </c>
      <c r="D5157" s="2">
        <f t="shared" si="4"/>
        <v>6777.16</v>
      </c>
      <c r="E5157" s="2">
        <f t="shared" si="5"/>
        <v>6777.16</v>
      </c>
      <c r="G5157" s="10">
        <f t="shared" si="9"/>
        <v>43139.64583</v>
      </c>
      <c r="H5157" s="6" t="str">
        <f t="shared" si="6"/>
        <v/>
      </c>
      <c r="I5157" s="2">
        <f t="shared" si="7"/>
        <v>1426.89</v>
      </c>
      <c r="M5157" s="10">
        <f>IFERROR(__xludf.DUMMYFUNCTION("""COMPUTED_VALUE"""),45463.66666666667)</f>
        <v>45463.66667</v>
      </c>
      <c r="N5157" s="2">
        <f>IFERROR(__xludf.DUMMYFUNCTION("""COMPUTED_VALUE"""),17721.59)</f>
        <v>17721.59</v>
      </c>
    </row>
    <row r="5158">
      <c r="A5158" s="10">
        <f t="shared" si="8"/>
        <v>43140.66667</v>
      </c>
      <c r="B5158" s="2" t="str">
        <f t="shared" si="2"/>
        <v/>
      </c>
      <c r="C5158" s="2" t="str">
        <f t="shared" si="3"/>
        <v>SP500</v>
      </c>
      <c r="D5158" s="2">
        <f t="shared" si="4"/>
        <v>6874.49</v>
      </c>
      <c r="E5158" s="2">
        <f t="shared" si="5"/>
        <v>6874.49</v>
      </c>
      <c r="G5158" s="10">
        <f t="shared" si="9"/>
        <v>43140.64583</v>
      </c>
      <c r="H5158" s="6" t="str">
        <f t="shared" si="6"/>
        <v/>
      </c>
      <c r="I5158" s="2">
        <f t="shared" si="7"/>
        <v>1426.89</v>
      </c>
      <c r="M5158" s="10">
        <f>IFERROR(__xludf.DUMMYFUNCTION("""COMPUTED_VALUE"""),45464.66666666667)</f>
        <v>45464.66667</v>
      </c>
      <c r="N5158" s="2">
        <f>IFERROR(__xludf.DUMMYFUNCTION("""COMPUTED_VALUE"""),17689.36)</f>
        <v>17689.36</v>
      </c>
    </row>
    <row r="5159">
      <c r="A5159" s="10">
        <f t="shared" si="8"/>
        <v>43141.66667</v>
      </c>
      <c r="B5159" s="2" t="str">
        <f t="shared" si="2"/>
        <v/>
      </c>
      <c r="C5159" s="2" t="str">
        <f t="shared" si="3"/>
        <v>SP500</v>
      </c>
      <c r="D5159" s="2" t="str">
        <f t="shared" si="4"/>
        <v/>
      </c>
      <c r="E5159" s="2">
        <f t="shared" si="5"/>
        <v>6874.49</v>
      </c>
      <c r="G5159" s="10">
        <f t="shared" si="9"/>
        <v>43141.64583</v>
      </c>
      <c r="H5159" s="6" t="str">
        <f t="shared" si="6"/>
        <v/>
      </c>
      <c r="I5159" s="2">
        <f t="shared" si="7"/>
        <v>1426.89</v>
      </c>
      <c r="M5159" s="10">
        <f>IFERROR(__xludf.DUMMYFUNCTION("""COMPUTED_VALUE"""),45467.66666666667)</f>
        <v>45467.66667</v>
      </c>
      <c r="N5159" s="2">
        <f>IFERROR(__xludf.DUMMYFUNCTION("""COMPUTED_VALUE"""),17496.82)</f>
        <v>17496.82</v>
      </c>
    </row>
    <row r="5160">
      <c r="A5160" s="10">
        <f t="shared" si="8"/>
        <v>43142.66667</v>
      </c>
      <c r="B5160" s="2" t="str">
        <f t="shared" si="2"/>
        <v/>
      </c>
      <c r="C5160" s="2" t="str">
        <f t="shared" si="3"/>
        <v>SP500</v>
      </c>
      <c r="D5160" s="2" t="str">
        <f t="shared" si="4"/>
        <v/>
      </c>
      <c r="E5160" s="2">
        <f t="shared" si="5"/>
        <v>6874.49</v>
      </c>
      <c r="G5160" s="10">
        <f t="shared" si="9"/>
        <v>43142.64583</v>
      </c>
      <c r="H5160" s="6" t="str">
        <f t="shared" si="6"/>
        <v/>
      </c>
      <c r="I5160" s="2">
        <f t="shared" si="7"/>
        <v>1426.89</v>
      </c>
      <c r="M5160" s="10">
        <f>IFERROR(__xludf.DUMMYFUNCTION("""COMPUTED_VALUE"""),45468.66666666667)</f>
        <v>45468.66667</v>
      </c>
      <c r="N5160" s="2">
        <f>IFERROR(__xludf.DUMMYFUNCTION("""COMPUTED_VALUE"""),17717.65)</f>
        <v>17717.65</v>
      </c>
    </row>
    <row r="5161">
      <c r="A5161" s="10">
        <f t="shared" si="8"/>
        <v>43143.66667</v>
      </c>
      <c r="B5161" s="2" t="str">
        <f t="shared" si="2"/>
        <v/>
      </c>
      <c r="C5161" s="2" t="str">
        <f t="shared" si="3"/>
        <v>SP500</v>
      </c>
      <c r="D5161" s="2">
        <f t="shared" si="4"/>
        <v>6981.96</v>
      </c>
      <c r="E5161" s="2">
        <f t="shared" si="5"/>
        <v>6981.96</v>
      </c>
      <c r="G5161" s="10">
        <f t="shared" si="9"/>
        <v>43143.64583</v>
      </c>
      <c r="H5161" s="6" t="str">
        <f t="shared" si="6"/>
        <v/>
      </c>
      <c r="I5161" s="2">
        <f t="shared" si="7"/>
        <v>1426.89</v>
      </c>
      <c r="M5161" s="10">
        <f>IFERROR(__xludf.DUMMYFUNCTION("""COMPUTED_VALUE"""),45469.66666666667)</f>
        <v>45469.66667</v>
      </c>
      <c r="N5161" s="2">
        <f>IFERROR(__xludf.DUMMYFUNCTION("""COMPUTED_VALUE"""),17805.16)</f>
        <v>17805.16</v>
      </c>
    </row>
    <row r="5162">
      <c r="A5162" s="10">
        <f t="shared" si="8"/>
        <v>43144.66667</v>
      </c>
      <c r="B5162" s="2" t="str">
        <f t="shared" si="2"/>
        <v/>
      </c>
      <c r="C5162" s="2" t="str">
        <f t="shared" si="3"/>
        <v>SP500</v>
      </c>
      <c r="D5162" s="2">
        <f t="shared" si="4"/>
        <v>7013.51</v>
      </c>
      <c r="E5162" s="2">
        <f t="shared" si="5"/>
        <v>7013.51</v>
      </c>
      <c r="G5162" s="10">
        <f t="shared" si="9"/>
        <v>43144.64583</v>
      </c>
      <c r="H5162" s="6" t="str">
        <f t="shared" si="6"/>
        <v/>
      </c>
      <c r="I5162" s="2">
        <f t="shared" si="7"/>
        <v>1426.89</v>
      </c>
      <c r="M5162" s="10">
        <f>IFERROR(__xludf.DUMMYFUNCTION("""COMPUTED_VALUE"""),45470.66666666667)</f>
        <v>45470.66667</v>
      </c>
      <c r="N5162" s="2">
        <f>IFERROR(__xludf.DUMMYFUNCTION("""COMPUTED_VALUE"""),17858.68)</f>
        <v>17858.68</v>
      </c>
    </row>
    <row r="5163">
      <c r="A5163" s="10">
        <f t="shared" si="8"/>
        <v>43145.66667</v>
      </c>
      <c r="B5163" s="2" t="str">
        <f t="shared" si="2"/>
        <v/>
      </c>
      <c r="C5163" s="2" t="str">
        <f t="shared" si="3"/>
        <v>SP500</v>
      </c>
      <c r="D5163" s="2">
        <f t="shared" si="4"/>
        <v>7143.62</v>
      </c>
      <c r="E5163" s="2">
        <f t="shared" si="5"/>
        <v>7143.62</v>
      </c>
      <c r="G5163" s="10">
        <f t="shared" si="9"/>
        <v>43145.64583</v>
      </c>
      <c r="H5163" s="6" t="str">
        <f t="shared" si="6"/>
        <v/>
      </c>
      <c r="I5163" s="2">
        <f t="shared" si="7"/>
        <v>1426.89</v>
      </c>
      <c r="M5163" s="10">
        <f>IFERROR(__xludf.DUMMYFUNCTION("""COMPUTED_VALUE"""),45471.66666666667)</f>
        <v>45471.66667</v>
      </c>
      <c r="N5163" s="2">
        <f>IFERROR(__xludf.DUMMYFUNCTION("""COMPUTED_VALUE"""),17732.6)</f>
        <v>17732.6</v>
      </c>
    </row>
    <row r="5164">
      <c r="A5164" s="10">
        <f t="shared" si="8"/>
        <v>43146.66667</v>
      </c>
      <c r="B5164" s="2" t="str">
        <f t="shared" si="2"/>
        <v/>
      </c>
      <c r="C5164" s="2" t="str">
        <f t="shared" si="3"/>
        <v>SP500</v>
      </c>
      <c r="D5164" s="2">
        <f t="shared" si="4"/>
        <v>7256.43</v>
      </c>
      <c r="E5164" s="2">
        <f t="shared" si="5"/>
        <v>7256.43</v>
      </c>
      <c r="G5164" s="10">
        <f t="shared" si="9"/>
        <v>43146.64583</v>
      </c>
      <c r="H5164" s="6" t="str">
        <f t="shared" si="6"/>
        <v/>
      </c>
      <c r="I5164" s="2">
        <f t="shared" si="7"/>
        <v>1426.89</v>
      </c>
      <c r="M5164" s="10">
        <f>IFERROR(__xludf.DUMMYFUNCTION("""COMPUTED_VALUE"""),45474.66666666667)</f>
        <v>45474.66667</v>
      </c>
      <c r="N5164" s="2">
        <f>IFERROR(__xludf.DUMMYFUNCTION("""COMPUTED_VALUE"""),17879.3)</f>
        <v>17879.3</v>
      </c>
    </row>
    <row r="5165">
      <c r="A5165" s="10">
        <f t="shared" si="8"/>
        <v>43147.66667</v>
      </c>
      <c r="B5165" s="2" t="str">
        <f t="shared" si="2"/>
        <v/>
      </c>
      <c r="C5165" s="2" t="str">
        <f t="shared" si="3"/>
        <v>SP500</v>
      </c>
      <c r="D5165" s="2">
        <f t="shared" si="4"/>
        <v>7239.47</v>
      </c>
      <c r="E5165" s="2">
        <f t="shared" si="5"/>
        <v>7239.47</v>
      </c>
      <c r="G5165" s="10">
        <f t="shared" si="9"/>
        <v>43147.64583</v>
      </c>
      <c r="H5165" s="6" t="str">
        <f t="shared" si="6"/>
        <v/>
      </c>
      <c r="I5165" s="2">
        <f t="shared" si="7"/>
        <v>1426.89</v>
      </c>
      <c r="M5165" s="10">
        <f>IFERROR(__xludf.DUMMYFUNCTION("""COMPUTED_VALUE"""),45475.66666666667)</f>
        <v>45475.66667</v>
      </c>
      <c r="N5165" s="2">
        <f>IFERROR(__xludf.DUMMYFUNCTION("""COMPUTED_VALUE"""),18028.76)</f>
        <v>18028.76</v>
      </c>
    </row>
    <row r="5166">
      <c r="A5166" s="10">
        <f t="shared" si="8"/>
        <v>43148.66667</v>
      </c>
      <c r="B5166" s="2" t="str">
        <f t="shared" si="2"/>
        <v/>
      </c>
      <c r="C5166" s="2" t="str">
        <f t="shared" si="3"/>
        <v>SP500</v>
      </c>
      <c r="D5166" s="2" t="str">
        <f t="shared" si="4"/>
        <v/>
      </c>
      <c r="E5166" s="2">
        <f t="shared" si="5"/>
        <v>7239.47</v>
      </c>
      <c r="G5166" s="10">
        <f t="shared" si="9"/>
        <v>43148.64583</v>
      </c>
      <c r="H5166" s="6" t="str">
        <f t="shared" si="6"/>
        <v/>
      </c>
      <c r="I5166" s="2">
        <f t="shared" si="7"/>
        <v>1426.89</v>
      </c>
      <c r="M5166" s="10">
        <f>IFERROR(__xludf.DUMMYFUNCTION("""COMPUTED_VALUE"""),45476.54513888889)</f>
        <v>45476.54514</v>
      </c>
      <c r="N5166" s="2">
        <f>IFERROR(__xludf.DUMMYFUNCTION("""COMPUTED_VALUE"""),18188.3)</f>
        <v>18188.3</v>
      </c>
    </row>
    <row r="5167">
      <c r="A5167" s="10">
        <f t="shared" si="8"/>
        <v>43149.66667</v>
      </c>
      <c r="B5167" s="2" t="str">
        <f t="shared" si="2"/>
        <v/>
      </c>
      <c r="C5167" s="2" t="str">
        <f t="shared" si="3"/>
        <v>SP500</v>
      </c>
      <c r="D5167" s="2" t="str">
        <f t="shared" si="4"/>
        <v/>
      </c>
      <c r="E5167" s="2">
        <f t="shared" si="5"/>
        <v>7239.47</v>
      </c>
      <c r="G5167" s="10">
        <f t="shared" si="9"/>
        <v>43149.64583</v>
      </c>
      <c r="H5167" s="6" t="str">
        <f t="shared" si="6"/>
        <v/>
      </c>
      <c r="I5167" s="2">
        <f t="shared" si="7"/>
        <v>1426.89</v>
      </c>
      <c r="M5167" s="10">
        <f>IFERROR(__xludf.DUMMYFUNCTION("""COMPUTED_VALUE"""),45478.66666666667)</f>
        <v>45478.66667</v>
      </c>
      <c r="N5167" s="2">
        <f>IFERROR(__xludf.DUMMYFUNCTION("""COMPUTED_VALUE"""),18352.76)</f>
        <v>18352.76</v>
      </c>
    </row>
    <row r="5168">
      <c r="A5168" s="10">
        <f t="shared" si="8"/>
        <v>43150.66667</v>
      </c>
      <c r="B5168" s="2" t="str">
        <f t="shared" si="2"/>
        <v/>
      </c>
      <c r="C5168" s="2" t="str">
        <f t="shared" si="3"/>
        <v>SP500</v>
      </c>
      <c r="D5168" s="2" t="str">
        <f t="shared" si="4"/>
        <v/>
      </c>
      <c r="E5168" s="2">
        <f t="shared" si="5"/>
        <v>7239.47</v>
      </c>
      <c r="G5168" s="10">
        <f t="shared" si="9"/>
        <v>43150.64583</v>
      </c>
      <c r="H5168" s="6" t="str">
        <f t="shared" si="6"/>
        <v/>
      </c>
      <c r="I5168" s="2">
        <f t="shared" si="7"/>
        <v>1426.89</v>
      </c>
      <c r="M5168" s="10">
        <f>IFERROR(__xludf.DUMMYFUNCTION("""COMPUTED_VALUE"""),45481.66666666667)</f>
        <v>45481.66667</v>
      </c>
      <c r="N5168" s="2">
        <f>IFERROR(__xludf.DUMMYFUNCTION("""COMPUTED_VALUE"""),18403.74)</f>
        <v>18403.74</v>
      </c>
    </row>
    <row r="5169">
      <c r="A5169" s="10">
        <f t="shared" si="8"/>
        <v>43151.66667</v>
      </c>
      <c r="B5169" s="2" t="str">
        <f t="shared" si="2"/>
        <v/>
      </c>
      <c r="C5169" s="2" t="str">
        <f t="shared" si="3"/>
        <v>SP500</v>
      </c>
      <c r="D5169" s="2">
        <f t="shared" si="4"/>
        <v>7234.31</v>
      </c>
      <c r="E5169" s="2">
        <f t="shared" si="5"/>
        <v>7234.31</v>
      </c>
      <c r="G5169" s="10">
        <f t="shared" si="9"/>
        <v>43151.64583</v>
      </c>
      <c r="H5169" s="6" t="str">
        <f t="shared" si="6"/>
        <v/>
      </c>
      <c r="I5169" s="2">
        <f t="shared" si="7"/>
        <v>1426.89</v>
      </c>
      <c r="M5169" s="10">
        <f>IFERROR(__xludf.DUMMYFUNCTION("""COMPUTED_VALUE"""),45482.66666666667)</f>
        <v>45482.66667</v>
      </c>
      <c r="N5169" s="2">
        <f>IFERROR(__xludf.DUMMYFUNCTION("""COMPUTED_VALUE"""),18429.29)</f>
        <v>18429.29</v>
      </c>
    </row>
    <row r="5170">
      <c r="A5170" s="10">
        <f t="shared" si="8"/>
        <v>43152.66667</v>
      </c>
      <c r="B5170" s="2" t="str">
        <f t="shared" si="2"/>
        <v/>
      </c>
      <c r="C5170" s="2" t="str">
        <f t="shared" si="3"/>
        <v>SP500</v>
      </c>
      <c r="D5170" s="2">
        <f t="shared" si="4"/>
        <v>7218.23</v>
      </c>
      <c r="E5170" s="2">
        <f t="shared" si="5"/>
        <v>7218.23</v>
      </c>
      <c r="G5170" s="10">
        <f t="shared" si="9"/>
        <v>43152.64583</v>
      </c>
      <c r="H5170" s="6" t="str">
        <f t="shared" si="6"/>
        <v/>
      </c>
      <c r="I5170" s="2">
        <f t="shared" si="7"/>
        <v>1426.89</v>
      </c>
      <c r="M5170" s="10">
        <f>IFERROR(__xludf.DUMMYFUNCTION("""COMPUTED_VALUE"""),45483.66666666667)</f>
        <v>45483.66667</v>
      </c>
      <c r="N5170" s="2">
        <f>IFERROR(__xludf.DUMMYFUNCTION("""COMPUTED_VALUE"""),18647.45)</f>
        <v>18647.45</v>
      </c>
    </row>
    <row r="5171">
      <c r="A5171" s="10">
        <f t="shared" si="8"/>
        <v>43153.66667</v>
      </c>
      <c r="B5171" s="2" t="str">
        <f t="shared" si="2"/>
        <v/>
      </c>
      <c r="C5171" s="2" t="str">
        <f t="shared" si="3"/>
        <v>SP500</v>
      </c>
      <c r="D5171" s="2">
        <f t="shared" si="4"/>
        <v>7210.09</v>
      </c>
      <c r="E5171" s="2">
        <f t="shared" si="5"/>
        <v>7210.09</v>
      </c>
      <c r="G5171" s="10">
        <f t="shared" si="9"/>
        <v>43153.64583</v>
      </c>
      <c r="H5171" s="6" t="str">
        <f t="shared" si="6"/>
        <v/>
      </c>
      <c r="I5171" s="2">
        <f t="shared" si="7"/>
        <v>1426.89</v>
      </c>
      <c r="M5171" s="10">
        <f>IFERROR(__xludf.DUMMYFUNCTION("""COMPUTED_VALUE"""),45484.66666666667)</f>
        <v>45484.66667</v>
      </c>
      <c r="N5171" s="2">
        <f>IFERROR(__xludf.DUMMYFUNCTION("""COMPUTED_VALUE"""),18283.41)</f>
        <v>18283.41</v>
      </c>
    </row>
    <row r="5172">
      <c r="A5172" s="10">
        <f t="shared" si="8"/>
        <v>43154.66667</v>
      </c>
      <c r="B5172" s="2" t="str">
        <f t="shared" si="2"/>
        <v/>
      </c>
      <c r="C5172" s="2" t="str">
        <f t="shared" si="3"/>
        <v>SP500</v>
      </c>
      <c r="D5172" s="2">
        <f t="shared" si="4"/>
        <v>7337.39</v>
      </c>
      <c r="E5172" s="2">
        <f t="shared" si="5"/>
        <v>7337.39</v>
      </c>
      <c r="G5172" s="10">
        <f t="shared" si="9"/>
        <v>43154.64583</v>
      </c>
      <c r="H5172" s="6" t="str">
        <f t="shared" si="6"/>
        <v/>
      </c>
      <c r="I5172" s="2">
        <f t="shared" si="7"/>
        <v>1426.89</v>
      </c>
      <c r="M5172" s="10">
        <f>IFERROR(__xludf.DUMMYFUNCTION("""COMPUTED_VALUE"""),45485.66666666667)</f>
        <v>45485.66667</v>
      </c>
      <c r="N5172" s="2">
        <f>IFERROR(__xludf.DUMMYFUNCTION("""COMPUTED_VALUE"""),18398.45)</f>
        <v>18398.45</v>
      </c>
    </row>
    <row r="5173">
      <c r="A5173" s="10">
        <f t="shared" si="8"/>
        <v>43155.66667</v>
      </c>
      <c r="B5173" s="2" t="str">
        <f t="shared" si="2"/>
        <v/>
      </c>
      <c r="C5173" s="2" t="str">
        <f t="shared" si="3"/>
        <v>SP500</v>
      </c>
      <c r="D5173" s="2" t="str">
        <f t="shared" si="4"/>
        <v/>
      </c>
      <c r="E5173" s="2">
        <f t="shared" si="5"/>
        <v>7337.39</v>
      </c>
      <c r="G5173" s="10">
        <f t="shared" si="9"/>
        <v>43155.64583</v>
      </c>
      <c r="H5173" s="6" t="str">
        <f t="shared" si="6"/>
        <v/>
      </c>
      <c r="I5173" s="2">
        <f t="shared" si="7"/>
        <v>1426.89</v>
      </c>
      <c r="M5173" s="10">
        <f>IFERROR(__xludf.DUMMYFUNCTION("""COMPUTED_VALUE"""),45488.66666666667)</f>
        <v>45488.66667</v>
      </c>
      <c r="N5173" s="2">
        <f>IFERROR(__xludf.DUMMYFUNCTION("""COMPUTED_VALUE"""),18472.57)</f>
        <v>18472.57</v>
      </c>
    </row>
    <row r="5174">
      <c r="A5174" s="10">
        <f t="shared" si="8"/>
        <v>43156.66667</v>
      </c>
      <c r="B5174" s="2" t="str">
        <f t="shared" si="2"/>
        <v/>
      </c>
      <c r="C5174" s="2" t="str">
        <f t="shared" si="3"/>
        <v>SP500</v>
      </c>
      <c r="D5174" s="2" t="str">
        <f t="shared" si="4"/>
        <v/>
      </c>
      <c r="E5174" s="2">
        <f t="shared" si="5"/>
        <v>7337.39</v>
      </c>
      <c r="G5174" s="10">
        <f t="shared" si="9"/>
        <v>43156.64583</v>
      </c>
      <c r="H5174" s="6" t="str">
        <f t="shared" si="6"/>
        <v/>
      </c>
      <c r="I5174" s="2">
        <f t="shared" si="7"/>
        <v>1426.89</v>
      </c>
      <c r="M5174" s="10">
        <f>IFERROR(__xludf.DUMMYFUNCTION("""COMPUTED_VALUE"""),45489.66666666667)</f>
        <v>45489.66667</v>
      </c>
      <c r="N5174" s="2">
        <f>IFERROR(__xludf.DUMMYFUNCTION("""COMPUTED_VALUE"""),18509.34)</f>
        <v>18509.34</v>
      </c>
    </row>
    <row r="5175">
      <c r="A5175" s="10">
        <f t="shared" si="8"/>
        <v>43157.66667</v>
      </c>
      <c r="B5175" s="2" t="str">
        <f t="shared" si="2"/>
        <v/>
      </c>
      <c r="C5175" s="2" t="str">
        <f t="shared" si="3"/>
        <v>SP500</v>
      </c>
      <c r="D5175" s="2">
        <f t="shared" si="4"/>
        <v>7421.46</v>
      </c>
      <c r="E5175" s="2">
        <f t="shared" si="5"/>
        <v>7421.46</v>
      </c>
      <c r="G5175" s="10">
        <f t="shared" si="9"/>
        <v>43157.64583</v>
      </c>
      <c r="H5175" s="6" t="str">
        <f t="shared" si="6"/>
        <v/>
      </c>
      <c r="I5175" s="2">
        <f t="shared" si="7"/>
        <v>1426.89</v>
      </c>
      <c r="M5175" s="10">
        <f>IFERROR(__xludf.DUMMYFUNCTION("""COMPUTED_VALUE"""),45490.66666666667)</f>
        <v>45490.66667</v>
      </c>
      <c r="N5175" s="2">
        <f>IFERROR(__xludf.DUMMYFUNCTION("""COMPUTED_VALUE"""),17996.93)</f>
        <v>17996.93</v>
      </c>
    </row>
    <row r="5176">
      <c r="A5176" s="10">
        <f t="shared" si="8"/>
        <v>43158.66667</v>
      </c>
      <c r="B5176" s="2" t="str">
        <f t="shared" si="2"/>
        <v/>
      </c>
      <c r="C5176" s="2" t="str">
        <f t="shared" si="3"/>
        <v>SP500</v>
      </c>
      <c r="D5176" s="2">
        <f t="shared" si="4"/>
        <v>7330.35</v>
      </c>
      <c r="E5176" s="2">
        <f t="shared" si="5"/>
        <v>7330.35</v>
      </c>
      <c r="G5176" s="10">
        <f t="shared" si="9"/>
        <v>43158.64583</v>
      </c>
      <c r="H5176" s="6" t="str">
        <f t="shared" si="6"/>
        <v/>
      </c>
      <c r="I5176" s="2">
        <f t="shared" si="7"/>
        <v>1426.89</v>
      </c>
      <c r="M5176" s="10">
        <f>IFERROR(__xludf.DUMMYFUNCTION("""COMPUTED_VALUE"""),45491.66666666667)</f>
        <v>45491.66667</v>
      </c>
      <c r="N5176" s="2">
        <f>IFERROR(__xludf.DUMMYFUNCTION("""COMPUTED_VALUE"""),17871.22)</f>
        <v>17871.22</v>
      </c>
    </row>
    <row r="5177">
      <c r="A5177" s="10">
        <f t="shared" si="8"/>
        <v>43159.66667</v>
      </c>
      <c r="B5177" s="2" t="str">
        <f t="shared" si="2"/>
        <v/>
      </c>
      <c r="C5177" s="2" t="str">
        <f t="shared" si="3"/>
        <v>SP500</v>
      </c>
      <c r="D5177" s="2">
        <f t="shared" si="4"/>
        <v>7273.01</v>
      </c>
      <c r="E5177" s="2">
        <f t="shared" si="5"/>
        <v>7273.01</v>
      </c>
      <c r="G5177" s="10">
        <f t="shared" si="9"/>
        <v>43159.64583</v>
      </c>
      <c r="H5177" s="6" t="str">
        <f t="shared" si="6"/>
        <v/>
      </c>
      <c r="I5177" s="2">
        <f t="shared" si="7"/>
        <v>1426.89</v>
      </c>
      <c r="M5177" s="10">
        <f>IFERROR(__xludf.DUMMYFUNCTION("""COMPUTED_VALUE"""),45492.66666666667)</f>
        <v>45492.66667</v>
      </c>
      <c r="N5177" s="2">
        <f>IFERROR(__xludf.DUMMYFUNCTION("""COMPUTED_VALUE"""),17726.94)</f>
        <v>17726.94</v>
      </c>
    </row>
    <row r="5178">
      <c r="A5178" s="10">
        <f t="shared" si="8"/>
        <v>43160.66667</v>
      </c>
      <c r="B5178" s="2" t="str">
        <f t="shared" si="2"/>
        <v/>
      </c>
      <c r="C5178" s="2" t="str">
        <f t="shared" si="3"/>
        <v>SP500</v>
      </c>
      <c r="D5178" s="2">
        <f t="shared" si="4"/>
        <v>7180.56</v>
      </c>
      <c r="E5178" s="2">
        <f t="shared" si="5"/>
        <v>7180.56</v>
      </c>
      <c r="G5178" s="10">
        <f t="shared" si="9"/>
        <v>43160.64583</v>
      </c>
      <c r="H5178" s="6" t="str">
        <f t="shared" si="6"/>
        <v/>
      </c>
      <c r="I5178" s="2">
        <f t="shared" si="7"/>
        <v>1426.89</v>
      </c>
      <c r="M5178" s="10">
        <f>IFERROR(__xludf.DUMMYFUNCTION("""COMPUTED_VALUE"""),45495.66666666667)</f>
        <v>45495.66667</v>
      </c>
      <c r="N5178" s="2">
        <f>IFERROR(__xludf.DUMMYFUNCTION("""COMPUTED_VALUE"""),18007.57)</f>
        <v>18007.57</v>
      </c>
    </row>
    <row r="5179">
      <c r="A5179" s="10">
        <f t="shared" si="8"/>
        <v>43161.66667</v>
      </c>
      <c r="B5179" s="2" t="str">
        <f t="shared" si="2"/>
        <v/>
      </c>
      <c r="C5179" s="2" t="str">
        <f t="shared" si="3"/>
        <v>SP500</v>
      </c>
      <c r="D5179" s="2">
        <f t="shared" si="4"/>
        <v>7257.87</v>
      </c>
      <c r="E5179" s="2">
        <f t="shared" si="5"/>
        <v>7257.87</v>
      </c>
      <c r="G5179" s="10">
        <f t="shared" si="9"/>
        <v>43161.64583</v>
      </c>
      <c r="H5179" s="6" t="str">
        <f t="shared" si="6"/>
        <v/>
      </c>
      <c r="I5179" s="2">
        <f t="shared" si="7"/>
        <v>1426.89</v>
      </c>
      <c r="M5179" s="10">
        <f>IFERROR(__xludf.DUMMYFUNCTION("""COMPUTED_VALUE"""),45496.66666666667)</f>
        <v>45496.66667</v>
      </c>
      <c r="N5179" s="2">
        <f>IFERROR(__xludf.DUMMYFUNCTION("""COMPUTED_VALUE"""),17997.35)</f>
        <v>17997.35</v>
      </c>
    </row>
    <row r="5180">
      <c r="A5180" s="10">
        <f t="shared" si="8"/>
        <v>43162.66667</v>
      </c>
      <c r="B5180" s="2" t="str">
        <f t="shared" si="2"/>
        <v/>
      </c>
      <c r="C5180" s="2" t="str">
        <f t="shared" si="3"/>
        <v>SP500</v>
      </c>
      <c r="D5180" s="2" t="str">
        <f t="shared" si="4"/>
        <v/>
      </c>
      <c r="E5180" s="2">
        <f t="shared" si="5"/>
        <v>7257.87</v>
      </c>
      <c r="G5180" s="10">
        <f t="shared" si="9"/>
        <v>43162.64583</v>
      </c>
      <c r="H5180" s="6" t="str">
        <f t="shared" si="6"/>
        <v/>
      </c>
      <c r="I5180" s="2">
        <f t="shared" si="7"/>
        <v>1426.89</v>
      </c>
      <c r="M5180" s="10">
        <f>IFERROR(__xludf.DUMMYFUNCTION("""COMPUTED_VALUE"""),45497.66666666667)</f>
        <v>45497.66667</v>
      </c>
      <c r="N5180" s="2">
        <f>IFERROR(__xludf.DUMMYFUNCTION("""COMPUTED_VALUE"""),17342.41)</f>
        <v>17342.41</v>
      </c>
    </row>
    <row r="5181">
      <c r="A5181" s="10">
        <f t="shared" si="8"/>
        <v>43163.66667</v>
      </c>
      <c r="B5181" s="2" t="str">
        <f t="shared" si="2"/>
        <v/>
      </c>
      <c r="C5181" s="2" t="str">
        <f t="shared" si="3"/>
        <v>SP500</v>
      </c>
      <c r="D5181" s="2" t="str">
        <f t="shared" si="4"/>
        <v/>
      </c>
      <c r="E5181" s="2">
        <f t="shared" si="5"/>
        <v>7257.87</v>
      </c>
      <c r="G5181" s="10">
        <f t="shared" si="9"/>
        <v>43163.64583</v>
      </c>
      <c r="H5181" s="6" t="str">
        <f t="shared" si="6"/>
        <v/>
      </c>
      <c r="I5181" s="2">
        <f t="shared" si="7"/>
        <v>1426.89</v>
      </c>
      <c r="M5181" s="10">
        <f>IFERROR(__xludf.DUMMYFUNCTION("""COMPUTED_VALUE"""),45498.66666666667)</f>
        <v>45498.66667</v>
      </c>
      <c r="N5181" s="2">
        <f>IFERROR(__xludf.DUMMYFUNCTION("""COMPUTED_VALUE"""),17181.72)</f>
        <v>17181.72</v>
      </c>
    </row>
    <row r="5182">
      <c r="A5182" s="10">
        <f t="shared" si="8"/>
        <v>43164.66667</v>
      </c>
      <c r="B5182" s="2" t="str">
        <f t="shared" si="2"/>
        <v/>
      </c>
      <c r="C5182" s="2" t="str">
        <f t="shared" si="3"/>
        <v>SP500</v>
      </c>
      <c r="D5182" s="2">
        <f t="shared" si="4"/>
        <v>7330.71</v>
      </c>
      <c r="E5182" s="2">
        <f t="shared" si="5"/>
        <v>7330.71</v>
      </c>
      <c r="G5182" s="10">
        <f t="shared" si="9"/>
        <v>43164.64583</v>
      </c>
      <c r="H5182" s="6" t="str">
        <f t="shared" si="6"/>
        <v/>
      </c>
      <c r="I5182" s="2">
        <f t="shared" si="7"/>
        <v>1426.89</v>
      </c>
      <c r="M5182" s="10">
        <f>IFERROR(__xludf.DUMMYFUNCTION("""COMPUTED_VALUE"""),45499.66666666667)</f>
        <v>45499.66667</v>
      </c>
      <c r="N5182" s="2">
        <f>IFERROR(__xludf.DUMMYFUNCTION("""COMPUTED_VALUE"""),17357.88)</f>
        <v>17357.88</v>
      </c>
    </row>
    <row r="5183">
      <c r="A5183" s="10">
        <f t="shared" si="8"/>
        <v>43165.66667</v>
      </c>
      <c r="B5183" s="2" t="str">
        <f t="shared" si="2"/>
        <v/>
      </c>
      <c r="C5183" s="2" t="str">
        <f t="shared" si="3"/>
        <v>SP500</v>
      </c>
      <c r="D5183" s="2">
        <f t="shared" si="4"/>
        <v>7372.01</v>
      </c>
      <c r="E5183" s="2">
        <f t="shared" si="5"/>
        <v>7372.01</v>
      </c>
      <c r="G5183" s="10">
        <f t="shared" si="9"/>
        <v>43165.64583</v>
      </c>
      <c r="H5183" s="6" t="str">
        <f t="shared" si="6"/>
        <v/>
      </c>
      <c r="I5183" s="2">
        <f t="shared" si="7"/>
        <v>1426.89</v>
      </c>
      <c r="M5183" s="10">
        <f>IFERROR(__xludf.DUMMYFUNCTION("""COMPUTED_VALUE"""),45502.66666666667)</f>
        <v>45502.66667</v>
      </c>
      <c r="N5183" s="2">
        <f>IFERROR(__xludf.DUMMYFUNCTION("""COMPUTED_VALUE"""),17370.2)</f>
        <v>17370.2</v>
      </c>
    </row>
    <row r="5184">
      <c r="A5184" s="10">
        <f t="shared" si="8"/>
        <v>43166.66667</v>
      </c>
      <c r="B5184" s="2" t="str">
        <f t="shared" si="2"/>
        <v/>
      </c>
      <c r="C5184" s="2" t="str">
        <f t="shared" si="3"/>
        <v>SP500</v>
      </c>
      <c r="D5184" s="2">
        <f t="shared" si="4"/>
        <v>7396.65</v>
      </c>
      <c r="E5184" s="2">
        <f t="shared" si="5"/>
        <v>7396.65</v>
      </c>
      <c r="G5184" s="10">
        <f t="shared" si="9"/>
        <v>43166.64583</v>
      </c>
      <c r="H5184" s="6" t="str">
        <f t="shared" si="6"/>
        <v/>
      </c>
      <c r="I5184" s="2">
        <f t="shared" si="7"/>
        <v>1426.89</v>
      </c>
      <c r="M5184" s="10">
        <f>IFERROR(__xludf.DUMMYFUNCTION("""COMPUTED_VALUE"""),45503.66666666667)</f>
        <v>45503.66667</v>
      </c>
      <c r="N5184" s="2">
        <f>IFERROR(__xludf.DUMMYFUNCTION("""COMPUTED_VALUE"""),17147.42)</f>
        <v>17147.42</v>
      </c>
    </row>
    <row r="5185">
      <c r="A5185" s="10">
        <f t="shared" si="8"/>
        <v>43167.66667</v>
      </c>
      <c r="B5185" s="2" t="str">
        <f t="shared" si="2"/>
        <v/>
      </c>
      <c r="C5185" s="2" t="str">
        <f t="shared" si="3"/>
        <v>SP500</v>
      </c>
      <c r="D5185" s="2">
        <f t="shared" si="4"/>
        <v>7427.95</v>
      </c>
      <c r="E5185" s="2">
        <f t="shared" si="5"/>
        <v>7427.95</v>
      </c>
      <c r="G5185" s="10">
        <f t="shared" si="9"/>
        <v>43167.64583</v>
      </c>
      <c r="H5185" s="6" t="str">
        <f t="shared" si="6"/>
        <v/>
      </c>
      <c r="I5185" s="2">
        <f t="shared" si="7"/>
        <v>1426.89</v>
      </c>
      <c r="M5185" s="10">
        <f>IFERROR(__xludf.DUMMYFUNCTION("""COMPUTED_VALUE"""),45504.66666666667)</f>
        <v>45504.66667</v>
      </c>
      <c r="N5185" s="2">
        <f>IFERROR(__xludf.DUMMYFUNCTION("""COMPUTED_VALUE"""),17599.4)</f>
        <v>17599.4</v>
      </c>
    </row>
    <row r="5186">
      <c r="A5186" s="10">
        <f t="shared" si="8"/>
        <v>43168.66667</v>
      </c>
      <c r="B5186" s="2" t="str">
        <f t="shared" si="2"/>
        <v/>
      </c>
      <c r="C5186" s="2" t="str">
        <f t="shared" si="3"/>
        <v>SP500</v>
      </c>
      <c r="D5186" s="2">
        <f t="shared" si="4"/>
        <v>7560.81</v>
      </c>
      <c r="E5186" s="2">
        <f t="shared" si="5"/>
        <v>7560.81</v>
      </c>
      <c r="G5186" s="10">
        <f t="shared" si="9"/>
        <v>43168.64583</v>
      </c>
      <c r="H5186" s="6" t="str">
        <f t="shared" si="6"/>
        <v/>
      </c>
      <c r="I5186" s="2">
        <f t="shared" si="7"/>
        <v>1426.89</v>
      </c>
      <c r="M5186" s="10">
        <f>IFERROR(__xludf.DUMMYFUNCTION("""COMPUTED_VALUE"""),45505.66666666667)</f>
        <v>45505.66667</v>
      </c>
      <c r="N5186" s="2">
        <f>IFERROR(__xludf.DUMMYFUNCTION("""COMPUTED_VALUE"""),17194.15)</f>
        <v>17194.15</v>
      </c>
    </row>
    <row r="5187">
      <c r="A5187" s="10">
        <f t="shared" si="8"/>
        <v>43169.66667</v>
      </c>
      <c r="B5187" s="2" t="str">
        <f t="shared" si="2"/>
        <v/>
      </c>
      <c r="C5187" s="2" t="str">
        <f t="shared" si="3"/>
        <v>SP500</v>
      </c>
      <c r="D5187" s="2" t="str">
        <f t="shared" si="4"/>
        <v/>
      </c>
      <c r="E5187" s="2">
        <f t="shared" si="5"/>
        <v>7560.81</v>
      </c>
      <c r="G5187" s="10">
        <f t="shared" si="9"/>
        <v>43169.64583</v>
      </c>
      <c r="H5187" s="6" t="str">
        <f t="shared" si="6"/>
        <v/>
      </c>
      <c r="I5187" s="2">
        <f t="shared" si="7"/>
        <v>1426.89</v>
      </c>
      <c r="M5187" s="10">
        <f>IFERROR(__xludf.DUMMYFUNCTION("""COMPUTED_VALUE"""),45506.66666666667)</f>
        <v>45506.66667</v>
      </c>
      <c r="N5187" s="2">
        <f>IFERROR(__xludf.DUMMYFUNCTION("""COMPUTED_VALUE"""),16776.16)</f>
        <v>16776.16</v>
      </c>
    </row>
    <row r="5188">
      <c r="A5188" s="10">
        <f t="shared" si="8"/>
        <v>43170.66667</v>
      </c>
      <c r="B5188" s="2" t="str">
        <f t="shared" si="2"/>
        <v/>
      </c>
      <c r="C5188" s="2" t="str">
        <f t="shared" si="3"/>
        <v>SP500</v>
      </c>
      <c r="D5188" s="2" t="str">
        <f t="shared" si="4"/>
        <v/>
      </c>
      <c r="E5188" s="2">
        <f t="shared" si="5"/>
        <v>7560.81</v>
      </c>
      <c r="G5188" s="10">
        <f t="shared" si="9"/>
        <v>43170.64583</v>
      </c>
      <c r="H5188" s="6" t="str">
        <f t="shared" si="6"/>
        <v/>
      </c>
      <c r="I5188" s="2">
        <f t="shared" si="7"/>
        <v>1426.89</v>
      </c>
    </row>
    <row r="5189">
      <c r="A5189" s="10">
        <f t="shared" si="8"/>
        <v>43171.66667</v>
      </c>
      <c r="B5189" s="2" t="str">
        <f t="shared" si="2"/>
        <v/>
      </c>
      <c r="C5189" s="2" t="str">
        <f t="shared" si="3"/>
        <v>SP500</v>
      </c>
      <c r="D5189" s="2">
        <f t="shared" si="4"/>
        <v>7588.33</v>
      </c>
      <c r="E5189" s="2">
        <f t="shared" si="5"/>
        <v>7588.33</v>
      </c>
      <c r="G5189" s="10">
        <f t="shared" si="9"/>
        <v>43171.64583</v>
      </c>
      <c r="H5189" s="6" t="str">
        <f t="shared" si="6"/>
        <v/>
      </c>
      <c r="I5189" s="2">
        <f t="shared" si="7"/>
        <v>1426.89</v>
      </c>
    </row>
    <row r="5190">
      <c r="A5190" s="10">
        <f t="shared" si="8"/>
        <v>43172.66667</v>
      </c>
      <c r="B5190" s="2" t="str">
        <f t="shared" si="2"/>
        <v/>
      </c>
      <c r="C5190" s="2" t="str">
        <f t="shared" si="3"/>
        <v>SP500</v>
      </c>
      <c r="D5190" s="2">
        <f t="shared" si="4"/>
        <v>7511.01</v>
      </c>
      <c r="E5190" s="2">
        <f t="shared" si="5"/>
        <v>7511.01</v>
      </c>
      <c r="G5190" s="10">
        <f t="shared" si="9"/>
        <v>43172.64583</v>
      </c>
      <c r="H5190" s="6" t="str">
        <f t="shared" si="6"/>
        <v/>
      </c>
      <c r="I5190" s="2">
        <f t="shared" si="7"/>
        <v>1426.89</v>
      </c>
    </row>
    <row r="5191">
      <c r="A5191" s="10">
        <f t="shared" si="8"/>
        <v>43173.66667</v>
      </c>
      <c r="B5191" s="2" t="str">
        <f t="shared" si="2"/>
        <v/>
      </c>
      <c r="C5191" s="2" t="str">
        <f t="shared" si="3"/>
        <v>SP500</v>
      </c>
      <c r="D5191" s="2">
        <f t="shared" si="4"/>
        <v>7496.81</v>
      </c>
      <c r="E5191" s="2">
        <f t="shared" si="5"/>
        <v>7496.81</v>
      </c>
      <c r="G5191" s="10">
        <f t="shared" si="9"/>
        <v>43173.64583</v>
      </c>
      <c r="H5191" s="6" t="str">
        <f t="shared" si="6"/>
        <v/>
      </c>
      <c r="I5191" s="2">
        <f t="shared" si="7"/>
        <v>1426.89</v>
      </c>
    </row>
    <row r="5192">
      <c r="A5192" s="10">
        <f t="shared" si="8"/>
        <v>43174.66667</v>
      </c>
      <c r="B5192" s="2" t="str">
        <f t="shared" si="2"/>
        <v/>
      </c>
      <c r="C5192" s="2" t="str">
        <f t="shared" si="3"/>
        <v>SP500</v>
      </c>
      <c r="D5192" s="2">
        <f t="shared" si="4"/>
        <v>7481.74</v>
      </c>
      <c r="E5192" s="2">
        <f t="shared" si="5"/>
        <v>7481.74</v>
      </c>
      <c r="G5192" s="10">
        <f t="shared" si="9"/>
        <v>43174.64583</v>
      </c>
      <c r="H5192" s="6" t="str">
        <f t="shared" si="6"/>
        <v/>
      </c>
      <c r="I5192" s="2">
        <f t="shared" si="7"/>
        <v>1426.89</v>
      </c>
    </row>
    <row r="5193">
      <c r="A5193" s="10">
        <f t="shared" si="8"/>
        <v>43175.66667</v>
      </c>
      <c r="B5193" s="2" t="str">
        <f t="shared" si="2"/>
        <v/>
      </c>
      <c r="C5193" s="2" t="str">
        <f t="shared" si="3"/>
        <v>SP500</v>
      </c>
      <c r="D5193" s="2">
        <f t="shared" si="4"/>
        <v>7481.99</v>
      </c>
      <c r="E5193" s="2">
        <f t="shared" si="5"/>
        <v>7481.99</v>
      </c>
      <c r="G5193" s="10">
        <f t="shared" si="9"/>
        <v>43175.64583</v>
      </c>
      <c r="H5193" s="6" t="str">
        <f t="shared" si="6"/>
        <v/>
      </c>
      <c r="I5193" s="2">
        <f t="shared" si="7"/>
        <v>1426.89</v>
      </c>
    </row>
    <row r="5194">
      <c r="A5194" s="10">
        <f t="shared" si="8"/>
        <v>43176.66667</v>
      </c>
      <c r="B5194" s="2" t="str">
        <f t="shared" si="2"/>
        <v/>
      </c>
      <c r="C5194" s="2" t="str">
        <f t="shared" si="3"/>
        <v>SP500</v>
      </c>
      <c r="D5194" s="2" t="str">
        <f t="shared" si="4"/>
        <v/>
      </c>
      <c r="E5194" s="2">
        <f t="shared" si="5"/>
        <v>7481.99</v>
      </c>
      <c r="G5194" s="10">
        <f t="shared" si="9"/>
        <v>43176.64583</v>
      </c>
      <c r="H5194" s="6" t="str">
        <f t="shared" si="6"/>
        <v/>
      </c>
      <c r="I5194" s="2">
        <f t="shared" si="7"/>
        <v>1426.89</v>
      </c>
    </row>
    <row r="5195">
      <c r="A5195" s="10">
        <f t="shared" si="8"/>
        <v>43177.66667</v>
      </c>
      <c r="B5195" s="2" t="str">
        <f t="shared" si="2"/>
        <v/>
      </c>
      <c r="C5195" s="2" t="str">
        <f t="shared" si="3"/>
        <v>SP500</v>
      </c>
      <c r="D5195" s="2" t="str">
        <f t="shared" si="4"/>
        <v/>
      </c>
      <c r="E5195" s="2">
        <f t="shared" si="5"/>
        <v>7481.99</v>
      </c>
      <c r="G5195" s="10">
        <f t="shared" si="9"/>
        <v>43177.64583</v>
      </c>
      <c r="H5195" s="6" t="str">
        <f t="shared" si="6"/>
        <v/>
      </c>
      <c r="I5195" s="2">
        <f t="shared" si="7"/>
        <v>1426.89</v>
      </c>
    </row>
    <row r="5196">
      <c r="A5196" s="10">
        <f t="shared" si="8"/>
        <v>43178.66667</v>
      </c>
      <c r="B5196" s="2" t="str">
        <f t="shared" si="2"/>
        <v/>
      </c>
      <c r="C5196" s="2" t="str">
        <f t="shared" si="3"/>
        <v>SP500</v>
      </c>
      <c r="D5196" s="2">
        <f t="shared" si="4"/>
        <v>7344.24</v>
      </c>
      <c r="E5196" s="2">
        <f t="shared" si="5"/>
        <v>7344.24</v>
      </c>
      <c r="G5196" s="10">
        <f t="shared" si="9"/>
        <v>43178.64583</v>
      </c>
      <c r="H5196" s="6" t="str">
        <f t="shared" si="6"/>
        <v/>
      </c>
      <c r="I5196" s="2">
        <f t="shared" si="7"/>
        <v>1426.89</v>
      </c>
    </row>
    <row r="5197">
      <c r="A5197" s="10">
        <f t="shared" si="8"/>
        <v>43179.66667</v>
      </c>
      <c r="B5197" s="2" t="str">
        <f t="shared" si="2"/>
        <v/>
      </c>
      <c r="C5197" s="2" t="str">
        <f t="shared" si="3"/>
        <v>SP500</v>
      </c>
      <c r="D5197" s="2">
        <f t="shared" si="4"/>
        <v>7364.3</v>
      </c>
      <c r="E5197" s="2">
        <f t="shared" si="5"/>
        <v>7364.3</v>
      </c>
      <c r="G5197" s="10">
        <f t="shared" si="9"/>
        <v>43179.64583</v>
      </c>
      <c r="H5197" s="6" t="str">
        <f t="shared" si="6"/>
        <v/>
      </c>
      <c r="I5197" s="2">
        <f t="shared" si="7"/>
        <v>1426.89</v>
      </c>
    </row>
    <row r="5198">
      <c r="A5198" s="10">
        <f t="shared" si="8"/>
        <v>43180.66667</v>
      </c>
      <c r="B5198" s="2" t="str">
        <f t="shared" si="2"/>
        <v/>
      </c>
      <c r="C5198" s="2" t="str">
        <f t="shared" si="3"/>
        <v>SP500</v>
      </c>
      <c r="D5198" s="2">
        <f t="shared" si="4"/>
        <v>7345.29</v>
      </c>
      <c r="E5198" s="2">
        <f t="shared" si="5"/>
        <v>7345.29</v>
      </c>
      <c r="G5198" s="10">
        <f t="shared" si="9"/>
        <v>43180.64583</v>
      </c>
      <c r="H5198" s="6" t="str">
        <f t="shared" si="6"/>
        <v/>
      </c>
      <c r="I5198" s="2">
        <f t="shared" si="7"/>
        <v>1426.89</v>
      </c>
    </row>
    <row r="5199">
      <c r="A5199" s="10">
        <f t="shared" si="8"/>
        <v>43181.66667</v>
      </c>
      <c r="B5199" s="2" t="str">
        <f t="shared" si="2"/>
        <v/>
      </c>
      <c r="C5199" s="2" t="str">
        <f t="shared" si="3"/>
        <v>SP500</v>
      </c>
      <c r="D5199" s="2">
        <f t="shared" si="4"/>
        <v>7166.68</v>
      </c>
      <c r="E5199" s="2">
        <f t="shared" si="5"/>
        <v>7166.68</v>
      </c>
      <c r="G5199" s="10">
        <f t="shared" si="9"/>
        <v>43181.64583</v>
      </c>
      <c r="H5199" s="6" t="str">
        <f t="shared" si="6"/>
        <v/>
      </c>
      <c r="I5199" s="2">
        <f t="shared" si="7"/>
        <v>1426.89</v>
      </c>
    </row>
    <row r="5200">
      <c r="A5200" s="10">
        <f t="shared" si="8"/>
        <v>43182.66667</v>
      </c>
      <c r="B5200" s="2" t="str">
        <f t="shared" si="2"/>
        <v/>
      </c>
      <c r="C5200" s="2" t="str">
        <f t="shared" si="3"/>
        <v>SP500</v>
      </c>
      <c r="D5200" s="2">
        <f t="shared" si="4"/>
        <v>6992.67</v>
      </c>
      <c r="E5200" s="2">
        <f t="shared" si="5"/>
        <v>6992.67</v>
      </c>
      <c r="G5200" s="10">
        <f t="shared" si="9"/>
        <v>43182.64583</v>
      </c>
      <c r="H5200" s="6" t="str">
        <f t="shared" si="6"/>
        <v/>
      </c>
      <c r="I5200" s="2">
        <f t="shared" si="7"/>
        <v>1426.89</v>
      </c>
    </row>
    <row r="5201">
      <c r="A5201" s="10">
        <f t="shared" si="8"/>
        <v>43183.66667</v>
      </c>
      <c r="B5201" s="2" t="str">
        <f t="shared" si="2"/>
        <v/>
      </c>
      <c r="C5201" s="2" t="str">
        <f t="shared" si="3"/>
        <v>SP500</v>
      </c>
      <c r="D5201" s="2" t="str">
        <f t="shared" si="4"/>
        <v/>
      </c>
      <c r="E5201" s="2">
        <f t="shared" si="5"/>
        <v>6992.67</v>
      </c>
      <c r="G5201" s="10">
        <f t="shared" si="9"/>
        <v>43183.64583</v>
      </c>
      <c r="H5201" s="6" t="str">
        <f t="shared" si="6"/>
        <v/>
      </c>
      <c r="I5201" s="2">
        <f t="shared" si="7"/>
        <v>1426.89</v>
      </c>
    </row>
    <row r="5202">
      <c r="A5202" s="10">
        <f t="shared" si="8"/>
        <v>43184.66667</v>
      </c>
      <c r="B5202" s="2" t="str">
        <f t="shared" si="2"/>
        <v/>
      </c>
      <c r="C5202" s="2" t="str">
        <f t="shared" si="3"/>
        <v>SP500</v>
      </c>
      <c r="D5202" s="2" t="str">
        <f t="shared" si="4"/>
        <v/>
      </c>
      <c r="E5202" s="2">
        <f t="shared" si="5"/>
        <v>6992.67</v>
      </c>
      <c r="G5202" s="10">
        <f t="shared" si="9"/>
        <v>43184.64583</v>
      </c>
      <c r="H5202" s="6" t="str">
        <f t="shared" si="6"/>
        <v/>
      </c>
      <c r="I5202" s="2">
        <f t="shared" si="7"/>
        <v>1426.89</v>
      </c>
    </row>
    <row r="5203">
      <c r="A5203" s="10">
        <f t="shared" si="8"/>
        <v>43185.66667</v>
      </c>
      <c r="B5203" s="2" t="str">
        <f t="shared" si="2"/>
        <v/>
      </c>
      <c r="C5203" s="2" t="str">
        <f t="shared" si="3"/>
        <v>SP500</v>
      </c>
      <c r="D5203" s="2">
        <f t="shared" si="4"/>
        <v>7220.54</v>
      </c>
      <c r="E5203" s="2">
        <f t="shared" si="5"/>
        <v>7220.54</v>
      </c>
      <c r="G5203" s="10">
        <f t="shared" si="9"/>
        <v>43185.64583</v>
      </c>
      <c r="H5203" s="6" t="str">
        <f t="shared" si="6"/>
        <v/>
      </c>
      <c r="I5203" s="2">
        <f t="shared" si="7"/>
        <v>1426.89</v>
      </c>
    </row>
    <row r="5204">
      <c r="A5204" s="10">
        <f t="shared" si="8"/>
        <v>43186.66667</v>
      </c>
      <c r="B5204" s="2" t="str">
        <f t="shared" si="2"/>
        <v/>
      </c>
      <c r="C5204" s="2" t="str">
        <f t="shared" si="3"/>
        <v>SP500</v>
      </c>
      <c r="D5204" s="2">
        <f t="shared" si="4"/>
        <v>7008.81</v>
      </c>
      <c r="E5204" s="2">
        <f t="shared" si="5"/>
        <v>7008.81</v>
      </c>
      <c r="G5204" s="10">
        <f t="shared" si="9"/>
        <v>43186.64583</v>
      </c>
      <c r="H5204" s="6" t="str">
        <f t="shared" si="6"/>
        <v/>
      </c>
      <c r="I5204" s="2">
        <f t="shared" si="7"/>
        <v>1426.89</v>
      </c>
    </row>
    <row r="5205">
      <c r="A5205" s="10">
        <f t="shared" si="8"/>
        <v>43187.66667</v>
      </c>
      <c r="B5205" s="2" t="str">
        <f t="shared" si="2"/>
        <v/>
      </c>
      <c r="C5205" s="2" t="str">
        <f t="shared" si="3"/>
        <v>SP500</v>
      </c>
      <c r="D5205" s="2">
        <f t="shared" si="4"/>
        <v>6949.23</v>
      </c>
      <c r="E5205" s="2">
        <f t="shared" si="5"/>
        <v>6949.23</v>
      </c>
      <c r="G5205" s="10">
        <f t="shared" si="9"/>
        <v>43187.64583</v>
      </c>
      <c r="H5205" s="6" t="str">
        <f t="shared" si="6"/>
        <v/>
      </c>
      <c r="I5205" s="2">
        <f t="shared" si="7"/>
        <v>1426.89</v>
      </c>
    </row>
    <row r="5206">
      <c r="A5206" s="10">
        <f t="shared" si="8"/>
        <v>43188.66667</v>
      </c>
      <c r="B5206" s="2" t="str">
        <f t="shared" si="2"/>
        <v/>
      </c>
      <c r="C5206" s="2" t="str">
        <f t="shared" si="3"/>
        <v>SP500</v>
      </c>
      <c r="D5206" s="2">
        <f t="shared" si="4"/>
        <v>7063.45</v>
      </c>
      <c r="E5206" s="2">
        <f t="shared" si="5"/>
        <v>7063.45</v>
      </c>
      <c r="G5206" s="10">
        <f t="shared" si="9"/>
        <v>43188.64583</v>
      </c>
      <c r="H5206" s="6" t="str">
        <f t="shared" si="6"/>
        <v/>
      </c>
      <c r="I5206" s="2">
        <f t="shared" si="7"/>
        <v>1426.89</v>
      </c>
    </row>
    <row r="5207">
      <c r="A5207" s="10">
        <f t="shared" si="8"/>
        <v>43189.66667</v>
      </c>
      <c r="B5207" s="2" t="str">
        <f t="shared" si="2"/>
        <v/>
      </c>
      <c r="C5207" s="2" t="str">
        <f t="shared" si="3"/>
        <v>SP500</v>
      </c>
      <c r="D5207" s="2" t="str">
        <f t="shared" si="4"/>
        <v/>
      </c>
      <c r="E5207" s="2">
        <f t="shared" si="5"/>
        <v>7063.45</v>
      </c>
      <c r="G5207" s="10">
        <f t="shared" si="9"/>
        <v>43189.64583</v>
      </c>
      <c r="H5207" s="6" t="str">
        <f t="shared" si="6"/>
        <v/>
      </c>
      <c r="I5207" s="2">
        <f t="shared" si="7"/>
        <v>1426.89</v>
      </c>
    </row>
    <row r="5208">
      <c r="A5208" s="10">
        <f t="shared" si="8"/>
        <v>43190.66667</v>
      </c>
      <c r="B5208" s="2" t="str">
        <f t="shared" si="2"/>
        <v/>
      </c>
      <c r="C5208" s="2" t="str">
        <f t="shared" si="3"/>
        <v>SP500</v>
      </c>
      <c r="D5208" s="2" t="str">
        <f t="shared" si="4"/>
        <v/>
      </c>
      <c r="E5208" s="2">
        <f t="shared" si="5"/>
        <v>7063.45</v>
      </c>
      <c r="G5208" s="10">
        <f t="shared" si="9"/>
        <v>43190.64583</v>
      </c>
      <c r="H5208" s="6" t="str">
        <f t="shared" si="6"/>
        <v/>
      </c>
      <c r="I5208" s="2">
        <f t="shared" si="7"/>
        <v>1426.89</v>
      </c>
    </row>
    <row r="5209">
      <c r="A5209" s="10">
        <f t="shared" si="8"/>
        <v>43191.66667</v>
      </c>
      <c r="B5209" s="2" t="str">
        <f t="shared" si="2"/>
        <v/>
      </c>
      <c r="C5209" s="2" t="str">
        <f t="shared" si="3"/>
        <v>SP500</v>
      </c>
      <c r="D5209" s="2" t="str">
        <f t="shared" si="4"/>
        <v/>
      </c>
      <c r="E5209" s="2">
        <f t="shared" si="5"/>
        <v>7063.45</v>
      </c>
      <c r="G5209" s="10">
        <f t="shared" si="9"/>
        <v>43191.64583</v>
      </c>
      <c r="H5209" s="6" t="str">
        <f t="shared" si="6"/>
        <v/>
      </c>
      <c r="I5209" s="2">
        <f t="shared" si="7"/>
        <v>1426.89</v>
      </c>
    </row>
    <row r="5210">
      <c r="A5210" s="10">
        <f t="shared" si="8"/>
        <v>43192.66667</v>
      </c>
      <c r="B5210" s="2" t="str">
        <f t="shared" si="2"/>
        <v/>
      </c>
      <c r="C5210" s="2" t="str">
        <f t="shared" si="3"/>
        <v>SP500</v>
      </c>
      <c r="D5210" s="2">
        <f t="shared" si="4"/>
        <v>6870.12</v>
      </c>
      <c r="E5210" s="2">
        <f t="shared" si="5"/>
        <v>6870.12</v>
      </c>
      <c r="G5210" s="10">
        <f t="shared" si="9"/>
        <v>43192.64583</v>
      </c>
      <c r="H5210" s="6" t="str">
        <f t="shared" si="6"/>
        <v/>
      </c>
      <c r="I5210" s="2">
        <f t="shared" si="7"/>
        <v>1426.89</v>
      </c>
    </row>
    <row r="5211">
      <c r="A5211" s="10">
        <f t="shared" si="8"/>
        <v>43193.66667</v>
      </c>
      <c r="B5211" s="2" t="str">
        <f t="shared" si="2"/>
        <v/>
      </c>
      <c r="C5211" s="2" t="str">
        <f t="shared" si="3"/>
        <v>SP500</v>
      </c>
      <c r="D5211" s="2">
        <f t="shared" si="4"/>
        <v>6941.28</v>
      </c>
      <c r="E5211" s="2">
        <f t="shared" si="5"/>
        <v>6941.28</v>
      </c>
      <c r="G5211" s="10">
        <f t="shared" si="9"/>
        <v>43193.64583</v>
      </c>
      <c r="H5211" s="6" t="str">
        <f t="shared" si="6"/>
        <v/>
      </c>
      <c r="I5211" s="2">
        <f t="shared" si="7"/>
        <v>1426.89</v>
      </c>
    </row>
    <row r="5212">
      <c r="A5212" s="10">
        <f t="shared" si="8"/>
        <v>43194.66667</v>
      </c>
      <c r="B5212" s="2" t="str">
        <f t="shared" si="2"/>
        <v/>
      </c>
      <c r="C5212" s="2" t="str">
        <f t="shared" si="3"/>
        <v>SP500</v>
      </c>
      <c r="D5212" s="2">
        <f t="shared" si="4"/>
        <v>7042.11</v>
      </c>
      <c r="E5212" s="2">
        <f t="shared" si="5"/>
        <v>7042.11</v>
      </c>
      <c r="G5212" s="10">
        <f t="shared" si="9"/>
        <v>43194.64583</v>
      </c>
      <c r="H5212" s="6" t="str">
        <f t="shared" si="6"/>
        <v/>
      </c>
      <c r="I5212" s="2">
        <f t="shared" si="7"/>
        <v>1426.89</v>
      </c>
    </row>
    <row r="5213">
      <c r="A5213" s="10">
        <f t="shared" si="8"/>
        <v>43195.66667</v>
      </c>
      <c r="B5213" s="2" t="str">
        <f t="shared" si="2"/>
        <v/>
      </c>
      <c r="C5213" s="2" t="str">
        <f t="shared" si="3"/>
        <v>SP500</v>
      </c>
      <c r="D5213" s="2">
        <f t="shared" si="4"/>
        <v>7076.55</v>
      </c>
      <c r="E5213" s="2">
        <f t="shared" si="5"/>
        <v>7076.55</v>
      </c>
      <c r="G5213" s="10">
        <f t="shared" si="9"/>
        <v>43195.64583</v>
      </c>
      <c r="H5213" s="6" t="str">
        <f t="shared" si="6"/>
        <v/>
      </c>
      <c r="I5213" s="2">
        <f t="shared" si="7"/>
        <v>1426.89</v>
      </c>
    </row>
    <row r="5214">
      <c r="A5214" s="10">
        <f t="shared" si="8"/>
        <v>43196.66667</v>
      </c>
      <c r="B5214" s="2" t="str">
        <f t="shared" si="2"/>
        <v/>
      </c>
      <c r="C5214" s="2" t="str">
        <f t="shared" si="3"/>
        <v>SP500</v>
      </c>
      <c r="D5214" s="2">
        <f t="shared" si="4"/>
        <v>6915.11</v>
      </c>
      <c r="E5214" s="2">
        <f t="shared" si="5"/>
        <v>6915.11</v>
      </c>
      <c r="G5214" s="10">
        <f t="shared" si="9"/>
        <v>43196.64583</v>
      </c>
      <c r="H5214" s="6" t="str">
        <f t="shared" si="6"/>
        <v/>
      </c>
      <c r="I5214" s="2">
        <f t="shared" si="7"/>
        <v>1426.89</v>
      </c>
    </row>
    <row r="5215">
      <c r="A5215" s="10">
        <f t="shared" si="8"/>
        <v>43197.66667</v>
      </c>
      <c r="B5215" s="2" t="str">
        <f t="shared" si="2"/>
        <v/>
      </c>
      <c r="C5215" s="2" t="str">
        <f t="shared" si="3"/>
        <v>SP500</v>
      </c>
      <c r="D5215" s="2" t="str">
        <f t="shared" si="4"/>
        <v/>
      </c>
      <c r="E5215" s="2">
        <f t="shared" si="5"/>
        <v>6915.11</v>
      </c>
      <c r="G5215" s="10">
        <f t="shared" si="9"/>
        <v>43197.64583</v>
      </c>
      <c r="H5215" s="6" t="str">
        <f t="shared" si="6"/>
        <v/>
      </c>
      <c r="I5215" s="2">
        <f t="shared" si="7"/>
        <v>1426.89</v>
      </c>
    </row>
    <row r="5216">
      <c r="A5216" s="10">
        <f t="shared" si="8"/>
        <v>43198.66667</v>
      </c>
      <c r="B5216" s="2" t="str">
        <f t="shared" si="2"/>
        <v/>
      </c>
      <c r="C5216" s="2" t="str">
        <f t="shared" si="3"/>
        <v>SP500</v>
      </c>
      <c r="D5216" s="2" t="str">
        <f t="shared" si="4"/>
        <v/>
      </c>
      <c r="E5216" s="2">
        <f t="shared" si="5"/>
        <v>6915.11</v>
      </c>
      <c r="G5216" s="10">
        <f t="shared" si="9"/>
        <v>43198.64583</v>
      </c>
      <c r="H5216" s="6" t="str">
        <f t="shared" si="6"/>
        <v/>
      </c>
      <c r="I5216" s="2">
        <f t="shared" si="7"/>
        <v>1426.89</v>
      </c>
    </row>
    <row r="5217">
      <c r="A5217" s="10">
        <f t="shared" si="8"/>
        <v>43199.66667</v>
      </c>
      <c r="B5217" s="2" t="str">
        <f t="shared" si="2"/>
        <v/>
      </c>
      <c r="C5217" s="2" t="str">
        <f t="shared" si="3"/>
        <v>SP500</v>
      </c>
      <c r="D5217" s="2">
        <f t="shared" si="4"/>
        <v>6950.34</v>
      </c>
      <c r="E5217" s="2">
        <f t="shared" si="5"/>
        <v>6950.34</v>
      </c>
      <c r="G5217" s="10">
        <f t="shared" si="9"/>
        <v>43199.64583</v>
      </c>
      <c r="H5217" s="6" t="str">
        <f t="shared" si="6"/>
        <v/>
      </c>
      <c r="I5217" s="2">
        <f t="shared" si="7"/>
        <v>1426.89</v>
      </c>
    </row>
    <row r="5218">
      <c r="A5218" s="10">
        <f t="shared" si="8"/>
        <v>43200.66667</v>
      </c>
      <c r="B5218" s="2" t="str">
        <f t="shared" si="2"/>
        <v/>
      </c>
      <c r="C5218" s="2" t="str">
        <f t="shared" si="3"/>
        <v>SP500</v>
      </c>
      <c r="D5218" s="2">
        <f t="shared" si="4"/>
        <v>7094.3</v>
      </c>
      <c r="E5218" s="2">
        <f t="shared" si="5"/>
        <v>7094.3</v>
      </c>
      <c r="G5218" s="10">
        <f t="shared" si="9"/>
        <v>43200.64583</v>
      </c>
      <c r="H5218" s="6" t="str">
        <f t="shared" si="6"/>
        <v/>
      </c>
      <c r="I5218" s="2">
        <f t="shared" si="7"/>
        <v>1426.89</v>
      </c>
    </row>
    <row r="5219">
      <c r="A5219" s="10">
        <f t="shared" si="8"/>
        <v>43201.66667</v>
      </c>
      <c r="B5219" s="2" t="str">
        <f t="shared" si="2"/>
        <v/>
      </c>
      <c r="C5219" s="2" t="str">
        <f t="shared" si="3"/>
        <v>SP500</v>
      </c>
      <c r="D5219" s="2">
        <f t="shared" si="4"/>
        <v>7069.03</v>
      </c>
      <c r="E5219" s="2">
        <f t="shared" si="5"/>
        <v>7069.03</v>
      </c>
      <c r="G5219" s="10">
        <f t="shared" si="9"/>
        <v>43201.64583</v>
      </c>
      <c r="H5219" s="6" t="str">
        <f t="shared" si="6"/>
        <v/>
      </c>
      <c r="I5219" s="2">
        <f t="shared" si="7"/>
        <v>1426.89</v>
      </c>
    </row>
    <row r="5220">
      <c r="A5220" s="10">
        <f t="shared" si="8"/>
        <v>43202.66667</v>
      </c>
      <c r="B5220" s="2" t="str">
        <f t="shared" si="2"/>
        <v/>
      </c>
      <c r="C5220" s="2" t="str">
        <f t="shared" si="3"/>
        <v>SP500</v>
      </c>
      <c r="D5220" s="2">
        <f t="shared" si="4"/>
        <v>7140.25</v>
      </c>
      <c r="E5220" s="2">
        <f t="shared" si="5"/>
        <v>7140.25</v>
      </c>
      <c r="G5220" s="10">
        <f t="shared" si="9"/>
        <v>43202.64583</v>
      </c>
      <c r="H5220" s="6" t="str">
        <f t="shared" si="6"/>
        <v/>
      </c>
      <c r="I5220" s="2">
        <f t="shared" si="7"/>
        <v>1426.89</v>
      </c>
    </row>
    <row r="5221">
      <c r="A5221" s="10">
        <f t="shared" si="8"/>
        <v>43203.66667</v>
      </c>
      <c r="B5221" s="2" t="str">
        <f t="shared" si="2"/>
        <v/>
      </c>
      <c r="C5221" s="2" t="str">
        <f t="shared" si="3"/>
        <v>SP500</v>
      </c>
      <c r="D5221" s="2">
        <f t="shared" si="4"/>
        <v>7106.65</v>
      </c>
      <c r="E5221" s="2">
        <f t="shared" si="5"/>
        <v>7106.65</v>
      </c>
      <c r="G5221" s="10">
        <f t="shared" si="9"/>
        <v>43203.64583</v>
      </c>
      <c r="H5221" s="6" t="str">
        <f t="shared" si="6"/>
        <v/>
      </c>
      <c r="I5221" s="2">
        <f t="shared" si="7"/>
        <v>1426.89</v>
      </c>
    </row>
    <row r="5222">
      <c r="A5222" s="10">
        <f t="shared" si="8"/>
        <v>43204.66667</v>
      </c>
      <c r="B5222" s="2" t="str">
        <f t="shared" si="2"/>
        <v/>
      </c>
      <c r="C5222" s="2" t="str">
        <f t="shared" si="3"/>
        <v>SP500</v>
      </c>
      <c r="D5222" s="2" t="str">
        <f t="shared" si="4"/>
        <v/>
      </c>
      <c r="E5222" s="2">
        <f t="shared" si="5"/>
        <v>7106.65</v>
      </c>
      <c r="G5222" s="10">
        <f t="shared" si="9"/>
        <v>43204.64583</v>
      </c>
      <c r="H5222" s="6" t="str">
        <f t="shared" si="6"/>
        <v/>
      </c>
      <c r="I5222" s="2">
        <f t="shared" si="7"/>
        <v>1426.89</v>
      </c>
    </row>
    <row r="5223">
      <c r="A5223" s="10">
        <f t="shared" si="8"/>
        <v>43205.66667</v>
      </c>
      <c r="B5223" s="2" t="str">
        <f t="shared" si="2"/>
        <v/>
      </c>
      <c r="C5223" s="2" t="str">
        <f t="shared" si="3"/>
        <v>SP500</v>
      </c>
      <c r="D5223" s="2" t="str">
        <f t="shared" si="4"/>
        <v/>
      </c>
      <c r="E5223" s="2">
        <f t="shared" si="5"/>
        <v>7106.65</v>
      </c>
      <c r="G5223" s="10">
        <f t="shared" si="9"/>
        <v>43205.64583</v>
      </c>
      <c r="H5223" s="6" t="str">
        <f t="shared" si="6"/>
        <v/>
      </c>
      <c r="I5223" s="2">
        <f t="shared" si="7"/>
        <v>1426.89</v>
      </c>
    </row>
    <row r="5224">
      <c r="A5224" s="10">
        <f t="shared" si="8"/>
        <v>43206.66667</v>
      </c>
      <c r="B5224" s="2" t="str">
        <f t="shared" si="2"/>
        <v/>
      </c>
      <c r="C5224" s="2" t="str">
        <f t="shared" si="3"/>
        <v>SP500</v>
      </c>
      <c r="D5224" s="2">
        <f t="shared" si="4"/>
        <v>7156.29</v>
      </c>
      <c r="E5224" s="2">
        <f t="shared" si="5"/>
        <v>7156.29</v>
      </c>
      <c r="G5224" s="10">
        <f t="shared" si="9"/>
        <v>43206.64583</v>
      </c>
      <c r="H5224" s="6" t="str">
        <f t="shared" si="6"/>
        <v/>
      </c>
      <c r="I5224" s="2">
        <f t="shared" si="7"/>
        <v>1426.89</v>
      </c>
    </row>
    <row r="5225">
      <c r="A5225" s="10">
        <f t="shared" si="8"/>
        <v>43207.66667</v>
      </c>
      <c r="B5225" s="2" t="str">
        <f t="shared" si="2"/>
        <v/>
      </c>
      <c r="C5225" s="2" t="str">
        <f t="shared" si="3"/>
        <v>SP500</v>
      </c>
      <c r="D5225" s="2">
        <f t="shared" si="4"/>
        <v>7281.1</v>
      </c>
      <c r="E5225" s="2">
        <f t="shared" si="5"/>
        <v>7281.1</v>
      </c>
      <c r="G5225" s="10">
        <f t="shared" si="9"/>
        <v>43207.64583</v>
      </c>
      <c r="H5225" s="6" t="str">
        <f t="shared" si="6"/>
        <v/>
      </c>
      <c r="I5225" s="2">
        <f t="shared" si="7"/>
        <v>1426.89</v>
      </c>
    </row>
    <row r="5226">
      <c r="A5226" s="10">
        <f t="shared" si="8"/>
        <v>43208.66667</v>
      </c>
      <c r="B5226" s="2" t="str">
        <f t="shared" si="2"/>
        <v/>
      </c>
      <c r="C5226" s="2" t="str">
        <f t="shared" si="3"/>
        <v>SP500</v>
      </c>
      <c r="D5226" s="2">
        <f t="shared" si="4"/>
        <v>7295.24</v>
      </c>
      <c r="E5226" s="2">
        <f t="shared" si="5"/>
        <v>7295.24</v>
      </c>
      <c r="G5226" s="10">
        <f t="shared" si="9"/>
        <v>43208.64583</v>
      </c>
      <c r="H5226" s="6" t="str">
        <f t="shared" si="6"/>
        <v/>
      </c>
      <c r="I5226" s="2">
        <f t="shared" si="7"/>
        <v>1426.89</v>
      </c>
    </row>
    <row r="5227">
      <c r="A5227" s="10">
        <f t="shared" si="8"/>
        <v>43209.66667</v>
      </c>
      <c r="B5227" s="2" t="str">
        <f t="shared" si="2"/>
        <v/>
      </c>
      <c r="C5227" s="2" t="str">
        <f t="shared" si="3"/>
        <v>SP500</v>
      </c>
      <c r="D5227" s="2">
        <f t="shared" si="4"/>
        <v>7238.06</v>
      </c>
      <c r="E5227" s="2">
        <f t="shared" si="5"/>
        <v>7238.06</v>
      </c>
      <c r="G5227" s="10">
        <f t="shared" si="9"/>
        <v>43209.64583</v>
      </c>
      <c r="H5227" s="6" t="str">
        <f t="shared" si="6"/>
        <v/>
      </c>
      <c r="I5227" s="2">
        <f t="shared" si="7"/>
        <v>1426.89</v>
      </c>
    </row>
    <row r="5228">
      <c r="A5228" s="10">
        <f t="shared" si="8"/>
        <v>43210.66667</v>
      </c>
      <c r="B5228" s="2" t="str">
        <f t="shared" si="2"/>
        <v/>
      </c>
      <c r="C5228" s="2" t="str">
        <f t="shared" si="3"/>
        <v>SP500</v>
      </c>
      <c r="D5228" s="2">
        <f t="shared" si="4"/>
        <v>7146.13</v>
      </c>
      <c r="E5228" s="2">
        <f t="shared" si="5"/>
        <v>7146.13</v>
      </c>
      <c r="G5228" s="10">
        <f t="shared" si="9"/>
        <v>43210.64583</v>
      </c>
      <c r="H5228" s="6" t="str">
        <f t="shared" si="6"/>
        <v/>
      </c>
      <c r="I5228" s="2">
        <f t="shared" si="7"/>
        <v>1426.89</v>
      </c>
    </row>
    <row r="5229">
      <c r="A5229" s="10">
        <f t="shared" si="8"/>
        <v>43211.66667</v>
      </c>
      <c r="B5229" s="2" t="str">
        <f t="shared" si="2"/>
        <v/>
      </c>
      <c r="C5229" s="2" t="str">
        <f t="shared" si="3"/>
        <v>SP500</v>
      </c>
      <c r="D5229" s="2" t="str">
        <f t="shared" si="4"/>
        <v/>
      </c>
      <c r="E5229" s="2">
        <f t="shared" si="5"/>
        <v>7146.13</v>
      </c>
      <c r="G5229" s="10">
        <f t="shared" si="9"/>
        <v>43211.64583</v>
      </c>
      <c r="H5229" s="6" t="str">
        <f t="shared" si="6"/>
        <v/>
      </c>
      <c r="I5229" s="2">
        <f t="shared" si="7"/>
        <v>1426.89</v>
      </c>
    </row>
    <row r="5230">
      <c r="A5230" s="10">
        <f t="shared" si="8"/>
        <v>43212.66667</v>
      </c>
      <c r="B5230" s="2" t="str">
        <f t="shared" si="2"/>
        <v/>
      </c>
      <c r="C5230" s="2" t="str">
        <f t="shared" si="3"/>
        <v>SP500</v>
      </c>
      <c r="D5230" s="2" t="str">
        <f t="shared" si="4"/>
        <v/>
      </c>
      <c r="E5230" s="2">
        <f t="shared" si="5"/>
        <v>7146.13</v>
      </c>
      <c r="G5230" s="10">
        <f t="shared" si="9"/>
        <v>43212.64583</v>
      </c>
      <c r="H5230" s="6" t="str">
        <f t="shared" si="6"/>
        <v/>
      </c>
      <c r="I5230" s="2">
        <f t="shared" si="7"/>
        <v>1426.89</v>
      </c>
    </row>
    <row r="5231">
      <c r="A5231" s="10">
        <f t="shared" si="8"/>
        <v>43213.66667</v>
      </c>
      <c r="B5231" s="2" t="str">
        <f t="shared" si="2"/>
        <v/>
      </c>
      <c r="C5231" s="2" t="str">
        <f t="shared" si="3"/>
        <v>SP500</v>
      </c>
      <c r="D5231" s="2">
        <f t="shared" si="4"/>
        <v>7128.6</v>
      </c>
      <c r="E5231" s="2">
        <f t="shared" si="5"/>
        <v>7128.6</v>
      </c>
      <c r="G5231" s="10">
        <f t="shared" si="9"/>
        <v>43213.64583</v>
      </c>
      <c r="H5231" s="6" t="str">
        <f t="shared" si="6"/>
        <v/>
      </c>
      <c r="I5231" s="2">
        <f t="shared" si="7"/>
        <v>1426.89</v>
      </c>
    </row>
    <row r="5232">
      <c r="A5232" s="10">
        <f t="shared" si="8"/>
        <v>43214.66667</v>
      </c>
      <c r="B5232" s="2" t="str">
        <f t="shared" si="2"/>
        <v/>
      </c>
      <c r="C5232" s="2" t="str">
        <f t="shared" si="3"/>
        <v>SP500</v>
      </c>
      <c r="D5232" s="2">
        <f t="shared" si="4"/>
        <v>7007.35</v>
      </c>
      <c r="E5232" s="2">
        <f t="shared" si="5"/>
        <v>7007.35</v>
      </c>
      <c r="G5232" s="10">
        <f t="shared" si="9"/>
        <v>43214.64583</v>
      </c>
      <c r="H5232" s="6" t="str">
        <f t="shared" si="6"/>
        <v/>
      </c>
      <c r="I5232" s="2">
        <f t="shared" si="7"/>
        <v>1426.89</v>
      </c>
    </row>
    <row r="5233">
      <c r="A5233" s="10">
        <f t="shared" si="8"/>
        <v>43215.66667</v>
      </c>
      <c r="B5233" s="2" t="str">
        <f t="shared" si="2"/>
        <v/>
      </c>
      <c r="C5233" s="2" t="str">
        <f t="shared" si="3"/>
        <v>SP500</v>
      </c>
      <c r="D5233" s="2">
        <f t="shared" si="4"/>
        <v>7003.74</v>
      </c>
      <c r="E5233" s="2">
        <f t="shared" si="5"/>
        <v>7003.74</v>
      </c>
      <c r="G5233" s="10">
        <f t="shared" si="9"/>
        <v>43215.64583</v>
      </c>
      <c r="H5233" s="6" t="str">
        <f t="shared" si="6"/>
        <v/>
      </c>
      <c r="I5233" s="2">
        <f t="shared" si="7"/>
        <v>1426.89</v>
      </c>
    </row>
    <row r="5234">
      <c r="A5234" s="10">
        <f t="shared" si="8"/>
        <v>43216.66667</v>
      </c>
      <c r="B5234" s="2" t="str">
        <f t="shared" si="2"/>
        <v/>
      </c>
      <c r="C5234" s="2" t="str">
        <f t="shared" si="3"/>
        <v>SP500</v>
      </c>
      <c r="D5234" s="2">
        <f t="shared" si="4"/>
        <v>7118.68</v>
      </c>
      <c r="E5234" s="2">
        <f t="shared" si="5"/>
        <v>7118.68</v>
      </c>
      <c r="G5234" s="10">
        <f t="shared" si="9"/>
        <v>43216.64583</v>
      </c>
      <c r="H5234" s="6" t="str">
        <f t="shared" si="6"/>
        <v/>
      </c>
      <c r="I5234" s="2">
        <f t="shared" si="7"/>
        <v>1426.89</v>
      </c>
    </row>
    <row r="5235">
      <c r="A5235" s="10">
        <f t="shared" si="8"/>
        <v>43217.66667</v>
      </c>
      <c r="B5235" s="2" t="str">
        <f t="shared" si="2"/>
        <v/>
      </c>
      <c r="C5235" s="2" t="str">
        <f t="shared" si="3"/>
        <v>SP500</v>
      </c>
      <c r="D5235" s="2">
        <f t="shared" si="4"/>
        <v>7119.8</v>
      </c>
      <c r="E5235" s="2">
        <f t="shared" si="5"/>
        <v>7119.8</v>
      </c>
      <c r="G5235" s="10">
        <f t="shared" si="9"/>
        <v>43217.64583</v>
      </c>
      <c r="H5235" s="6" t="str">
        <f t="shared" si="6"/>
        <v/>
      </c>
      <c r="I5235" s="2">
        <f t="shared" si="7"/>
        <v>1426.89</v>
      </c>
    </row>
    <row r="5236">
      <c r="A5236" s="10">
        <f t="shared" si="8"/>
        <v>43218.66667</v>
      </c>
      <c r="B5236" s="2" t="str">
        <f t="shared" si="2"/>
        <v/>
      </c>
      <c r="C5236" s="2" t="str">
        <f t="shared" si="3"/>
        <v>SP500</v>
      </c>
      <c r="D5236" s="2" t="str">
        <f t="shared" si="4"/>
        <v/>
      </c>
      <c r="E5236" s="2">
        <f t="shared" si="5"/>
        <v>7119.8</v>
      </c>
      <c r="G5236" s="10">
        <f t="shared" si="9"/>
        <v>43218.64583</v>
      </c>
      <c r="H5236" s="6" t="str">
        <f t="shared" si="6"/>
        <v/>
      </c>
      <c r="I5236" s="2">
        <f t="shared" si="7"/>
        <v>1426.89</v>
      </c>
    </row>
    <row r="5237">
      <c r="A5237" s="10">
        <f t="shared" si="8"/>
        <v>43219.66667</v>
      </c>
      <c r="B5237" s="2" t="str">
        <f t="shared" si="2"/>
        <v/>
      </c>
      <c r="C5237" s="2" t="str">
        <f t="shared" si="3"/>
        <v>SP500</v>
      </c>
      <c r="D5237" s="2" t="str">
        <f t="shared" si="4"/>
        <v/>
      </c>
      <c r="E5237" s="2">
        <f t="shared" si="5"/>
        <v>7119.8</v>
      </c>
      <c r="G5237" s="10">
        <f t="shared" si="9"/>
        <v>43219.64583</v>
      </c>
      <c r="H5237" s="6" t="str">
        <f t="shared" si="6"/>
        <v/>
      </c>
      <c r="I5237" s="2">
        <f t="shared" si="7"/>
        <v>1426.89</v>
      </c>
    </row>
    <row r="5238">
      <c r="A5238" s="10">
        <f t="shared" si="8"/>
        <v>43220.66667</v>
      </c>
      <c r="B5238" s="2" t="str">
        <f t="shared" si="2"/>
        <v/>
      </c>
      <c r="C5238" s="2" t="str">
        <f t="shared" si="3"/>
        <v>SP500</v>
      </c>
      <c r="D5238" s="2">
        <f t="shared" si="4"/>
        <v>7066.27</v>
      </c>
      <c r="E5238" s="2">
        <f t="shared" si="5"/>
        <v>7066.27</v>
      </c>
      <c r="G5238" s="10">
        <f t="shared" si="9"/>
        <v>43220.64583</v>
      </c>
      <c r="H5238" s="6" t="str">
        <f t="shared" si="6"/>
        <v/>
      </c>
      <c r="I5238" s="2">
        <f t="shared" si="7"/>
        <v>1426.89</v>
      </c>
    </row>
    <row r="5239">
      <c r="A5239" s="10">
        <f t="shared" si="8"/>
        <v>43221.66667</v>
      </c>
      <c r="B5239" s="2" t="str">
        <f t="shared" si="2"/>
        <v/>
      </c>
      <c r="C5239" s="2" t="str">
        <f t="shared" si="3"/>
        <v>SP500</v>
      </c>
      <c r="D5239" s="2">
        <f t="shared" si="4"/>
        <v>7130.7</v>
      </c>
      <c r="E5239" s="2">
        <f t="shared" si="5"/>
        <v>7130.7</v>
      </c>
      <c r="G5239" s="10">
        <f t="shared" si="9"/>
        <v>43221.64583</v>
      </c>
      <c r="H5239" s="6" t="str">
        <f t="shared" si="6"/>
        <v/>
      </c>
      <c r="I5239" s="2">
        <f t="shared" si="7"/>
        <v>1426.89</v>
      </c>
    </row>
    <row r="5240">
      <c r="A5240" s="10">
        <f t="shared" si="8"/>
        <v>43222.66667</v>
      </c>
      <c r="B5240" s="2" t="str">
        <f t="shared" si="2"/>
        <v/>
      </c>
      <c r="C5240" s="2" t="str">
        <f t="shared" si="3"/>
        <v>SP500</v>
      </c>
      <c r="D5240" s="2">
        <f t="shared" si="4"/>
        <v>7100.9</v>
      </c>
      <c r="E5240" s="2">
        <f t="shared" si="5"/>
        <v>7100.9</v>
      </c>
      <c r="G5240" s="10">
        <f t="shared" si="9"/>
        <v>43222.64583</v>
      </c>
      <c r="H5240" s="6" t="str">
        <f t="shared" si="6"/>
        <v/>
      </c>
      <c r="I5240" s="2">
        <f t="shared" si="7"/>
        <v>1426.89</v>
      </c>
    </row>
    <row r="5241">
      <c r="A5241" s="10">
        <f t="shared" si="8"/>
        <v>43223.66667</v>
      </c>
      <c r="B5241" s="2" t="str">
        <f t="shared" si="2"/>
        <v/>
      </c>
      <c r="C5241" s="2" t="str">
        <f t="shared" si="3"/>
        <v>SP500</v>
      </c>
      <c r="D5241" s="2">
        <f t="shared" si="4"/>
        <v>7088.15</v>
      </c>
      <c r="E5241" s="2">
        <f t="shared" si="5"/>
        <v>7088.15</v>
      </c>
      <c r="G5241" s="10">
        <f t="shared" si="9"/>
        <v>43223.64583</v>
      </c>
      <c r="H5241" s="6" t="str">
        <f t="shared" si="6"/>
        <v/>
      </c>
      <c r="I5241" s="2">
        <f t="shared" si="7"/>
        <v>1426.89</v>
      </c>
    </row>
    <row r="5242">
      <c r="A5242" s="10">
        <f t="shared" si="8"/>
        <v>43224.66667</v>
      </c>
      <c r="B5242" s="2" t="str">
        <f t="shared" si="2"/>
        <v/>
      </c>
      <c r="C5242" s="2" t="str">
        <f t="shared" si="3"/>
        <v>SP500</v>
      </c>
      <c r="D5242" s="2">
        <f t="shared" si="4"/>
        <v>7209.62</v>
      </c>
      <c r="E5242" s="2">
        <f t="shared" si="5"/>
        <v>7209.62</v>
      </c>
      <c r="G5242" s="10">
        <f t="shared" si="9"/>
        <v>43224.64583</v>
      </c>
      <c r="H5242" s="6" t="str">
        <f t="shared" si="6"/>
        <v/>
      </c>
      <c r="I5242" s="2">
        <f t="shared" si="7"/>
        <v>1426.89</v>
      </c>
    </row>
    <row r="5243">
      <c r="A5243" s="10">
        <f t="shared" si="8"/>
        <v>43225.66667</v>
      </c>
      <c r="B5243" s="2" t="str">
        <f t="shared" si="2"/>
        <v/>
      </c>
      <c r="C5243" s="2" t="str">
        <f t="shared" si="3"/>
        <v>SP500</v>
      </c>
      <c r="D5243" s="2" t="str">
        <f t="shared" si="4"/>
        <v/>
      </c>
      <c r="E5243" s="2">
        <f t="shared" si="5"/>
        <v>7209.62</v>
      </c>
      <c r="G5243" s="10">
        <f t="shared" si="9"/>
        <v>43225.64583</v>
      </c>
      <c r="H5243" s="6" t="str">
        <f t="shared" si="6"/>
        <v/>
      </c>
      <c r="I5243" s="2">
        <f t="shared" si="7"/>
        <v>1426.89</v>
      </c>
    </row>
    <row r="5244">
      <c r="A5244" s="10">
        <f t="shared" si="8"/>
        <v>43226.66667</v>
      </c>
      <c r="B5244" s="2" t="str">
        <f t="shared" si="2"/>
        <v/>
      </c>
      <c r="C5244" s="2" t="str">
        <f t="shared" si="3"/>
        <v>SP500</v>
      </c>
      <c r="D5244" s="2" t="str">
        <f t="shared" si="4"/>
        <v/>
      </c>
      <c r="E5244" s="2">
        <f t="shared" si="5"/>
        <v>7209.62</v>
      </c>
      <c r="G5244" s="10">
        <f t="shared" si="9"/>
        <v>43226.64583</v>
      </c>
      <c r="H5244" s="6" t="str">
        <f t="shared" si="6"/>
        <v/>
      </c>
      <c r="I5244" s="2">
        <f t="shared" si="7"/>
        <v>1426.89</v>
      </c>
    </row>
    <row r="5245">
      <c r="A5245" s="10">
        <f t="shared" si="8"/>
        <v>43227.66667</v>
      </c>
      <c r="B5245" s="2" t="str">
        <f t="shared" si="2"/>
        <v/>
      </c>
      <c r="C5245" s="2" t="str">
        <f t="shared" si="3"/>
        <v>SP500</v>
      </c>
      <c r="D5245" s="2">
        <f t="shared" si="4"/>
        <v>7265.21</v>
      </c>
      <c r="E5245" s="2">
        <f t="shared" si="5"/>
        <v>7265.21</v>
      </c>
      <c r="G5245" s="10">
        <f t="shared" si="9"/>
        <v>43227.64583</v>
      </c>
      <c r="H5245" s="6" t="str">
        <f t="shared" si="6"/>
        <v/>
      </c>
      <c r="I5245" s="2">
        <f t="shared" si="7"/>
        <v>1426.89</v>
      </c>
    </row>
    <row r="5246">
      <c r="A5246" s="10">
        <f t="shared" si="8"/>
        <v>43228.66667</v>
      </c>
      <c r="B5246" s="2" t="str">
        <f t="shared" si="2"/>
        <v/>
      </c>
      <c r="C5246" s="2" t="str">
        <f t="shared" si="3"/>
        <v>SP500</v>
      </c>
      <c r="D5246" s="2">
        <f t="shared" si="4"/>
        <v>7266.9</v>
      </c>
      <c r="E5246" s="2">
        <f t="shared" si="5"/>
        <v>7266.9</v>
      </c>
      <c r="G5246" s="10">
        <f t="shared" si="9"/>
        <v>43228.64583</v>
      </c>
      <c r="H5246" s="6" t="str">
        <f t="shared" si="6"/>
        <v/>
      </c>
      <c r="I5246" s="2">
        <f t="shared" si="7"/>
        <v>1426.89</v>
      </c>
    </row>
    <row r="5247">
      <c r="A5247" s="10">
        <f t="shared" si="8"/>
        <v>43229.66667</v>
      </c>
      <c r="B5247" s="2" t="str">
        <f t="shared" si="2"/>
        <v/>
      </c>
      <c r="C5247" s="2" t="str">
        <f t="shared" si="3"/>
        <v>SP500</v>
      </c>
      <c r="D5247" s="2">
        <f t="shared" si="4"/>
        <v>7339.91</v>
      </c>
      <c r="E5247" s="2">
        <f t="shared" si="5"/>
        <v>7339.91</v>
      </c>
      <c r="G5247" s="10">
        <f t="shared" si="9"/>
        <v>43229.64583</v>
      </c>
      <c r="H5247" s="6" t="str">
        <f t="shared" si="6"/>
        <v/>
      </c>
      <c r="I5247" s="2">
        <f t="shared" si="7"/>
        <v>1426.89</v>
      </c>
    </row>
    <row r="5248">
      <c r="A5248" s="10">
        <f t="shared" si="8"/>
        <v>43230.66667</v>
      </c>
      <c r="B5248" s="2" t="str">
        <f t="shared" si="2"/>
        <v/>
      </c>
      <c r="C5248" s="2" t="str">
        <f t="shared" si="3"/>
        <v>SP500</v>
      </c>
      <c r="D5248" s="2">
        <f t="shared" si="4"/>
        <v>7404.98</v>
      </c>
      <c r="E5248" s="2">
        <f t="shared" si="5"/>
        <v>7404.98</v>
      </c>
      <c r="G5248" s="10">
        <f t="shared" si="9"/>
        <v>43230.64583</v>
      </c>
      <c r="H5248" s="6" t="str">
        <f t="shared" si="6"/>
        <v/>
      </c>
      <c r="I5248" s="2">
        <f t="shared" si="7"/>
        <v>1426.89</v>
      </c>
    </row>
    <row r="5249">
      <c r="A5249" s="10">
        <f t="shared" si="8"/>
        <v>43231.66667</v>
      </c>
      <c r="B5249" s="2" t="str">
        <f t="shared" si="2"/>
        <v/>
      </c>
      <c r="C5249" s="2" t="str">
        <f t="shared" si="3"/>
        <v>SP500</v>
      </c>
      <c r="D5249" s="2">
        <f t="shared" si="4"/>
        <v>7402.88</v>
      </c>
      <c r="E5249" s="2">
        <f t="shared" si="5"/>
        <v>7402.88</v>
      </c>
      <c r="G5249" s="10">
        <f t="shared" si="9"/>
        <v>43231.64583</v>
      </c>
      <c r="H5249" s="6" t="str">
        <f t="shared" si="6"/>
        <v/>
      </c>
      <c r="I5249" s="2">
        <f t="shared" si="7"/>
        <v>1426.89</v>
      </c>
    </row>
    <row r="5250">
      <c r="A5250" s="10">
        <f t="shared" si="8"/>
        <v>43232.66667</v>
      </c>
      <c r="B5250" s="2" t="str">
        <f t="shared" si="2"/>
        <v/>
      </c>
      <c r="C5250" s="2" t="str">
        <f t="shared" si="3"/>
        <v>SP500</v>
      </c>
      <c r="D5250" s="2" t="str">
        <f t="shared" si="4"/>
        <v/>
      </c>
      <c r="E5250" s="2">
        <f t="shared" si="5"/>
        <v>7402.88</v>
      </c>
      <c r="G5250" s="10">
        <f t="shared" si="9"/>
        <v>43232.64583</v>
      </c>
      <c r="H5250" s="6" t="str">
        <f t="shared" si="6"/>
        <v/>
      </c>
      <c r="I5250" s="2">
        <f t="shared" si="7"/>
        <v>1426.89</v>
      </c>
    </row>
    <row r="5251">
      <c r="A5251" s="10">
        <f t="shared" si="8"/>
        <v>43233.66667</v>
      </c>
      <c r="B5251" s="2" t="str">
        <f t="shared" si="2"/>
        <v/>
      </c>
      <c r="C5251" s="2" t="str">
        <f t="shared" si="3"/>
        <v>SP500</v>
      </c>
      <c r="D5251" s="2" t="str">
        <f t="shared" si="4"/>
        <v/>
      </c>
      <c r="E5251" s="2">
        <f t="shared" si="5"/>
        <v>7402.88</v>
      </c>
      <c r="G5251" s="10">
        <f t="shared" si="9"/>
        <v>43233.64583</v>
      </c>
      <c r="H5251" s="6" t="str">
        <f t="shared" si="6"/>
        <v/>
      </c>
      <c r="I5251" s="2">
        <f t="shared" si="7"/>
        <v>1426.89</v>
      </c>
    </row>
    <row r="5252">
      <c r="A5252" s="10">
        <f t="shared" si="8"/>
        <v>43234.66667</v>
      </c>
      <c r="B5252" s="2" t="str">
        <f t="shared" si="2"/>
        <v/>
      </c>
      <c r="C5252" s="2" t="str">
        <f t="shared" si="3"/>
        <v>SP500</v>
      </c>
      <c r="D5252" s="2">
        <f t="shared" si="4"/>
        <v>7411.32</v>
      </c>
      <c r="E5252" s="2">
        <f t="shared" si="5"/>
        <v>7411.32</v>
      </c>
      <c r="G5252" s="10">
        <f t="shared" si="9"/>
        <v>43234.64583</v>
      </c>
      <c r="H5252" s="6" t="str">
        <f t="shared" si="6"/>
        <v/>
      </c>
      <c r="I5252" s="2">
        <f t="shared" si="7"/>
        <v>1426.89</v>
      </c>
    </row>
    <row r="5253">
      <c r="A5253" s="10">
        <f t="shared" si="8"/>
        <v>43235.66667</v>
      </c>
      <c r="B5253" s="2" t="str">
        <f t="shared" si="2"/>
        <v/>
      </c>
      <c r="C5253" s="2" t="str">
        <f t="shared" si="3"/>
        <v>SP500</v>
      </c>
      <c r="D5253" s="2">
        <f t="shared" si="4"/>
        <v>7351.63</v>
      </c>
      <c r="E5253" s="2">
        <f t="shared" si="5"/>
        <v>7351.63</v>
      </c>
      <c r="G5253" s="10">
        <f t="shared" si="9"/>
        <v>43235.64583</v>
      </c>
      <c r="H5253" s="6" t="str">
        <f t="shared" si="6"/>
        <v/>
      </c>
      <c r="I5253" s="2">
        <f t="shared" si="7"/>
        <v>1426.89</v>
      </c>
    </row>
    <row r="5254">
      <c r="A5254" s="10">
        <f t="shared" si="8"/>
        <v>43236.66667</v>
      </c>
      <c r="B5254" s="2" t="str">
        <f t="shared" si="2"/>
        <v/>
      </c>
      <c r="C5254" s="2" t="str">
        <f t="shared" si="3"/>
        <v>SP500</v>
      </c>
      <c r="D5254" s="2">
        <f t="shared" si="4"/>
        <v>7398.3</v>
      </c>
      <c r="E5254" s="2">
        <f t="shared" si="5"/>
        <v>7398.3</v>
      </c>
      <c r="G5254" s="10">
        <f t="shared" si="9"/>
        <v>43236.64583</v>
      </c>
      <c r="H5254" s="6" t="str">
        <f t="shared" si="6"/>
        <v/>
      </c>
      <c r="I5254" s="2">
        <f t="shared" si="7"/>
        <v>1426.89</v>
      </c>
    </row>
    <row r="5255">
      <c r="A5255" s="10">
        <f t="shared" si="8"/>
        <v>43237.66667</v>
      </c>
      <c r="B5255" s="2" t="str">
        <f t="shared" si="2"/>
        <v/>
      </c>
      <c r="C5255" s="2" t="str">
        <f t="shared" si="3"/>
        <v>SP500</v>
      </c>
      <c r="D5255" s="2">
        <f t="shared" si="4"/>
        <v>7382.47</v>
      </c>
      <c r="E5255" s="2">
        <f t="shared" si="5"/>
        <v>7382.47</v>
      </c>
      <c r="G5255" s="10">
        <f t="shared" si="9"/>
        <v>43237.64583</v>
      </c>
      <c r="H5255" s="6" t="str">
        <f t="shared" si="6"/>
        <v/>
      </c>
      <c r="I5255" s="2">
        <f t="shared" si="7"/>
        <v>1426.89</v>
      </c>
    </row>
    <row r="5256">
      <c r="A5256" s="10">
        <f t="shared" si="8"/>
        <v>43238.66667</v>
      </c>
      <c r="B5256" s="2" t="str">
        <f t="shared" si="2"/>
        <v/>
      </c>
      <c r="C5256" s="2" t="str">
        <f t="shared" si="3"/>
        <v>SP500</v>
      </c>
      <c r="D5256" s="2">
        <f t="shared" si="4"/>
        <v>7354.34</v>
      </c>
      <c r="E5256" s="2">
        <f t="shared" si="5"/>
        <v>7354.34</v>
      </c>
      <c r="G5256" s="10">
        <f t="shared" si="9"/>
        <v>43238.64583</v>
      </c>
      <c r="H5256" s="6" t="str">
        <f t="shared" si="6"/>
        <v/>
      </c>
      <c r="I5256" s="2">
        <f t="shared" si="7"/>
        <v>1426.89</v>
      </c>
    </row>
    <row r="5257">
      <c r="A5257" s="10">
        <f t="shared" si="8"/>
        <v>43239.66667</v>
      </c>
      <c r="B5257" s="2" t="str">
        <f t="shared" si="2"/>
        <v/>
      </c>
      <c r="C5257" s="2" t="str">
        <f t="shared" si="3"/>
        <v>SP500</v>
      </c>
      <c r="D5257" s="2" t="str">
        <f t="shared" si="4"/>
        <v/>
      </c>
      <c r="E5257" s="2">
        <f t="shared" si="5"/>
        <v>7354.34</v>
      </c>
      <c r="G5257" s="10">
        <f t="shared" si="9"/>
        <v>43239.64583</v>
      </c>
      <c r="H5257" s="6" t="str">
        <f t="shared" si="6"/>
        <v/>
      </c>
      <c r="I5257" s="2">
        <f t="shared" si="7"/>
        <v>1426.89</v>
      </c>
    </row>
    <row r="5258">
      <c r="A5258" s="10">
        <f t="shared" si="8"/>
        <v>43240.66667</v>
      </c>
      <c r="B5258" s="2" t="str">
        <f t="shared" si="2"/>
        <v/>
      </c>
      <c r="C5258" s="2" t="str">
        <f t="shared" si="3"/>
        <v>SP500</v>
      </c>
      <c r="D5258" s="2" t="str">
        <f t="shared" si="4"/>
        <v/>
      </c>
      <c r="E5258" s="2">
        <f t="shared" si="5"/>
        <v>7354.34</v>
      </c>
      <c r="G5258" s="10">
        <f t="shared" si="9"/>
        <v>43240.64583</v>
      </c>
      <c r="H5258" s="6" t="str">
        <f t="shared" si="6"/>
        <v/>
      </c>
      <c r="I5258" s="2">
        <f t="shared" si="7"/>
        <v>1426.89</v>
      </c>
    </row>
    <row r="5259">
      <c r="A5259" s="10">
        <f t="shared" si="8"/>
        <v>43241.66667</v>
      </c>
      <c r="B5259" s="2" t="str">
        <f t="shared" si="2"/>
        <v/>
      </c>
      <c r="C5259" s="2" t="str">
        <f t="shared" si="3"/>
        <v>SP500</v>
      </c>
      <c r="D5259" s="2">
        <f t="shared" si="4"/>
        <v>7394.04</v>
      </c>
      <c r="E5259" s="2">
        <f t="shared" si="5"/>
        <v>7394.04</v>
      </c>
      <c r="G5259" s="10">
        <f t="shared" si="9"/>
        <v>43241.64583</v>
      </c>
      <c r="H5259" s="6" t="str">
        <f t="shared" si="6"/>
        <v/>
      </c>
      <c r="I5259" s="2">
        <f t="shared" si="7"/>
        <v>1426.89</v>
      </c>
    </row>
    <row r="5260">
      <c r="A5260" s="10">
        <f t="shared" si="8"/>
        <v>43242.66667</v>
      </c>
      <c r="B5260" s="2" t="str">
        <f t="shared" si="2"/>
        <v/>
      </c>
      <c r="C5260" s="2" t="str">
        <f t="shared" si="3"/>
        <v>SP500</v>
      </c>
      <c r="D5260" s="2">
        <f t="shared" si="4"/>
        <v>7378.46</v>
      </c>
      <c r="E5260" s="2">
        <f t="shared" si="5"/>
        <v>7378.46</v>
      </c>
      <c r="G5260" s="10">
        <f t="shared" si="9"/>
        <v>43242.64583</v>
      </c>
      <c r="H5260" s="6" t="str">
        <f t="shared" si="6"/>
        <v/>
      </c>
      <c r="I5260" s="2">
        <f t="shared" si="7"/>
        <v>1426.89</v>
      </c>
    </row>
    <row r="5261">
      <c r="A5261" s="10">
        <f t="shared" si="8"/>
        <v>43243.66667</v>
      </c>
      <c r="B5261" s="2" t="str">
        <f t="shared" si="2"/>
        <v/>
      </c>
      <c r="C5261" s="2" t="str">
        <f t="shared" si="3"/>
        <v>SP500</v>
      </c>
      <c r="D5261" s="2">
        <f t="shared" si="4"/>
        <v>7425.96</v>
      </c>
      <c r="E5261" s="2">
        <f t="shared" si="5"/>
        <v>7425.96</v>
      </c>
      <c r="G5261" s="10">
        <f t="shared" si="9"/>
        <v>43243.64583</v>
      </c>
      <c r="H5261" s="6" t="str">
        <f t="shared" si="6"/>
        <v/>
      </c>
      <c r="I5261" s="2">
        <f t="shared" si="7"/>
        <v>1426.89</v>
      </c>
    </row>
    <row r="5262">
      <c r="A5262" s="10">
        <f t="shared" si="8"/>
        <v>43244.66667</v>
      </c>
      <c r="B5262" s="2" t="str">
        <f t="shared" si="2"/>
        <v/>
      </c>
      <c r="C5262" s="2" t="str">
        <f t="shared" si="3"/>
        <v>SP500</v>
      </c>
      <c r="D5262" s="2">
        <f t="shared" si="4"/>
        <v>7424.43</v>
      </c>
      <c r="E5262" s="2">
        <f t="shared" si="5"/>
        <v>7424.43</v>
      </c>
      <c r="G5262" s="10">
        <f t="shared" si="9"/>
        <v>43244.64583</v>
      </c>
      <c r="H5262" s="6" t="str">
        <f t="shared" si="6"/>
        <v/>
      </c>
      <c r="I5262" s="2">
        <f t="shared" si="7"/>
        <v>1426.89</v>
      </c>
    </row>
    <row r="5263">
      <c r="A5263" s="10">
        <f t="shared" si="8"/>
        <v>43245.66667</v>
      </c>
      <c r="B5263" s="2" t="str">
        <f t="shared" si="2"/>
        <v/>
      </c>
      <c r="C5263" s="2" t="str">
        <f t="shared" si="3"/>
        <v>SP500</v>
      </c>
      <c r="D5263" s="2">
        <f t="shared" si="4"/>
        <v>7433.85</v>
      </c>
      <c r="E5263" s="2">
        <f t="shared" si="5"/>
        <v>7433.85</v>
      </c>
      <c r="G5263" s="10">
        <f t="shared" si="9"/>
        <v>43245.64583</v>
      </c>
      <c r="H5263" s="6" t="str">
        <f t="shared" si="6"/>
        <v/>
      </c>
      <c r="I5263" s="2">
        <f t="shared" si="7"/>
        <v>1426.89</v>
      </c>
    </row>
    <row r="5264">
      <c r="A5264" s="10">
        <f t="shared" si="8"/>
        <v>43246.66667</v>
      </c>
      <c r="B5264" s="2" t="str">
        <f t="shared" si="2"/>
        <v/>
      </c>
      <c r="C5264" s="2" t="str">
        <f t="shared" si="3"/>
        <v>SP500</v>
      </c>
      <c r="D5264" s="2" t="str">
        <f t="shared" si="4"/>
        <v/>
      </c>
      <c r="E5264" s="2">
        <f t="shared" si="5"/>
        <v>7433.85</v>
      </c>
      <c r="G5264" s="10">
        <f t="shared" si="9"/>
        <v>43246.64583</v>
      </c>
      <c r="H5264" s="6" t="str">
        <f t="shared" si="6"/>
        <v/>
      </c>
      <c r="I5264" s="2">
        <f t="shared" si="7"/>
        <v>1426.89</v>
      </c>
    </row>
    <row r="5265">
      <c r="A5265" s="10">
        <f t="shared" si="8"/>
        <v>43247.66667</v>
      </c>
      <c r="B5265" s="2" t="str">
        <f t="shared" si="2"/>
        <v/>
      </c>
      <c r="C5265" s="2" t="str">
        <f t="shared" si="3"/>
        <v>SP500</v>
      </c>
      <c r="D5265" s="2" t="str">
        <f t="shared" si="4"/>
        <v/>
      </c>
      <c r="E5265" s="2">
        <f t="shared" si="5"/>
        <v>7433.85</v>
      </c>
      <c r="G5265" s="10">
        <f t="shared" si="9"/>
        <v>43247.64583</v>
      </c>
      <c r="H5265" s="6" t="str">
        <f t="shared" si="6"/>
        <v/>
      </c>
      <c r="I5265" s="2">
        <f t="shared" si="7"/>
        <v>1426.89</v>
      </c>
    </row>
    <row r="5266">
      <c r="A5266" s="10">
        <f t="shared" si="8"/>
        <v>43248.66667</v>
      </c>
      <c r="B5266" s="2" t="str">
        <f t="shared" si="2"/>
        <v/>
      </c>
      <c r="C5266" s="2" t="str">
        <f t="shared" si="3"/>
        <v>SP500</v>
      </c>
      <c r="D5266" s="2" t="str">
        <f t="shared" si="4"/>
        <v/>
      </c>
      <c r="E5266" s="2">
        <f t="shared" si="5"/>
        <v>7433.85</v>
      </c>
      <c r="G5266" s="10">
        <f t="shared" si="9"/>
        <v>43248.64583</v>
      </c>
      <c r="H5266" s="6" t="str">
        <f t="shared" si="6"/>
        <v/>
      </c>
      <c r="I5266" s="2">
        <f t="shared" si="7"/>
        <v>1426.89</v>
      </c>
    </row>
    <row r="5267">
      <c r="A5267" s="10">
        <f t="shared" si="8"/>
        <v>43249.66667</v>
      </c>
      <c r="B5267" s="2" t="str">
        <f t="shared" si="2"/>
        <v/>
      </c>
      <c r="C5267" s="2" t="str">
        <f t="shared" si="3"/>
        <v>SP500</v>
      </c>
      <c r="D5267" s="2">
        <f t="shared" si="4"/>
        <v>7396.59</v>
      </c>
      <c r="E5267" s="2">
        <f t="shared" si="5"/>
        <v>7396.59</v>
      </c>
      <c r="G5267" s="10">
        <f t="shared" si="9"/>
        <v>43249.64583</v>
      </c>
      <c r="H5267" s="6" t="str">
        <f t="shared" si="6"/>
        <v/>
      </c>
      <c r="I5267" s="2">
        <f t="shared" si="7"/>
        <v>1426.89</v>
      </c>
    </row>
    <row r="5268">
      <c r="A5268" s="10">
        <f t="shared" si="8"/>
        <v>43250.66667</v>
      </c>
      <c r="B5268" s="2" t="str">
        <f t="shared" si="2"/>
        <v/>
      </c>
      <c r="C5268" s="2" t="str">
        <f t="shared" si="3"/>
        <v>SP500</v>
      </c>
      <c r="D5268" s="2">
        <f t="shared" si="4"/>
        <v>7462.45</v>
      </c>
      <c r="E5268" s="2">
        <f t="shared" si="5"/>
        <v>7462.45</v>
      </c>
      <c r="G5268" s="10">
        <f t="shared" si="9"/>
        <v>43250.64583</v>
      </c>
      <c r="H5268" s="6" t="str">
        <f t="shared" si="6"/>
        <v/>
      </c>
      <c r="I5268" s="2">
        <f t="shared" si="7"/>
        <v>1426.89</v>
      </c>
    </row>
    <row r="5269">
      <c r="A5269" s="10">
        <f t="shared" si="8"/>
        <v>43251.66667</v>
      </c>
      <c r="B5269" s="2" t="str">
        <f t="shared" si="2"/>
        <v/>
      </c>
      <c r="C5269" s="2" t="str">
        <f t="shared" si="3"/>
        <v>SP500</v>
      </c>
      <c r="D5269" s="2">
        <f t="shared" si="4"/>
        <v>7442.12</v>
      </c>
      <c r="E5269" s="2">
        <f t="shared" si="5"/>
        <v>7442.12</v>
      </c>
      <c r="G5269" s="10">
        <f t="shared" si="9"/>
        <v>43251.64583</v>
      </c>
      <c r="H5269" s="6" t="str">
        <f t="shared" si="6"/>
        <v/>
      </c>
      <c r="I5269" s="2">
        <f t="shared" si="7"/>
        <v>1426.89</v>
      </c>
    </row>
    <row r="5270">
      <c r="A5270" s="10">
        <f t="shared" si="8"/>
        <v>43252.66667</v>
      </c>
      <c r="B5270" s="2" t="str">
        <f t="shared" si="2"/>
        <v/>
      </c>
      <c r="C5270" s="2" t="str">
        <f t="shared" si="3"/>
        <v>SP500</v>
      </c>
      <c r="D5270" s="2">
        <f t="shared" si="4"/>
        <v>7554.33</v>
      </c>
      <c r="E5270" s="2">
        <f t="shared" si="5"/>
        <v>7554.33</v>
      </c>
      <c r="G5270" s="10">
        <f t="shared" si="9"/>
        <v>43252.64583</v>
      </c>
      <c r="H5270" s="6" t="str">
        <f t="shared" si="6"/>
        <v/>
      </c>
      <c r="I5270" s="2">
        <f t="shared" si="7"/>
        <v>1426.89</v>
      </c>
    </row>
    <row r="5271">
      <c r="A5271" s="10">
        <f t="shared" si="8"/>
        <v>43253.66667</v>
      </c>
      <c r="B5271" s="2" t="str">
        <f t="shared" si="2"/>
        <v/>
      </c>
      <c r="C5271" s="2" t="str">
        <f t="shared" si="3"/>
        <v>SP500</v>
      </c>
      <c r="D5271" s="2" t="str">
        <f t="shared" si="4"/>
        <v/>
      </c>
      <c r="E5271" s="2">
        <f t="shared" si="5"/>
        <v>7554.33</v>
      </c>
      <c r="G5271" s="10">
        <f t="shared" si="9"/>
        <v>43253.64583</v>
      </c>
      <c r="H5271" s="6" t="str">
        <f t="shared" si="6"/>
        <v/>
      </c>
      <c r="I5271" s="2">
        <f t="shared" si="7"/>
        <v>1426.89</v>
      </c>
    </row>
    <row r="5272">
      <c r="A5272" s="10">
        <f t="shared" si="8"/>
        <v>43254.66667</v>
      </c>
      <c r="B5272" s="2" t="str">
        <f t="shared" si="2"/>
        <v/>
      </c>
      <c r="C5272" s="2" t="str">
        <f t="shared" si="3"/>
        <v>SP500</v>
      </c>
      <c r="D5272" s="2" t="str">
        <f t="shared" si="4"/>
        <v/>
      </c>
      <c r="E5272" s="2">
        <f t="shared" si="5"/>
        <v>7554.33</v>
      </c>
      <c r="G5272" s="10">
        <f t="shared" si="9"/>
        <v>43254.64583</v>
      </c>
      <c r="H5272" s="6" t="str">
        <f t="shared" si="6"/>
        <v/>
      </c>
      <c r="I5272" s="2">
        <f t="shared" si="7"/>
        <v>1426.89</v>
      </c>
    </row>
    <row r="5273">
      <c r="A5273" s="10">
        <f t="shared" si="8"/>
        <v>43255.66667</v>
      </c>
      <c r="B5273" s="2" t="str">
        <f t="shared" si="2"/>
        <v/>
      </c>
      <c r="C5273" s="2" t="str">
        <f t="shared" si="3"/>
        <v>SP500</v>
      </c>
      <c r="D5273" s="2">
        <f t="shared" si="4"/>
        <v>7606.46</v>
      </c>
      <c r="E5273" s="2">
        <f t="shared" si="5"/>
        <v>7606.46</v>
      </c>
      <c r="G5273" s="10">
        <f t="shared" si="9"/>
        <v>43255.64583</v>
      </c>
      <c r="H5273" s="6" t="str">
        <f t="shared" si="6"/>
        <v/>
      </c>
      <c r="I5273" s="2">
        <f t="shared" si="7"/>
        <v>1426.89</v>
      </c>
    </row>
    <row r="5274">
      <c r="A5274" s="10">
        <f t="shared" si="8"/>
        <v>43256.66667</v>
      </c>
      <c r="B5274" s="2" t="str">
        <f t="shared" si="2"/>
        <v/>
      </c>
      <c r="C5274" s="2" t="str">
        <f t="shared" si="3"/>
        <v>SP500</v>
      </c>
      <c r="D5274" s="2">
        <f t="shared" si="4"/>
        <v>7637.86</v>
      </c>
      <c r="E5274" s="2">
        <f t="shared" si="5"/>
        <v>7637.86</v>
      </c>
      <c r="G5274" s="10">
        <f t="shared" si="9"/>
        <v>43256.64583</v>
      </c>
      <c r="H5274" s="6" t="str">
        <f t="shared" si="6"/>
        <v/>
      </c>
      <c r="I5274" s="2">
        <f t="shared" si="7"/>
        <v>1426.89</v>
      </c>
    </row>
    <row r="5275">
      <c r="A5275" s="10">
        <f t="shared" si="8"/>
        <v>43257.66667</v>
      </c>
      <c r="B5275" s="2" t="str">
        <f t="shared" si="2"/>
        <v/>
      </c>
      <c r="C5275" s="2" t="str">
        <f t="shared" si="3"/>
        <v>SP500</v>
      </c>
      <c r="D5275" s="2">
        <f t="shared" si="4"/>
        <v>7689.24</v>
      </c>
      <c r="E5275" s="2">
        <f t="shared" si="5"/>
        <v>7689.24</v>
      </c>
      <c r="G5275" s="10">
        <f t="shared" si="9"/>
        <v>43257.64583</v>
      </c>
      <c r="H5275" s="6" t="str">
        <f t="shared" si="6"/>
        <v/>
      </c>
      <c r="I5275" s="2">
        <f t="shared" si="7"/>
        <v>1426.89</v>
      </c>
    </row>
    <row r="5276">
      <c r="A5276" s="10">
        <f t="shared" si="8"/>
        <v>43258.66667</v>
      </c>
      <c r="B5276" s="2" t="str">
        <f t="shared" si="2"/>
        <v/>
      </c>
      <c r="C5276" s="2" t="str">
        <f t="shared" si="3"/>
        <v>SP500</v>
      </c>
      <c r="D5276" s="2">
        <f t="shared" si="4"/>
        <v>7635.07</v>
      </c>
      <c r="E5276" s="2">
        <f t="shared" si="5"/>
        <v>7635.07</v>
      </c>
      <c r="G5276" s="10">
        <f t="shared" si="9"/>
        <v>43258.64583</v>
      </c>
      <c r="H5276" s="6" t="str">
        <f t="shared" si="6"/>
        <v/>
      </c>
      <c r="I5276" s="2">
        <f t="shared" si="7"/>
        <v>1426.89</v>
      </c>
    </row>
    <row r="5277">
      <c r="A5277" s="10">
        <f t="shared" si="8"/>
        <v>43259.66667</v>
      </c>
      <c r="B5277" s="2" t="str">
        <f t="shared" si="2"/>
        <v/>
      </c>
      <c r="C5277" s="2" t="str">
        <f t="shared" si="3"/>
        <v>SP500</v>
      </c>
      <c r="D5277" s="2">
        <f t="shared" si="4"/>
        <v>7645.51</v>
      </c>
      <c r="E5277" s="2">
        <f t="shared" si="5"/>
        <v>7645.51</v>
      </c>
      <c r="G5277" s="10">
        <f t="shared" si="9"/>
        <v>43259.64583</v>
      </c>
      <c r="H5277" s="6" t="str">
        <f t="shared" si="6"/>
        <v/>
      </c>
      <c r="I5277" s="2">
        <f t="shared" si="7"/>
        <v>1426.89</v>
      </c>
    </row>
    <row r="5278">
      <c r="A5278" s="10">
        <f t="shared" si="8"/>
        <v>43260.66667</v>
      </c>
      <c r="B5278" s="2" t="str">
        <f t="shared" si="2"/>
        <v/>
      </c>
      <c r="C5278" s="2" t="str">
        <f t="shared" si="3"/>
        <v>SP500</v>
      </c>
      <c r="D5278" s="2" t="str">
        <f t="shared" si="4"/>
        <v/>
      </c>
      <c r="E5278" s="2">
        <f t="shared" si="5"/>
        <v>7645.51</v>
      </c>
      <c r="G5278" s="10">
        <f t="shared" si="9"/>
        <v>43260.64583</v>
      </c>
      <c r="H5278" s="6" t="str">
        <f t="shared" si="6"/>
        <v/>
      </c>
      <c r="I5278" s="2">
        <f t="shared" si="7"/>
        <v>1426.89</v>
      </c>
    </row>
    <row r="5279">
      <c r="A5279" s="10">
        <f t="shared" si="8"/>
        <v>43261.66667</v>
      </c>
      <c r="B5279" s="2" t="str">
        <f t="shared" si="2"/>
        <v/>
      </c>
      <c r="C5279" s="2" t="str">
        <f t="shared" si="3"/>
        <v>SP500</v>
      </c>
      <c r="D5279" s="2" t="str">
        <f t="shared" si="4"/>
        <v/>
      </c>
      <c r="E5279" s="2">
        <f t="shared" si="5"/>
        <v>7645.51</v>
      </c>
      <c r="G5279" s="10">
        <f t="shared" si="9"/>
        <v>43261.64583</v>
      </c>
      <c r="H5279" s="6" t="str">
        <f t="shared" si="6"/>
        <v/>
      </c>
      <c r="I5279" s="2">
        <f t="shared" si="7"/>
        <v>1426.89</v>
      </c>
    </row>
    <row r="5280">
      <c r="A5280" s="10">
        <f t="shared" si="8"/>
        <v>43262.66667</v>
      </c>
      <c r="B5280" s="2" t="str">
        <f t="shared" si="2"/>
        <v/>
      </c>
      <c r="C5280" s="2" t="str">
        <f t="shared" si="3"/>
        <v>SP500</v>
      </c>
      <c r="D5280" s="2">
        <f t="shared" si="4"/>
        <v>7659.93</v>
      </c>
      <c r="E5280" s="2">
        <f t="shared" si="5"/>
        <v>7659.93</v>
      </c>
      <c r="G5280" s="10">
        <f t="shared" si="9"/>
        <v>43262.64583</v>
      </c>
      <c r="H5280" s="6" t="str">
        <f t="shared" si="6"/>
        <v/>
      </c>
      <c r="I5280" s="2">
        <f t="shared" si="7"/>
        <v>1426.89</v>
      </c>
    </row>
    <row r="5281">
      <c r="A5281" s="10">
        <f t="shared" si="8"/>
        <v>43263.66667</v>
      </c>
      <c r="B5281" s="2" t="str">
        <f t="shared" si="2"/>
        <v/>
      </c>
      <c r="C5281" s="2" t="str">
        <f t="shared" si="3"/>
        <v>SP500</v>
      </c>
      <c r="D5281" s="2">
        <f t="shared" si="4"/>
        <v>7703.79</v>
      </c>
      <c r="E5281" s="2">
        <f t="shared" si="5"/>
        <v>7703.79</v>
      </c>
      <c r="G5281" s="10">
        <f t="shared" si="9"/>
        <v>43263.64583</v>
      </c>
      <c r="H5281" s="6" t="str">
        <f t="shared" si="6"/>
        <v/>
      </c>
      <c r="I5281" s="2">
        <f t="shared" si="7"/>
        <v>1426.89</v>
      </c>
    </row>
    <row r="5282">
      <c r="A5282" s="10">
        <f t="shared" si="8"/>
        <v>43264.66667</v>
      </c>
      <c r="B5282" s="2" t="str">
        <f t="shared" si="2"/>
        <v/>
      </c>
      <c r="C5282" s="2" t="str">
        <f t="shared" si="3"/>
        <v>SP500</v>
      </c>
      <c r="D5282" s="2">
        <f t="shared" si="4"/>
        <v>7695.7</v>
      </c>
      <c r="E5282" s="2">
        <f t="shared" si="5"/>
        <v>7695.7</v>
      </c>
      <c r="G5282" s="10">
        <f t="shared" si="9"/>
        <v>43264.64583</v>
      </c>
      <c r="H5282" s="6" t="str">
        <f t="shared" si="6"/>
        <v/>
      </c>
      <c r="I5282" s="2">
        <f t="shared" si="7"/>
        <v>1426.89</v>
      </c>
    </row>
    <row r="5283">
      <c r="A5283" s="10">
        <f t="shared" si="8"/>
        <v>43265.66667</v>
      </c>
      <c r="B5283" s="2" t="str">
        <f t="shared" si="2"/>
        <v/>
      </c>
      <c r="C5283" s="2" t="str">
        <f t="shared" si="3"/>
        <v>SP500</v>
      </c>
      <c r="D5283" s="2">
        <f t="shared" si="4"/>
        <v>7761.04</v>
      </c>
      <c r="E5283" s="2">
        <f t="shared" si="5"/>
        <v>7761.04</v>
      </c>
      <c r="G5283" s="10">
        <f t="shared" si="9"/>
        <v>43265.64583</v>
      </c>
      <c r="H5283" s="6" t="str">
        <f t="shared" si="6"/>
        <v/>
      </c>
      <c r="I5283" s="2">
        <f t="shared" si="7"/>
        <v>1426.89</v>
      </c>
    </row>
    <row r="5284">
      <c r="A5284" s="10">
        <f t="shared" si="8"/>
        <v>43266.66667</v>
      </c>
      <c r="B5284" s="2" t="str">
        <f t="shared" si="2"/>
        <v/>
      </c>
      <c r="C5284" s="2" t="str">
        <f t="shared" si="3"/>
        <v>SP500</v>
      </c>
      <c r="D5284" s="2">
        <f t="shared" si="4"/>
        <v>7746.38</v>
      </c>
      <c r="E5284" s="2">
        <f t="shared" si="5"/>
        <v>7746.38</v>
      </c>
      <c r="G5284" s="10">
        <f t="shared" si="9"/>
        <v>43266.64583</v>
      </c>
      <c r="H5284" s="6" t="str">
        <f t="shared" si="6"/>
        <v/>
      </c>
      <c r="I5284" s="2">
        <f t="shared" si="7"/>
        <v>1426.89</v>
      </c>
    </row>
    <row r="5285">
      <c r="A5285" s="10">
        <f t="shared" si="8"/>
        <v>43267.66667</v>
      </c>
      <c r="B5285" s="2" t="str">
        <f t="shared" si="2"/>
        <v/>
      </c>
      <c r="C5285" s="2" t="str">
        <f t="shared" si="3"/>
        <v>SP500</v>
      </c>
      <c r="D5285" s="2" t="str">
        <f t="shared" si="4"/>
        <v/>
      </c>
      <c r="E5285" s="2">
        <f t="shared" si="5"/>
        <v>7746.38</v>
      </c>
      <c r="G5285" s="10">
        <f t="shared" si="9"/>
        <v>43267.64583</v>
      </c>
      <c r="H5285" s="6" t="str">
        <f t="shared" si="6"/>
        <v/>
      </c>
      <c r="I5285" s="2">
        <f t="shared" si="7"/>
        <v>1426.89</v>
      </c>
    </row>
    <row r="5286">
      <c r="A5286" s="10">
        <f t="shared" si="8"/>
        <v>43268.66667</v>
      </c>
      <c r="B5286" s="2" t="str">
        <f t="shared" si="2"/>
        <v/>
      </c>
      <c r="C5286" s="2" t="str">
        <f t="shared" si="3"/>
        <v>SP500</v>
      </c>
      <c r="D5286" s="2" t="str">
        <f t="shared" si="4"/>
        <v/>
      </c>
      <c r="E5286" s="2">
        <f t="shared" si="5"/>
        <v>7746.38</v>
      </c>
      <c r="G5286" s="10">
        <f t="shared" si="9"/>
        <v>43268.64583</v>
      </c>
      <c r="H5286" s="6" t="str">
        <f t="shared" si="6"/>
        <v/>
      </c>
      <c r="I5286" s="2">
        <f t="shared" si="7"/>
        <v>1426.89</v>
      </c>
    </row>
    <row r="5287">
      <c r="A5287" s="10">
        <f t="shared" si="8"/>
        <v>43269.66667</v>
      </c>
      <c r="B5287" s="2" t="str">
        <f t="shared" si="2"/>
        <v/>
      </c>
      <c r="C5287" s="2" t="str">
        <f t="shared" si="3"/>
        <v>SP500</v>
      </c>
      <c r="D5287" s="2">
        <f t="shared" si="4"/>
        <v>7747.03</v>
      </c>
      <c r="E5287" s="2">
        <f t="shared" si="5"/>
        <v>7747.03</v>
      </c>
      <c r="G5287" s="10">
        <f t="shared" si="9"/>
        <v>43269.64583</v>
      </c>
      <c r="H5287" s="6" t="str">
        <f t="shared" si="6"/>
        <v/>
      </c>
      <c r="I5287" s="2">
        <f t="shared" si="7"/>
        <v>1426.89</v>
      </c>
    </row>
    <row r="5288">
      <c r="A5288" s="10">
        <f t="shared" si="8"/>
        <v>43270.66667</v>
      </c>
      <c r="B5288" s="2" t="str">
        <f t="shared" si="2"/>
        <v/>
      </c>
      <c r="C5288" s="2" t="str">
        <f t="shared" si="3"/>
        <v>SP500</v>
      </c>
      <c r="D5288" s="2">
        <f t="shared" si="4"/>
        <v>7725.59</v>
      </c>
      <c r="E5288" s="2">
        <f t="shared" si="5"/>
        <v>7725.59</v>
      </c>
      <c r="G5288" s="10">
        <f t="shared" si="9"/>
        <v>43270.64583</v>
      </c>
      <c r="H5288" s="6" t="str">
        <f t="shared" si="6"/>
        <v/>
      </c>
      <c r="I5288" s="2">
        <f t="shared" si="7"/>
        <v>1426.89</v>
      </c>
    </row>
    <row r="5289">
      <c r="A5289" s="10">
        <f t="shared" si="8"/>
        <v>43271.66667</v>
      </c>
      <c r="B5289" s="2" t="str">
        <f t="shared" si="2"/>
        <v/>
      </c>
      <c r="C5289" s="2" t="str">
        <f t="shared" si="3"/>
        <v>SP500</v>
      </c>
      <c r="D5289" s="2">
        <f t="shared" si="4"/>
        <v>7781.52</v>
      </c>
      <c r="E5289" s="2">
        <f t="shared" si="5"/>
        <v>7781.52</v>
      </c>
      <c r="G5289" s="10">
        <f t="shared" si="9"/>
        <v>43271.64583</v>
      </c>
      <c r="H5289" s="6" t="str">
        <f t="shared" si="6"/>
        <v/>
      </c>
      <c r="I5289" s="2">
        <f t="shared" si="7"/>
        <v>1426.89</v>
      </c>
    </row>
    <row r="5290">
      <c r="A5290" s="10">
        <f t="shared" si="8"/>
        <v>43272.66667</v>
      </c>
      <c r="B5290" s="2" t="str">
        <f t="shared" si="2"/>
        <v/>
      </c>
      <c r="C5290" s="2" t="str">
        <f t="shared" si="3"/>
        <v>SP500</v>
      </c>
      <c r="D5290" s="2">
        <f t="shared" si="4"/>
        <v>7712.95</v>
      </c>
      <c r="E5290" s="2">
        <f t="shared" si="5"/>
        <v>7712.95</v>
      </c>
      <c r="G5290" s="10">
        <f t="shared" si="9"/>
        <v>43272.64583</v>
      </c>
      <c r="H5290" s="6" t="str">
        <f t="shared" si="6"/>
        <v/>
      </c>
      <c r="I5290" s="2">
        <f t="shared" si="7"/>
        <v>1426.89</v>
      </c>
    </row>
    <row r="5291">
      <c r="A5291" s="10">
        <f t="shared" si="8"/>
        <v>43273.66667</v>
      </c>
      <c r="B5291" s="2" t="str">
        <f t="shared" si="2"/>
        <v/>
      </c>
      <c r="C5291" s="2" t="str">
        <f t="shared" si="3"/>
        <v>SP500</v>
      </c>
      <c r="D5291" s="2">
        <f t="shared" si="4"/>
        <v>7692.82</v>
      </c>
      <c r="E5291" s="2">
        <f t="shared" si="5"/>
        <v>7692.82</v>
      </c>
      <c r="G5291" s="10">
        <f t="shared" si="9"/>
        <v>43273.64583</v>
      </c>
      <c r="H5291" s="6" t="str">
        <f t="shared" si="6"/>
        <v/>
      </c>
      <c r="I5291" s="2">
        <f t="shared" si="7"/>
        <v>1426.89</v>
      </c>
    </row>
    <row r="5292">
      <c r="A5292" s="10">
        <f t="shared" si="8"/>
        <v>43274.66667</v>
      </c>
      <c r="B5292" s="2" t="str">
        <f t="shared" si="2"/>
        <v/>
      </c>
      <c r="C5292" s="2" t="str">
        <f t="shared" si="3"/>
        <v>SP500</v>
      </c>
      <c r="D5292" s="2" t="str">
        <f t="shared" si="4"/>
        <v/>
      </c>
      <c r="E5292" s="2">
        <f t="shared" si="5"/>
        <v>7692.82</v>
      </c>
      <c r="G5292" s="10">
        <f t="shared" si="9"/>
        <v>43274.64583</v>
      </c>
      <c r="H5292" s="6" t="str">
        <f t="shared" si="6"/>
        <v/>
      </c>
      <c r="I5292" s="2">
        <f t="shared" si="7"/>
        <v>1426.89</v>
      </c>
    </row>
    <row r="5293">
      <c r="A5293" s="10">
        <f t="shared" si="8"/>
        <v>43275.66667</v>
      </c>
      <c r="B5293" s="2" t="str">
        <f t="shared" si="2"/>
        <v/>
      </c>
      <c r="C5293" s="2" t="str">
        <f t="shared" si="3"/>
        <v>SP500</v>
      </c>
      <c r="D5293" s="2" t="str">
        <f t="shared" si="4"/>
        <v/>
      </c>
      <c r="E5293" s="2">
        <f t="shared" si="5"/>
        <v>7692.82</v>
      </c>
      <c r="G5293" s="10">
        <f t="shared" si="9"/>
        <v>43275.64583</v>
      </c>
      <c r="H5293" s="6" t="str">
        <f t="shared" si="6"/>
        <v/>
      </c>
      <c r="I5293" s="2">
        <f t="shared" si="7"/>
        <v>1426.89</v>
      </c>
    </row>
    <row r="5294">
      <c r="A5294" s="10">
        <f t="shared" si="8"/>
        <v>43276.66667</v>
      </c>
      <c r="B5294" s="2" t="str">
        <f t="shared" si="2"/>
        <v/>
      </c>
      <c r="C5294" s="2" t="str">
        <f t="shared" si="3"/>
        <v>SP500</v>
      </c>
      <c r="D5294" s="2">
        <f t="shared" si="4"/>
        <v>7532.01</v>
      </c>
      <c r="E5294" s="2">
        <f t="shared" si="5"/>
        <v>7532.01</v>
      </c>
      <c r="G5294" s="10">
        <f t="shared" si="9"/>
        <v>43276.64583</v>
      </c>
      <c r="H5294" s="6" t="str">
        <f t="shared" si="6"/>
        <v/>
      </c>
      <c r="I5294" s="2">
        <f t="shared" si="7"/>
        <v>1426.89</v>
      </c>
    </row>
    <row r="5295">
      <c r="A5295" s="10">
        <f t="shared" si="8"/>
        <v>43277.66667</v>
      </c>
      <c r="B5295" s="2" t="str">
        <f t="shared" si="2"/>
        <v/>
      </c>
      <c r="C5295" s="2" t="str">
        <f t="shared" si="3"/>
        <v>SP500</v>
      </c>
      <c r="D5295" s="2">
        <f t="shared" si="4"/>
        <v>7561.63</v>
      </c>
      <c r="E5295" s="2">
        <f t="shared" si="5"/>
        <v>7561.63</v>
      </c>
      <c r="G5295" s="10">
        <f t="shared" si="9"/>
        <v>43277.64583</v>
      </c>
      <c r="H5295" s="6" t="str">
        <f t="shared" si="6"/>
        <v/>
      </c>
      <c r="I5295" s="2">
        <f t="shared" si="7"/>
        <v>1426.89</v>
      </c>
    </row>
    <row r="5296">
      <c r="A5296" s="10">
        <f t="shared" si="8"/>
        <v>43278.66667</v>
      </c>
      <c r="B5296" s="2" t="str">
        <f t="shared" si="2"/>
        <v/>
      </c>
      <c r="C5296" s="2" t="str">
        <f t="shared" si="3"/>
        <v>SP500</v>
      </c>
      <c r="D5296" s="2">
        <f t="shared" si="4"/>
        <v>7445.09</v>
      </c>
      <c r="E5296" s="2">
        <f t="shared" si="5"/>
        <v>7445.09</v>
      </c>
      <c r="G5296" s="10">
        <f t="shared" si="9"/>
        <v>43278.64583</v>
      </c>
      <c r="H5296" s="6" t="str">
        <f t="shared" si="6"/>
        <v/>
      </c>
      <c r="I5296" s="2">
        <f t="shared" si="7"/>
        <v>1426.89</v>
      </c>
    </row>
    <row r="5297">
      <c r="A5297" s="10">
        <f t="shared" si="8"/>
        <v>43279.66667</v>
      </c>
      <c r="B5297" s="2" t="str">
        <f t="shared" si="2"/>
        <v/>
      </c>
      <c r="C5297" s="2" t="str">
        <f t="shared" si="3"/>
        <v>SP500</v>
      </c>
      <c r="D5297" s="2">
        <f t="shared" si="4"/>
        <v>7503.68</v>
      </c>
      <c r="E5297" s="2">
        <f t="shared" si="5"/>
        <v>7503.68</v>
      </c>
      <c r="G5297" s="10">
        <f t="shared" si="9"/>
        <v>43279.64583</v>
      </c>
      <c r="H5297" s="6" t="str">
        <f t="shared" si="6"/>
        <v/>
      </c>
      <c r="I5297" s="2">
        <f t="shared" si="7"/>
        <v>1426.89</v>
      </c>
    </row>
    <row r="5298">
      <c r="A5298" s="10">
        <f t="shared" si="8"/>
        <v>43280.66667</v>
      </c>
      <c r="B5298" s="2" t="str">
        <f t="shared" si="2"/>
        <v/>
      </c>
      <c r="C5298" s="2" t="str">
        <f t="shared" si="3"/>
        <v>SP500</v>
      </c>
      <c r="D5298" s="2">
        <f t="shared" si="4"/>
        <v>7510.3</v>
      </c>
      <c r="E5298" s="2">
        <f t="shared" si="5"/>
        <v>7510.3</v>
      </c>
      <c r="G5298" s="10">
        <f t="shared" si="9"/>
        <v>43280.64583</v>
      </c>
      <c r="H5298" s="6" t="str">
        <f t="shared" si="6"/>
        <v/>
      </c>
      <c r="I5298" s="2">
        <f t="shared" si="7"/>
        <v>1426.89</v>
      </c>
    </row>
    <row r="5299">
      <c r="A5299" s="10">
        <f t="shared" si="8"/>
        <v>43281.66667</v>
      </c>
      <c r="B5299" s="2" t="str">
        <f t="shared" si="2"/>
        <v/>
      </c>
      <c r="C5299" s="2" t="str">
        <f t="shared" si="3"/>
        <v>SP500</v>
      </c>
      <c r="D5299" s="2" t="str">
        <f t="shared" si="4"/>
        <v/>
      </c>
      <c r="E5299" s="2">
        <f t="shared" si="5"/>
        <v>7510.3</v>
      </c>
      <c r="G5299" s="10">
        <f t="shared" si="9"/>
        <v>43281.64583</v>
      </c>
      <c r="H5299" s="6" t="str">
        <f t="shared" si="6"/>
        <v/>
      </c>
      <c r="I5299" s="2">
        <f t="shared" si="7"/>
        <v>1426.89</v>
      </c>
    </row>
    <row r="5300">
      <c r="A5300" s="10">
        <f t="shared" si="8"/>
        <v>43282.66667</v>
      </c>
      <c r="B5300" s="2" t="str">
        <f t="shared" si="2"/>
        <v/>
      </c>
      <c r="C5300" s="2" t="str">
        <f t="shared" si="3"/>
        <v>SP500</v>
      </c>
      <c r="D5300" s="2" t="str">
        <f t="shared" si="4"/>
        <v/>
      </c>
      <c r="E5300" s="2">
        <f t="shared" si="5"/>
        <v>7510.3</v>
      </c>
      <c r="G5300" s="10">
        <f t="shared" si="9"/>
        <v>43282.64583</v>
      </c>
      <c r="H5300" s="6" t="str">
        <f t="shared" si="6"/>
        <v/>
      </c>
      <c r="I5300" s="2">
        <f t="shared" si="7"/>
        <v>1426.89</v>
      </c>
    </row>
    <row r="5301">
      <c r="A5301" s="10">
        <f t="shared" si="8"/>
        <v>43283.66667</v>
      </c>
      <c r="B5301" s="2" t="str">
        <f t="shared" si="2"/>
        <v/>
      </c>
      <c r="C5301" s="2" t="str">
        <f t="shared" si="3"/>
        <v>SP500</v>
      </c>
      <c r="D5301" s="2">
        <f t="shared" si="4"/>
        <v>7567.69</v>
      </c>
      <c r="E5301" s="2">
        <f t="shared" si="5"/>
        <v>7567.69</v>
      </c>
      <c r="G5301" s="10">
        <f t="shared" si="9"/>
        <v>43283.64583</v>
      </c>
      <c r="H5301" s="6" t="str">
        <f t="shared" si="6"/>
        <v/>
      </c>
      <c r="I5301" s="2">
        <f t="shared" si="7"/>
        <v>1426.89</v>
      </c>
    </row>
    <row r="5302">
      <c r="A5302" s="10">
        <f t="shared" si="8"/>
        <v>43284.66667</v>
      </c>
      <c r="B5302" s="2" t="str">
        <f t="shared" si="2"/>
        <v/>
      </c>
      <c r="C5302" s="2" t="str">
        <f t="shared" si="3"/>
        <v>SP500</v>
      </c>
      <c r="D5302" s="2" t="str">
        <f t="shared" si="4"/>
        <v/>
      </c>
      <c r="E5302" s="2">
        <f t="shared" si="5"/>
        <v>7567.69</v>
      </c>
      <c r="G5302" s="10">
        <f t="shared" si="9"/>
        <v>43284.64583</v>
      </c>
      <c r="H5302" s="6" t="str">
        <f t="shared" si="6"/>
        <v/>
      </c>
      <c r="I5302" s="2">
        <f t="shared" si="7"/>
        <v>1426.89</v>
      </c>
    </row>
    <row r="5303">
      <c r="A5303" s="10">
        <f t="shared" si="8"/>
        <v>43285.66667</v>
      </c>
      <c r="B5303" s="2" t="str">
        <f t="shared" si="2"/>
        <v/>
      </c>
      <c r="C5303" s="2" t="str">
        <f t="shared" si="3"/>
        <v>SP500</v>
      </c>
      <c r="D5303" s="2" t="str">
        <f t="shared" si="4"/>
        <v/>
      </c>
      <c r="E5303" s="2">
        <f t="shared" si="5"/>
        <v>7567.69</v>
      </c>
      <c r="G5303" s="10">
        <f t="shared" si="9"/>
        <v>43285.64583</v>
      </c>
      <c r="H5303" s="6" t="str">
        <f t="shared" si="6"/>
        <v/>
      </c>
      <c r="I5303" s="2">
        <f t="shared" si="7"/>
        <v>1426.89</v>
      </c>
    </row>
    <row r="5304">
      <c r="A5304" s="10">
        <f t="shared" si="8"/>
        <v>43286.66667</v>
      </c>
      <c r="B5304" s="2" t="str">
        <f t="shared" si="2"/>
        <v/>
      </c>
      <c r="C5304" s="2" t="str">
        <f t="shared" si="3"/>
        <v>SP500</v>
      </c>
      <c r="D5304" s="2">
        <f t="shared" si="4"/>
        <v>7586.43</v>
      </c>
      <c r="E5304" s="2">
        <f t="shared" si="5"/>
        <v>7586.43</v>
      </c>
      <c r="G5304" s="10">
        <f t="shared" si="9"/>
        <v>43286.64583</v>
      </c>
      <c r="H5304" s="6" t="str">
        <f t="shared" si="6"/>
        <v/>
      </c>
      <c r="I5304" s="2">
        <f t="shared" si="7"/>
        <v>1426.89</v>
      </c>
    </row>
    <row r="5305">
      <c r="A5305" s="10">
        <f t="shared" si="8"/>
        <v>43287.66667</v>
      </c>
      <c r="B5305" s="2" t="str">
        <f t="shared" si="2"/>
        <v/>
      </c>
      <c r="C5305" s="2" t="str">
        <f t="shared" si="3"/>
        <v>SP500</v>
      </c>
      <c r="D5305" s="2">
        <f t="shared" si="4"/>
        <v>7688.39</v>
      </c>
      <c r="E5305" s="2">
        <f t="shared" si="5"/>
        <v>7688.39</v>
      </c>
      <c r="G5305" s="10">
        <f t="shared" si="9"/>
        <v>43287.64583</v>
      </c>
      <c r="H5305" s="6" t="str">
        <f t="shared" si="6"/>
        <v/>
      </c>
      <c r="I5305" s="2">
        <f t="shared" si="7"/>
        <v>1426.89</v>
      </c>
    </row>
    <row r="5306">
      <c r="A5306" s="10">
        <f t="shared" si="8"/>
        <v>43288.66667</v>
      </c>
      <c r="B5306" s="2" t="str">
        <f t="shared" si="2"/>
        <v/>
      </c>
      <c r="C5306" s="2" t="str">
        <f t="shared" si="3"/>
        <v>SP500</v>
      </c>
      <c r="D5306" s="2" t="str">
        <f t="shared" si="4"/>
        <v/>
      </c>
      <c r="E5306" s="2">
        <f t="shared" si="5"/>
        <v>7688.39</v>
      </c>
      <c r="G5306" s="10">
        <f t="shared" si="9"/>
        <v>43288.64583</v>
      </c>
      <c r="H5306" s="6" t="str">
        <f t="shared" si="6"/>
        <v/>
      </c>
      <c r="I5306" s="2">
        <f t="shared" si="7"/>
        <v>1426.89</v>
      </c>
    </row>
    <row r="5307">
      <c r="A5307" s="10">
        <f t="shared" si="8"/>
        <v>43289.66667</v>
      </c>
      <c r="B5307" s="2" t="str">
        <f t="shared" si="2"/>
        <v/>
      </c>
      <c r="C5307" s="2" t="str">
        <f t="shared" si="3"/>
        <v>SP500</v>
      </c>
      <c r="D5307" s="2" t="str">
        <f t="shared" si="4"/>
        <v/>
      </c>
      <c r="E5307" s="2">
        <f t="shared" si="5"/>
        <v>7688.39</v>
      </c>
      <c r="G5307" s="10">
        <f t="shared" si="9"/>
        <v>43289.64583</v>
      </c>
      <c r="H5307" s="6" t="str">
        <f t="shared" si="6"/>
        <v/>
      </c>
      <c r="I5307" s="2">
        <f t="shared" si="7"/>
        <v>1426.89</v>
      </c>
    </row>
    <row r="5308">
      <c r="A5308" s="10">
        <f t="shared" si="8"/>
        <v>43290.66667</v>
      </c>
      <c r="B5308" s="2" t="str">
        <f t="shared" si="2"/>
        <v/>
      </c>
      <c r="C5308" s="2" t="str">
        <f t="shared" si="3"/>
        <v>SP500</v>
      </c>
      <c r="D5308" s="2">
        <f t="shared" si="4"/>
        <v>7756.2</v>
      </c>
      <c r="E5308" s="2">
        <f t="shared" si="5"/>
        <v>7756.2</v>
      </c>
      <c r="G5308" s="10">
        <f t="shared" si="9"/>
        <v>43290.64583</v>
      </c>
      <c r="H5308" s="6" t="str">
        <f t="shared" si="6"/>
        <v/>
      </c>
      <c r="I5308" s="2">
        <f t="shared" si="7"/>
        <v>1426.89</v>
      </c>
    </row>
    <row r="5309">
      <c r="A5309" s="10">
        <f t="shared" si="8"/>
        <v>43291.66667</v>
      </c>
      <c r="B5309" s="2" t="str">
        <f t="shared" si="2"/>
        <v/>
      </c>
      <c r="C5309" s="2" t="str">
        <f t="shared" si="3"/>
        <v>SP500</v>
      </c>
      <c r="D5309" s="2">
        <f t="shared" si="4"/>
        <v>7759.2</v>
      </c>
      <c r="E5309" s="2">
        <f t="shared" si="5"/>
        <v>7759.2</v>
      </c>
      <c r="G5309" s="10">
        <f t="shared" si="9"/>
        <v>43291.64583</v>
      </c>
      <c r="H5309" s="6" t="str">
        <f t="shared" si="6"/>
        <v/>
      </c>
      <c r="I5309" s="2">
        <f t="shared" si="7"/>
        <v>1426.89</v>
      </c>
    </row>
    <row r="5310">
      <c r="A5310" s="10">
        <f t="shared" si="8"/>
        <v>43292.66667</v>
      </c>
      <c r="B5310" s="2" t="str">
        <f t="shared" si="2"/>
        <v/>
      </c>
      <c r="C5310" s="2" t="str">
        <f t="shared" si="3"/>
        <v>SP500</v>
      </c>
      <c r="D5310" s="2">
        <f t="shared" si="4"/>
        <v>7716.61</v>
      </c>
      <c r="E5310" s="2">
        <f t="shared" si="5"/>
        <v>7716.61</v>
      </c>
      <c r="G5310" s="10">
        <f t="shared" si="9"/>
        <v>43292.64583</v>
      </c>
      <c r="H5310" s="6" t="str">
        <f t="shared" si="6"/>
        <v/>
      </c>
      <c r="I5310" s="2">
        <f t="shared" si="7"/>
        <v>1426.89</v>
      </c>
    </row>
    <row r="5311">
      <c r="A5311" s="10">
        <f t="shared" si="8"/>
        <v>43293.66667</v>
      </c>
      <c r="B5311" s="2" t="str">
        <f t="shared" si="2"/>
        <v/>
      </c>
      <c r="C5311" s="2" t="str">
        <f t="shared" si="3"/>
        <v>SP500</v>
      </c>
      <c r="D5311" s="2">
        <f t="shared" si="4"/>
        <v>7823.92</v>
      </c>
      <c r="E5311" s="2">
        <f t="shared" si="5"/>
        <v>7823.92</v>
      </c>
      <c r="G5311" s="10">
        <f t="shared" si="9"/>
        <v>43293.64583</v>
      </c>
      <c r="H5311" s="6" t="str">
        <f t="shared" si="6"/>
        <v/>
      </c>
      <c r="I5311" s="2">
        <f t="shared" si="7"/>
        <v>1426.89</v>
      </c>
    </row>
    <row r="5312">
      <c r="A5312" s="10">
        <f t="shared" si="8"/>
        <v>43294.66667</v>
      </c>
      <c r="B5312" s="2" t="str">
        <f t="shared" si="2"/>
        <v/>
      </c>
      <c r="C5312" s="2" t="str">
        <f t="shared" si="3"/>
        <v>SP500</v>
      </c>
      <c r="D5312" s="2">
        <f t="shared" si="4"/>
        <v>7825.98</v>
      </c>
      <c r="E5312" s="2">
        <f t="shared" si="5"/>
        <v>7825.98</v>
      </c>
      <c r="G5312" s="10">
        <f t="shared" si="9"/>
        <v>43294.64583</v>
      </c>
      <c r="H5312" s="6" t="str">
        <f t="shared" si="6"/>
        <v/>
      </c>
      <c r="I5312" s="2">
        <f t="shared" si="7"/>
        <v>1426.89</v>
      </c>
    </row>
    <row r="5313">
      <c r="A5313" s="10">
        <f t="shared" si="8"/>
        <v>43295.66667</v>
      </c>
      <c r="B5313" s="2" t="str">
        <f t="shared" si="2"/>
        <v/>
      </c>
      <c r="C5313" s="2" t="str">
        <f t="shared" si="3"/>
        <v>SP500</v>
      </c>
      <c r="D5313" s="2" t="str">
        <f t="shared" si="4"/>
        <v/>
      </c>
      <c r="E5313" s="2">
        <f t="shared" si="5"/>
        <v>7825.98</v>
      </c>
      <c r="G5313" s="10">
        <f t="shared" si="9"/>
        <v>43295.64583</v>
      </c>
      <c r="H5313" s="6" t="str">
        <f t="shared" si="6"/>
        <v/>
      </c>
      <c r="I5313" s="2">
        <f t="shared" si="7"/>
        <v>1426.89</v>
      </c>
    </row>
    <row r="5314">
      <c r="A5314" s="10">
        <f t="shared" si="8"/>
        <v>43296.66667</v>
      </c>
      <c r="B5314" s="2" t="str">
        <f t="shared" si="2"/>
        <v/>
      </c>
      <c r="C5314" s="2" t="str">
        <f t="shared" si="3"/>
        <v>SP500</v>
      </c>
      <c r="D5314" s="2" t="str">
        <f t="shared" si="4"/>
        <v/>
      </c>
      <c r="E5314" s="2">
        <f t="shared" si="5"/>
        <v>7825.98</v>
      </c>
      <c r="G5314" s="10">
        <f t="shared" si="9"/>
        <v>43296.64583</v>
      </c>
      <c r="H5314" s="6" t="str">
        <f t="shared" si="6"/>
        <v/>
      </c>
      <c r="I5314" s="2">
        <f t="shared" si="7"/>
        <v>1426.89</v>
      </c>
    </row>
    <row r="5315">
      <c r="A5315" s="10">
        <f t="shared" si="8"/>
        <v>43297.66667</v>
      </c>
      <c r="B5315" s="2" t="str">
        <f t="shared" si="2"/>
        <v/>
      </c>
      <c r="C5315" s="2" t="str">
        <f t="shared" si="3"/>
        <v>SP500</v>
      </c>
      <c r="D5315" s="2">
        <f t="shared" si="4"/>
        <v>7805.72</v>
      </c>
      <c r="E5315" s="2">
        <f t="shared" si="5"/>
        <v>7805.72</v>
      </c>
      <c r="G5315" s="10">
        <f t="shared" si="9"/>
        <v>43297.64583</v>
      </c>
      <c r="H5315" s="6" t="str">
        <f t="shared" si="6"/>
        <v/>
      </c>
      <c r="I5315" s="2">
        <f t="shared" si="7"/>
        <v>1426.89</v>
      </c>
    </row>
    <row r="5316">
      <c r="A5316" s="10">
        <f t="shared" si="8"/>
        <v>43298.66667</v>
      </c>
      <c r="B5316" s="2" t="str">
        <f t="shared" si="2"/>
        <v/>
      </c>
      <c r="C5316" s="2" t="str">
        <f t="shared" si="3"/>
        <v>SP500</v>
      </c>
      <c r="D5316" s="2">
        <f t="shared" si="4"/>
        <v>7855.12</v>
      </c>
      <c r="E5316" s="2">
        <f t="shared" si="5"/>
        <v>7855.12</v>
      </c>
      <c r="G5316" s="10">
        <f t="shared" si="9"/>
        <v>43298.64583</v>
      </c>
      <c r="H5316" s="6" t="str">
        <f t="shared" si="6"/>
        <v/>
      </c>
      <c r="I5316" s="2">
        <f t="shared" si="7"/>
        <v>1426.89</v>
      </c>
    </row>
    <row r="5317">
      <c r="A5317" s="10">
        <f t="shared" si="8"/>
        <v>43299.66667</v>
      </c>
      <c r="B5317" s="2" t="str">
        <f t="shared" si="2"/>
        <v/>
      </c>
      <c r="C5317" s="2" t="str">
        <f t="shared" si="3"/>
        <v>SP500</v>
      </c>
      <c r="D5317" s="2">
        <f t="shared" si="4"/>
        <v>7854.44</v>
      </c>
      <c r="E5317" s="2">
        <f t="shared" si="5"/>
        <v>7854.44</v>
      </c>
      <c r="G5317" s="10">
        <f t="shared" si="9"/>
        <v>43299.64583</v>
      </c>
      <c r="H5317" s="6" t="str">
        <f t="shared" si="6"/>
        <v/>
      </c>
      <c r="I5317" s="2">
        <f t="shared" si="7"/>
        <v>1426.89</v>
      </c>
    </row>
    <row r="5318">
      <c r="A5318" s="10">
        <f t="shared" si="8"/>
        <v>43300.66667</v>
      </c>
      <c r="B5318" s="2" t="str">
        <f t="shared" si="2"/>
        <v/>
      </c>
      <c r="C5318" s="2" t="str">
        <f t="shared" si="3"/>
        <v>SP500</v>
      </c>
      <c r="D5318" s="2">
        <f t="shared" si="4"/>
        <v>7825.3</v>
      </c>
      <c r="E5318" s="2">
        <f t="shared" si="5"/>
        <v>7825.3</v>
      </c>
      <c r="G5318" s="10">
        <f t="shared" si="9"/>
        <v>43300.64583</v>
      </c>
      <c r="H5318" s="6" t="str">
        <f t="shared" si="6"/>
        <v/>
      </c>
      <c r="I5318" s="2">
        <f t="shared" si="7"/>
        <v>1426.89</v>
      </c>
    </row>
    <row r="5319">
      <c r="A5319" s="10">
        <f t="shared" si="8"/>
        <v>43301.66667</v>
      </c>
      <c r="B5319" s="2" t="str">
        <f t="shared" si="2"/>
        <v/>
      </c>
      <c r="C5319" s="2" t="str">
        <f t="shared" si="3"/>
        <v>SP500</v>
      </c>
      <c r="D5319" s="2">
        <f t="shared" si="4"/>
        <v>7820.2</v>
      </c>
      <c r="E5319" s="2">
        <f t="shared" si="5"/>
        <v>7820.2</v>
      </c>
      <c r="G5319" s="10">
        <f t="shared" si="9"/>
        <v>43301.64583</v>
      </c>
      <c r="H5319" s="6" t="str">
        <f t="shared" si="6"/>
        <v/>
      </c>
      <c r="I5319" s="2">
        <f t="shared" si="7"/>
        <v>1426.89</v>
      </c>
    </row>
    <row r="5320">
      <c r="A5320" s="10">
        <f t="shared" si="8"/>
        <v>43302.66667</v>
      </c>
      <c r="B5320" s="2" t="str">
        <f t="shared" si="2"/>
        <v/>
      </c>
      <c r="C5320" s="2" t="str">
        <f t="shared" si="3"/>
        <v>SP500</v>
      </c>
      <c r="D5320" s="2" t="str">
        <f t="shared" si="4"/>
        <v/>
      </c>
      <c r="E5320" s="2">
        <f t="shared" si="5"/>
        <v>7820.2</v>
      </c>
      <c r="G5320" s="10">
        <f t="shared" si="9"/>
        <v>43302.64583</v>
      </c>
      <c r="H5320" s="6" t="str">
        <f t="shared" si="6"/>
        <v/>
      </c>
      <c r="I5320" s="2">
        <f t="shared" si="7"/>
        <v>1426.89</v>
      </c>
    </row>
    <row r="5321">
      <c r="A5321" s="10">
        <f t="shared" si="8"/>
        <v>43303.66667</v>
      </c>
      <c r="B5321" s="2" t="str">
        <f t="shared" si="2"/>
        <v/>
      </c>
      <c r="C5321" s="2" t="str">
        <f t="shared" si="3"/>
        <v>SP500</v>
      </c>
      <c r="D5321" s="2" t="str">
        <f t="shared" si="4"/>
        <v/>
      </c>
      <c r="E5321" s="2">
        <f t="shared" si="5"/>
        <v>7820.2</v>
      </c>
      <c r="G5321" s="10">
        <f t="shared" si="9"/>
        <v>43303.64583</v>
      </c>
      <c r="H5321" s="6" t="str">
        <f t="shared" si="6"/>
        <v/>
      </c>
      <c r="I5321" s="2">
        <f t="shared" si="7"/>
        <v>1426.89</v>
      </c>
    </row>
    <row r="5322">
      <c r="A5322" s="10">
        <f t="shared" si="8"/>
        <v>43304.66667</v>
      </c>
      <c r="B5322" s="2" t="str">
        <f t="shared" si="2"/>
        <v/>
      </c>
      <c r="C5322" s="2" t="str">
        <f t="shared" si="3"/>
        <v>SP500</v>
      </c>
      <c r="D5322" s="2">
        <f t="shared" si="4"/>
        <v>7841.87</v>
      </c>
      <c r="E5322" s="2">
        <f t="shared" si="5"/>
        <v>7841.87</v>
      </c>
      <c r="G5322" s="10">
        <f t="shared" si="9"/>
        <v>43304.64583</v>
      </c>
      <c r="H5322" s="6" t="str">
        <f t="shared" si="6"/>
        <v/>
      </c>
      <c r="I5322" s="2">
        <f t="shared" si="7"/>
        <v>1426.89</v>
      </c>
    </row>
    <row r="5323">
      <c r="A5323" s="10">
        <f t="shared" si="8"/>
        <v>43305.66667</v>
      </c>
      <c r="B5323" s="2" t="str">
        <f t="shared" si="2"/>
        <v/>
      </c>
      <c r="C5323" s="2" t="str">
        <f t="shared" si="3"/>
        <v>SP500</v>
      </c>
      <c r="D5323" s="2">
        <f t="shared" si="4"/>
        <v>7840.77</v>
      </c>
      <c r="E5323" s="2">
        <f t="shared" si="5"/>
        <v>7840.77</v>
      </c>
      <c r="G5323" s="10">
        <f t="shared" si="9"/>
        <v>43305.64583</v>
      </c>
      <c r="H5323" s="6" t="str">
        <f t="shared" si="6"/>
        <v/>
      </c>
      <c r="I5323" s="2">
        <f t="shared" si="7"/>
        <v>1426.89</v>
      </c>
    </row>
    <row r="5324">
      <c r="A5324" s="10">
        <f t="shared" si="8"/>
        <v>43306.66667</v>
      </c>
      <c r="B5324" s="2" t="str">
        <f t="shared" si="2"/>
        <v/>
      </c>
      <c r="C5324" s="2" t="str">
        <f t="shared" si="3"/>
        <v>SP500</v>
      </c>
      <c r="D5324" s="2">
        <f t="shared" si="4"/>
        <v>7932.24</v>
      </c>
      <c r="E5324" s="2">
        <f t="shared" si="5"/>
        <v>7932.24</v>
      </c>
      <c r="G5324" s="10">
        <f t="shared" si="9"/>
        <v>43306.64583</v>
      </c>
      <c r="H5324" s="6" t="str">
        <f t="shared" si="6"/>
        <v/>
      </c>
      <c r="I5324" s="2">
        <f t="shared" si="7"/>
        <v>1426.89</v>
      </c>
    </row>
    <row r="5325">
      <c r="A5325" s="10">
        <f t="shared" si="8"/>
        <v>43307.66667</v>
      </c>
      <c r="B5325" s="2" t="str">
        <f t="shared" si="2"/>
        <v/>
      </c>
      <c r="C5325" s="2" t="str">
        <f t="shared" si="3"/>
        <v>SP500</v>
      </c>
      <c r="D5325" s="2">
        <f t="shared" si="4"/>
        <v>7852.19</v>
      </c>
      <c r="E5325" s="2">
        <f t="shared" si="5"/>
        <v>7852.19</v>
      </c>
      <c r="G5325" s="10">
        <f t="shared" si="9"/>
        <v>43307.64583</v>
      </c>
      <c r="H5325" s="6" t="str">
        <f t="shared" si="6"/>
        <v/>
      </c>
      <c r="I5325" s="2">
        <f t="shared" si="7"/>
        <v>1426.89</v>
      </c>
    </row>
    <row r="5326">
      <c r="A5326" s="10">
        <f t="shared" si="8"/>
        <v>43308.66667</v>
      </c>
      <c r="B5326" s="2" t="str">
        <f t="shared" si="2"/>
        <v/>
      </c>
      <c r="C5326" s="2" t="str">
        <f t="shared" si="3"/>
        <v>SP500</v>
      </c>
      <c r="D5326" s="2">
        <f t="shared" si="4"/>
        <v>7737.42</v>
      </c>
      <c r="E5326" s="2">
        <f t="shared" si="5"/>
        <v>7737.42</v>
      </c>
      <c r="G5326" s="10">
        <f t="shared" si="9"/>
        <v>43308.64583</v>
      </c>
      <c r="H5326" s="6" t="str">
        <f t="shared" si="6"/>
        <v/>
      </c>
      <c r="I5326" s="2">
        <f t="shared" si="7"/>
        <v>1426.89</v>
      </c>
    </row>
    <row r="5327">
      <c r="A5327" s="10">
        <f t="shared" si="8"/>
        <v>43309.66667</v>
      </c>
      <c r="B5327" s="2" t="str">
        <f t="shared" si="2"/>
        <v/>
      </c>
      <c r="C5327" s="2" t="str">
        <f t="shared" si="3"/>
        <v>SP500</v>
      </c>
      <c r="D5327" s="2" t="str">
        <f t="shared" si="4"/>
        <v/>
      </c>
      <c r="E5327" s="2">
        <f t="shared" si="5"/>
        <v>7737.42</v>
      </c>
      <c r="G5327" s="10">
        <f t="shared" si="9"/>
        <v>43309.64583</v>
      </c>
      <c r="H5327" s="6" t="str">
        <f t="shared" si="6"/>
        <v/>
      </c>
      <c r="I5327" s="2">
        <f t="shared" si="7"/>
        <v>1426.89</v>
      </c>
    </row>
    <row r="5328">
      <c r="A5328" s="10">
        <f t="shared" si="8"/>
        <v>43310.66667</v>
      </c>
      <c r="B5328" s="2" t="str">
        <f t="shared" si="2"/>
        <v/>
      </c>
      <c r="C5328" s="2" t="str">
        <f t="shared" si="3"/>
        <v>SP500</v>
      </c>
      <c r="D5328" s="2" t="str">
        <f t="shared" si="4"/>
        <v/>
      </c>
      <c r="E5328" s="2">
        <f t="shared" si="5"/>
        <v>7737.42</v>
      </c>
      <c r="G5328" s="10">
        <f t="shared" si="9"/>
        <v>43310.64583</v>
      </c>
      <c r="H5328" s="6" t="str">
        <f t="shared" si="6"/>
        <v/>
      </c>
      <c r="I5328" s="2">
        <f t="shared" si="7"/>
        <v>1426.89</v>
      </c>
    </row>
    <row r="5329">
      <c r="A5329" s="10">
        <f t="shared" si="8"/>
        <v>43311.66667</v>
      </c>
      <c r="B5329" s="2" t="str">
        <f t="shared" si="2"/>
        <v/>
      </c>
      <c r="C5329" s="2" t="str">
        <f t="shared" si="3"/>
        <v>SP500</v>
      </c>
      <c r="D5329" s="2">
        <f t="shared" si="4"/>
        <v>7630</v>
      </c>
      <c r="E5329" s="2">
        <f t="shared" si="5"/>
        <v>7630</v>
      </c>
      <c r="G5329" s="10">
        <f t="shared" si="9"/>
        <v>43311.64583</v>
      </c>
      <c r="H5329" s="6" t="str">
        <f t="shared" si="6"/>
        <v/>
      </c>
      <c r="I5329" s="2">
        <f t="shared" si="7"/>
        <v>1426.89</v>
      </c>
    </row>
    <row r="5330">
      <c r="A5330" s="10">
        <f t="shared" si="8"/>
        <v>43312.66667</v>
      </c>
      <c r="B5330" s="2" t="str">
        <f t="shared" si="2"/>
        <v/>
      </c>
      <c r="C5330" s="2" t="str">
        <f t="shared" si="3"/>
        <v>SP500</v>
      </c>
      <c r="D5330" s="2">
        <f t="shared" si="4"/>
        <v>7671.79</v>
      </c>
      <c r="E5330" s="2">
        <f t="shared" si="5"/>
        <v>7671.79</v>
      </c>
      <c r="G5330" s="10">
        <f t="shared" si="9"/>
        <v>43312.64583</v>
      </c>
      <c r="H5330" s="6" t="str">
        <f t="shared" si="6"/>
        <v/>
      </c>
      <c r="I5330" s="2">
        <f t="shared" si="7"/>
        <v>1426.89</v>
      </c>
    </row>
    <row r="5331">
      <c r="A5331" s="10">
        <f t="shared" si="8"/>
        <v>43313.66667</v>
      </c>
      <c r="B5331" s="2" t="str">
        <f t="shared" si="2"/>
        <v/>
      </c>
      <c r="C5331" s="2" t="str">
        <f t="shared" si="3"/>
        <v>SP500</v>
      </c>
      <c r="D5331" s="2">
        <f t="shared" si="4"/>
        <v>7707.29</v>
      </c>
      <c r="E5331" s="2">
        <f t="shared" si="5"/>
        <v>7707.29</v>
      </c>
      <c r="G5331" s="10">
        <f t="shared" si="9"/>
        <v>43313.64583</v>
      </c>
      <c r="H5331" s="6" t="str">
        <f t="shared" si="6"/>
        <v/>
      </c>
      <c r="I5331" s="2">
        <f t="shared" si="7"/>
        <v>1426.89</v>
      </c>
    </row>
    <row r="5332">
      <c r="A5332" s="10">
        <f t="shared" si="8"/>
        <v>43314.66667</v>
      </c>
      <c r="B5332" s="2" t="str">
        <f t="shared" si="2"/>
        <v/>
      </c>
      <c r="C5332" s="2" t="str">
        <f t="shared" si="3"/>
        <v>SP500</v>
      </c>
      <c r="D5332" s="2">
        <f t="shared" si="4"/>
        <v>7802.69</v>
      </c>
      <c r="E5332" s="2">
        <f t="shared" si="5"/>
        <v>7802.69</v>
      </c>
      <c r="G5332" s="10">
        <f t="shared" si="9"/>
        <v>43314.64583</v>
      </c>
      <c r="H5332" s="6" t="str">
        <f t="shared" si="6"/>
        <v/>
      </c>
      <c r="I5332" s="2">
        <f t="shared" si="7"/>
        <v>1426.89</v>
      </c>
    </row>
    <row r="5333">
      <c r="A5333" s="10">
        <f t="shared" si="8"/>
        <v>43315.66667</v>
      </c>
      <c r="B5333" s="2" t="str">
        <f t="shared" si="2"/>
        <v/>
      </c>
      <c r="C5333" s="2" t="str">
        <f t="shared" si="3"/>
        <v>SP500</v>
      </c>
      <c r="D5333" s="2">
        <f t="shared" si="4"/>
        <v>7812.02</v>
      </c>
      <c r="E5333" s="2">
        <f t="shared" si="5"/>
        <v>7812.02</v>
      </c>
      <c r="G5333" s="10">
        <f t="shared" si="9"/>
        <v>43315.64583</v>
      </c>
      <c r="H5333" s="6" t="str">
        <f t="shared" si="6"/>
        <v/>
      </c>
      <c r="I5333" s="2">
        <f t="shared" si="7"/>
        <v>1426.89</v>
      </c>
    </row>
    <row r="5334">
      <c r="A5334" s="10">
        <f t="shared" si="8"/>
        <v>43316.66667</v>
      </c>
      <c r="B5334" s="2" t="str">
        <f t="shared" si="2"/>
        <v/>
      </c>
      <c r="C5334" s="2" t="str">
        <f t="shared" si="3"/>
        <v>SP500</v>
      </c>
      <c r="D5334" s="2" t="str">
        <f t="shared" si="4"/>
        <v/>
      </c>
      <c r="E5334" s="2">
        <f t="shared" si="5"/>
        <v>7812.02</v>
      </c>
      <c r="G5334" s="10">
        <f t="shared" si="9"/>
        <v>43316.64583</v>
      </c>
      <c r="H5334" s="6" t="str">
        <f t="shared" si="6"/>
        <v/>
      </c>
      <c r="I5334" s="2">
        <f t="shared" si="7"/>
        <v>1426.89</v>
      </c>
    </row>
    <row r="5335">
      <c r="A5335" s="10">
        <f t="shared" si="8"/>
        <v>43317.66667</v>
      </c>
      <c r="B5335" s="2" t="str">
        <f t="shared" si="2"/>
        <v/>
      </c>
      <c r="C5335" s="2" t="str">
        <f t="shared" si="3"/>
        <v>SP500</v>
      </c>
      <c r="D5335" s="2" t="str">
        <f t="shared" si="4"/>
        <v/>
      </c>
      <c r="E5335" s="2">
        <f t="shared" si="5"/>
        <v>7812.02</v>
      </c>
      <c r="G5335" s="10">
        <f t="shared" si="9"/>
        <v>43317.64583</v>
      </c>
      <c r="H5335" s="6" t="str">
        <f t="shared" si="6"/>
        <v/>
      </c>
      <c r="I5335" s="2">
        <f t="shared" si="7"/>
        <v>1426.89</v>
      </c>
    </row>
    <row r="5336">
      <c r="A5336" s="10">
        <f t="shared" si="8"/>
        <v>43318.66667</v>
      </c>
      <c r="B5336" s="2" t="str">
        <f t="shared" si="2"/>
        <v/>
      </c>
      <c r="C5336" s="2" t="str">
        <f t="shared" si="3"/>
        <v>SP500</v>
      </c>
      <c r="D5336" s="2">
        <f t="shared" si="4"/>
        <v>7859.68</v>
      </c>
      <c r="E5336" s="2">
        <f t="shared" si="5"/>
        <v>7859.68</v>
      </c>
      <c r="G5336" s="10">
        <f t="shared" si="9"/>
        <v>43318.64583</v>
      </c>
      <c r="H5336" s="6" t="str">
        <f t="shared" si="6"/>
        <v/>
      </c>
      <c r="I5336" s="2">
        <f t="shared" si="7"/>
        <v>1426.89</v>
      </c>
    </row>
    <row r="5337">
      <c r="A5337" s="10">
        <f t="shared" si="8"/>
        <v>43319.66667</v>
      </c>
      <c r="B5337" s="2" t="str">
        <f t="shared" si="2"/>
        <v/>
      </c>
      <c r="C5337" s="2" t="str">
        <f t="shared" si="3"/>
        <v>SP500</v>
      </c>
      <c r="D5337" s="2">
        <f t="shared" si="4"/>
        <v>7883.66</v>
      </c>
      <c r="E5337" s="2">
        <f t="shared" si="5"/>
        <v>7883.66</v>
      </c>
      <c r="G5337" s="10">
        <f t="shared" si="9"/>
        <v>43319.64583</v>
      </c>
      <c r="H5337" s="6" t="str">
        <f t="shared" si="6"/>
        <v/>
      </c>
      <c r="I5337" s="2">
        <f t="shared" si="7"/>
        <v>1426.89</v>
      </c>
    </row>
    <row r="5338">
      <c r="A5338" s="10">
        <f t="shared" si="8"/>
        <v>43320.66667</v>
      </c>
      <c r="B5338" s="2" t="str">
        <f t="shared" si="2"/>
        <v/>
      </c>
      <c r="C5338" s="2" t="str">
        <f t="shared" si="3"/>
        <v>SP500</v>
      </c>
      <c r="D5338" s="2">
        <f t="shared" si="4"/>
        <v>7888.33</v>
      </c>
      <c r="E5338" s="2">
        <f t="shared" si="5"/>
        <v>7888.33</v>
      </c>
      <c r="G5338" s="10">
        <f t="shared" si="9"/>
        <v>43320.64583</v>
      </c>
      <c r="H5338" s="6" t="str">
        <f t="shared" si="6"/>
        <v/>
      </c>
      <c r="I5338" s="2">
        <f t="shared" si="7"/>
        <v>1426.89</v>
      </c>
    </row>
    <row r="5339">
      <c r="A5339" s="10">
        <f t="shared" si="8"/>
        <v>43321.66667</v>
      </c>
      <c r="B5339" s="2" t="str">
        <f t="shared" si="2"/>
        <v/>
      </c>
      <c r="C5339" s="2" t="str">
        <f t="shared" si="3"/>
        <v>SP500</v>
      </c>
      <c r="D5339" s="2">
        <f t="shared" si="4"/>
        <v>7891.78</v>
      </c>
      <c r="E5339" s="2">
        <f t="shared" si="5"/>
        <v>7891.78</v>
      </c>
      <c r="G5339" s="10">
        <f t="shared" si="9"/>
        <v>43321.64583</v>
      </c>
      <c r="H5339" s="6" t="str">
        <f t="shared" si="6"/>
        <v/>
      </c>
      <c r="I5339" s="2">
        <f t="shared" si="7"/>
        <v>1426.89</v>
      </c>
    </row>
    <row r="5340">
      <c r="A5340" s="10">
        <f t="shared" si="8"/>
        <v>43322.66667</v>
      </c>
      <c r="B5340" s="2" t="str">
        <f t="shared" si="2"/>
        <v/>
      </c>
      <c r="C5340" s="2" t="str">
        <f t="shared" si="3"/>
        <v>SP500</v>
      </c>
      <c r="D5340" s="2">
        <f t="shared" si="4"/>
        <v>7839.11</v>
      </c>
      <c r="E5340" s="2">
        <f t="shared" si="5"/>
        <v>7839.11</v>
      </c>
      <c r="G5340" s="10">
        <f t="shared" si="9"/>
        <v>43322.64583</v>
      </c>
      <c r="H5340" s="6" t="str">
        <f t="shared" si="6"/>
        <v/>
      </c>
      <c r="I5340" s="2">
        <f t="shared" si="7"/>
        <v>1426.89</v>
      </c>
    </row>
    <row r="5341">
      <c r="A5341" s="10">
        <f t="shared" si="8"/>
        <v>43323.66667</v>
      </c>
      <c r="B5341" s="2" t="str">
        <f t="shared" si="2"/>
        <v/>
      </c>
      <c r="C5341" s="2" t="str">
        <f t="shared" si="3"/>
        <v>SP500</v>
      </c>
      <c r="D5341" s="2" t="str">
        <f t="shared" si="4"/>
        <v/>
      </c>
      <c r="E5341" s="2">
        <f t="shared" si="5"/>
        <v>7839.11</v>
      </c>
      <c r="G5341" s="10">
        <f t="shared" si="9"/>
        <v>43323.64583</v>
      </c>
      <c r="H5341" s="6" t="str">
        <f t="shared" si="6"/>
        <v/>
      </c>
      <c r="I5341" s="2">
        <f t="shared" si="7"/>
        <v>1426.89</v>
      </c>
    </row>
    <row r="5342">
      <c r="A5342" s="10">
        <f t="shared" si="8"/>
        <v>43324.66667</v>
      </c>
      <c r="B5342" s="2" t="str">
        <f t="shared" si="2"/>
        <v/>
      </c>
      <c r="C5342" s="2" t="str">
        <f t="shared" si="3"/>
        <v>SP500</v>
      </c>
      <c r="D5342" s="2" t="str">
        <f t="shared" si="4"/>
        <v/>
      </c>
      <c r="E5342" s="2">
        <f t="shared" si="5"/>
        <v>7839.11</v>
      </c>
      <c r="G5342" s="10">
        <f t="shared" si="9"/>
        <v>43324.64583</v>
      </c>
      <c r="H5342" s="6" t="str">
        <f t="shared" si="6"/>
        <v/>
      </c>
      <c r="I5342" s="2">
        <f t="shared" si="7"/>
        <v>1426.89</v>
      </c>
    </row>
    <row r="5343">
      <c r="A5343" s="10">
        <f t="shared" si="8"/>
        <v>43325.66667</v>
      </c>
      <c r="B5343" s="2" t="str">
        <f t="shared" si="2"/>
        <v/>
      </c>
      <c r="C5343" s="2" t="str">
        <f t="shared" si="3"/>
        <v>SP500</v>
      </c>
      <c r="D5343" s="2">
        <f t="shared" si="4"/>
        <v>7819.71</v>
      </c>
      <c r="E5343" s="2">
        <f t="shared" si="5"/>
        <v>7819.71</v>
      </c>
      <c r="G5343" s="10">
        <f t="shared" si="9"/>
        <v>43325.64583</v>
      </c>
      <c r="H5343" s="6" t="str">
        <f t="shared" si="6"/>
        <v/>
      </c>
      <c r="I5343" s="2">
        <f t="shared" si="7"/>
        <v>1426.89</v>
      </c>
    </row>
    <row r="5344">
      <c r="A5344" s="10">
        <f t="shared" si="8"/>
        <v>43326.66667</v>
      </c>
      <c r="B5344" s="2" t="str">
        <f t="shared" si="2"/>
        <v/>
      </c>
      <c r="C5344" s="2" t="str">
        <f t="shared" si="3"/>
        <v>SP500</v>
      </c>
      <c r="D5344" s="2">
        <f t="shared" si="4"/>
        <v>7870.89</v>
      </c>
      <c r="E5344" s="2">
        <f t="shared" si="5"/>
        <v>7870.89</v>
      </c>
      <c r="G5344" s="10">
        <f t="shared" si="9"/>
        <v>43326.64583</v>
      </c>
      <c r="H5344" s="6" t="str">
        <f t="shared" si="6"/>
        <v/>
      </c>
      <c r="I5344" s="2">
        <f t="shared" si="7"/>
        <v>1426.89</v>
      </c>
    </row>
    <row r="5345">
      <c r="A5345" s="10">
        <f t="shared" si="8"/>
        <v>43327.66667</v>
      </c>
      <c r="B5345" s="2" t="str">
        <f t="shared" si="2"/>
        <v/>
      </c>
      <c r="C5345" s="2" t="str">
        <f t="shared" si="3"/>
        <v>SP500</v>
      </c>
      <c r="D5345" s="2">
        <f t="shared" si="4"/>
        <v>7774.12</v>
      </c>
      <c r="E5345" s="2">
        <f t="shared" si="5"/>
        <v>7774.12</v>
      </c>
      <c r="G5345" s="10">
        <f t="shared" si="9"/>
        <v>43327.64583</v>
      </c>
      <c r="H5345" s="6" t="str">
        <f t="shared" si="6"/>
        <v/>
      </c>
      <c r="I5345" s="2">
        <f t="shared" si="7"/>
        <v>1426.89</v>
      </c>
    </row>
    <row r="5346">
      <c r="A5346" s="10">
        <f t="shared" si="8"/>
        <v>43328.66667</v>
      </c>
      <c r="B5346" s="2" t="str">
        <f t="shared" si="2"/>
        <v/>
      </c>
      <c r="C5346" s="2" t="str">
        <f t="shared" si="3"/>
        <v>SP500</v>
      </c>
      <c r="D5346" s="2">
        <f t="shared" si="4"/>
        <v>7806.52</v>
      </c>
      <c r="E5346" s="2">
        <f t="shared" si="5"/>
        <v>7806.52</v>
      </c>
      <c r="G5346" s="10">
        <f t="shared" si="9"/>
        <v>43328.64583</v>
      </c>
      <c r="H5346" s="6" t="str">
        <f t="shared" si="6"/>
        <v/>
      </c>
      <c r="I5346" s="2">
        <f t="shared" si="7"/>
        <v>1426.89</v>
      </c>
    </row>
    <row r="5347">
      <c r="A5347" s="10">
        <f t="shared" si="8"/>
        <v>43329.66667</v>
      </c>
      <c r="B5347" s="2" t="str">
        <f t="shared" si="2"/>
        <v/>
      </c>
      <c r="C5347" s="2" t="str">
        <f t="shared" si="3"/>
        <v>SP500</v>
      </c>
      <c r="D5347" s="2">
        <f t="shared" si="4"/>
        <v>7816.33</v>
      </c>
      <c r="E5347" s="2">
        <f t="shared" si="5"/>
        <v>7816.33</v>
      </c>
      <c r="G5347" s="10">
        <f t="shared" si="9"/>
        <v>43329.64583</v>
      </c>
      <c r="H5347" s="6" t="str">
        <f t="shared" si="6"/>
        <v/>
      </c>
      <c r="I5347" s="2">
        <f t="shared" si="7"/>
        <v>1426.89</v>
      </c>
    </row>
    <row r="5348">
      <c r="A5348" s="10">
        <f t="shared" si="8"/>
        <v>43330.66667</v>
      </c>
      <c r="B5348" s="2" t="str">
        <f t="shared" si="2"/>
        <v/>
      </c>
      <c r="C5348" s="2" t="str">
        <f t="shared" si="3"/>
        <v>SP500</v>
      </c>
      <c r="D5348" s="2" t="str">
        <f t="shared" si="4"/>
        <v/>
      </c>
      <c r="E5348" s="2">
        <f t="shared" si="5"/>
        <v>7816.33</v>
      </c>
      <c r="G5348" s="10">
        <f t="shared" si="9"/>
        <v>43330.64583</v>
      </c>
      <c r="H5348" s="6" t="str">
        <f t="shared" si="6"/>
        <v/>
      </c>
      <c r="I5348" s="2">
        <f t="shared" si="7"/>
        <v>1426.89</v>
      </c>
    </row>
    <row r="5349">
      <c r="A5349" s="10">
        <f t="shared" si="8"/>
        <v>43331.66667</v>
      </c>
      <c r="B5349" s="2" t="str">
        <f t="shared" si="2"/>
        <v/>
      </c>
      <c r="C5349" s="2" t="str">
        <f t="shared" si="3"/>
        <v>SP500</v>
      </c>
      <c r="D5349" s="2" t="str">
        <f t="shared" si="4"/>
        <v/>
      </c>
      <c r="E5349" s="2">
        <f t="shared" si="5"/>
        <v>7816.33</v>
      </c>
      <c r="G5349" s="10">
        <f t="shared" si="9"/>
        <v>43331.64583</v>
      </c>
      <c r="H5349" s="6" t="str">
        <f t="shared" si="6"/>
        <v/>
      </c>
      <c r="I5349" s="2">
        <f t="shared" si="7"/>
        <v>1426.89</v>
      </c>
    </row>
    <row r="5350">
      <c r="A5350" s="10">
        <f t="shared" si="8"/>
        <v>43332.66667</v>
      </c>
      <c r="B5350" s="2" t="str">
        <f t="shared" si="2"/>
        <v/>
      </c>
      <c r="C5350" s="2" t="str">
        <f t="shared" si="3"/>
        <v>SP500</v>
      </c>
      <c r="D5350" s="2">
        <f t="shared" si="4"/>
        <v>7821.01</v>
      </c>
      <c r="E5350" s="2">
        <f t="shared" si="5"/>
        <v>7821.01</v>
      </c>
      <c r="G5350" s="10">
        <f t="shared" si="9"/>
        <v>43332.64583</v>
      </c>
      <c r="H5350" s="6" t="str">
        <f t="shared" si="6"/>
        <v/>
      </c>
      <c r="I5350" s="2">
        <f t="shared" si="7"/>
        <v>1426.89</v>
      </c>
    </row>
    <row r="5351">
      <c r="A5351" s="10">
        <f t="shared" si="8"/>
        <v>43333.66667</v>
      </c>
      <c r="B5351" s="2" t="str">
        <f t="shared" si="2"/>
        <v/>
      </c>
      <c r="C5351" s="2" t="str">
        <f t="shared" si="3"/>
        <v>SP500</v>
      </c>
      <c r="D5351" s="2">
        <f t="shared" si="4"/>
        <v>7859.17</v>
      </c>
      <c r="E5351" s="2">
        <f t="shared" si="5"/>
        <v>7859.17</v>
      </c>
      <c r="G5351" s="10">
        <f t="shared" si="9"/>
        <v>43333.64583</v>
      </c>
      <c r="H5351" s="6" t="str">
        <f t="shared" si="6"/>
        <v/>
      </c>
      <c r="I5351" s="2">
        <f t="shared" si="7"/>
        <v>1426.89</v>
      </c>
    </row>
    <row r="5352">
      <c r="A5352" s="10">
        <f t="shared" si="8"/>
        <v>43334.66667</v>
      </c>
      <c r="B5352" s="2" t="str">
        <f t="shared" si="2"/>
        <v/>
      </c>
      <c r="C5352" s="2" t="str">
        <f t="shared" si="3"/>
        <v>SP500</v>
      </c>
      <c r="D5352" s="2">
        <f t="shared" si="4"/>
        <v>7889.1</v>
      </c>
      <c r="E5352" s="2">
        <f t="shared" si="5"/>
        <v>7889.1</v>
      </c>
      <c r="G5352" s="10">
        <f t="shared" si="9"/>
        <v>43334.64583</v>
      </c>
      <c r="H5352" s="6" t="str">
        <f t="shared" si="6"/>
        <v/>
      </c>
      <c r="I5352" s="2">
        <f t="shared" si="7"/>
        <v>1426.89</v>
      </c>
    </row>
    <row r="5353">
      <c r="A5353" s="10">
        <f t="shared" si="8"/>
        <v>43335.66667</v>
      </c>
      <c r="B5353" s="2" t="str">
        <f t="shared" si="2"/>
        <v/>
      </c>
      <c r="C5353" s="2" t="str">
        <f t="shared" si="3"/>
        <v>SP500</v>
      </c>
      <c r="D5353" s="2">
        <f t="shared" si="4"/>
        <v>7878.46</v>
      </c>
      <c r="E5353" s="2">
        <f t="shared" si="5"/>
        <v>7878.46</v>
      </c>
      <c r="G5353" s="10">
        <f t="shared" si="9"/>
        <v>43335.64583</v>
      </c>
      <c r="H5353" s="6" t="str">
        <f t="shared" si="6"/>
        <v/>
      </c>
      <c r="I5353" s="2">
        <f t="shared" si="7"/>
        <v>1426.89</v>
      </c>
    </row>
    <row r="5354">
      <c r="A5354" s="10">
        <f t="shared" si="8"/>
        <v>43336.66667</v>
      </c>
      <c r="B5354" s="2" t="str">
        <f t="shared" si="2"/>
        <v/>
      </c>
      <c r="C5354" s="2" t="str">
        <f t="shared" si="3"/>
        <v>SP500</v>
      </c>
      <c r="D5354" s="2">
        <f t="shared" si="4"/>
        <v>7945.98</v>
      </c>
      <c r="E5354" s="2">
        <f t="shared" si="5"/>
        <v>7945.98</v>
      </c>
      <c r="G5354" s="10">
        <f t="shared" si="9"/>
        <v>43336.64583</v>
      </c>
      <c r="H5354" s="6" t="str">
        <f t="shared" si="6"/>
        <v/>
      </c>
      <c r="I5354" s="2">
        <f t="shared" si="7"/>
        <v>1426.89</v>
      </c>
    </row>
    <row r="5355">
      <c r="A5355" s="10">
        <f t="shared" si="8"/>
        <v>43337.66667</v>
      </c>
      <c r="B5355" s="2" t="str">
        <f t="shared" si="2"/>
        <v/>
      </c>
      <c r="C5355" s="2" t="str">
        <f t="shared" si="3"/>
        <v>SP500</v>
      </c>
      <c r="D5355" s="2" t="str">
        <f t="shared" si="4"/>
        <v/>
      </c>
      <c r="E5355" s="2">
        <f t="shared" si="5"/>
        <v>7945.98</v>
      </c>
      <c r="G5355" s="10">
        <f t="shared" si="9"/>
        <v>43337.64583</v>
      </c>
      <c r="H5355" s="6" t="str">
        <f t="shared" si="6"/>
        <v/>
      </c>
      <c r="I5355" s="2">
        <f t="shared" si="7"/>
        <v>1426.89</v>
      </c>
    </row>
    <row r="5356">
      <c r="A5356" s="10">
        <f t="shared" si="8"/>
        <v>43338.66667</v>
      </c>
      <c r="B5356" s="2" t="str">
        <f t="shared" si="2"/>
        <v/>
      </c>
      <c r="C5356" s="2" t="str">
        <f t="shared" si="3"/>
        <v>SP500</v>
      </c>
      <c r="D5356" s="2" t="str">
        <f t="shared" si="4"/>
        <v/>
      </c>
      <c r="E5356" s="2">
        <f t="shared" si="5"/>
        <v>7945.98</v>
      </c>
      <c r="G5356" s="10">
        <f t="shared" si="9"/>
        <v>43338.64583</v>
      </c>
      <c r="H5356" s="6" t="str">
        <f t="shared" si="6"/>
        <v/>
      </c>
      <c r="I5356" s="2">
        <f t="shared" si="7"/>
        <v>1426.89</v>
      </c>
    </row>
    <row r="5357">
      <c r="A5357" s="10">
        <f t="shared" si="8"/>
        <v>43339.66667</v>
      </c>
      <c r="B5357" s="2" t="str">
        <f t="shared" si="2"/>
        <v/>
      </c>
      <c r="C5357" s="2" t="str">
        <f t="shared" si="3"/>
        <v>SP500</v>
      </c>
      <c r="D5357" s="2">
        <f t="shared" si="4"/>
        <v>8017.9</v>
      </c>
      <c r="E5357" s="2">
        <f t="shared" si="5"/>
        <v>8017.9</v>
      </c>
      <c r="G5357" s="10">
        <f t="shared" si="9"/>
        <v>43339.64583</v>
      </c>
      <c r="H5357" s="6" t="str">
        <f t="shared" si="6"/>
        <v/>
      </c>
      <c r="I5357" s="2">
        <f t="shared" si="7"/>
        <v>1426.89</v>
      </c>
    </row>
    <row r="5358">
      <c r="A5358" s="10">
        <f t="shared" si="8"/>
        <v>43340.66667</v>
      </c>
      <c r="B5358" s="2" t="str">
        <f t="shared" si="2"/>
        <v/>
      </c>
      <c r="C5358" s="2" t="str">
        <f t="shared" si="3"/>
        <v>SP500</v>
      </c>
      <c r="D5358" s="2">
        <f t="shared" si="4"/>
        <v>8030.04</v>
      </c>
      <c r="E5358" s="2">
        <f t="shared" si="5"/>
        <v>8030.04</v>
      </c>
      <c r="G5358" s="10">
        <f t="shared" si="9"/>
        <v>43340.64583</v>
      </c>
      <c r="H5358" s="6" t="str">
        <f t="shared" si="6"/>
        <v/>
      </c>
      <c r="I5358" s="2">
        <f t="shared" si="7"/>
        <v>1426.89</v>
      </c>
    </row>
    <row r="5359">
      <c r="A5359" s="10">
        <f t="shared" si="8"/>
        <v>43341.66667</v>
      </c>
      <c r="B5359" s="2" t="str">
        <f t="shared" si="2"/>
        <v/>
      </c>
      <c r="C5359" s="2" t="str">
        <f t="shared" si="3"/>
        <v>SP500</v>
      </c>
      <c r="D5359" s="2">
        <f t="shared" si="4"/>
        <v>8109.69</v>
      </c>
      <c r="E5359" s="2">
        <f t="shared" si="5"/>
        <v>8109.69</v>
      </c>
      <c r="G5359" s="10">
        <f t="shared" si="9"/>
        <v>43341.64583</v>
      </c>
      <c r="H5359" s="6" t="str">
        <f t="shared" si="6"/>
        <v/>
      </c>
      <c r="I5359" s="2">
        <f t="shared" si="7"/>
        <v>1426.89</v>
      </c>
    </row>
    <row r="5360">
      <c r="A5360" s="10">
        <f t="shared" si="8"/>
        <v>43342.66667</v>
      </c>
      <c r="B5360" s="2" t="str">
        <f t="shared" si="2"/>
        <v/>
      </c>
      <c r="C5360" s="2" t="str">
        <f t="shared" si="3"/>
        <v>SP500</v>
      </c>
      <c r="D5360" s="2">
        <f t="shared" si="4"/>
        <v>8088.36</v>
      </c>
      <c r="E5360" s="2">
        <f t="shared" si="5"/>
        <v>8088.36</v>
      </c>
      <c r="G5360" s="10">
        <f t="shared" si="9"/>
        <v>43342.64583</v>
      </c>
      <c r="H5360" s="6" t="str">
        <f t="shared" si="6"/>
        <v/>
      </c>
      <c r="I5360" s="2">
        <f t="shared" si="7"/>
        <v>1426.89</v>
      </c>
    </row>
    <row r="5361">
      <c r="A5361" s="10">
        <f t="shared" si="8"/>
        <v>43343.66667</v>
      </c>
      <c r="B5361" s="2" t="str">
        <f t="shared" si="2"/>
        <v/>
      </c>
      <c r="C5361" s="2" t="str">
        <f t="shared" si="3"/>
        <v>SP500</v>
      </c>
      <c r="D5361" s="2">
        <f t="shared" si="4"/>
        <v>8109.54</v>
      </c>
      <c r="E5361" s="2">
        <f t="shared" si="5"/>
        <v>8109.54</v>
      </c>
      <c r="G5361" s="10">
        <f t="shared" si="9"/>
        <v>43343.64583</v>
      </c>
      <c r="H5361" s="6" t="str">
        <f t="shared" si="6"/>
        <v/>
      </c>
      <c r="I5361" s="2">
        <f t="shared" si="7"/>
        <v>1426.89</v>
      </c>
    </row>
    <row r="5362">
      <c r="A5362" s="10">
        <f t="shared" si="8"/>
        <v>43344.66667</v>
      </c>
      <c r="B5362" s="2" t="str">
        <f t="shared" si="2"/>
        <v/>
      </c>
      <c r="C5362" s="2" t="str">
        <f t="shared" si="3"/>
        <v>SP500</v>
      </c>
      <c r="D5362" s="2" t="str">
        <f t="shared" si="4"/>
        <v/>
      </c>
      <c r="E5362" s="2">
        <f t="shared" si="5"/>
        <v>8109.54</v>
      </c>
      <c r="G5362" s="10">
        <f t="shared" si="9"/>
        <v>43344.64583</v>
      </c>
      <c r="H5362" s="6" t="str">
        <f t="shared" si="6"/>
        <v/>
      </c>
      <c r="I5362" s="2">
        <f t="shared" si="7"/>
        <v>1426.89</v>
      </c>
    </row>
    <row r="5363">
      <c r="A5363" s="10">
        <f t="shared" si="8"/>
        <v>43345.66667</v>
      </c>
      <c r="B5363" s="2" t="str">
        <f t="shared" si="2"/>
        <v/>
      </c>
      <c r="C5363" s="2" t="str">
        <f t="shared" si="3"/>
        <v>SP500</v>
      </c>
      <c r="D5363" s="2" t="str">
        <f t="shared" si="4"/>
        <v/>
      </c>
      <c r="E5363" s="2">
        <f t="shared" si="5"/>
        <v>8109.54</v>
      </c>
      <c r="G5363" s="10">
        <f t="shared" si="9"/>
        <v>43345.64583</v>
      </c>
      <c r="H5363" s="6" t="str">
        <f t="shared" si="6"/>
        <v/>
      </c>
      <c r="I5363" s="2">
        <f t="shared" si="7"/>
        <v>1426.89</v>
      </c>
    </row>
    <row r="5364">
      <c r="A5364" s="10">
        <f t="shared" si="8"/>
        <v>43346.66667</v>
      </c>
      <c r="B5364" s="2" t="str">
        <f t="shared" si="2"/>
        <v/>
      </c>
      <c r="C5364" s="2" t="str">
        <f t="shared" si="3"/>
        <v>SP500</v>
      </c>
      <c r="D5364" s="2" t="str">
        <f t="shared" si="4"/>
        <v/>
      </c>
      <c r="E5364" s="2">
        <f t="shared" si="5"/>
        <v>8109.54</v>
      </c>
      <c r="G5364" s="10">
        <f t="shared" si="9"/>
        <v>43346.64583</v>
      </c>
      <c r="H5364" s="6" t="str">
        <f t="shared" si="6"/>
        <v/>
      </c>
      <c r="I5364" s="2">
        <f t="shared" si="7"/>
        <v>1426.89</v>
      </c>
    </row>
    <row r="5365">
      <c r="A5365" s="10">
        <f t="shared" si="8"/>
        <v>43347.66667</v>
      </c>
      <c r="B5365" s="2" t="str">
        <f t="shared" si="2"/>
        <v/>
      </c>
      <c r="C5365" s="2" t="str">
        <f t="shared" si="3"/>
        <v>SP500</v>
      </c>
      <c r="D5365" s="2">
        <f t="shared" si="4"/>
        <v>8091.25</v>
      </c>
      <c r="E5365" s="2">
        <f t="shared" si="5"/>
        <v>8091.25</v>
      </c>
      <c r="G5365" s="10">
        <f t="shared" si="9"/>
        <v>43347.64583</v>
      </c>
      <c r="H5365" s="6" t="str">
        <f t="shared" si="6"/>
        <v/>
      </c>
      <c r="I5365" s="2">
        <f t="shared" si="7"/>
        <v>1426.89</v>
      </c>
    </row>
    <row r="5366">
      <c r="A5366" s="10">
        <f t="shared" si="8"/>
        <v>43348.66667</v>
      </c>
      <c r="B5366" s="2" t="str">
        <f t="shared" si="2"/>
        <v/>
      </c>
      <c r="C5366" s="2" t="str">
        <f t="shared" si="3"/>
        <v>SP500</v>
      </c>
      <c r="D5366" s="2">
        <f t="shared" si="4"/>
        <v>7995.17</v>
      </c>
      <c r="E5366" s="2">
        <f t="shared" si="5"/>
        <v>7995.17</v>
      </c>
      <c r="G5366" s="10">
        <f t="shared" si="9"/>
        <v>43348.64583</v>
      </c>
      <c r="H5366" s="6" t="str">
        <f t="shared" si="6"/>
        <v/>
      </c>
      <c r="I5366" s="2">
        <f t="shared" si="7"/>
        <v>1426.89</v>
      </c>
    </row>
    <row r="5367">
      <c r="A5367" s="10">
        <f t="shared" si="8"/>
        <v>43349.66667</v>
      </c>
      <c r="B5367" s="2" t="str">
        <f t="shared" si="2"/>
        <v/>
      </c>
      <c r="C5367" s="2" t="str">
        <f t="shared" si="3"/>
        <v>SP500</v>
      </c>
      <c r="D5367" s="2">
        <f t="shared" si="4"/>
        <v>7922.73</v>
      </c>
      <c r="E5367" s="2">
        <f t="shared" si="5"/>
        <v>7922.73</v>
      </c>
      <c r="G5367" s="10">
        <f t="shared" si="9"/>
        <v>43349.64583</v>
      </c>
      <c r="H5367" s="6" t="str">
        <f t="shared" si="6"/>
        <v/>
      </c>
      <c r="I5367" s="2">
        <f t="shared" si="7"/>
        <v>1426.89</v>
      </c>
    </row>
    <row r="5368">
      <c r="A5368" s="10">
        <f t="shared" si="8"/>
        <v>43350.66667</v>
      </c>
      <c r="B5368" s="2" t="str">
        <f t="shared" si="2"/>
        <v/>
      </c>
      <c r="C5368" s="2" t="str">
        <f t="shared" si="3"/>
        <v>SP500</v>
      </c>
      <c r="D5368" s="2">
        <f t="shared" si="4"/>
        <v>7902.54</v>
      </c>
      <c r="E5368" s="2">
        <f t="shared" si="5"/>
        <v>7902.54</v>
      </c>
      <c r="G5368" s="10">
        <f t="shared" si="9"/>
        <v>43350.64583</v>
      </c>
      <c r="H5368" s="6" t="str">
        <f t="shared" si="6"/>
        <v/>
      </c>
      <c r="I5368" s="2">
        <f t="shared" si="7"/>
        <v>1426.89</v>
      </c>
    </row>
    <row r="5369">
      <c r="A5369" s="10">
        <f t="shared" si="8"/>
        <v>43351.66667</v>
      </c>
      <c r="B5369" s="2" t="str">
        <f t="shared" si="2"/>
        <v/>
      </c>
      <c r="C5369" s="2" t="str">
        <f t="shared" si="3"/>
        <v>SP500</v>
      </c>
      <c r="D5369" s="2" t="str">
        <f t="shared" si="4"/>
        <v/>
      </c>
      <c r="E5369" s="2">
        <f t="shared" si="5"/>
        <v>7902.54</v>
      </c>
      <c r="G5369" s="10">
        <f t="shared" si="9"/>
        <v>43351.64583</v>
      </c>
      <c r="H5369" s="6" t="str">
        <f t="shared" si="6"/>
        <v/>
      </c>
      <c r="I5369" s="2">
        <f t="shared" si="7"/>
        <v>1426.89</v>
      </c>
    </row>
    <row r="5370">
      <c r="A5370" s="10">
        <f t="shared" si="8"/>
        <v>43352.66667</v>
      </c>
      <c r="B5370" s="2" t="str">
        <f t="shared" si="2"/>
        <v/>
      </c>
      <c r="C5370" s="2" t="str">
        <f t="shared" si="3"/>
        <v>SP500</v>
      </c>
      <c r="D5370" s="2" t="str">
        <f t="shared" si="4"/>
        <v/>
      </c>
      <c r="E5370" s="2">
        <f t="shared" si="5"/>
        <v>7902.54</v>
      </c>
      <c r="G5370" s="10">
        <f t="shared" si="9"/>
        <v>43352.64583</v>
      </c>
      <c r="H5370" s="6" t="str">
        <f t="shared" si="6"/>
        <v/>
      </c>
      <c r="I5370" s="2">
        <f t="shared" si="7"/>
        <v>1426.89</v>
      </c>
    </row>
    <row r="5371">
      <c r="A5371" s="10">
        <f t="shared" si="8"/>
        <v>43353.66667</v>
      </c>
      <c r="B5371" s="2" t="str">
        <f t="shared" si="2"/>
        <v/>
      </c>
      <c r="C5371" s="2" t="str">
        <f t="shared" si="3"/>
        <v>SP500</v>
      </c>
      <c r="D5371" s="2">
        <f t="shared" si="4"/>
        <v>7924.16</v>
      </c>
      <c r="E5371" s="2">
        <f t="shared" si="5"/>
        <v>7924.16</v>
      </c>
      <c r="G5371" s="10">
        <f t="shared" si="9"/>
        <v>43353.64583</v>
      </c>
      <c r="H5371" s="6" t="str">
        <f t="shared" si="6"/>
        <v/>
      </c>
      <c r="I5371" s="2">
        <f t="shared" si="7"/>
        <v>1426.89</v>
      </c>
    </row>
    <row r="5372">
      <c r="A5372" s="10">
        <f t="shared" si="8"/>
        <v>43354.66667</v>
      </c>
      <c r="B5372" s="2" t="str">
        <f t="shared" si="2"/>
        <v/>
      </c>
      <c r="C5372" s="2" t="str">
        <f t="shared" si="3"/>
        <v>SP500</v>
      </c>
      <c r="D5372" s="2">
        <f t="shared" si="4"/>
        <v>7972.47</v>
      </c>
      <c r="E5372" s="2">
        <f t="shared" si="5"/>
        <v>7972.47</v>
      </c>
      <c r="G5372" s="10">
        <f t="shared" si="9"/>
        <v>43354.64583</v>
      </c>
      <c r="H5372" s="6" t="str">
        <f t="shared" si="6"/>
        <v/>
      </c>
      <c r="I5372" s="2">
        <f t="shared" si="7"/>
        <v>1426.89</v>
      </c>
    </row>
    <row r="5373">
      <c r="A5373" s="10">
        <f t="shared" si="8"/>
        <v>43355.66667</v>
      </c>
      <c r="B5373" s="2" t="str">
        <f t="shared" si="2"/>
        <v/>
      </c>
      <c r="C5373" s="2" t="str">
        <f t="shared" si="3"/>
        <v>SP500</v>
      </c>
      <c r="D5373" s="2">
        <f t="shared" si="4"/>
        <v>7954.23</v>
      </c>
      <c r="E5373" s="2">
        <f t="shared" si="5"/>
        <v>7954.23</v>
      </c>
      <c r="G5373" s="10">
        <f t="shared" si="9"/>
        <v>43355.64583</v>
      </c>
      <c r="H5373" s="6" t="str">
        <f t="shared" si="6"/>
        <v/>
      </c>
      <c r="I5373" s="2">
        <f t="shared" si="7"/>
        <v>1426.89</v>
      </c>
    </row>
    <row r="5374">
      <c r="A5374" s="10">
        <f t="shared" si="8"/>
        <v>43356.66667</v>
      </c>
      <c r="B5374" s="2" t="str">
        <f t="shared" si="2"/>
        <v/>
      </c>
      <c r="C5374" s="2" t="str">
        <f t="shared" si="3"/>
        <v>SP500</v>
      </c>
      <c r="D5374" s="2">
        <f t="shared" si="4"/>
        <v>8013.71</v>
      </c>
      <c r="E5374" s="2">
        <f t="shared" si="5"/>
        <v>8013.71</v>
      </c>
      <c r="G5374" s="10">
        <f t="shared" si="9"/>
        <v>43356.64583</v>
      </c>
      <c r="H5374" s="6" t="str">
        <f t="shared" si="6"/>
        <v/>
      </c>
      <c r="I5374" s="2">
        <f t="shared" si="7"/>
        <v>1426.89</v>
      </c>
    </row>
    <row r="5375">
      <c r="A5375" s="10">
        <f t="shared" si="8"/>
        <v>43357.66667</v>
      </c>
      <c r="B5375" s="2" t="str">
        <f t="shared" si="2"/>
        <v/>
      </c>
      <c r="C5375" s="2" t="str">
        <f t="shared" si="3"/>
        <v>SP500</v>
      </c>
      <c r="D5375" s="2">
        <f t="shared" si="4"/>
        <v>8010.04</v>
      </c>
      <c r="E5375" s="2">
        <f t="shared" si="5"/>
        <v>8010.04</v>
      </c>
      <c r="G5375" s="10">
        <f t="shared" si="9"/>
        <v>43357.64583</v>
      </c>
      <c r="H5375" s="6" t="str">
        <f t="shared" si="6"/>
        <v/>
      </c>
      <c r="I5375" s="2">
        <f t="shared" si="7"/>
        <v>1426.89</v>
      </c>
    </row>
    <row r="5376">
      <c r="A5376" s="10">
        <f t="shared" si="8"/>
        <v>43358.66667</v>
      </c>
      <c r="B5376" s="2" t="str">
        <f t="shared" si="2"/>
        <v/>
      </c>
      <c r="C5376" s="2" t="str">
        <f t="shared" si="3"/>
        <v>SP500</v>
      </c>
      <c r="D5376" s="2" t="str">
        <f t="shared" si="4"/>
        <v/>
      </c>
      <c r="E5376" s="2">
        <f t="shared" si="5"/>
        <v>8010.04</v>
      </c>
      <c r="G5376" s="10">
        <f t="shared" si="9"/>
        <v>43358.64583</v>
      </c>
      <c r="H5376" s="6" t="str">
        <f t="shared" si="6"/>
        <v/>
      </c>
      <c r="I5376" s="2">
        <f t="shared" si="7"/>
        <v>1426.89</v>
      </c>
    </row>
    <row r="5377">
      <c r="A5377" s="10">
        <f t="shared" si="8"/>
        <v>43359.66667</v>
      </c>
      <c r="B5377" s="2" t="str">
        <f t="shared" si="2"/>
        <v/>
      </c>
      <c r="C5377" s="2" t="str">
        <f t="shared" si="3"/>
        <v>SP500</v>
      </c>
      <c r="D5377" s="2" t="str">
        <f t="shared" si="4"/>
        <v/>
      </c>
      <c r="E5377" s="2">
        <f t="shared" si="5"/>
        <v>8010.04</v>
      </c>
      <c r="G5377" s="10">
        <f t="shared" si="9"/>
        <v>43359.64583</v>
      </c>
      <c r="H5377" s="6" t="str">
        <f t="shared" si="6"/>
        <v/>
      </c>
      <c r="I5377" s="2">
        <f t="shared" si="7"/>
        <v>1426.89</v>
      </c>
    </row>
    <row r="5378">
      <c r="A5378" s="10">
        <f t="shared" si="8"/>
        <v>43360.66667</v>
      </c>
      <c r="B5378" s="2" t="str">
        <f t="shared" si="2"/>
        <v/>
      </c>
      <c r="C5378" s="2" t="str">
        <f t="shared" si="3"/>
        <v>SP500</v>
      </c>
      <c r="D5378" s="2">
        <f t="shared" si="4"/>
        <v>7895.79</v>
      </c>
      <c r="E5378" s="2">
        <f t="shared" si="5"/>
        <v>7895.79</v>
      </c>
      <c r="G5378" s="10">
        <f t="shared" si="9"/>
        <v>43360.64583</v>
      </c>
      <c r="H5378" s="6" t="str">
        <f t="shared" si="6"/>
        <v/>
      </c>
      <c r="I5378" s="2">
        <f t="shared" si="7"/>
        <v>1426.89</v>
      </c>
    </row>
    <row r="5379">
      <c r="A5379" s="10">
        <f t="shared" si="8"/>
        <v>43361.66667</v>
      </c>
      <c r="B5379" s="2" t="str">
        <f t="shared" si="2"/>
        <v/>
      </c>
      <c r="C5379" s="2" t="str">
        <f t="shared" si="3"/>
        <v>SP500</v>
      </c>
      <c r="D5379" s="2">
        <f t="shared" si="4"/>
        <v>7956.11</v>
      </c>
      <c r="E5379" s="2">
        <f t="shared" si="5"/>
        <v>7956.11</v>
      </c>
      <c r="G5379" s="10">
        <f t="shared" si="9"/>
        <v>43361.64583</v>
      </c>
      <c r="H5379" s="6" t="str">
        <f t="shared" si="6"/>
        <v/>
      </c>
      <c r="I5379" s="2">
        <f t="shared" si="7"/>
        <v>1426.89</v>
      </c>
    </row>
    <row r="5380">
      <c r="A5380" s="10">
        <f t="shared" si="8"/>
        <v>43362.66667</v>
      </c>
      <c r="B5380" s="2" t="str">
        <f t="shared" si="2"/>
        <v/>
      </c>
      <c r="C5380" s="2" t="str">
        <f t="shared" si="3"/>
        <v>SP500</v>
      </c>
      <c r="D5380" s="2">
        <f t="shared" si="4"/>
        <v>7950.04</v>
      </c>
      <c r="E5380" s="2">
        <f t="shared" si="5"/>
        <v>7950.04</v>
      </c>
      <c r="G5380" s="10">
        <f t="shared" si="9"/>
        <v>43362.64583</v>
      </c>
      <c r="H5380" s="6" t="str">
        <f t="shared" si="6"/>
        <v/>
      </c>
      <c r="I5380" s="2">
        <f t="shared" si="7"/>
        <v>1426.89</v>
      </c>
    </row>
    <row r="5381">
      <c r="A5381" s="10">
        <f t="shared" si="8"/>
        <v>43363.66667</v>
      </c>
      <c r="B5381" s="2" t="str">
        <f t="shared" si="2"/>
        <v/>
      </c>
      <c r="C5381" s="2" t="str">
        <f t="shared" si="3"/>
        <v>SP500</v>
      </c>
      <c r="D5381" s="2">
        <f t="shared" si="4"/>
        <v>8028.23</v>
      </c>
      <c r="E5381" s="2">
        <f t="shared" si="5"/>
        <v>8028.23</v>
      </c>
      <c r="G5381" s="10">
        <f t="shared" si="9"/>
        <v>43363.64583</v>
      </c>
      <c r="H5381" s="6" t="str">
        <f t="shared" si="6"/>
        <v/>
      </c>
      <c r="I5381" s="2">
        <f t="shared" si="7"/>
        <v>1426.89</v>
      </c>
    </row>
    <row r="5382">
      <c r="A5382" s="10">
        <f t="shared" si="8"/>
        <v>43364.66667</v>
      </c>
      <c r="B5382" s="2" t="str">
        <f t="shared" si="2"/>
        <v/>
      </c>
      <c r="C5382" s="2" t="str">
        <f t="shared" si="3"/>
        <v>SP500</v>
      </c>
      <c r="D5382" s="2">
        <f t="shared" si="4"/>
        <v>7986.96</v>
      </c>
      <c r="E5382" s="2">
        <f t="shared" si="5"/>
        <v>7986.96</v>
      </c>
      <c r="G5382" s="10">
        <f t="shared" si="9"/>
        <v>43364.64583</v>
      </c>
      <c r="H5382" s="6" t="str">
        <f t="shared" si="6"/>
        <v/>
      </c>
      <c r="I5382" s="2">
        <f t="shared" si="7"/>
        <v>1426.89</v>
      </c>
    </row>
    <row r="5383">
      <c r="A5383" s="10">
        <f t="shared" si="8"/>
        <v>43365.66667</v>
      </c>
      <c r="B5383" s="2" t="str">
        <f t="shared" si="2"/>
        <v/>
      </c>
      <c r="C5383" s="2" t="str">
        <f t="shared" si="3"/>
        <v>SP500</v>
      </c>
      <c r="D5383" s="2" t="str">
        <f t="shared" si="4"/>
        <v/>
      </c>
      <c r="E5383" s="2">
        <f t="shared" si="5"/>
        <v>7986.96</v>
      </c>
      <c r="G5383" s="10">
        <f t="shared" si="9"/>
        <v>43365.64583</v>
      </c>
      <c r="H5383" s="6" t="str">
        <f t="shared" si="6"/>
        <v/>
      </c>
      <c r="I5383" s="2">
        <f t="shared" si="7"/>
        <v>1426.89</v>
      </c>
    </row>
    <row r="5384">
      <c r="A5384" s="10">
        <f t="shared" si="8"/>
        <v>43366.66667</v>
      </c>
      <c r="B5384" s="2" t="str">
        <f t="shared" si="2"/>
        <v/>
      </c>
      <c r="C5384" s="2" t="str">
        <f t="shared" si="3"/>
        <v>SP500</v>
      </c>
      <c r="D5384" s="2" t="str">
        <f t="shared" si="4"/>
        <v/>
      </c>
      <c r="E5384" s="2">
        <f t="shared" si="5"/>
        <v>7986.96</v>
      </c>
      <c r="G5384" s="10">
        <f t="shared" si="9"/>
        <v>43366.64583</v>
      </c>
      <c r="H5384" s="6" t="str">
        <f t="shared" si="6"/>
        <v/>
      </c>
      <c r="I5384" s="2">
        <f t="shared" si="7"/>
        <v>1426.89</v>
      </c>
    </row>
    <row r="5385">
      <c r="A5385" s="10">
        <f t="shared" si="8"/>
        <v>43367.66667</v>
      </c>
      <c r="B5385" s="2" t="str">
        <f t="shared" si="2"/>
        <v/>
      </c>
      <c r="C5385" s="2" t="str">
        <f t="shared" si="3"/>
        <v>SP500</v>
      </c>
      <c r="D5385" s="2">
        <f t="shared" si="4"/>
        <v>7993.25</v>
      </c>
      <c r="E5385" s="2">
        <f t="shared" si="5"/>
        <v>7993.25</v>
      </c>
      <c r="G5385" s="10">
        <f t="shared" si="9"/>
        <v>43367.64583</v>
      </c>
      <c r="H5385" s="6" t="str">
        <f t="shared" si="6"/>
        <v/>
      </c>
      <c r="I5385" s="2">
        <f t="shared" si="7"/>
        <v>1426.89</v>
      </c>
    </row>
    <row r="5386">
      <c r="A5386" s="10">
        <f t="shared" si="8"/>
        <v>43368.66667</v>
      </c>
      <c r="B5386" s="2" t="str">
        <f t="shared" si="2"/>
        <v/>
      </c>
      <c r="C5386" s="2" t="str">
        <f t="shared" si="3"/>
        <v>SP500</v>
      </c>
      <c r="D5386" s="2">
        <f t="shared" si="4"/>
        <v>8007.47</v>
      </c>
      <c r="E5386" s="2">
        <f t="shared" si="5"/>
        <v>8007.47</v>
      </c>
      <c r="G5386" s="10">
        <f t="shared" si="9"/>
        <v>43368.64583</v>
      </c>
      <c r="H5386" s="6" t="str">
        <f t="shared" si="6"/>
        <v/>
      </c>
      <c r="I5386" s="2">
        <f t="shared" si="7"/>
        <v>1426.89</v>
      </c>
    </row>
    <row r="5387">
      <c r="A5387" s="10">
        <f t="shared" si="8"/>
        <v>43369.66667</v>
      </c>
      <c r="B5387" s="2" t="str">
        <f t="shared" si="2"/>
        <v/>
      </c>
      <c r="C5387" s="2" t="str">
        <f t="shared" si="3"/>
        <v>SP500</v>
      </c>
      <c r="D5387" s="2">
        <f t="shared" si="4"/>
        <v>7990.37</v>
      </c>
      <c r="E5387" s="2">
        <f t="shared" si="5"/>
        <v>7990.37</v>
      </c>
      <c r="G5387" s="10">
        <f t="shared" si="9"/>
        <v>43369.64583</v>
      </c>
      <c r="H5387" s="6" t="str">
        <f t="shared" si="6"/>
        <v/>
      </c>
      <c r="I5387" s="2">
        <f t="shared" si="7"/>
        <v>1426.89</v>
      </c>
    </row>
    <row r="5388">
      <c r="A5388" s="10">
        <f t="shared" si="8"/>
        <v>43370.66667</v>
      </c>
      <c r="B5388" s="2" t="str">
        <f t="shared" si="2"/>
        <v/>
      </c>
      <c r="C5388" s="2" t="str">
        <f t="shared" si="3"/>
        <v>SP500</v>
      </c>
      <c r="D5388" s="2">
        <f t="shared" si="4"/>
        <v>8041.97</v>
      </c>
      <c r="E5388" s="2">
        <f t="shared" si="5"/>
        <v>8041.97</v>
      </c>
      <c r="G5388" s="10">
        <f t="shared" si="9"/>
        <v>43370.64583</v>
      </c>
      <c r="H5388" s="6" t="str">
        <f t="shared" si="6"/>
        <v/>
      </c>
      <c r="I5388" s="2">
        <f t="shared" si="7"/>
        <v>1426.89</v>
      </c>
    </row>
    <row r="5389">
      <c r="A5389" s="10">
        <f t="shared" si="8"/>
        <v>43371.66667</v>
      </c>
      <c r="B5389" s="2" t="str">
        <f t="shared" si="2"/>
        <v/>
      </c>
      <c r="C5389" s="2" t="str">
        <f t="shared" si="3"/>
        <v>SP500</v>
      </c>
      <c r="D5389" s="2">
        <f t="shared" si="4"/>
        <v>8046.35</v>
      </c>
      <c r="E5389" s="2">
        <f t="shared" si="5"/>
        <v>8046.35</v>
      </c>
      <c r="G5389" s="10">
        <f t="shared" si="9"/>
        <v>43371.64583</v>
      </c>
      <c r="H5389" s="6" t="str">
        <f t="shared" si="6"/>
        <v/>
      </c>
      <c r="I5389" s="2">
        <f t="shared" si="7"/>
        <v>1426.89</v>
      </c>
    </row>
    <row r="5390">
      <c r="A5390" s="10">
        <f t="shared" si="8"/>
        <v>43372.66667</v>
      </c>
      <c r="B5390" s="2" t="str">
        <f t="shared" si="2"/>
        <v/>
      </c>
      <c r="C5390" s="2" t="str">
        <f t="shared" si="3"/>
        <v>SP500</v>
      </c>
      <c r="D5390" s="2" t="str">
        <f t="shared" si="4"/>
        <v/>
      </c>
      <c r="E5390" s="2">
        <f t="shared" si="5"/>
        <v>8046.35</v>
      </c>
      <c r="G5390" s="10">
        <f t="shared" si="9"/>
        <v>43372.64583</v>
      </c>
      <c r="H5390" s="6" t="str">
        <f t="shared" si="6"/>
        <v/>
      </c>
      <c r="I5390" s="2">
        <f t="shared" si="7"/>
        <v>1426.89</v>
      </c>
    </row>
    <row r="5391">
      <c r="A5391" s="10">
        <f t="shared" si="8"/>
        <v>43373.66667</v>
      </c>
      <c r="B5391" s="2" t="str">
        <f t="shared" si="2"/>
        <v/>
      </c>
      <c r="C5391" s="2" t="str">
        <f t="shared" si="3"/>
        <v>SP500</v>
      </c>
      <c r="D5391" s="2" t="str">
        <f t="shared" si="4"/>
        <v/>
      </c>
      <c r="E5391" s="2">
        <f t="shared" si="5"/>
        <v>8046.35</v>
      </c>
      <c r="G5391" s="10">
        <f t="shared" si="9"/>
        <v>43373.64583</v>
      </c>
      <c r="H5391" s="6" t="str">
        <f t="shared" si="6"/>
        <v/>
      </c>
      <c r="I5391" s="2">
        <f t="shared" si="7"/>
        <v>1426.89</v>
      </c>
    </row>
    <row r="5392">
      <c r="A5392" s="10">
        <f t="shared" si="8"/>
        <v>43374.66667</v>
      </c>
      <c r="B5392" s="2" t="str">
        <f t="shared" si="2"/>
        <v/>
      </c>
      <c r="C5392" s="2" t="str">
        <f t="shared" si="3"/>
        <v>SP500</v>
      </c>
      <c r="D5392" s="2">
        <f t="shared" si="4"/>
        <v>8037.3</v>
      </c>
      <c r="E5392" s="2">
        <f t="shared" si="5"/>
        <v>8037.3</v>
      </c>
      <c r="G5392" s="10">
        <f t="shared" si="9"/>
        <v>43374.64583</v>
      </c>
      <c r="H5392" s="6" t="str">
        <f t="shared" si="6"/>
        <v/>
      </c>
      <c r="I5392" s="2">
        <f t="shared" si="7"/>
        <v>1426.89</v>
      </c>
    </row>
    <row r="5393">
      <c r="A5393" s="10">
        <f t="shared" si="8"/>
        <v>43375.66667</v>
      </c>
      <c r="B5393" s="2" t="str">
        <f t="shared" si="2"/>
        <v/>
      </c>
      <c r="C5393" s="2" t="str">
        <f t="shared" si="3"/>
        <v>SP500</v>
      </c>
      <c r="D5393" s="2">
        <f t="shared" si="4"/>
        <v>7999.55</v>
      </c>
      <c r="E5393" s="2">
        <f t="shared" si="5"/>
        <v>7999.55</v>
      </c>
      <c r="G5393" s="10">
        <f t="shared" si="9"/>
        <v>43375.64583</v>
      </c>
      <c r="H5393" s="6" t="str">
        <f t="shared" si="6"/>
        <v/>
      </c>
      <c r="I5393" s="2">
        <f t="shared" si="7"/>
        <v>1426.89</v>
      </c>
    </row>
    <row r="5394">
      <c r="A5394" s="10">
        <f t="shared" si="8"/>
        <v>43376.66667</v>
      </c>
      <c r="B5394" s="2" t="str">
        <f t="shared" si="2"/>
        <v/>
      </c>
      <c r="C5394" s="2" t="str">
        <f t="shared" si="3"/>
        <v>SP500</v>
      </c>
      <c r="D5394" s="2">
        <f t="shared" si="4"/>
        <v>8025.09</v>
      </c>
      <c r="E5394" s="2">
        <f t="shared" si="5"/>
        <v>8025.09</v>
      </c>
      <c r="G5394" s="10">
        <f t="shared" si="9"/>
        <v>43376.64583</v>
      </c>
      <c r="H5394" s="6" t="str">
        <f t="shared" si="6"/>
        <v/>
      </c>
      <c r="I5394" s="2">
        <f t="shared" si="7"/>
        <v>1426.89</v>
      </c>
    </row>
    <row r="5395">
      <c r="A5395" s="10">
        <f t="shared" si="8"/>
        <v>43377.66667</v>
      </c>
      <c r="B5395" s="2" t="str">
        <f t="shared" si="2"/>
        <v/>
      </c>
      <c r="C5395" s="2" t="str">
        <f t="shared" si="3"/>
        <v>SP500</v>
      </c>
      <c r="D5395" s="2">
        <f t="shared" si="4"/>
        <v>7879.51</v>
      </c>
      <c r="E5395" s="2">
        <f t="shared" si="5"/>
        <v>7879.51</v>
      </c>
      <c r="G5395" s="10">
        <f t="shared" si="9"/>
        <v>43377.64583</v>
      </c>
      <c r="H5395" s="6" t="str">
        <f t="shared" si="6"/>
        <v/>
      </c>
      <c r="I5395" s="2">
        <f t="shared" si="7"/>
        <v>1426.89</v>
      </c>
    </row>
    <row r="5396">
      <c r="A5396" s="10">
        <f t="shared" si="8"/>
        <v>43378.66667</v>
      </c>
      <c r="B5396" s="2" t="str">
        <f t="shared" si="2"/>
        <v/>
      </c>
      <c r="C5396" s="2" t="str">
        <f t="shared" si="3"/>
        <v>SP500</v>
      </c>
      <c r="D5396" s="2">
        <f t="shared" si="4"/>
        <v>7788.45</v>
      </c>
      <c r="E5396" s="2">
        <f t="shared" si="5"/>
        <v>7788.45</v>
      </c>
      <c r="G5396" s="10">
        <f t="shared" si="9"/>
        <v>43378.64583</v>
      </c>
      <c r="H5396" s="6" t="str">
        <f t="shared" si="6"/>
        <v/>
      </c>
      <c r="I5396" s="2">
        <f t="shared" si="7"/>
        <v>1426.89</v>
      </c>
    </row>
    <row r="5397">
      <c r="A5397" s="10">
        <f t="shared" si="8"/>
        <v>43379.66667</v>
      </c>
      <c r="B5397" s="2" t="str">
        <f t="shared" si="2"/>
        <v/>
      </c>
      <c r="C5397" s="2" t="str">
        <f t="shared" si="3"/>
        <v>SP500</v>
      </c>
      <c r="D5397" s="2" t="str">
        <f t="shared" si="4"/>
        <v/>
      </c>
      <c r="E5397" s="2">
        <f t="shared" si="5"/>
        <v>7788.45</v>
      </c>
      <c r="G5397" s="10">
        <f t="shared" si="9"/>
        <v>43379.64583</v>
      </c>
      <c r="H5397" s="6" t="str">
        <f t="shared" si="6"/>
        <v/>
      </c>
      <c r="I5397" s="2">
        <f t="shared" si="7"/>
        <v>1426.89</v>
      </c>
    </row>
    <row r="5398">
      <c r="A5398" s="10">
        <f t="shared" si="8"/>
        <v>43380.66667</v>
      </c>
      <c r="B5398" s="2" t="str">
        <f t="shared" si="2"/>
        <v/>
      </c>
      <c r="C5398" s="2" t="str">
        <f t="shared" si="3"/>
        <v>SP500</v>
      </c>
      <c r="D5398" s="2" t="str">
        <f t="shared" si="4"/>
        <v/>
      </c>
      <c r="E5398" s="2">
        <f t="shared" si="5"/>
        <v>7788.45</v>
      </c>
      <c r="G5398" s="10">
        <f t="shared" si="9"/>
        <v>43380.64583</v>
      </c>
      <c r="H5398" s="6" t="str">
        <f t="shared" si="6"/>
        <v/>
      </c>
      <c r="I5398" s="2">
        <f t="shared" si="7"/>
        <v>1426.89</v>
      </c>
    </row>
    <row r="5399">
      <c r="A5399" s="10">
        <f t="shared" si="8"/>
        <v>43381.66667</v>
      </c>
      <c r="B5399" s="2" t="str">
        <f t="shared" si="2"/>
        <v/>
      </c>
      <c r="C5399" s="2" t="str">
        <f t="shared" si="3"/>
        <v>SP500</v>
      </c>
      <c r="D5399" s="2">
        <f t="shared" si="4"/>
        <v>7735.95</v>
      </c>
      <c r="E5399" s="2">
        <f t="shared" si="5"/>
        <v>7735.95</v>
      </c>
      <c r="G5399" s="10">
        <f t="shared" si="9"/>
        <v>43381.64583</v>
      </c>
      <c r="H5399" s="6" t="str">
        <f t="shared" si="6"/>
        <v/>
      </c>
      <c r="I5399" s="2">
        <f t="shared" si="7"/>
        <v>1426.89</v>
      </c>
    </row>
    <row r="5400">
      <c r="A5400" s="10">
        <f t="shared" si="8"/>
        <v>43382.66667</v>
      </c>
      <c r="B5400" s="2" t="str">
        <f t="shared" si="2"/>
        <v/>
      </c>
      <c r="C5400" s="2" t="str">
        <f t="shared" si="3"/>
        <v>SP500</v>
      </c>
      <c r="D5400" s="2">
        <f t="shared" si="4"/>
        <v>7738.02</v>
      </c>
      <c r="E5400" s="2">
        <f t="shared" si="5"/>
        <v>7738.02</v>
      </c>
      <c r="G5400" s="10">
        <f t="shared" si="9"/>
        <v>43382.64583</v>
      </c>
      <c r="H5400" s="6" t="str">
        <f t="shared" si="6"/>
        <v/>
      </c>
      <c r="I5400" s="2">
        <f t="shared" si="7"/>
        <v>1426.89</v>
      </c>
    </row>
    <row r="5401">
      <c r="A5401" s="10">
        <f t="shared" si="8"/>
        <v>43383.66667</v>
      </c>
      <c r="B5401" s="2" t="str">
        <f t="shared" si="2"/>
        <v/>
      </c>
      <c r="C5401" s="2" t="str">
        <f t="shared" si="3"/>
        <v>SP500</v>
      </c>
      <c r="D5401" s="2">
        <f t="shared" si="4"/>
        <v>7422.05</v>
      </c>
      <c r="E5401" s="2">
        <f t="shared" si="5"/>
        <v>7422.05</v>
      </c>
      <c r="G5401" s="10">
        <f t="shared" si="9"/>
        <v>43383.64583</v>
      </c>
      <c r="H5401" s="6" t="str">
        <f t="shared" si="6"/>
        <v/>
      </c>
      <c r="I5401" s="2">
        <f t="shared" si="7"/>
        <v>1426.89</v>
      </c>
    </row>
    <row r="5402">
      <c r="A5402" s="10">
        <f t="shared" si="8"/>
        <v>43384.66667</v>
      </c>
      <c r="B5402" s="2" t="str">
        <f t="shared" si="2"/>
        <v/>
      </c>
      <c r="C5402" s="2" t="str">
        <f t="shared" si="3"/>
        <v>SP500</v>
      </c>
      <c r="D5402" s="2">
        <f t="shared" si="4"/>
        <v>7329.06</v>
      </c>
      <c r="E5402" s="2">
        <f t="shared" si="5"/>
        <v>7329.06</v>
      </c>
      <c r="G5402" s="10">
        <f t="shared" si="9"/>
        <v>43384.64583</v>
      </c>
      <c r="H5402" s="6" t="str">
        <f t="shared" si="6"/>
        <v/>
      </c>
      <c r="I5402" s="2">
        <f t="shared" si="7"/>
        <v>1426.89</v>
      </c>
    </row>
    <row r="5403">
      <c r="A5403" s="10">
        <f t="shared" si="8"/>
        <v>43385.66667</v>
      </c>
      <c r="B5403" s="2" t="str">
        <f t="shared" si="2"/>
        <v/>
      </c>
      <c r="C5403" s="2" t="str">
        <f t="shared" si="3"/>
        <v>SP500</v>
      </c>
      <c r="D5403" s="2">
        <f t="shared" si="4"/>
        <v>7496.89</v>
      </c>
      <c r="E5403" s="2">
        <f t="shared" si="5"/>
        <v>7496.89</v>
      </c>
      <c r="G5403" s="10">
        <f t="shared" si="9"/>
        <v>43385.64583</v>
      </c>
      <c r="H5403" s="6" t="str">
        <f t="shared" si="6"/>
        <v/>
      </c>
      <c r="I5403" s="2">
        <f t="shared" si="7"/>
        <v>1426.89</v>
      </c>
    </row>
    <row r="5404">
      <c r="A5404" s="10">
        <f t="shared" si="8"/>
        <v>43386.66667</v>
      </c>
      <c r="B5404" s="2" t="str">
        <f t="shared" si="2"/>
        <v/>
      </c>
      <c r="C5404" s="2" t="str">
        <f t="shared" si="3"/>
        <v>SP500</v>
      </c>
      <c r="D5404" s="2" t="str">
        <f t="shared" si="4"/>
        <v/>
      </c>
      <c r="E5404" s="2">
        <f t="shared" si="5"/>
        <v>7496.89</v>
      </c>
      <c r="G5404" s="10">
        <f t="shared" si="9"/>
        <v>43386.64583</v>
      </c>
      <c r="H5404" s="6" t="str">
        <f t="shared" si="6"/>
        <v/>
      </c>
      <c r="I5404" s="2">
        <f t="shared" si="7"/>
        <v>1426.89</v>
      </c>
    </row>
    <row r="5405">
      <c r="A5405" s="10">
        <f t="shared" si="8"/>
        <v>43387.66667</v>
      </c>
      <c r="B5405" s="2" t="str">
        <f t="shared" si="2"/>
        <v/>
      </c>
      <c r="C5405" s="2" t="str">
        <f t="shared" si="3"/>
        <v>SP500</v>
      </c>
      <c r="D5405" s="2" t="str">
        <f t="shared" si="4"/>
        <v/>
      </c>
      <c r="E5405" s="2">
        <f t="shared" si="5"/>
        <v>7496.89</v>
      </c>
      <c r="G5405" s="10">
        <f t="shared" si="9"/>
        <v>43387.64583</v>
      </c>
      <c r="H5405" s="6" t="str">
        <f t="shared" si="6"/>
        <v/>
      </c>
      <c r="I5405" s="2">
        <f t="shared" si="7"/>
        <v>1426.89</v>
      </c>
    </row>
    <row r="5406">
      <c r="A5406" s="10">
        <f t="shared" si="8"/>
        <v>43388.66667</v>
      </c>
      <c r="B5406" s="2" t="str">
        <f t="shared" si="2"/>
        <v/>
      </c>
      <c r="C5406" s="2" t="str">
        <f t="shared" si="3"/>
        <v>SP500</v>
      </c>
      <c r="D5406" s="2">
        <f t="shared" si="4"/>
        <v>7430.74</v>
      </c>
      <c r="E5406" s="2">
        <f t="shared" si="5"/>
        <v>7430.74</v>
      </c>
      <c r="G5406" s="10">
        <f t="shared" si="9"/>
        <v>43388.64583</v>
      </c>
      <c r="H5406" s="6" t="str">
        <f t="shared" si="6"/>
        <v/>
      </c>
      <c r="I5406" s="2">
        <f t="shared" si="7"/>
        <v>1426.89</v>
      </c>
    </row>
    <row r="5407">
      <c r="A5407" s="10">
        <f t="shared" si="8"/>
        <v>43389.66667</v>
      </c>
      <c r="B5407" s="2" t="str">
        <f t="shared" si="2"/>
        <v/>
      </c>
      <c r="C5407" s="2" t="str">
        <f t="shared" si="3"/>
        <v>SP500</v>
      </c>
      <c r="D5407" s="2">
        <f t="shared" si="4"/>
        <v>7645.49</v>
      </c>
      <c r="E5407" s="2">
        <f t="shared" si="5"/>
        <v>7645.49</v>
      </c>
      <c r="G5407" s="10">
        <f t="shared" si="9"/>
        <v>43389.64583</v>
      </c>
      <c r="H5407" s="6" t="str">
        <f t="shared" si="6"/>
        <v/>
      </c>
      <c r="I5407" s="2">
        <f t="shared" si="7"/>
        <v>1426.89</v>
      </c>
    </row>
    <row r="5408">
      <c r="A5408" s="10">
        <f t="shared" si="8"/>
        <v>43390.66667</v>
      </c>
      <c r="B5408" s="2" t="str">
        <f t="shared" si="2"/>
        <v/>
      </c>
      <c r="C5408" s="2" t="str">
        <f t="shared" si="3"/>
        <v>SP500</v>
      </c>
      <c r="D5408" s="2">
        <f t="shared" si="4"/>
        <v>7642.7</v>
      </c>
      <c r="E5408" s="2">
        <f t="shared" si="5"/>
        <v>7642.7</v>
      </c>
      <c r="G5408" s="10">
        <f t="shared" si="9"/>
        <v>43390.64583</v>
      </c>
      <c r="H5408" s="6" t="str">
        <f t="shared" si="6"/>
        <v/>
      </c>
      <c r="I5408" s="2">
        <f t="shared" si="7"/>
        <v>1426.89</v>
      </c>
    </row>
    <row r="5409">
      <c r="A5409" s="10">
        <f t="shared" si="8"/>
        <v>43391.66667</v>
      </c>
      <c r="B5409" s="2" t="str">
        <f t="shared" si="2"/>
        <v/>
      </c>
      <c r="C5409" s="2" t="str">
        <f t="shared" si="3"/>
        <v>SP500</v>
      </c>
      <c r="D5409" s="2">
        <f t="shared" si="4"/>
        <v>7485.14</v>
      </c>
      <c r="E5409" s="2">
        <f t="shared" si="5"/>
        <v>7485.14</v>
      </c>
      <c r="G5409" s="10">
        <f t="shared" si="9"/>
        <v>43391.64583</v>
      </c>
      <c r="H5409" s="6" t="str">
        <f t="shared" si="6"/>
        <v/>
      </c>
      <c r="I5409" s="2">
        <f t="shared" si="7"/>
        <v>1426.89</v>
      </c>
    </row>
    <row r="5410">
      <c r="A5410" s="10">
        <f t="shared" si="8"/>
        <v>43392.66667</v>
      </c>
      <c r="B5410" s="2" t="str">
        <f t="shared" si="2"/>
        <v/>
      </c>
      <c r="C5410" s="2" t="str">
        <f t="shared" si="3"/>
        <v>SP500</v>
      </c>
      <c r="D5410" s="2">
        <f t="shared" si="4"/>
        <v>7449.03</v>
      </c>
      <c r="E5410" s="2">
        <f t="shared" si="5"/>
        <v>7449.03</v>
      </c>
      <c r="G5410" s="10">
        <f t="shared" si="9"/>
        <v>43392.64583</v>
      </c>
      <c r="H5410" s="6" t="str">
        <f t="shared" si="6"/>
        <v/>
      </c>
      <c r="I5410" s="2">
        <f t="shared" si="7"/>
        <v>1426.89</v>
      </c>
    </row>
    <row r="5411">
      <c r="A5411" s="10">
        <f t="shared" si="8"/>
        <v>43393.66667</v>
      </c>
      <c r="B5411" s="2" t="str">
        <f t="shared" si="2"/>
        <v/>
      </c>
      <c r="C5411" s="2" t="str">
        <f t="shared" si="3"/>
        <v>SP500</v>
      </c>
      <c r="D5411" s="2" t="str">
        <f t="shared" si="4"/>
        <v/>
      </c>
      <c r="E5411" s="2">
        <f t="shared" si="5"/>
        <v>7449.03</v>
      </c>
      <c r="G5411" s="10">
        <f t="shared" si="9"/>
        <v>43393.64583</v>
      </c>
      <c r="H5411" s="6" t="str">
        <f t="shared" si="6"/>
        <v/>
      </c>
      <c r="I5411" s="2">
        <f t="shared" si="7"/>
        <v>1426.89</v>
      </c>
    </row>
    <row r="5412">
      <c r="A5412" s="10">
        <f t="shared" si="8"/>
        <v>43394.66667</v>
      </c>
      <c r="B5412" s="2" t="str">
        <f t="shared" si="2"/>
        <v/>
      </c>
      <c r="C5412" s="2" t="str">
        <f t="shared" si="3"/>
        <v>SP500</v>
      </c>
      <c r="D5412" s="2" t="str">
        <f t="shared" si="4"/>
        <v/>
      </c>
      <c r="E5412" s="2">
        <f t="shared" si="5"/>
        <v>7449.03</v>
      </c>
      <c r="G5412" s="10">
        <f t="shared" si="9"/>
        <v>43394.64583</v>
      </c>
      <c r="H5412" s="6" t="str">
        <f t="shared" si="6"/>
        <v/>
      </c>
      <c r="I5412" s="2">
        <f t="shared" si="7"/>
        <v>1426.89</v>
      </c>
    </row>
    <row r="5413">
      <c r="A5413" s="10">
        <f t="shared" si="8"/>
        <v>43395.66667</v>
      </c>
      <c r="B5413" s="2" t="str">
        <f t="shared" si="2"/>
        <v/>
      </c>
      <c r="C5413" s="2" t="str">
        <f t="shared" si="3"/>
        <v>SP500</v>
      </c>
      <c r="D5413" s="2">
        <f t="shared" si="4"/>
        <v>7468.63</v>
      </c>
      <c r="E5413" s="2">
        <f t="shared" si="5"/>
        <v>7468.63</v>
      </c>
      <c r="G5413" s="10">
        <f t="shared" si="9"/>
        <v>43395.64583</v>
      </c>
      <c r="H5413" s="6" t="str">
        <f t="shared" si="6"/>
        <v/>
      </c>
      <c r="I5413" s="2">
        <f t="shared" si="7"/>
        <v>1426.89</v>
      </c>
    </row>
    <row r="5414">
      <c r="A5414" s="10">
        <f t="shared" si="8"/>
        <v>43396.66667</v>
      </c>
      <c r="B5414" s="2" t="str">
        <f t="shared" si="2"/>
        <v/>
      </c>
      <c r="C5414" s="2" t="str">
        <f t="shared" si="3"/>
        <v>SP500</v>
      </c>
      <c r="D5414" s="2">
        <f t="shared" si="4"/>
        <v>7437.54</v>
      </c>
      <c r="E5414" s="2">
        <f t="shared" si="5"/>
        <v>7437.54</v>
      </c>
      <c r="G5414" s="10">
        <f t="shared" si="9"/>
        <v>43396.64583</v>
      </c>
      <c r="H5414" s="6" t="str">
        <f t="shared" si="6"/>
        <v/>
      </c>
      <c r="I5414" s="2">
        <f t="shared" si="7"/>
        <v>1426.89</v>
      </c>
    </row>
    <row r="5415">
      <c r="A5415" s="10">
        <f t="shared" si="8"/>
        <v>43397.66667</v>
      </c>
      <c r="B5415" s="2" t="str">
        <f t="shared" si="2"/>
        <v/>
      </c>
      <c r="C5415" s="2" t="str">
        <f t="shared" si="3"/>
        <v>SP500</v>
      </c>
      <c r="D5415" s="2">
        <f t="shared" si="4"/>
        <v>7108.4</v>
      </c>
      <c r="E5415" s="2">
        <f t="shared" si="5"/>
        <v>7108.4</v>
      </c>
      <c r="G5415" s="10">
        <f t="shared" si="9"/>
        <v>43397.64583</v>
      </c>
      <c r="H5415" s="6" t="str">
        <f t="shared" si="6"/>
        <v/>
      </c>
      <c r="I5415" s="2">
        <f t="shared" si="7"/>
        <v>1426.89</v>
      </c>
    </row>
    <row r="5416">
      <c r="A5416" s="10">
        <f t="shared" si="8"/>
        <v>43398.66667</v>
      </c>
      <c r="B5416" s="2" t="str">
        <f t="shared" si="2"/>
        <v/>
      </c>
      <c r="C5416" s="2" t="str">
        <f t="shared" si="3"/>
        <v>SP500</v>
      </c>
      <c r="D5416" s="2">
        <f t="shared" si="4"/>
        <v>7318.34</v>
      </c>
      <c r="E5416" s="2">
        <f t="shared" si="5"/>
        <v>7318.34</v>
      </c>
      <c r="G5416" s="10">
        <f t="shared" si="9"/>
        <v>43398.64583</v>
      </c>
      <c r="H5416" s="6" t="str">
        <f t="shared" si="6"/>
        <v/>
      </c>
      <c r="I5416" s="2">
        <f t="shared" si="7"/>
        <v>1426.89</v>
      </c>
    </row>
    <row r="5417">
      <c r="A5417" s="10">
        <f t="shared" si="8"/>
        <v>43399.66667</v>
      </c>
      <c r="B5417" s="2" t="str">
        <f t="shared" si="2"/>
        <v/>
      </c>
      <c r="C5417" s="2" t="str">
        <f t="shared" si="3"/>
        <v>SP500</v>
      </c>
      <c r="D5417" s="2">
        <f t="shared" si="4"/>
        <v>7167.21</v>
      </c>
      <c r="E5417" s="2">
        <f t="shared" si="5"/>
        <v>7167.21</v>
      </c>
      <c r="G5417" s="10">
        <f t="shared" si="9"/>
        <v>43399.64583</v>
      </c>
      <c r="H5417" s="6" t="str">
        <f t="shared" si="6"/>
        <v/>
      </c>
      <c r="I5417" s="2">
        <f t="shared" si="7"/>
        <v>1426.89</v>
      </c>
    </row>
    <row r="5418">
      <c r="A5418" s="10">
        <f t="shared" si="8"/>
        <v>43400.66667</v>
      </c>
      <c r="B5418" s="2" t="str">
        <f t="shared" si="2"/>
        <v/>
      </c>
      <c r="C5418" s="2" t="str">
        <f t="shared" si="3"/>
        <v>SP500</v>
      </c>
      <c r="D5418" s="2" t="str">
        <f t="shared" si="4"/>
        <v/>
      </c>
      <c r="E5418" s="2">
        <f t="shared" si="5"/>
        <v>7167.21</v>
      </c>
      <c r="G5418" s="10">
        <f t="shared" si="9"/>
        <v>43400.64583</v>
      </c>
      <c r="H5418" s="6" t="str">
        <f t="shared" si="6"/>
        <v/>
      </c>
      <c r="I5418" s="2">
        <f t="shared" si="7"/>
        <v>1426.89</v>
      </c>
    </row>
    <row r="5419">
      <c r="A5419" s="10">
        <f t="shared" si="8"/>
        <v>43401.66667</v>
      </c>
      <c r="B5419" s="2" t="str">
        <f t="shared" si="2"/>
        <v/>
      </c>
      <c r="C5419" s="2" t="str">
        <f t="shared" si="3"/>
        <v>SP500</v>
      </c>
      <c r="D5419" s="2" t="str">
        <f t="shared" si="4"/>
        <v/>
      </c>
      <c r="E5419" s="2">
        <f t="shared" si="5"/>
        <v>7167.21</v>
      </c>
      <c r="G5419" s="10">
        <f t="shared" si="9"/>
        <v>43401.64583</v>
      </c>
      <c r="H5419" s="6" t="str">
        <f t="shared" si="6"/>
        <v/>
      </c>
      <c r="I5419" s="2">
        <f t="shared" si="7"/>
        <v>1426.89</v>
      </c>
    </row>
    <row r="5420">
      <c r="A5420" s="10">
        <f t="shared" si="8"/>
        <v>43402.66667</v>
      </c>
      <c r="B5420" s="2" t="str">
        <f t="shared" si="2"/>
        <v/>
      </c>
      <c r="C5420" s="2" t="str">
        <f t="shared" si="3"/>
        <v>SP500</v>
      </c>
      <c r="D5420" s="2">
        <f t="shared" si="4"/>
        <v>7050.29</v>
      </c>
      <c r="E5420" s="2">
        <f t="shared" si="5"/>
        <v>7050.29</v>
      </c>
      <c r="G5420" s="10">
        <f t="shared" si="9"/>
        <v>43402.64583</v>
      </c>
      <c r="H5420" s="6" t="str">
        <f t="shared" si="6"/>
        <v/>
      </c>
      <c r="I5420" s="2">
        <f t="shared" si="7"/>
        <v>1426.89</v>
      </c>
    </row>
    <row r="5421">
      <c r="A5421" s="10">
        <f t="shared" si="8"/>
        <v>43403.66667</v>
      </c>
      <c r="B5421" s="2" t="str">
        <f t="shared" si="2"/>
        <v/>
      </c>
      <c r="C5421" s="2" t="str">
        <f t="shared" si="3"/>
        <v>SP500</v>
      </c>
      <c r="D5421" s="2">
        <f t="shared" si="4"/>
        <v>7161.65</v>
      </c>
      <c r="E5421" s="2">
        <f t="shared" si="5"/>
        <v>7161.65</v>
      </c>
      <c r="G5421" s="10">
        <f t="shared" si="9"/>
        <v>43403.64583</v>
      </c>
      <c r="H5421" s="6" t="str">
        <f t="shared" si="6"/>
        <v/>
      </c>
      <c r="I5421" s="2">
        <f t="shared" si="7"/>
        <v>1426.89</v>
      </c>
    </row>
    <row r="5422">
      <c r="A5422" s="10">
        <f t="shared" si="8"/>
        <v>43404.66667</v>
      </c>
      <c r="B5422" s="2" t="str">
        <f t="shared" si="2"/>
        <v/>
      </c>
      <c r="C5422" s="2" t="str">
        <f t="shared" si="3"/>
        <v>SP500</v>
      </c>
      <c r="D5422" s="2">
        <f t="shared" si="4"/>
        <v>7305.9</v>
      </c>
      <c r="E5422" s="2">
        <f t="shared" si="5"/>
        <v>7305.9</v>
      </c>
      <c r="G5422" s="10">
        <f t="shared" si="9"/>
        <v>43404.64583</v>
      </c>
      <c r="H5422" s="6" t="str">
        <f t="shared" si="6"/>
        <v/>
      </c>
      <c r="I5422" s="2">
        <f t="shared" si="7"/>
        <v>1426.89</v>
      </c>
    </row>
    <row r="5423">
      <c r="A5423" s="10">
        <f t="shared" si="8"/>
        <v>43405.66667</v>
      </c>
      <c r="B5423" s="2" t="str">
        <f t="shared" si="2"/>
        <v/>
      </c>
      <c r="C5423" s="2" t="str">
        <f t="shared" si="3"/>
        <v>SP500</v>
      </c>
      <c r="D5423" s="2">
        <f t="shared" si="4"/>
        <v>7434.06</v>
      </c>
      <c r="E5423" s="2">
        <f t="shared" si="5"/>
        <v>7434.06</v>
      </c>
      <c r="G5423" s="10">
        <f t="shared" si="9"/>
        <v>43405.64583</v>
      </c>
      <c r="H5423" s="6" t="str">
        <f t="shared" si="6"/>
        <v/>
      </c>
      <c r="I5423" s="2">
        <f t="shared" si="7"/>
        <v>1426.89</v>
      </c>
    </row>
    <row r="5424">
      <c r="A5424" s="10">
        <f t="shared" si="8"/>
        <v>43406.66667</v>
      </c>
      <c r="B5424" s="2" t="str">
        <f t="shared" si="2"/>
        <v/>
      </c>
      <c r="C5424" s="2" t="str">
        <f t="shared" si="3"/>
        <v>SP500</v>
      </c>
      <c r="D5424" s="2">
        <f t="shared" si="4"/>
        <v>7356.99</v>
      </c>
      <c r="E5424" s="2">
        <f t="shared" si="5"/>
        <v>7356.99</v>
      </c>
      <c r="G5424" s="10">
        <f t="shared" si="9"/>
        <v>43406.64583</v>
      </c>
      <c r="H5424" s="6" t="str">
        <f t="shared" si="6"/>
        <v/>
      </c>
      <c r="I5424" s="2">
        <f t="shared" si="7"/>
        <v>1426.89</v>
      </c>
    </row>
    <row r="5425">
      <c r="A5425" s="10">
        <f t="shared" si="8"/>
        <v>43407.66667</v>
      </c>
      <c r="B5425" s="2" t="str">
        <f t="shared" si="2"/>
        <v/>
      </c>
      <c r="C5425" s="2" t="str">
        <f t="shared" si="3"/>
        <v>SP500</v>
      </c>
      <c r="D5425" s="2" t="str">
        <f t="shared" si="4"/>
        <v/>
      </c>
      <c r="E5425" s="2">
        <f t="shared" si="5"/>
        <v>7356.99</v>
      </c>
      <c r="G5425" s="10">
        <f t="shared" si="9"/>
        <v>43407.64583</v>
      </c>
      <c r="H5425" s="6" t="str">
        <f t="shared" si="6"/>
        <v/>
      </c>
      <c r="I5425" s="2">
        <f t="shared" si="7"/>
        <v>1426.89</v>
      </c>
    </row>
    <row r="5426">
      <c r="A5426" s="10">
        <f t="shared" si="8"/>
        <v>43408.66667</v>
      </c>
      <c r="B5426" s="2" t="str">
        <f t="shared" si="2"/>
        <v/>
      </c>
      <c r="C5426" s="2" t="str">
        <f t="shared" si="3"/>
        <v>SP500</v>
      </c>
      <c r="D5426" s="2" t="str">
        <f t="shared" si="4"/>
        <v/>
      </c>
      <c r="E5426" s="2">
        <f t="shared" si="5"/>
        <v>7356.99</v>
      </c>
      <c r="G5426" s="10">
        <f t="shared" si="9"/>
        <v>43408.64583</v>
      </c>
      <c r="H5426" s="6" t="str">
        <f t="shared" si="6"/>
        <v/>
      </c>
      <c r="I5426" s="2">
        <f t="shared" si="7"/>
        <v>1426.89</v>
      </c>
    </row>
    <row r="5427">
      <c r="A5427" s="10">
        <f t="shared" si="8"/>
        <v>43409.66667</v>
      </c>
      <c r="B5427" s="2" t="str">
        <f t="shared" si="2"/>
        <v/>
      </c>
      <c r="C5427" s="2" t="str">
        <f t="shared" si="3"/>
        <v>SP500</v>
      </c>
      <c r="D5427" s="2">
        <f t="shared" si="4"/>
        <v>7328.85</v>
      </c>
      <c r="E5427" s="2">
        <f t="shared" si="5"/>
        <v>7328.85</v>
      </c>
      <c r="G5427" s="10">
        <f t="shared" si="9"/>
        <v>43409.64583</v>
      </c>
      <c r="H5427" s="6" t="str">
        <f t="shared" si="6"/>
        <v/>
      </c>
      <c r="I5427" s="2">
        <f t="shared" si="7"/>
        <v>1426.89</v>
      </c>
    </row>
    <row r="5428">
      <c r="A5428" s="10">
        <f t="shared" si="8"/>
        <v>43410.66667</v>
      </c>
      <c r="B5428" s="2" t="str">
        <f t="shared" si="2"/>
        <v/>
      </c>
      <c r="C5428" s="2" t="str">
        <f t="shared" si="3"/>
        <v>SP500</v>
      </c>
      <c r="D5428" s="2">
        <f t="shared" si="4"/>
        <v>7375.96</v>
      </c>
      <c r="E5428" s="2">
        <f t="shared" si="5"/>
        <v>7375.96</v>
      </c>
      <c r="G5428" s="10">
        <f t="shared" si="9"/>
        <v>43410.64583</v>
      </c>
      <c r="H5428" s="6" t="str">
        <f t="shared" si="6"/>
        <v/>
      </c>
      <c r="I5428" s="2">
        <f t="shared" si="7"/>
        <v>1426.89</v>
      </c>
    </row>
    <row r="5429">
      <c r="A5429" s="10">
        <f t="shared" si="8"/>
        <v>43411.66667</v>
      </c>
      <c r="B5429" s="2" t="str">
        <f t="shared" si="2"/>
        <v/>
      </c>
      <c r="C5429" s="2" t="str">
        <f t="shared" si="3"/>
        <v>SP500</v>
      </c>
      <c r="D5429" s="2">
        <f t="shared" si="4"/>
        <v>7570.75</v>
      </c>
      <c r="E5429" s="2">
        <f t="shared" si="5"/>
        <v>7570.75</v>
      </c>
      <c r="G5429" s="10">
        <f t="shared" si="9"/>
        <v>43411.64583</v>
      </c>
      <c r="H5429" s="6" t="str">
        <f t="shared" si="6"/>
        <v/>
      </c>
      <c r="I5429" s="2">
        <f t="shared" si="7"/>
        <v>1426.89</v>
      </c>
    </row>
    <row r="5430">
      <c r="A5430" s="10">
        <f t="shared" si="8"/>
        <v>43412.66667</v>
      </c>
      <c r="B5430" s="2" t="str">
        <f t="shared" si="2"/>
        <v/>
      </c>
      <c r="C5430" s="2" t="str">
        <f t="shared" si="3"/>
        <v>SP500</v>
      </c>
      <c r="D5430" s="2">
        <f t="shared" si="4"/>
        <v>7530.89</v>
      </c>
      <c r="E5430" s="2">
        <f t="shared" si="5"/>
        <v>7530.89</v>
      </c>
      <c r="G5430" s="10">
        <f t="shared" si="9"/>
        <v>43412.64583</v>
      </c>
      <c r="H5430" s="6" t="str">
        <f t="shared" si="6"/>
        <v/>
      </c>
      <c r="I5430" s="2">
        <f t="shared" si="7"/>
        <v>1426.89</v>
      </c>
    </row>
    <row r="5431">
      <c r="A5431" s="10">
        <f t="shared" si="8"/>
        <v>43413.66667</v>
      </c>
      <c r="B5431" s="2" t="str">
        <f t="shared" si="2"/>
        <v/>
      </c>
      <c r="C5431" s="2" t="str">
        <f t="shared" si="3"/>
        <v>SP500</v>
      </c>
      <c r="D5431" s="2">
        <f t="shared" si="4"/>
        <v>7406.9</v>
      </c>
      <c r="E5431" s="2">
        <f t="shared" si="5"/>
        <v>7406.9</v>
      </c>
      <c r="G5431" s="10">
        <f t="shared" si="9"/>
        <v>43413.64583</v>
      </c>
      <c r="H5431" s="6" t="str">
        <f t="shared" si="6"/>
        <v/>
      </c>
      <c r="I5431" s="2">
        <f t="shared" si="7"/>
        <v>1426.89</v>
      </c>
    </row>
    <row r="5432">
      <c r="A5432" s="10">
        <f t="shared" si="8"/>
        <v>43414.66667</v>
      </c>
      <c r="B5432" s="2" t="str">
        <f t="shared" si="2"/>
        <v/>
      </c>
      <c r="C5432" s="2" t="str">
        <f t="shared" si="3"/>
        <v>SP500</v>
      </c>
      <c r="D5432" s="2" t="str">
        <f t="shared" si="4"/>
        <v/>
      </c>
      <c r="E5432" s="2">
        <f t="shared" si="5"/>
        <v>7406.9</v>
      </c>
      <c r="G5432" s="10">
        <f t="shared" si="9"/>
        <v>43414.64583</v>
      </c>
      <c r="H5432" s="6" t="str">
        <f t="shared" si="6"/>
        <v/>
      </c>
      <c r="I5432" s="2">
        <f t="shared" si="7"/>
        <v>1426.89</v>
      </c>
    </row>
    <row r="5433">
      <c r="A5433" s="10">
        <f t="shared" si="8"/>
        <v>43415.66667</v>
      </c>
      <c r="B5433" s="2" t="str">
        <f t="shared" si="2"/>
        <v/>
      </c>
      <c r="C5433" s="2" t="str">
        <f t="shared" si="3"/>
        <v>SP500</v>
      </c>
      <c r="D5433" s="2" t="str">
        <f t="shared" si="4"/>
        <v/>
      </c>
      <c r="E5433" s="2">
        <f t="shared" si="5"/>
        <v>7406.9</v>
      </c>
      <c r="G5433" s="10">
        <f t="shared" si="9"/>
        <v>43415.64583</v>
      </c>
      <c r="H5433" s="6" t="str">
        <f t="shared" si="6"/>
        <v/>
      </c>
      <c r="I5433" s="2">
        <f t="shared" si="7"/>
        <v>1426.89</v>
      </c>
    </row>
    <row r="5434">
      <c r="A5434" s="10">
        <f t="shared" si="8"/>
        <v>43416.66667</v>
      </c>
      <c r="B5434" s="2" t="str">
        <f t="shared" si="2"/>
        <v/>
      </c>
      <c r="C5434" s="2" t="str">
        <f t="shared" si="3"/>
        <v>SP500</v>
      </c>
      <c r="D5434" s="2">
        <f t="shared" si="4"/>
        <v>7200.87</v>
      </c>
      <c r="E5434" s="2">
        <f t="shared" si="5"/>
        <v>7200.87</v>
      </c>
      <c r="G5434" s="10">
        <f t="shared" si="9"/>
        <v>43416.64583</v>
      </c>
      <c r="H5434" s="6" t="str">
        <f t="shared" si="6"/>
        <v/>
      </c>
      <c r="I5434" s="2">
        <f t="shared" si="7"/>
        <v>1426.89</v>
      </c>
    </row>
    <row r="5435">
      <c r="A5435" s="10">
        <f t="shared" si="8"/>
        <v>43417.66667</v>
      </c>
      <c r="B5435" s="2" t="str">
        <f t="shared" si="2"/>
        <v/>
      </c>
      <c r="C5435" s="2" t="str">
        <f t="shared" si="3"/>
        <v>SP500</v>
      </c>
      <c r="D5435" s="2">
        <f t="shared" si="4"/>
        <v>7200.88</v>
      </c>
      <c r="E5435" s="2">
        <f t="shared" si="5"/>
        <v>7200.88</v>
      </c>
      <c r="G5435" s="10">
        <f t="shared" si="9"/>
        <v>43417.64583</v>
      </c>
      <c r="H5435" s="6" t="str">
        <f t="shared" si="6"/>
        <v/>
      </c>
      <c r="I5435" s="2">
        <f t="shared" si="7"/>
        <v>1426.89</v>
      </c>
    </row>
    <row r="5436">
      <c r="A5436" s="10">
        <f t="shared" si="8"/>
        <v>43418.66667</v>
      </c>
      <c r="B5436" s="2" t="str">
        <f t="shared" si="2"/>
        <v/>
      </c>
      <c r="C5436" s="2" t="str">
        <f t="shared" si="3"/>
        <v>SP500</v>
      </c>
      <c r="D5436" s="2">
        <f t="shared" si="4"/>
        <v>7136.39</v>
      </c>
      <c r="E5436" s="2">
        <f t="shared" si="5"/>
        <v>7136.39</v>
      </c>
      <c r="G5436" s="10">
        <f t="shared" si="9"/>
        <v>43418.64583</v>
      </c>
      <c r="H5436" s="6" t="str">
        <f t="shared" si="6"/>
        <v/>
      </c>
      <c r="I5436" s="2">
        <f t="shared" si="7"/>
        <v>1426.89</v>
      </c>
    </row>
    <row r="5437">
      <c r="A5437" s="10">
        <f t="shared" si="8"/>
        <v>43419.66667</v>
      </c>
      <c r="B5437" s="2" t="str">
        <f t="shared" si="2"/>
        <v/>
      </c>
      <c r="C5437" s="2" t="str">
        <f t="shared" si="3"/>
        <v>SP500</v>
      </c>
      <c r="D5437" s="2">
        <f t="shared" si="4"/>
        <v>7259.03</v>
      </c>
      <c r="E5437" s="2">
        <f t="shared" si="5"/>
        <v>7259.03</v>
      </c>
      <c r="G5437" s="10">
        <f t="shared" si="9"/>
        <v>43419.64583</v>
      </c>
      <c r="H5437" s="6" t="str">
        <f t="shared" si="6"/>
        <v/>
      </c>
      <c r="I5437" s="2">
        <f t="shared" si="7"/>
        <v>1426.89</v>
      </c>
    </row>
    <row r="5438">
      <c r="A5438" s="10">
        <f t="shared" si="8"/>
        <v>43420.66667</v>
      </c>
      <c r="B5438" s="2" t="str">
        <f t="shared" si="2"/>
        <v/>
      </c>
      <c r="C5438" s="2" t="str">
        <f t="shared" si="3"/>
        <v>SP500</v>
      </c>
      <c r="D5438" s="2">
        <f t="shared" si="4"/>
        <v>7247.87</v>
      </c>
      <c r="E5438" s="2">
        <f t="shared" si="5"/>
        <v>7247.87</v>
      </c>
      <c r="G5438" s="10">
        <f t="shared" si="9"/>
        <v>43420.64583</v>
      </c>
      <c r="H5438" s="6" t="str">
        <f t="shared" si="6"/>
        <v/>
      </c>
      <c r="I5438" s="2">
        <f t="shared" si="7"/>
        <v>1426.89</v>
      </c>
    </row>
    <row r="5439">
      <c r="A5439" s="10">
        <f t="shared" si="8"/>
        <v>43421.66667</v>
      </c>
      <c r="B5439" s="2" t="str">
        <f t="shared" si="2"/>
        <v/>
      </c>
      <c r="C5439" s="2" t="str">
        <f t="shared" si="3"/>
        <v>SP500</v>
      </c>
      <c r="D5439" s="2" t="str">
        <f t="shared" si="4"/>
        <v/>
      </c>
      <c r="E5439" s="2">
        <f t="shared" si="5"/>
        <v>7247.87</v>
      </c>
      <c r="G5439" s="10">
        <f t="shared" si="9"/>
        <v>43421.64583</v>
      </c>
      <c r="H5439" s="6" t="str">
        <f t="shared" si="6"/>
        <v/>
      </c>
      <c r="I5439" s="2">
        <f t="shared" si="7"/>
        <v>1426.89</v>
      </c>
    </row>
    <row r="5440">
      <c r="A5440" s="10">
        <f t="shared" si="8"/>
        <v>43422.66667</v>
      </c>
      <c r="B5440" s="2" t="str">
        <f t="shared" si="2"/>
        <v/>
      </c>
      <c r="C5440" s="2" t="str">
        <f t="shared" si="3"/>
        <v>SP500</v>
      </c>
      <c r="D5440" s="2" t="str">
        <f t="shared" si="4"/>
        <v/>
      </c>
      <c r="E5440" s="2">
        <f t="shared" si="5"/>
        <v>7247.87</v>
      </c>
      <c r="G5440" s="10">
        <f t="shared" si="9"/>
        <v>43422.64583</v>
      </c>
      <c r="H5440" s="6" t="str">
        <f t="shared" si="6"/>
        <v/>
      </c>
      <c r="I5440" s="2">
        <f t="shared" si="7"/>
        <v>1426.89</v>
      </c>
    </row>
    <row r="5441">
      <c r="A5441" s="10">
        <f t="shared" si="8"/>
        <v>43423.66667</v>
      </c>
      <c r="B5441" s="2" t="str">
        <f t="shared" si="2"/>
        <v/>
      </c>
      <c r="C5441" s="2" t="str">
        <f t="shared" si="3"/>
        <v>SP500</v>
      </c>
      <c r="D5441" s="2">
        <f t="shared" si="4"/>
        <v>7028.48</v>
      </c>
      <c r="E5441" s="2">
        <f t="shared" si="5"/>
        <v>7028.48</v>
      </c>
      <c r="G5441" s="10">
        <f t="shared" si="9"/>
        <v>43423.64583</v>
      </c>
      <c r="H5441" s="6" t="str">
        <f t="shared" si="6"/>
        <v/>
      </c>
      <c r="I5441" s="2">
        <f t="shared" si="7"/>
        <v>1426.89</v>
      </c>
    </row>
    <row r="5442">
      <c r="A5442" s="10">
        <f t="shared" si="8"/>
        <v>43424.66667</v>
      </c>
      <c r="B5442" s="2" t="str">
        <f t="shared" si="2"/>
        <v/>
      </c>
      <c r="C5442" s="2" t="str">
        <f t="shared" si="3"/>
        <v>SP500</v>
      </c>
      <c r="D5442" s="2">
        <f t="shared" si="4"/>
        <v>6908.82</v>
      </c>
      <c r="E5442" s="2">
        <f t="shared" si="5"/>
        <v>6908.82</v>
      </c>
      <c r="G5442" s="10">
        <f t="shared" si="9"/>
        <v>43424.64583</v>
      </c>
      <c r="H5442" s="6" t="str">
        <f t="shared" si="6"/>
        <v/>
      </c>
      <c r="I5442" s="2">
        <f t="shared" si="7"/>
        <v>1426.89</v>
      </c>
    </row>
    <row r="5443">
      <c r="A5443" s="10">
        <f t="shared" si="8"/>
        <v>43425.66667</v>
      </c>
      <c r="B5443" s="2" t="str">
        <f t="shared" si="2"/>
        <v/>
      </c>
      <c r="C5443" s="2" t="str">
        <f t="shared" si="3"/>
        <v>SP500</v>
      </c>
      <c r="D5443" s="2">
        <f t="shared" si="4"/>
        <v>6972.25</v>
      </c>
      <c r="E5443" s="2">
        <f t="shared" si="5"/>
        <v>6972.25</v>
      </c>
      <c r="G5443" s="10">
        <f t="shared" si="9"/>
        <v>43425.64583</v>
      </c>
      <c r="H5443" s="6" t="str">
        <f t="shared" si="6"/>
        <v/>
      </c>
      <c r="I5443" s="2">
        <f t="shared" si="7"/>
        <v>1426.89</v>
      </c>
    </row>
    <row r="5444">
      <c r="A5444" s="10">
        <f t="shared" si="8"/>
        <v>43426.66667</v>
      </c>
      <c r="B5444" s="2" t="str">
        <f t="shared" si="2"/>
        <v/>
      </c>
      <c r="C5444" s="2" t="str">
        <f t="shared" si="3"/>
        <v>SP500</v>
      </c>
      <c r="D5444" s="2" t="str">
        <f t="shared" si="4"/>
        <v/>
      </c>
      <c r="E5444" s="2">
        <f t="shared" si="5"/>
        <v>6972.25</v>
      </c>
      <c r="G5444" s="10">
        <f t="shared" si="9"/>
        <v>43426.64583</v>
      </c>
      <c r="H5444" s="6" t="str">
        <f t="shared" si="6"/>
        <v/>
      </c>
      <c r="I5444" s="2">
        <f t="shared" si="7"/>
        <v>1426.89</v>
      </c>
    </row>
    <row r="5445">
      <c r="A5445" s="10">
        <f t="shared" si="8"/>
        <v>43427.66667</v>
      </c>
      <c r="B5445" s="2" t="str">
        <f t="shared" si="2"/>
        <v/>
      </c>
      <c r="C5445" s="2" t="str">
        <f t="shared" si="3"/>
        <v>SP500</v>
      </c>
      <c r="D5445" s="2" t="str">
        <f t="shared" si="4"/>
        <v/>
      </c>
      <c r="E5445" s="2">
        <f t="shared" si="5"/>
        <v>6972.25</v>
      </c>
      <c r="G5445" s="10">
        <f t="shared" si="9"/>
        <v>43427.64583</v>
      </c>
      <c r="H5445" s="6" t="str">
        <f t="shared" si="6"/>
        <v/>
      </c>
      <c r="I5445" s="2">
        <f t="shared" si="7"/>
        <v>1426.89</v>
      </c>
    </row>
    <row r="5446">
      <c r="A5446" s="10">
        <f t="shared" si="8"/>
        <v>43428.66667</v>
      </c>
      <c r="B5446" s="2" t="str">
        <f t="shared" si="2"/>
        <v/>
      </c>
      <c r="C5446" s="2" t="str">
        <f t="shared" si="3"/>
        <v>SP500</v>
      </c>
      <c r="D5446" s="2" t="str">
        <f t="shared" si="4"/>
        <v/>
      </c>
      <c r="E5446" s="2">
        <f t="shared" si="5"/>
        <v>6972.25</v>
      </c>
      <c r="G5446" s="10">
        <f t="shared" si="9"/>
        <v>43428.64583</v>
      </c>
      <c r="H5446" s="6" t="str">
        <f t="shared" si="6"/>
        <v/>
      </c>
      <c r="I5446" s="2">
        <f t="shared" si="7"/>
        <v>1426.89</v>
      </c>
    </row>
    <row r="5447">
      <c r="A5447" s="10">
        <f t="shared" si="8"/>
        <v>43429.66667</v>
      </c>
      <c r="B5447" s="2" t="str">
        <f t="shared" si="2"/>
        <v/>
      </c>
      <c r="C5447" s="2" t="str">
        <f t="shared" si="3"/>
        <v>SP500</v>
      </c>
      <c r="D5447" s="2" t="str">
        <f t="shared" si="4"/>
        <v/>
      </c>
      <c r="E5447" s="2">
        <f t="shared" si="5"/>
        <v>6972.25</v>
      </c>
      <c r="G5447" s="10">
        <f t="shared" si="9"/>
        <v>43429.64583</v>
      </c>
      <c r="H5447" s="6" t="str">
        <f t="shared" si="6"/>
        <v/>
      </c>
      <c r="I5447" s="2">
        <f t="shared" si="7"/>
        <v>1426.89</v>
      </c>
    </row>
    <row r="5448">
      <c r="A5448" s="10">
        <f t="shared" si="8"/>
        <v>43430.66667</v>
      </c>
      <c r="B5448" s="2" t="str">
        <f t="shared" si="2"/>
        <v/>
      </c>
      <c r="C5448" s="2" t="str">
        <f t="shared" si="3"/>
        <v>SP500</v>
      </c>
      <c r="D5448" s="2">
        <f t="shared" si="4"/>
        <v>7081.85</v>
      </c>
      <c r="E5448" s="2">
        <f t="shared" si="5"/>
        <v>7081.85</v>
      </c>
      <c r="G5448" s="10">
        <f t="shared" si="9"/>
        <v>43430.64583</v>
      </c>
      <c r="H5448" s="6" t="str">
        <f t="shared" si="6"/>
        <v/>
      </c>
      <c r="I5448" s="2">
        <f t="shared" si="7"/>
        <v>1426.89</v>
      </c>
    </row>
    <row r="5449">
      <c r="A5449" s="10">
        <f t="shared" si="8"/>
        <v>43431.66667</v>
      </c>
      <c r="B5449" s="2" t="str">
        <f t="shared" si="2"/>
        <v/>
      </c>
      <c r="C5449" s="2" t="str">
        <f t="shared" si="3"/>
        <v>SP500</v>
      </c>
      <c r="D5449" s="2">
        <f t="shared" si="4"/>
        <v>7082.7</v>
      </c>
      <c r="E5449" s="2">
        <f t="shared" si="5"/>
        <v>7082.7</v>
      </c>
      <c r="G5449" s="10">
        <f t="shared" si="9"/>
        <v>43431.64583</v>
      </c>
      <c r="H5449" s="6" t="str">
        <f t="shared" si="6"/>
        <v/>
      </c>
      <c r="I5449" s="2">
        <f t="shared" si="7"/>
        <v>1426.89</v>
      </c>
    </row>
    <row r="5450">
      <c r="A5450" s="10">
        <f t="shared" si="8"/>
        <v>43432.66667</v>
      </c>
      <c r="B5450" s="2" t="str">
        <f t="shared" si="2"/>
        <v/>
      </c>
      <c r="C5450" s="2" t="str">
        <f t="shared" si="3"/>
        <v>SP500</v>
      </c>
      <c r="D5450" s="2">
        <f t="shared" si="4"/>
        <v>7291.59</v>
      </c>
      <c r="E5450" s="2">
        <f t="shared" si="5"/>
        <v>7291.59</v>
      </c>
      <c r="G5450" s="10">
        <f t="shared" si="9"/>
        <v>43432.64583</v>
      </c>
      <c r="H5450" s="6" t="str">
        <f t="shared" si="6"/>
        <v/>
      </c>
      <c r="I5450" s="2">
        <f t="shared" si="7"/>
        <v>1426.89</v>
      </c>
    </row>
    <row r="5451">
      <c r="A5451" s="10">
        <f t="shared" si="8"/>
        <v>43433.66667</v>
      </c>
      <c r="B5451" s="2" t="str">
        <f t="shared" si="2"/>
        <v/>
      </c>
      <c r="C5451" s="2" t="str">
        <f t="shared" si="3"/>
        <v>SP500</v>
      </c>
      <c r="D5451" s="2">
        <f t="shared" si="4"/>
        <v>7273.08</v>
      </c>
      <c r="E5451" s="2">
        <f t="shared" si="5"/>
        <v>7273.08</v>
      </c>
      <c r="G5451" s="10">
        <f t="shared" si="9"/>
        <v>43433.64583</v>
      </c>
      <c r="H5451" s="6" t="str">
        <f t="shared" si="6"/>
        <v/>
      </c>
      <c r="I5451" s="2">
        <f t="shared" si="7"/>
        <v>1426.89</v>
      </c>
    </row>
    <row r="5452">
      <c r="A5452" s="10">
        <f t="shared" si="8"/>
        <v>43434.66667</v>
      </c>
      <c r="B5452" s="2" t="str">
        <f t="shared" si="2"/>
        <v/>
      </c>
      <c r="C5452" s="2" t="str">
        <f t="shared" si="3"/>
        <v>SP500</v>
      </c>
      <c r="D5452" s="2">
        <f t="shared" si="4"/>
        <v>7330.54</v>
      </c>
      <c r="E5452" s="2">
        <f t="shared" si="5"/>
        <v>7330.54</v>
      </c>
      <c r="G5452" s="10">
        <f t="shared" si="9"/>
        <v>43434.64583</v>
      </c>
      <c r="H5452" s="6" t="str">
        <f t="shared" si="6"/>
        <v/>
      </c>
      <c r="I5452" s="2">
        <f t="shared" si="7"/>
        <v>1426.89</v>
      </c>
    </row>
    <row r="5453">
      <c r="A5453" s="10">
        <f t="shared" si="8"/>
        <v>43435.66667</v>
      </c>
      <c r="B5453" s="2" t="str">
        <f t="shared" si="2"/>
        <v/>
      </c>
      <c r="C5453" s="2" t="str">
        <f t="shared" si="3"/>
        <v>SP500</v>
      </c>
      <c r="D5453" s="2" t="str">
        <f t="shared" si="4"/>
        <v/>
      </c>
      <c r="E5453" s="2">
        <f t="shared" si="5"/>
        <v>7330.54</v>
      </c>
      <c r="G5453" s="10">
        <f t="shared" si="9"/>
        <v>43435.64583</v>
      </c>
      <c r="H5453" s="6" t="str">
        <f t="shared" si="6"/>
        <v/>
      </c>
      <c r="I5453" s="2">
        <f t="shared" si="7"/>
        <v>1426.89</v>
      </c>
    </row>
    <row r="5454">
      <c r="A5454" s="10">
        <f t="shared" si="8"/>
        <v>43436.66667</v>
      </c>
      <c r="B5454" s="2" t="str">
        <f t="shared" si="2"/>
        <v/>
      </c>
      <c r="C5454" s="2" t="str">
        <f t="shared" si="3"/>
        <v>SP500</v>
      </c>
      <c r="D5454" s="2" t="str">
        <f t="shared" si="4"/>
        <v/>
      </c>
      <c r="E5454" s="2">
        <f t="shared" si="5"/>
        <v>7330.54</v>
      </c>
      <c r="G5454" s="10">
        <f t="shared" si="9"/>
        <v>43436.64583</v>
      </c>
      <c r="H5454" s="6" t="str">
        <f t="shared" si="6"/>
        <v/>
      </c>
      <c r="I5454" s="2">
        <f t="shared" si="7"/>
        <v>1426.89</v>
      </c>
    </row>
    <row r="5455">
      <c r="A5455" s="10">
        <f t="shared" si="8"/>
        <v>43437.66667</v>
      </c>
      <c r="B5455" s="2" t="str">
        <f t="shared" si="2"/>
        <v/>
      </c>
      <c r="C5455" s="2" t="str">
        <f t="shared" si="3"/>
        <v>SP500</v>
      </c>
      <c r="D5455" s="2">
        <f t="shared" si="4"/>
        <v>7441.51</v>
      </c>
      <c r="E5455" s="2">
        <f t="shared" si="5"/>
        <v>7441.51</v>
      </c>
      <c r="G5455" s="10">
        <f t="shared" si="9"/>
        <v>43437.64583</v>
      </c>
      <c r="H5455" s="6" t="str">
        <f t="shared" si="6"/>
        <v/>
      </c>
      <c r="I5455" s="2">
        <f t="shared" si="7"/>
        <v>1426.89</v>
      </c>
    </row>
    <row r="5456">
      <c r="A5456" s="10">
        <f t="shared" si="8"/>
        <v>43438.66667</v>
      </c>
      <c r="B5456" s="2" t="str">
        <f t="shared" si="2"/>
        <v/>
      </c>
      <c r="C5456" s="2" t="str">
        <f t="shared" si="3"/>
        <v>SP500</v>
      </c>
      <c r="D5456" s="2">
        <f t="shared" si="4"/>
        <v>7158.43</v>
      </c>
      <c r="E5456" s="2">
        <f t="shared" si="5"/>
        <v>7158.43</v>
      </c>
      <c r="G5456" s="10">
        <f t="shared" si="9"/>
        <v>43438.64583</v>
      </c>
      <c r="H5456" s="6" t="str">
        <f t="shared" si="6"/>
        <v/>
      </c>
      <c r="I5456" s="2">
        <f t="shared" si="7"/>
        <v>1426.89</v>
      </c>
    </row>
    <row r="5457">
      <c r="A5457" s="10">
        <f t="shared" si="8"/>
        <v>43439.66667</v>
      </c>
      <c r="B5457" s="2" t="str">
        <f t="shared" si="2"/>
        <v/>
      </c>
      <c r="C5457" s="2" t="str">
        <f t="shared" si="3"/>
        <v>SP500</v>
      </c>
      <c r="D5457" s="2" t="str">
        <f t="shared" si="4"/>
        <v/>
      </c>
      <c r="E5457" s="2">
        <f t="shared" si="5"/>
        <v>7158.43</v>
      </c>
      <c r="G5457" s="10">
        <f t="shared" si="9"/>
        <v>43439.64583</v>
      </c>
      <c r="H5457" s="6" t="str">
        <f t="shared" si="6"/>
        <v/>
      </c>
      <c r="I5457" s="2">
        <f t="shared" si="7"/>
        <v>1426.89</v>
      </c>
    </row>
    <row r="5458">
      <c r="A5458" s="10">
        <f t="shared" si="8"/>
        <v>43440.66667</v>
      </c>
      <c r="B5458" s="2" t="str">
        <f t="shared" si="2"/>
        <v/>
      </c>
      <c r="C5458" s="2" t="str">
        <f t="shared" si="3"/>
        <v>SP500</v>
      </c>
      <c r="D5458" s="2">
        <f t="shared" si="4"/>
        <v>7188.26</v>
      </c>
      <c r="E5458" s="2">
        <f t="shared" si="5"/>
        <v>7188.26</v>
      </c>
      <c r="G5458" s="10">
        <f t="shared" si="9"/>
        <v>43440.64583</v>
      </c>
      <c r="H5458" s="6" t="str">
        <f t="shared" si="6"/>
        <v/>
      </c>
      <c r="I5458" s="2">
        <f t="shared" si="7"/>
        <v>1426.89</v>
      </c>
    </row>
    <row r="5459">
      <c r="A5459" s="10">
        <f t="shared" si="8"/>
        <v>43441.66667</v>
      </c>
      <c r="B5459" s="2" t="str">
        <f t="shared" si="2"/>
        <v/>
      </c>
      <c r="C5459" s="2" t="str">
        <f t="shared" si="3"/>
        <v>SP500</v>
      </c>
      <c r="D5459" s="2">
        <f t="shared" si="4"/>
        <v>6969.25</v>
      </c>
      <c r="E5459" s="2">
        <f t="shared" si="5"/>
        <v>6969.25</v>
      </c>
      <c r="G5459" s="10">
        <f t="shared" si="9"/>
        <v>43441.64583</v>
      </c>
      <c r="H5459" s="6" t="str">
        <f t="shared" si="6"/>
        <v/>
      </c>
      <c r="I5459" s="2">
        <f t="shared" si="7"/>
        <v>1426.89</v>
      </c>
    </row>
    <row r="5460">
      <c r="A5460" s="10">
        <f t="shared" si="8"/>
        <v>43442.66667</v>
      </c>
      <c r="B5460" s="2" t="str">
        <f t="shared" si="2"/>
        <v/>
      </c>
      <c r="C5460" s="2" t="str">
        <f t="shared" si="3"/>
        <v>SP500</v>
      </c>
      <c r="D5460" s="2" t="str">
        <f t="shared" si="4"/>
        <v/>
      </c>
      <c r="E5460" s="2">
        <f t="shared" si="5"/>
        <v>6969.25</v>
      </c>
      <c r="G5460" s="10">
        <f t="shared" si="9"/>
        <v>43442.64583</v>
      </c>
      <c r="H5460" s="6" t="str">
        <f t="shared" si="6"/>
        <v/>
      </c>
      <c r="I5460" s="2">
        <f t="shared" si="7"/>
        <v>1426.89</v>
      </c>
    </row>
    <row r="5461">
      <c r="A5461" s="10">
        <f t="shared" si="8"/>
        <v>43443.66667</v>
      </c>
      <c r="B5461" s="2" t="str">
        <f t="shared" si="2"/>
        <v/>
      </c>
      <c r="C5461" s="2" t="str">
        <f t="shared" si="3"/>
        <v>SP500</v>
      </c>
      <c r="D5461" s="2" t="str">
        <f t="shared" si="4"/>
        <v/>
      </c>
      <c r="E5461" s="2">
        <f t="shared" si="5"/>
        <v>6969.25</v>
      </c>
      <c r="G5461" s="10">
        <f t="shared" si="9"/>
        <v>43443.64583</v>
      </c>
      <c r="H5461" s="6" t="str">
        <f t="shared" si="6"/>
        <v/>
      </c>
      <c r="I5461" s="2">
        <f t="shared" si="7"/>
        <v>1426.89</v>
      </c>
    </row>
    <row r="5462">
      <c r="A5462" s="10">
        <f t="shared" si="8"/>
        <v>43444.66667</v>
      </c>
      <c r="B5462" s="2" t="str">
        <f t="shared" si="2"/>
        <v/>
      </c>
      <c r="C5462" s="2" t="str">
        <f t="shared" si="3"/>
        <v>SP500</v>
      </c>
      <c r="D5462" s="2">
        <f t="shared" si="4"/>
        <v>7020.52</v>
      </c>
      <c r="E5462" s="2">
        <f t="shared" si="5"/>
        <v>7020.52</v>
      </c>
      <c r="G5462" s="10">
        <f t="shared" si="9"/>
        <v>43444.64583</v>
      </c>
      <c r="H5462" s="6" t="str">
        <f t="shared" si="6"/>
        <v/>
      </c>
      <c r="I5462" s="2">
        <f t="shared" si="7"/>
        <v>1426.89</v>
      </c>
    </row>
    <row r="5463">
      <c r="A5463" s="10">
        <f t="shared" si="8"/>
        <v>43445.66667</v>
      </c>
      <c r="B5463" s="2" t="str">
        <f t="shared" si="2"/>
        <v/>
      </c>
      <c r="C5463" s="2" t="str">
        <f t="shared" si="3"/>
        <v>SP500</v>
      </c>
      <c r="D5463" s="2">
        <f t="shared" si="4"/>
        <v>7031.83</v>
      </c>
      <c r="E5463" s="2">
        <f t="shared" si="5"/>
        <v>7031.83</v>
      </c>
      <c r="G5463" s="10">
        <f t="shared" si="9"/>
        <v>43445.64583</v>
      </c>
      <c r="H5463" s="6" t="str">
        <f t="shared" si="6"/>
        <v/>
      </c>
      <c r="I5463" s="2">
        <f t="shared" si="7"/>
        <v>1426.89</v>
      </c>
    </row>
    <row r="5464">
      <c r="A5464" s="10">
        <f t="shared" si="8"/>
        <v>43446.66667</v>
      </c>
      <c r="B5464" s="2" t="str">
        <f t="shared" si="2"/>
        <v/>
      </c>
      <c r="C5464" s="2" t="str">
        <f t="shared" si="3"/>
        <v>SP500</v>
      </c>
      <c r="D5464" s="2">
        <f t="shared" si="4"/>
        <v>7098.31</v>
      </c>
      <c r="E5464" s="2">
        <f t="shared" si="5"/>
        <v>7098.31</v>
      </c>
      <c r="G5464" s="10">
        <f t="shared" si="9"/>
        <v>43446.64583</v>
      </c>
      <c r="H5464" s="6" t="str">
        <f t="shared" si="6"/>
        <v/>
      </c>
      <c r="I5464" s="2">
        <f t="shared" si="7"/>
        <v>1426.89</v>
      </c>
    </row>
    <row r="5465">
      <c r="A5465" s="10">
        <f t="shared" si="8"/>
        <v>43447.66667</v>
      </c>
      <c r="B5465" s="2" t="str">
        <f t="shared" si="2"/>
        <v/>
      </c>
      <c r="C5465" s="2" t="str">
        <f t="shared" si="3"/>
        <v>SP500</v>
      </c>
      <c r="D5465" s="2">
        <f t="shared" si="4"/>
        <v>7070.33</v>
      </c>
      <c r="E5465" s="2">
        <f t="shared" si="5"/>
        <v>7070.33</v>
      </c>
      <c r="G5465" s="10">
        <f t="shared" si="9"/>
        <v>43447.64583</v>
      </c>
      <c r="H5465" s="6" t="str">
        <f t="shared" si="6"/>
        <v/>
      </c>
      <c r="I5465" s="2">
        <f t="shared" si="7"/>
        <v>1426.89</v>
      </c>
    </row>
    <row r="5466">
      <c r="A5466" s="10">
        <f t="shared" si="8"/>
        <v>43448.66667</v>
      </c>
      <c r="B5466" s="2" t="str">
        <f t="shared" si="2"/>
        <v/>
      </c>
      <c r="C5466" s="2" t="str">
        <f t="shared" si="3"/>
        <v>SP500</v>
      </c>
      <c r="D5466" s="2">
        <f t="shared" si="4"/>
        <v>6910.67</v>
      </c>
      <c r="E5466" s="2">
        <f t="shared" si="5"/>
        <v>6910.67</v>
      </c>
      <c r="G5466" s="10">
        <f t="shared" si="9"/>
        <v>43448.64583</v>
      </c>
      <c r="H5466" s="6" t="str">
        <f t="shared" si="6"/>
        <v/>
      </c>
      <c r="I5466" s="2">
        <f t="shared" si="7"/>
        <v>1426.89</v>
      </c>
    </row>
    <row r="5467">
      <c r="A5467" s="10">
        <f t="shared" si="8"/>
        <v>43449.66667</v>
      </c>
      <c r="B5467" s="2" t="str">
        <f t="shared" si="2"/>
        <v/>
      </c>
      <c r="C5467" s="2" t="str">
        <f t="shared" si="3"/>
        <v>SP500</v>
      </c>
      <c r="D5467" s="2" t="str">
        <f t="shared" si="4"/>
        <v/>
      </c>
      <c r="E5467" s="2">
        <f t="shared" si="5"/>
        <v>6910.67</v>
      </c>
      <c r="G5467" s="10">
        <f t="shared" si="9"/>
        <v>43449.64583</v>
      </c>
      <c r="H5467" s="6" t="str">
        <f t="shared" si="6"/>
        <v/>
      </c>
      <c r="I5467" s="2">
        <f t="shared" si="7"/>
        <v>1426.89</v>
      </c>
    </row>
    <row r="5468">
      <c r="A5468" s="10">
        <f t="shared" si="8"/>
        <v>43450.66667</v>
      </c>
      <c r="B5468" s="2" t="str">
        <f t="shared" si="2"/>
        <v/>
      </c>
      <c r="C5468" s="2" t="str">
        <f t="shared" si="3"/>
        <v>SP500</v>
      </c>
      <c r="D5468" s="2" t="str">
        <f t="shared" si="4"/>
        <v/>
      </c>
      <c r="E5468" s="2">
        <f t="shared" si="5"/>
        <v>6910.67</v>
      </c>
      <c r="G5468" s="10">
        <f t="shared" si="9"/>
        <v>43450.64583</v>
      </c>
      <c r="H5468" s="6" t="str">
        <f t="shared" si="6"/>
        <v/>
      </c>
      <c r="I5468" s="2">
        <f t="shared" si="7"/>
        <v>1426.89</v>
      </c>
    </row>
    <row r="5469">
      <c r="A5469" s="10">
        <f t="shared" si="8"/>
        <v>43451.66667</v>
      </c>
      <c r="B5469" s="2" t="str">
        <f t="shared" si="2"/>
        <v/>
      </c>
      <c r="C5469" s="2" t="str">
        <f t="shared" si="3"/>
        <v>SP500</v>
      </c>
      <c r="D5469" s="2">
        <f t="shared" si="4"/>
        <v>6753.73</v>
      </c>
      <c r="E5469" s="2">
        <f t="shared" si="5"/>
        <v>6753.73</v>
      </c>
      <c r="G5469" s="10">
        <f t="shared" si="9"/>
        <v>43451.64583</v>
      </c>
      <c r="H5469" s="6" t="str">
        <f t="shared" si="6"/>
        <v/>
      </c>
      <c r="I5469" s="2">
        <f t="shared" si="7"/>
        <v>1426.89</v>
      </c>
    </row>
    <row r="5470">
      <c r="A5470" s="10">
        <f t="shared" si="8"/>
        <v>43452.66667</v>
      </c>
      <c r="B5470" s="2" t="str">
        <f t="shared" si="2"/>
        <v/>
      </c>
      <c r="C5470" s="2" t="str">
        <f t="shared" si="3"/>
        <v>SP500</v>
      </c>
      <c r="D5470" s="2">
        <f t="shared" si="4"/>
        <v>6783.91</v>
      </c>
      <c r="E5470" s="2">
        <f t="shared" si="5"/>
        <v>6783.91</v>
      </c>
      <c r="G5470" s="10">
        <f t="shared" si="9"/>
        <v>43452.64583</v>
      </c>
      <c r="H5470" s="6" t="str">
        <f t="shared" si="6"/>
        <v/>
      </c>
      <c r="I5470" s="2">
        <f t="shared" si="7"/>
        <v>1426.89</v>
      </c>
    </row>
    <row r="5471">
      <c r="A5471" s="10">
        <f t="shared" si="8"/>
        <v>43453.66667</v>
      </c>
      <c r="B5471" s="2" t="str">
        <f t="shared" si="2"/>
        <v/>
      </c>
      <c r="C5471" s="2" t="str">
        <f t="shared" si="3"/>
        <v>SP500</v>
      </c>
      <c r="D5471" s="2">
        <f t="shared" si="4"/>
        <v>6636.83</v>
      </c>
      <c r="E5471" s="2">
        <f t="shared" si="5"/>
        <v>6636.83</v>
      </c>
      <c r="G5471" s="10">
        <f t="shared" si="9"/>
        <v>43453.64583</v>
      </c>
      <c r="H5471" s="6" t="str">
        <f t="shared" si="6"/>
        <v/>
      </c>
      <c r="I5471" s="2">
        <f t="shared" si="7"/>
        <v>1426.89</v>
      </c>
    </row>
    <row r="5472">
      <c r="A5472" s="10">
        <f t="shared" si="8"/>
        <v>43454.66667</v>
      </c>
      <c r="B5472" s="2" t="str">
        <f t="shared" si="2"/>
        <v/>
      </c>
      <c r="C5472" s="2" t="str">
        <f t="shared" si="3"/>
        <v>SP500</v>
      </c>
      <c r="D5472" s="2">
        <f t="shared" si="4"/>
        <v>6528.41</v>
      </c>
      <c r="E5472" s="2">
        <f t="shared" si="5"/>
        <v>6528.41</v>
      </c>
      <c r="G5472" s="10">
        <f t="shared" si="9"/>
        <v>43454.64583</v>
      </c>
      <c r="H5472" s="6" t="str">
        <f t="shared" si="6"/>
        <v/>
      </c>
      <c r="I5472" s="2">
        <f t="shared" si="7"/>
        <v>1426.89</v>
      </c>
    </row>
    <row r="5473">
      <c r="A5473" s="10">
        <f t="shared" si="8"/>
        <v>43455.66667</v>
      </c>
      <c r="B5473" s="2" t="str">
        <f t="shared" si="2"/>
        <v/>
      </c>
      <c r="C5473" s="2" t="str">
        <f t="shared" si="3"/>
        <v>SP500</v>
      </c>
      <c r="D5473" s="2">
        <f t="shared" si="4"/>
        <v>6332.99</v>
      </c>
      <c r="E5473" s="2">
        <f t="shared" si="5"/>
        <v>6332.99</v>
      </c>
      <c r="G5473" s="10">
        <f t="shared" si="9"/>
        <v>43455.64583</v>
      </c>
      <c r="H5473" s="6" t="str">
        <f t="shared" si="6"/>
        <v/>
      </c>
      <c r="I5473" s="2">
        <f t="shared" si="7"/>
        <v>1426.89</v>
      </c>
    </row>
    <row r="5474">
      <c r="A5474" s="10">
        <f t="shared" si="8"/>
        <v>43456.66667</v>
      </c>
      <c r="B5474" s="2" t="str">
        <f t="shared" si="2"/>
        <v/>
      </c>
      <c r="C5474" s="2" t="str">
        <f t="shared" si="3"/>
        <v>SP500</v>
      </c>
      <c r="D5474" s="2" t="str">
        <f t="shared" si="4"/>
        <v/>
      </c>
      <c r="E5474" s="2">
        <f t="shared" si="5"/>
        <v>6332.99</v>
      </c>
      <c r="G5474" s="10">
        <f t="shared" si="9"/>
        <v>43456.64583</v>
      </c>
      <c r="H5474" s="6" t="str">
        <f t="shared" si="6"/>
        <v/>
      </c>
      <c r="I5474" s="2">
        <f t="shared" si="7"/>
        <v>1426.89</v>
      </c>
    </row>
    <row r="5475">
      <c r="A5475" s="10">
        <f t="shared" si="8"/>
        <v>43457.66667</v>
      </c>
      <c r="B5475" s="2" t="str">
        <f t="shared" si="2"/>
        <v/>
      </c>
      <c r="C5475" s="2" t="str">
        <f t="shared" si="3"/>
        <v>SP500</v>
      </c>
      <c r="D5475" s="2" t="str">
        <f t="shared" si="4"/>
        <v/>
      </c>
      <c r="E5475" s="2">
        <f t="shared" si="5"/>
        <v>6332.99</v>
      </c>
      <c r="G5475" s="10">
        <f t="shared" si="9"/>
        <v>43457.64583</v>
      </c>
      <c r="H5475" s="6" t="str">
        <f t="shared" si="6"/>
        <v/>
      </c>
      <c r="I5475" s="2">
        <f t="shared" si="7"/>
        <v>1426.89</v>
      </c>
    </row>
    <row r="5476">
      <c r="A5476" s="10">
        <f t="shared" si="8"/>
        <v>43458.66667</v>
      </c>
      <c r="B5476" s="2" t="str">
        <f t="shared" si="2"/>
        <v/>
      </c>
      <c r="C5476" s="2" t="str">
        <f t="shared" si="3"/>
        <v>SP500</v>
      </c>
      <c r="D5476" s="2" t="str">
        <f t="shared" si="4"/>
        <v/>
      </c>
      <c r="E5476" s="2">
        <f t="shared" si="5"/>
        <v>6332.99</v>
      </c>
      <c r="G5476" s="10">
        <f t="shared" si="9"/>
        <v>43458.64583</v>
      </c>
      <c r="H5476" s="6" t="str">
        <f t="shared" si="6"/>
        <v/>
      </c>
      <c r="I5476" s="2">
        <f t="shared" si="7"/>
        <v>1426.89</v>
      </c>
    </row>
    <row r="5477">
      <c r="A5477" s="10">
        <f t="shared" si="8"/>
        <v>43459.66667</v>
      </c>
      <c r="B5477" s="2" t="str">
        <f t="shared" si="2"/>
        <v/>
      </c>
      <c r="C5477" s="2" t="str">
        <f t="shared" si="3"/>
        <v>SP500</v>
      </c>
      <c r="D5477" s="2" t="str">
        <f t="shared" si="4"/>
        <v/>
      </c>
      <c r="E5477" s="2">
        <f t="shared" si="5"/>
        <v>6332.99</v>
      </c>
      <c r="G5477" s="10">
        <f t="shared" si="9"/>
        <v>43459.64583</v>
      </c>
      <c r="H5477" s="6" t="str">
        <f t="shared" si="6"/>
        <v/>
      </c>
      <c r="I5477" s="2">
        <f t="shared" si="7"/>
        <v>1426.89</v>
      </c>
    </row>
    <row r="5478">
      <c r="A5478" s="10">
        <f t="shared" si="8"/>
        <v>43460.66667</v>
      </c>
      <c r="B5478" s="2" t="str">
        <f t="shared" si="2"/>
        <v/>
      </c>
      <c r="C5478" s="2" t="str">
        <f t="shared" si="3"/>
        <v>SP500</v>
      </c>
      <c r="D5478" s="2">
        <f t="shared" si="4"/>
        <v>6554.36</v>
      </c>
      <c r="E5478" s="2">
        <f t="shared" si="5"/>
        <v>6554.36</v>
      </c>
      <c r="G5478" s="10">
        <f t="shared" si="9"/>
        <v>43460.64583</v>
      </c>
      <c r="H5478" s="6" t="str">
        <f t="shared" si="6"/>
        <v/>
      </c>
      <c r="I5478" s="2">
        <f t="shared" si="7"/>
        <v>1426.89</v>
      </c>
    </row>
    <row r="5479">
      <c r="A5479" s="10">
        <f t="shared" si="8"/>
        <v>43461.66667</v>
      </c>
      <c r="B5479" s="2" t="str">
        <f t="shared" si="2"/>
        <v/>
      </c>
      <c r="C5479" s="2" t="str">
        <f t="shared" si="3"/>
        <v>SP500</v>
      </c>
      <c r="D5479" s="2">
        <f t="shared" si="4"/>
        <v>6579.49</v>
      </c>
      <c r="E5479" s="2">
        <f t="shared" si="5"/>
        <v>6579.49</v>
      </c>
      <c r="G5479" s="10">
        <f t="shared" si="9"/>
        <v>43461.64583</v>
      </c>
      <c r="H5479" s="6" t="str">
        <f t="shared" si="6"/>
        <v/>
      </c>
      <c r="I5479" s="2">
        <f t="shared" si="7"/>
        <v>1426.89</v>
      </c>
    </row>
    <row r="5480">
      <c r="A5480" s="10">
        <f t="shared" si="8"/>
        <v>43462.66667</v>
      </c>
      <c r="B5480" s="2" t="str">
        <f t="shared" si="2"/>
        <v/>
      </c>
      <c r="C5480" s="2" t="str">
        <f t="shared" si="3"/>
        <v>SP500</v>
      </c>
      <c r="D5480" s="2">
        <f t="shared" si="4"/>
        <v>6584.52</v>
      </c>
      <c r="E5480" s="2">
        <f t="shared" si="5"/>
        <v>6584.52</v>
      </c>
      <c r="G5480" s="10">
        <f t="shared" si="9"/>
        <v>43462.64583</v>
      </c>
      <c r="H5480" s="6" t="str">
        <f t="shared" si="6"/>
        <v/>
      </c>
      <c r="I5480" s="2">
        <f t="shared" si="7"/>
        <v>1426.89</v>
      </c>
    </row>
    <row r="5481">
      <c r="A5481" s="10">
        <f t="shared" si="8"/>
        <v>43463.66667</v>
      </c>
      <c r="B5481" s="2" t="str">
        <f t="shared" si="2"/>
        <v/>
      </c>
      <c r="C5481" s="2" t="str">
        <f t="shared" si="3"/>
        <v>SP500</v>
      </c>
      <c r="D5481" s="2" t="str">
        <f t="shared" si="4"/>
        <v/>
      </c>
      <c r="E5481" s="2">
        <f t="shared" si="5"/>
        <v>6584.52</v>
      </c>
      <c r="G5481" s="10">
        <f t="shared" si="9"/>
        <v>43463.64583</v>
      </c>
      <c r="H5481" s="6" t="str">
        <f t="shared" si="6"/>
        <v/>
      </c>
      <c r="I5481" s="2">
        <f t="shared" si="7"/>
        <v>1426.89</v>
      </c>
    </row>
    <row r="5482">
      <c r="A5482" s="10">
        <f t="shared" si="8"/>
        <v>43464.66667</v>
      </c>
      <c r="B5482" s="2" t="str">
        <f t="shared" si="2"/>
        <v/>
      </c>
      <c r="C5482" s="2" t="str">
        <f t="shared" si="3"/>
        <v>SP500</v>
      </c>
      <c r="D5482" s="2" t="str">
        <f t="shared" si="4"/>
        <v/>
      </c>
      <c r="E5482" s="2">
        <f t="shared" si="5"/>
        <v>6584.52</v>
      </c>
      <c r="G5482" s="10">
        <f t="shared" si="9"/>
        <v>43464.64583</v>
      </c>
      <c r="H5482" s="6" t="str">
        <f t="shared" si="6"/>
        <v/>
      </c>
      <c r="I5482" s="2">
        <f t="shared" si="7"/>
        <v>1426.89</v>
      </c>
    </row>
    <row r="5483">
      <c r="A5483" s="10">
        <f t="shared" si="8"/>
        <v>43465.66667</v>
      </c>
      <c r="B5483" s="2" t="str">
        <f t="shared" si="2"/>
        <v/>
      </c>
      <c r="C5483" s="2" t="str">
        <f t="shared" si="3"/>
        <v>SP500</v>
      </c>
      <c r="D5483" s="2">
        <f t="shared" si="4"/>
        <v>6635.28</v>
      </c>
      <c r="E5483" s="2">
        <f t="shared" si="5"/>
        <v>6635.28</v>
      </c>
      <c r="G5483" s="10">
        <f t="shared" si="9"/>
        <v>43465.64583</v>
      </c>
      <c r="H5483" s="6" t="str">
        <f t="shared" si="6"/>
        <v/>
      </c>
      <c r="I5483" s="2">
        <f t="shared" si="7"/>
        <v>1426.89</v>
      </c>
    </row>
    <row r="5484">
      <c r="A5484" s="10">
        <f t="shared" si="8"/>
        <v>43466.66667</v>
      </c>
      <c r="B5484" s="2" t="str">
        <f t="shared" si="2"/>
        <v/>
      </c>
      <c r="C5484" s="2" t="str">
        <f t="shared" si="3"/>
        <v>SP500</v>
      </c>
      <c r="D5484" s="2" t="str">
        <f t="shared" si="4"/>
        <v/>
      </c>
      <c r="E5484" s="2">
        <f t="shared" si="5"/>
        <v>6635.28</v>
      </c>
      <c r="G5484" s="10">
        <f t="shared" si="9"/>
        <v>43466.64583</v>
      </c>
      <c r="H5484" s="6" t="str">
        <f t="shared" si="6"/>
        <v/>
      </c>
      <c r="I5484" s="2">
        <f t="shared" si="7"/>
        <v>1426.89</v>
      </c>
    </row>
    <row r="5485">
      <c r="A5485" s="10">
        <f t="shared" si="8"/>
        <v>43467.66667</v>
      </c>
      <c r="B5485" s="2" t="str">
        <f t="shared" si="2"/>
        <v/>
      </c>
      <c r="C5485" s="2" t="str">
        <f t="shared" si="3"/>
        <v>SP500</v>
      </c>
      <c r="D5485" s="2">
        <f t="shared" si="4"/>
        <v>6665.94</v>
      </c>
      <c r="E5485" s="2">
        <f t="shared" si="5"/>
        <v>6665.94</v>
      </c>
      <c r="G5485" s="10">
        <f t="shared" si="9"/>
        <v>43467.64583</v>
      </c>
      <c r="H5485" s="6" t="str">
        <f t="shared" si="6"/>
        <v/>
      </c>
      <c r="I5485" s="2">
        <f t="shared" si="7"/>
        <v>1426.89</v>
      </c>
    </row>
    <row r="5486">
      <c r="A5486" s="10">
        <f t="shared" si="8"/>
        <v>43468.66667</v>
      </c>
      <c r="B5486" s="2" t="str">
        <f t="shared" si="2"/>
        <v/>
      </c>
      <c r="C5486" s="2" t="str">
        <f t="shared" si="3"/>
        <v>SP500</v>
      </c>
      <c r="D5486" s="2">
        <f t="shared" si="4"/>
        <v>6463.5</v>
      </c>
      <c r="E5486" s="2">
        <f t="shared" si="5"/>
        <v>6463.5</v>
      </c>
      <c r="G5486" s="10">
        <f t="shared" si="9"/>
        <v>43468.64583</v>
      </c>
      <c r="H5486" s="6" t="str">
        <f t="shared" si="6"/>
        <v/>
      </c>
      <c r="I5486" s="2">
        <f t="shared" si="7"/>
        <v>1426.89</v>
      </c>
    </row>
    <row r="5487">
      <c r="A5487" s="10">
        <f t="shared" si="8"/>
        <v>43469.66667</v>
      </c>
      <c r="B5487" s="2" t="str">
        <f t="shared" si="2"/>
        <v/>
      </c>
      <c r="C5487" s="2" t="str">
        <f t="shared" si="3"/>
        <v>SP500</v>
      </c>
      <c r="D5487" s="2">
        <f t="shared" si="4"/>
        <v>6738.86</v>
      </c>
      <c r="E5487" s="2">
        <f t="shared" si="5"/>
        <v>6738.86</v>
      </c>
      <c r="G5487" s="10">
        <f t="shared" si="9"/>
        <v>43469.64583</v>
      </c>
      <c r="H5487" s="6" t="str">
        <f t="shared" si="6"/>
        <v/>
      </c>
      <c r="I5487" s="2">
        <f t="shared" si="7"/>
        <v>1426.89</v>
      </c>
    </row>
    <row r="5488">
      <c r="A5488" s="10">
        <f t="shared" si="8"/>
        <v>43470.66667</v>
      </c>
      <c r="B5488" s="2" t="str">
        <f t="shared" si="2"/>
        <v/>
      </c>
      <c r="C5488" s="2" t="str">
        <f t="shared" si="3"/>
        <v>SP500</v>
      </c>
      <c r="D5488" s="2" t="str">
        <f t="shared" si="4"/>
        <v/>
      </c>
      <c r="E5488" s="2">
        <f t="shared" si="5"/>
        <v>6738.86</v>
      </c>
      <c r="G5488" s="10">
        <f t="shared" si="9"/>
        <v>43470.64583</v>
      </c>
      <c r="H5488" s="6" t="str">
        <f t="shared" si="6"/>
        <v/>
      </c>
      <c r="I5488" s="2">
        <f t="shared" si="7"/>
        <v>1426.89</v>
      </c>
    </row>
    <row r="5489">
      <c r="A5489" s="10">
        <f t="shared" si="8"/>
        <v>43471.66667</v>
      </c>
      <c r="B5489" s="2" t="str">
        <f t="shared" si="2"/>
        <v/>
      </c>
      <c r="C5489" s="2" t="str">
        <f t="shared" si="3"/>
        <v>SP500</v>
      </c>
      <c r="D5489" s="2" t="str">
        <f t="shared" si="4"/>
        <v/>
      </c>
      <c r="E5489" s="2">
        <f t="shared" si="5"/>
        <v>6738.86</v>
      </c>
      <c r="G5489" s="10">
        <f t="shared" si="9"/>
        <v>43471.64583</v>
      </c>
      <c r="H5489" s="6" t="str">
        <f t="shared" si="6"/>
        <v/>
      </c>
      <c r="I5489" s="2">
        <f t="shared" si="7"/>
        <v>1426.89</v>
      </c>
    </row>
    <row r="5490">
      <c r="A5490" s="10">
        <f t="shared" si="8"/>
        <v>43472.66667</v>
      </c>
      <c r="B5490" s="2" t="str">
        <f t="shared" si="2"/>
        <v/>
      </c>
      <c r="C5490" s="2" t="str">
        <f t="shared" si="3"/>
        <v>SP500</v>
      </c>
      <c r="D5490" s="2">
        <f t="shared" si="4"/>
        <v>6823.47</v>
      </c>
      <c r="E5490" s="2">
        <f t="shared" si="5"/>
        <v>6823.47</v>
      </c>
      <c r="G5490" s="10">
        <f t="shared" si="9"/>
        <v>43472.64583</v>
      </c>
      <c r="H5490" s="6" t="str">
        <f t="shared" si="6"/>
        <v/>
      </c>
      <c r="I5490" s="2">
        <f t="shared" si="7"/>
        <v>1426.89</v>
      </c>
    </row>
    <row r="5491">
      <c r="A5491" s="10">
        <f t="shared" si="8"/>
        <v>43473.66667</v>
      </c>
      <c r="B5491" s="2" t="str">
        <f t="shared" si="2"/>
        <v/>
      </c>
      <c r="C5491" s="2" t="str">
        <f t="shared" si="3"/>
        <v>SP500</v>
      </c>
      <c r="D5491" s="2">
        <f t="shared" si="4"/>
        <v>6897</v>
      </c>
      <c r="E5491" s="2">
        <f t="shared" si="5"/>
        <v>6897</v>
      </c>
      <c r="G5491" s="10">
        <f t="shared" si="9"/>
        <v>43473.64583</v>
      </c>
      <c r="H5491" s="6" t="str">
        <f t="shared" si="6"/>
        <v/>
      </c>
      <c r="I5491" s="2">
        <f t="shared" si="7"/>
        <v>1426.89</v>
      </c>
    </row>
    <row r="5492">
      <c r="A5492" s="10">
        <f t="shared" si="8"/>
        <v>43474.66667</v>
      </c>
      <c r="B5492" s="2" t="str">
        <f t="shared" si="2"/>
        <v/>
      </c>
      <c r="C5492" s="2" t="str">
        <f t="shared" si="3"/>
        <v>SP500</v>
      </c>
      <c r="D5492" s="2">
        <f t="shared" si="4"/>
        <v>6957.08</v>
      </c>
      <c r="E5492" s="2">
        <f t="shared" si="5"/>
        <v>6957.08</v>
      </c>
      <c r="G5492" s="10">
        <f t="shared" si="9"/>
        <v>43474.64583</v>
      </c>
      <c r="H5492" s="6" t="str">
        <f t="shared" si="6"/>
        <v/>
      </c>
      <c r="I5492" s="2">
        <f t="shared" si="7"/>
        <v>1426.89</v>
      </c>
    </row>
    <row r="5493">
      <c r="A5493" s="10">
        <f t="shared" si="8"/>
        <v>43475.66667</v>
      </c>
      <c r="B5493" s="2" t="str">
        <f t="shared" si="2"/>
        <v/>
      </c>
      <c r="C5493" s="2" t="str">
        <f t="shared" si="3"/>
        <v>SP500</v>
      </c>
      <c r="D5493" s="2">
        <f t="shared" si="4"/>
        <v>6986.07</v>
      </c>
      <c r="E5493" s="2">
        <f t="shared" si="5"/>
        <v>6986.07</v>
      </c>
      <c r="G5493" s="10">
        <f t="shared" si="9"/>
        <v>43475.64583</v>
      </c>
      <c r="H5493" s="6" t="str">
        <f t="shared" si="6"/>
        <v/>
      </c>
      <c r="I5493" s="2">
        <f t="shared" si="7"/>
        <v>1426.89</v>
      </c>
    </row>
    <row r="5494">
      <c r="A5494" s="10">
        <f t="shared" si="8"/>
        <v>43476.66667</v>
      </c>
      <c r="B5494" s="2" t="str">
        <f t="shared" si="2"/>
        <v/>
      </c>
      <c r="C5494" s="2" t="str">
        <f t="shared" si="3"/>
        <v>SP500</v>
      </c>
      <c r="D5494" s="2">
        <f t="shared" si="4"/>
        <v>6971.48</v>
      </c>
      <c r="E5494" s="2">
        <f t="shared" si="5"/>
        <v>6971.48</v>
      </c>
      <c r="G5494" s="10">
        <f t="shared" si="9"/>
        <v>43476.64583</v>
      </c>
      <c r="H5494" s="6" t="str">
        <f t="shared" si="6"/>
        <v/>
      </c>
      <c r="I5494" s="2">
        <f t="shared" si="7"/>
        <v>1426.89</v>
      </c>
    </row>
    <row r="5495">
      <c r="A5495" s="10">
        <f t="shared" si="8"/>
        <v>43477.66667</v>
      </c>
      <c r="B5495" s="2" t="str">
        <f t="shared" si="2"/>
        <v/>
      </c>
      <c r="C5495" s="2" t="str">
        <f t="shared" si="3"/>
        <v>SP500</v>
      </c>
      <c r="D5495" s="2" t="str">
        <f t="shared" si="4"/>
        <v/>
      </c>
      <c r="E5495" s="2">
        <f t="shared" si="5"/>
        <v>6971.48</v>
      </c>
      <c r="G5495" s="10">
        <f t="shared" si="9"/>
        <v>43477.64583</v>
      </c>
      <c r="H5495" s="6" t="str">
        <f t="shared" si="6"/>
        <v/>
      </c>
      <c r="I5495" s="2">
        <f t="shared" si="7"/>
        <v>1426.89</v>
      </c>
    </row>
    <row r="5496">
      <c r="A5496" s="10">
        <f t="shared" si="8"/>
        <v>43478.66667</v>
      </c>
      <c r="B5496" s="2" t="str">
        <f t="shared" si="2"/>
        <v/>
      </c>
      <c r="C5496" s="2" t="str">
        <f t="shared" si="3"/>
        <v>SP500</v>
      </c>
      <c r="D5496" s="2" t="str">
        <f t="shared" si="4"/>
        <v/>
      </c>
      <c r="E5496" s="2">
        <f t="shared" si="5"/>
        <v>6971.48</v>
      </c>
      <c r="G5496" s="10">
        <f t="shared" si="9"/>
        <v>43478.64583</v>
      </c>
      <c r="H5496" s="6" t="str">
        <f t="shared" si="6"/>
        <v/>
      </c>
      <c r="I5496" s="2">
        <f t="shared" si="7"/>
        <v>1426.89</v>
      </c>
    </row>
    <row r="5497">
      <c r="A5497" s="10">
        <f t="shared" si="8"/>
        <v>43479.66667</v>
      </c>
      <c r="B5497" s="2" t="str">
        <f t="shared" si="2"/>
        <v/>
      </c>
      <c r="C5497" s="2" t="str">
        <f t="shared" si="3"/>
        <v>SP500</v>
      </c>
      <c r="D5497" s="2">
        <f t="shared" si="4"/>
        <v>6905.92</v>
      </c>
      <c r="E5497" s="2">
        <f t="shared" si="5"/>
        <v>6905.92</v>
      </c>
      <c r="G5497" s="10">
        <f t="shared" si="9"/>
        <v>43479.64583</v>
      </c>
      <c r="H5497" s="6" t="str">
        <f t="shared" si="6"/>
        <v/>
      </c>
      <c r="I5497" s="2">
        <f t="shared" si="7"/>
        <v>1426.89</v>
      </c>
    </row>
    <row r="5498">
      <c r="A5498" s="10">
        <f t="shared" si="8"/>
        <v>43480.66667</v>
      </c>
      <c r="B5498" s="2" t="str">
        <f t="shared" si="2"/>
        <v/>
      </c>
      <c r="C5498" s="2" t="str">
        <f t="shared" si="3"/>
        <v>SP500</v>
      </c>
      <c r="D5498" s="2">
        <f t="shared" si="4"/>
        <v>7023.83</v>
      </c>
      <c r="E5498" s="2">
        <f t="shared" si="5"/>
        <v>7023.83</v>
      </c>
      <c r="G5498" s="10">
        <f t="shared" si="9"/>
        <v>43480.64583</v>
      </c>
      <c r="H5498" s="6" t="str">
        <f t="shared" si="6"/>
        <v/>
      </c>
      <c r="I5498" s="2">
        <f t="shared" si="7"/>
        <v>1426.89</v>
      </c>
    </row>
    <row r="5499">
      <c r="A5499" s="10">
        <f t="shared" si="8"/>
        <v>43481.66667</v>
      </c>
      <c r="B5499" s="2" t="str">
        <f t="shared" si="2"/>
        <v/>
      </c>
      <c r="C5499" s="2" t="str">
        <f t="shared" si="3"/>
        <v>SP500</v>
      </c>
      <c r="D5499" s="2">
        <f t="shared" si="4"/>
        <v>7034.69</v>
      </c>
      <c r="E5499" s="2">
        <f t="shared" si="5"/>
        <v>7034.69</v>
      </c>
      <c r="G5499" s="10">
        <f t="shared" si="9"/>
        <v>43481.64583</v>
      </c>
      <c r="H5499" s="6" t="str">
        <f t="shared" si="6"/>
        <v/>
      </c>
      <c r="I5499" s="2">
        <f t="shared" si="7"/>
        <v>1426.89</v>
      </c>
    </row>
    <row r="5500">
      <c r="A5500" s="10">
        <f t="shared" si="8"/>
        <v>43482.66667</v>
      </c>
      <c r="B5500" s="2" t="str">
        <f t="shared" si="2"/>
        <v/>
      </c>
      <c r="C5500" s="2" t="str">
        <f t="shared" si="3"/>
        <v>SP500</v>
      </c>
      <c r="D5500" s="2">
        <f t="shared" si="4"/>
        <v>7084.46</v>
      </c>
      <c r="E5500" s="2">
        <f t="shared" si="5"/>
        <v>7084.46</v>
      </c>
      <c r="G5500" s="10">
        <f t="shared" si="9"/>
        <v>43482.64583</v>
      </c>
      <c r="H5500" s="6" t="str">
        <f t="shared" si="6"/>
        <v/>
      </c>
      <c r="I5500" s="2">
        <f t="shared" si="7"/>
        <v>1426.89</v>
      </c>
    </row>
    <row r="5501">
      <c r="A5501" s="10">
        <f t="shared" si="8"/>
        <v>43483.66667</v>
      </c>
      <c r="B5501" s="2" t="str">
        <f t="shared" si="2"/>
        <v/>
      </c>
      <c r="C5501" s="2" t="str">
        <f t="shared" si="3"/>
        <v>SP500</v>
      </c>
      <c r="D5501" s="2">
        <f t="shared" si="4"/>
        <v>7157.23</v>
      </c>
      <c r="E5501" s="2">
        <f t="shared" si="5"/>
        <v>7157.23</v>
      </c>
      <c r="G5501" s="10">
        <f t="shared" si="9"/>
        <v>43483.64583</v>
      </c>
      <c r="H5501" s="6" t="str">
        <f t="shared" si="6"/>
        <v/>
      </c>
      <c r="I5501" s="2">
        <f t="shared" si="7"/>
        <v>1426.89</v>
      </c>
    </row>
    <row r="5502">
      <c r="A5502" s="10">
        <f t="shared" si="8"/>
        <v>43484.66667</v>
      </c>
      <c r="B5502" s="2" t="str">
        <f t="shared" si="2"/>
        <v/>
      </c>
      <c r="C5502" s="2" t="str">
        <f t="shared" si="3"/>
        <v>SP500</v>
      </c>
      <c r="D5502" s="2" t="str">
        <f t="shared" si="4"/>
        <v/>
      </c>
      <c r="E5502" s="2">
        <f t="shared" si="5"/>
        <v>7157.23</v>
      </c>
      <c r="G5502" s="10">
        <f t="shared" si="9"/>
        <v>43484.64583</v>
      </c>
      <c r="H5502" s="6" t="str">
        <f t="shared" si="6"/>
        <v/>
      </c>
      <c r="I5502" s="2">
        <f t="shared" si="7"/>
        <v>1426.89</v>
      </c>
    </row>
    <row r="5503">
      <c r="A5503" s="10">
        <f t="shared" si="8"/>
        <v>43485.66667</v>
      </c>
      <c r="B5503" s="2" t="str">
        <f t="shared" si="2"/>
        <v/>
      </c>
      <c r="C5503" s="2" t="str">
        <f t="shared" si="3"/>
        <v>SP500</v>
      </c>
      <c r="D5503" s="2" t="str">
        <f t="shared" si="4"/>
        <v/>
      </c>
      <c r="E5503" s="2">
        <f t="shared" si="5"/>
        <v>7157.23</v>
      </c>
      <c r="G5503" s="10">
        <f t="shared" si="9"/>
        <v>43485.64583</v>
      </c>
      <c r="H5503" s="6" t="str">
        <f t="shared" si="6"/>
        <v/>
      </c>
      <c r="I5503" s="2">
        <f t="shared" si="7"/>
        <v>1426.89</v>
      </c>
    </row>
    <row r="5504">
      <c r="A5504" s="10">
        <f t="shared" si="8"/>
        <v>43486.66667</v>
      </c>
      <c r="B5504" s="2" t="str">
        <f t="shared" si="2"/>
        <v/>
      </c>
      <c r="C5504" s="2" t="str">
        <f t="shared" si="3"/>
        <v>SP500</v>
      </c>
      <c r="D5504" s="2" t="str">
        <f t="shared" si="4"/>
        <v/>
      </c>
      <c r="E5504" s="2">
        <f t="shared" si="5"/>
        <v>7157.23</v>
      </c>
      <c r="G5504" s="10">
        <f t="shared" si="9"/>
        <v>43486.64583</v>
      </c>
      <c r="H5504" s="6" t="str">
        <f t="shared" si="6"/>
        <v/>
      </c>
      <c r="I5504" s="2">
        <f t="shared" si="7"/>
        <v>1426.89</v>
      </c>
    </row>
    <row r="5505">
      <c r="A5505" s="10">
        <f t="shared" si="8"/>
        <v>43487.66667</v>
      </c>
      <c r="B5505" s="2" t="str">
        <f t="shared" si="2"/>
        <v/>
      </c>
      <c r="C5505" s="2" t="str">
        <f t="shared" si="3"/>
        <v>SP500</v>
      </c>
      <c r="D5505" s="2">
        <f t="shared" si="4"/>
        <v>7020.36</v>
      </c>
      <c r="E5505" s="2">
        <f t="shared" si="5"/>
        <v>7020.36</v>
      </c>
      <c r="G5505" s="10">
        <f t="shared" si="9"/>
        <v>43487.64583</v>
      </c>
      <c r="H5505" s="6" t="str">
        <f t="shared" si="6"/>
        <v/>
      </c>
      <c r="I5505" s="2">
        <f t="shared" si="7"/>
        <v>1426.89</v>
      </c>
    </row>
    <row r="5506">
      <c r="A5506" s="10">
        <f t="shared" si="8"/>
        <v>43488.66667</v>
      </c>
      <c r="B5506" s="2" t="str">
        <f t="shared" si="2"/>
        <v/>
      </c>
      <c r="C5506" s="2" t="str">
        <f t="shared" si="3"/>
        <v>SP500</v>
      </c>
      <c r="D5506" s="2">
        <f t="shared" si="4"/>
        <v>7025.77</v>
      </c>
      <c r="E5506" s="2">
        <f t="shared" si="5"/>
        <v>7025.77</v>
      </c>
      <c r="G5506" s="10">
        <f t="shared" si="9"/>
        <v>43488.64583</v>
      </c>
      <c r="H5506" s="6" t="str">
        <f t="shared" si="6"/>
        <v/>
      </c>
      <c r="I5506" s="2">
        <f t="shared" si="7"/>
        <v>1426.89</v>
      </c>
    </row>
    <row r="5507">
      <c r="A5507" s="10">
        <f t="shared" si="8"/>
        <v>43489.66667</v>
      </c>
      <c r="B5507" s="2" t="str">
        <f t="shared" si="2"/>
        <v/>
      </c>
      <c r="C5507" s="2" t="str">
        <f t="shared" si="3"/>
        <v>SP500</v>
      </c>
      <c r="D5507" s="2">
        <f t="shared" si="4"/>
        <v>7073.46</v>
      </c>
      <c r="E5507" s="2">
        <f t="shared" si="5"/>
        <v>7073.46</v>
      </c>
      <c r="G5507" s="10">
        <f t="shared" si="9"/>
        <v>43489.64583</v>
      </c>
      <c r="H5507" s="6" t="str">
        <f t="shared" si="6"/>
        <v/>
      </c>
      <c r="I5507" s="2">
        <f t="shared" si="7"/>
        <v>1426.89</v>
      </c>
    </row>
    <row r="5508">
      <c r="A5508" s="10">
        <f t="shared" si="8"/>
        <v>43490.66667</v>
      </c>
      <c r="B5508" s="2" t="str">
        <f t="shared" si="2"/>
        <v/>
      </c>
      <c r="C5508" s="2" t="str">
        <f t="shared" si="3"/>
        <v>SP500</v>
      </c>
      <c r="D5508" s="2">
        <f t="shared" si="4"/>
        <v>7164.86</v>
      </c>
      <c r="E5508" s="2">
        <f t="shared" si="5"/>
        <v>7164.86</v>
      </c>
      <c r="G5508" s="10">
        <f t="shared" si="9"/>
        <v>43490.64583</v>
      </c>
      <c r="H5508" s="6" t="str">
        <f t="shared" si="6"/>
        <v/>
      </c>
      <c r="I5508" s="2">
        <f t="shared" si="7"/>
        <v>1426.89</v>
      </c>
    </row>
    <row r="5509">
      <c r="A5509" s="10">
        <f t="shared" si="8"/>
        <v>43491.66667</v>
      </c>
      <c r="B5509" s="2" t="str">
        <f t="shared" si="2"/>
        <v/>
      </c>
      <c r="C5509" s="2" t="str">
        <f t="shared" si="3"/>
        <v>SP500</v>
      </c>
      <c r="D5509" s="2" t="str">
        <f t="shared" si="4"/>
        <v/>
      </c>
      <c r="E5509" s="2">
        <f t="shared" si="5"/>
        <v>7164.86</v>
      </c>
      <c r="G5509" s="10">
        <f t="shared" si="9"/>
        <v>43491.64583</v>
      </c>
      <c r="H5509" s="6" t="str">
        <f t="shared" si="6"/>
        <v/>
      </c>
      <c r="I5509" s="2">
        <f t="shared" si="7"/>
        <v>1426.89</v>
      </c>
    </row>
    <row r="5510">
      <c r="A5510" s="10">
        <f t="shared" si="8"/>
        <v>43492.66667</v>
      </c>
      <c r="B5510" s="2" t="str">
        <f t="shared" si="2"/>
        <v/>
      </c>
      <c r="C5510" s="2" t="str">
        <f t="shared" si="3"/>
        <v>SP500</v>
      </c>
      <c r="D5510" s="2" t="str">
        <f t="shared" si="4"/>
        <v/>
      </c>
      <c r="E5510" s="2">
        <f t="shared" si="5"/>
        <v>7164.86</v>
      </c>
      <c r="G5510" s="10">
        <f t="shared" si="9"/>
        <v>43492.64583</v>
      </c>
      <c r="H5510" s="6" t="str">
        <f t="shared" si="6"/>
        <v/>
      </c>
      <c r="I5510" s="2">
        <f t="shared" si="7"/>
        <v>1426.89</v>
      </c>
    </row>
    <row r="5511">
      <c r="A5511" s="10">
        <f t="shared" si="8"/>
        <v>43493.66667</v>
      </c>
      <c r="B5511" s="2" t="str">
        <f t="shared" si="2"/>
        <v/>
      </c>
      <c r="C5511" s="2" t="str">
        <f t="shared" si="3"/>
        <v>SP500</v>
      </c>
      <c r="D5511" s="2">
        <f t="shared" si="4"/>
        <v>7085.69</v>
      </c>
      <c r="E5511" s="2">
        <f t="shared" si="5"/>
        <v>7085.69</v>
      </c>
      <c r="G5511" s="10">
        <f t="shared" si="9"/>
        <v>43493.64583</v>
      </c>
      <c r="H5511" s="6" t="str">
        <f t="shared" si="6"/>
        <v/>
      </c>
      <c r="I5511" s="2">
        <f t="shared" si="7"/>
        <v>1426.89</v>
      </c>
    </row>
    <row r="5512">
      <c r="A5512" s="10">
        <f t="shared" si="8"/>
        <v>43494.66667</v>
      </c>
      <c r="B5512" s="2" t="str">
        <f t="shared" si="2"/>
        <v/>
      </c>
      <c r="C5512" s="2" t="str">
        <f t="shared" si="3"/>
        <v>SP500</v>
      </c>
      <c r="D5512" s="2">
        <f t="shared" si="4"/>
        <v>7028.29</v>
      </c>
      <c r="E5512" s="2">
        <f t="shared" si="5"/>
        <v>7028.29</v>
      </c>
      <c r="G5512" s="10">
        <f t="shared" si="9"/>
        <v>43494.64583</v>
      </c>
      <c r="H5512" s="6" t="str">
        <f t="shared" si="6"/>
        <v/>
      </c>
      <c r="I5512" s="2">
        <f t="shared" si="7"/>
        <v>1426.89</v>
      </c>
    </row>
    <row r="5513">
      <c r="A5513" s="10">
        <f t="shared" si="8"/>
        <v>43495.66667</v>
      </c>
      <c r="B5513" s="2" t="str">
        <f t="shared" si="2"/>
        <v/>
      </c>
      <c r="C5513" s="2" t="str">
        <f t="shared" si="3"/>
        <v>SP500</v>
      </c>
      <c r="D5513" s="2">
        <f t="shared" si="4"/>
        <v>7183.08</v>
      </c>
      <c r="E5513" s="2">
        <f t="shared" si="5"/>
        <v>7183.08</v>
      </c>
      <c r="G5513" s="10">
        <f t="shared" si="9"/>
        <v>43495.64583</v>
      </c>
      <c r="H5513" s="6" t="str">
        <f t="shared" si="6"/>
        <v/>
      </c>
      <c r="I5513" s="2">
        <f t="shared" si="7"/>
        <v>1426.89</v>
      </c>
    </row>
    <row r="5514">
      <c r="A5514" s="10">
        <f t="shared" si="8"/>
        <v>43496.66667</v>
      </c>
      <c r="B5514" s="2" t="str">
        <f t="shared" si="2"/>
        <v/>
      </c>
      <c r="C5514" s="2" t="str">
        <f t="shared" si="3"/>
        <v>SP500</v>
      </c>
      <c r="D5514" s="2">
        <f t="shared" si="4"/>
        <v>7281.74</v>
      </c>
      <c r="E5514" s="2">
        <f t="shared" si="5"/>
        <v>7281.74</v>
      </c>
      <c r="G5514" s="10">
        <f t="shared" si="9"/>
        <v>43496.64583</v>
      </c>
      <c r="H5514" s="6" t="str">
        <f t="shared" si="6"/>
        <v/>
      </c>
      <c r="I5514" s="2">
        <f t="shared" si="7"/>
        <v>1426.89</v>
      </c>
    </row>
    <row r="5515">
      <c r="A5515" s="10">
        <f t="shared" si="8"/>
        <v>43497.66667</v>
      </c>
      <c r="B5515" s="2" t="str">
        <f t="shared" si="2"/>
        <v/>
      </c>
      <c r="C5515" s="2" t="str">
        <f t="shared" si="3"/>
        <v>SP500</v>
      </c>
      <c r="D5515" s="2">
        <f t="shared" si="4"/>
        <v>7263.87</v>
      </c>
      <c r="E5515" s="2">
        <f t="shared" si="5"/>
        <v>7263.87</v>
      </c>
      <c r="G5515" s="10">
        <f t="shared" si="9"/>
        <v>43497.64583</v>
      </c>
      <c r="H5515" s="6" t="str">
        <f t="shared" si="6"/>
        <v/>
      </c>
      <c r="I5515" s="2">
        <f t="shared" si="7"/>
        <v>1426.89</v>
      </c>
    </row>
    <row r="5516">
      <c r="A5516" s="10">
        <f t="shared" si="8"/>
        <v>43498.66667</v>
      </c>
      <c r="B5516" s="2" t="str">
        <f t="shared" si="2"/>
        <v/>
      </c>
      <c r="C5516" s="2" t="str">
        <f t="shared" si="3"/>
        <v>SP500</v>
      </c>
      <c r="D5516" s="2" t="str">
        <f t="shared" si="4"/>
        <v/>
      </c>
      <c r="E5516" s="2">
        <f t="shared" si="5"/>
        <v>7263.87</v>
      </c>
      <c r="G5516" s="10">
        <f t="shared" si="9"/>
        <v>43498.64583</v>
      </c>
      <c r="H5516" s="6" t="str">
        <f t="shared" si="6"/>
        <v/>
      </c>
      <c r="I5516" s="2">
        <f t="shared" si="7"/>
        <v>1426.89</v>
      </c>
    </row>
    <row r="5517">
      <c r="A5517" s="10">
        <f t="shared" si="8"/>
        <v>43499.66667</v>
      </c>
      <c r="B5517" s="2" t="str">
        <f t="shared" si="2"/>
        <v/>
      </c>
      <c r="C5517" s="2" t="str">
        <f t="shared" si="3"/>
        <v>SP500</v>
      </c>
      <c r="D5517" s="2" t="str">
        <f t="shared" si="4"/>
        <v/>
      </c>
      <c r="E5517" s="2">
        <f t="shared" si="5"/>
        <v>7263.87</v>
      </c>
      <c r="G5517" s="10">
        <f t="shared" si="9"/>
        <v>43499.64583</v>
      </c>
      <c r="H5517" s="6" t="str">
        <f t="shared" si="6"/>
        <v/>
      </c>
      <c r="I5517" s="2">
        <f t="shared" si="7"/>
        <v>1426.89</v>
      </c>
    </row>
    <row r="5518">
      <c r="A5518" s="10">
        <f t="shared" si="8"/>
        <v>43500.66667</v>
      </c>
      <c r="B5518" s="2" t="str">
        <f t="shared" si="2"/>
        <v/>
      </c>
      <c r="C5518" s="2" t="str">
        <f t="shared" si="3"/>
        <v>SP500</v>
      </c>
      <c r="D5518" s="2">
        <f t="shared" si="4"/>
        <v>7347.54</v>
      </c>
      <c r="E5518" s="2">
        <f t="shared" si="5"/>
        <v>7347.54</v>
      </c>
      <c r="G5518" s="10">
        <f t="shared" si="9"/>
        <v>43500.64583</v>
      </c>
      <c r="H5518" s="6" t="str">
        <f t="shared" si="6"/>
        <v/>
      </c>
      <c r="I5518" s="2">
        <f t="shared" si="7"/>
        <v>1426.89</v>
      </c>
    </row>
    <row r="5519">
      <c r="A5519" s="10">
        <f t="shared" si="8"/>
        <v>43501.66667</v>
      </c>
      <c r="B5519" s="2" t="str">
        <f t="shared" si="2"/>
        <v/>
      </c>
      <c r="C5519" s="2" t="str">
        <f t="shared" si="3"/>
        <v>SP500</v>
      </c>
      <c r="D5519" s="2">
        <f t="shared" si="4"/>
        <v>7402.08</v>
      </c>
      <c r="E5519" s="2">
        <f t="shared" si="5"/>
        <v>7402.08</v>
      </c>
      <c r="G5519" s="10">
        <f t="shared" si="9"/>
        <v>43501.64583</v>
      </c>
      <c r="H5519" s="6" t="str">
        <f t="shared" si="6"/>
        <v/>
      </c>
      <c r="I5519" s="2">
        <f t="shared" si="7"/>
        <v>1426.89</v>
      </c>
    </row>
    <row r="5520">
      <c r="A5520" s="10">
        <f t="shared" si="8"/>
        <v>43502.66667</v>
      </c>
      <c r="B5520" s="2" t="str">
        <f t="shared" si="2"/>
        <v/>
      </c>
      <c r="C5520" s="2" t="str">
        <f t="shared" si="3"/>
        <v>SP500</v>
      </c>
      <c r="D5520" s="2">
        <f t="shared" si="4"/>
        <v>7375.28</v>
      </c>
      <c r="E5520" s="2">
        <f t="shared" si="5"/>
        <v>7375.28</v>
      </c>
      <c r="G5520" s="10">
        <f t="shared" si="9"/>
        <v>43502.64583</v>
      </c>
      <c r="H5520" s="6" t="str">
        <f t="shared" si="6"/>
        <v/>
      </c>
      <c r="I5520" s="2">
        <f t="shared" si="7"/>
        <v>1426.89</v>
      </c>
    </row>
    <row r="5521">
      <c r="A5521" s="10">
        <f t="shared" si="8"/>
        <v>43503.66667</v>
      </c>
      <c r="B5521" s="2" t="str">
        <f t="shared" si="2"/>
        <v/>
      </c>
      <c r="C5521" s="2" t="str">
        <f t="shared" si="3"/>
        <v>SP500</v>
      </c>
      <c r="D5521" s="2">
        <f t="shared" si="4"/>
        <v>7288.35</v>
      </c>
      <c r="E5521" s="2">
        <f t="shared" si="5"/>
        <v>7288.35</v>
      </c>
      <c r="G5521" s="10">
        <f t="shared" si="9"/>
        <v>43503.64583</v>
      </c>
      <c r="H5521" s="6" t="str">
        <f t="shared" si="6"/>
        <v/>
      </c>
      <c r="I5521" s="2">
        <f t="shared" si="7"/>
        <v>1426.89</v>
      </c>
    </row>
    <row r="5522">
      <c r="A5522" s="10">
        <f t="shared" si="8"/>
        <v>43504.66667</v>
      </c>
      <c r="B5522" s="2" t="str">
        <f t="shared" si="2"/>
        <v/>
      </c>
      <c r="C5522" s="2" t="str">
        <f t="shared" si="3"/>
        <v>SP500</v>
      </c>
      <c r="D5522" s="2">
        <f t="shared" si="4"/>
        <v>7298.2</v>
      </c>
      <c r="E5522" s="2">
        <f t="shared" si="5"/>
        <v>7298.2</v>
      </c>
      <c r="G5522" s="10">
        <f t="shared" si="9"/>
        <v>43504.64583</v>
      </c>
      <c r="H5522" s="6" t="str">
        <f t="shared" si="6"/>
        <v/>
      </c>
      <c r="I5522" s="2">
        <f t="shared" si="7"/>
        <v>1426.89</v>
      </c>
    </row>
    <row r="5523">
      <c r="A5523" s="10">
        <f t="shared" si="8"/>
        <v>43505.66667</v>
      </c>
      <c r="B5523" s="2" t="str">
        <f t="shared" si="2"/>
        <v/>
      </c>
      <c r="C5523" s="2" t="str">
        <f t="shared" si="3"/>
        <v>SP500</v>
      </c>
      <c r="D5523" s="2" t="str">
        <f t="shared" si="4"/>
        <v/>
      </c>
      <c r="E5523" s="2">
        <f t="shared" si="5"/>
        <v>7298.2</v>
      </c>
      <c r="G5523" s="10">
        <f t="shared" si="9"/>
        <v>43505.64583</v>
      </c>
      <c r="H5523" s="6" t="str">
        <f t="shared" si="6"/>
        <v/>
      </c>
      <c r="I5523" s="2">
        <f t="shared" si="7"/>
        <v>1426.89</v>
      </c>
    </row>
    <row r="5524">
      <c r="A5524" s="10">
        <f t="shared" si="8"/>
        <v>43506.66667</v>
      </c>
      <c r="B5524" s="2" t="str">
        <f t="shared" si="2"/>
        <v/>
      </c>
      <c r="C5524" s="2" t="str">
        <f t="shared" si="3"/>
        <v>SP500</v>
      </c>
      <c r="D5524" s="2" t="str">
        <f t="shared" si="4"/>
        <v/>
      </c>
      <c r="E5524" s="2">
        <f t="shared" si="5"/>
        <v>7298.2</v>
      </c>
      <c r="G5524" s="10">
        <f t="shared" si="9"/>
        <v>43506.64583</v>
      </c>
      <c r="H5524" s="6" t="str">
        <f t="shared" si="6"/>
        <v/>
      </c>
      <c r="I5524" s="2">
        <f t="shared" si="7"/>
        <v>1426.89</v>
      </c>
    </row>
    <row r="5525">
      <c r="A5525" s="10">
        <f t="shared" si="8"/>
        <v>43507.66667</v>
      </c>
      <c r="B5525" s="2" t="str">
        <f t="shared" si="2"/>
        <v/>
      </c>
      <c r="C5525" s="2" t="str">
        <f t="shared" si="3"/>
        <v>SP500</v>
      </c>
      <c r="D5525" s="2">
        <f t="shared" si="4"/>
        <v>7307.91</v>
      </c>
      <c r="E5525" s="2">
        <f t="shared" si="5"/>
        <v>7307.91</v>
      </c>
      <c r="G5525" s="10">
        <f t="shared" si="9"/>
        <v>43507.64583</v>
      </c>
      <c r="H5525" s="6" t="str">
        <f t="shared" si="6"/>
        <v/>
      </c>
      <c r="I5525" s="2">
        <f t="shared" si="7"/>
        <v>1426.89</v>
      </c>
    </row>
    <row r="5526">
      <c r="A5526" s="10">
        <f t="shared" si="8"/>
        <v>43508.66667</v>
      </c>
      <c r="B5526" s="2" t="str">
        <f t="shared" si="2"/>
        <v/>
      </c>
      <c r="C5526" s="2" t="str">
        <f t="shared" si="3"/>
        <v>SP500</v>
      </c>
      <c r="D5526" s="2">
        <f t="shared" si="4"/>
        <v>7414.62</v>
      </c>
      <c r="E5526" s="2">
        <f t="shared" si="5"/>
        <v>7414.62</v>
      </c>
      <c r="G5526" s="10">
        <f t="shared" si="9"/>
        <v>43508.64583</v>
      </c>
      <c r="H5526" s="6" t="str">
        <f t="shared" si="6"/>
        <v/>
      </c>
      <c r="I5526" s="2">
        <f t="shared" si="7"/>
        <v>1426.89</v>
      </c>
    </row>
    <row r="5527">
      <c r="A5527" s="10">
        <f t="shared" si="8"/>
        <v>43509.66667</v>
      </c>
      <c r="B5527" s="2" t="str">
        <f t="shared" si="2"/>
        <v/>
      </c>
      <c r="C5527" s="2" t="str">
        <f t="shared" si="3"/>
        <v>SP500</v>
      </c>
      <c r="D5527" s="2">
        <f t="shared" si="4"/>
        <v>7420.38</v>
      </c>
      <c r="E5527" s="2">
        <f t="shared" si="5"/>
        <v>7420.38</v>
      </c>
      <c r="G5527" s="10">
        <f t="shared" si="9"/>
        <v>43509.64583</v>
      </c>
      <c r="H5527" s="6" t="str">
        <f t="shared" si="6"/>
        <v/>
      </c>
      <c r="I5527" s="2">
        <f t="shared" si="7"/>
        <v>1426.89</v>
      </c>
    </row>
    <row r="5528">
      <c r="A5528" s="10">
        <f t="shared" si="8"/>
        <v>43510.66667</v>
      </c>
      <c r="B5528" s="2" t="str">
        <f t="shared" si="2"/>
        <v/>
      </c>
      <c r="C5528" s="2" t="str">
        <f t="shared" si="3"/>
        <v>SP500</v>
      </c>
      <c r="D5528" s="2">
        <f t="shared" si="4"/>
        <v>7426.96</v>
      </c>
      <c r="E5528" s="2">
        <f t="shared" si="5"/>
        <v>7426.96</v>
      </c>
      <c r="G5528" s="10">
        <f t="shared" si="9"/>
        <v>43510.64583</v>
      </c>
      <c r="H5528" s="6" t="str">
        <f t="shared" si="6"/>
        <v/>
      </c>
      <c r="I5528" s="2">
        <f t="shared" si="7"/>
        <v>1426.89</v>
      </c>
    </row>
    <row r="5529">
      <c r="A5529" s="10">
        <f t="shared" si="8"/>
        <v>43511.66667</v>
      </c>
      <c r="B5529" s="2" t="str">
        <f t="shared" si="2"/>
        <v/>
      </c>
      <c r="C5529" s="2" t="str">
        <f t="shared" si="3"/>
        <v>SP500</v>
      </c>
      <c r="D5529" s="2">
        <f t="shared" si="4"/>
        <v>7472.41</v>
      </c>
      <c r="E5529" s="2">
        <f t="shared" si="5"/>
        <v>7472.41</v>
      </c>
      <c r="G5529" s="10">
        <f t="shared" si="9"/>
        <v>43511.64583</v>
      </c>
      <c r="H5529" s="6" t="str">
        <f t="shared" si="6"/>
        <v/>
      </c>
      <c r="I5529" s="2">
        <f t="shared" si="7"/>
        <v>1426.89</v>
      </c>
    </row>
    <row r="5530">
      <c r="A5530" s="10">
        <f t="shared" si="8"/>
        <v>43512.66667</v>
      </c>
      <c r="B5530" s="2" t="str">
        <f t="shared" si="2"/>
        <v/>
      </c>
      <c r="C5530" s="2" t="str">
        <f t="shared" si="3"/>
        <v>SP500</v>
      </c>
      <c r="D5530" s="2" t="str">
        <f t="shared" si="4"/>
        <v/>
      </c>
      <c r="E5530" s="2">
        <f t="shared" si="5"/>
        <v>7472.41</v>
      </c>
      <c r="G5530" s="10">
        <f t="shared" si="9"/>
        <v>43512.64583</v>
      </c>
      <c r="H5530" s="6" t="str">
        <f t="shared" si="6"/>
        <v/>
      </c>
      <c r="I5530" s="2">
        <f t="shared" si="7"/>
        <v>1426.89</v>
      </c>
    </row>
    <row r="5531">
      <c r="A5531" s="10">
        <f t="shared" si="8"/>
        <v>43513.66667</v>
      </c>
      <c r="B5531" s="2" t="str">
        <f t="shared" si="2"/>
        <v/>
      </c>
      <c r="C5531" s="2" t="str">
        <f t="shared" si="3"/>
        <v>SP500</v>
      </c>
      <c r="D5531" s="2" t="str">
        <f t="shared" si="4"/>
        <v/>
      </c>
      <c r="E5531" s="2">
        <f t="shared" si="5"/>
        <v>7472.41</v>
      </c>
      <c r="G5531" s="10">
        <f t="shared" si="9"/>
        <v>43513.64583</v>
      </c>
      <c r="H5531" s="6" t="str">
        <f t="shared" si="6"/>
        <v/>
      </c>
      <c r="I5531" s="2">
        <f t="shared" si="7"/>
        <v>1426.89</v>
      </c>
    </row>
    <row r="5532">
      <c r="A5532" s="10">
        <f t="shared" si="8"/>
        <v>43514.66667</v>
      </c>
      <c r="B5532" s="2" t="str">
        <f t="shared" si="2"/>
        <v/>
      </c>
      <c r="C5532" s="2" t="str">
        <f t="shared" si="3"/>
        <v>SP500</v>
      </c>
      <c r="D5532" s="2" t="str">
        <f t="shared" si="4"/>
        <v/>
      </c>
      <c r="E5532" s="2">
        <f t="shared" si="5"/>
        <v>7472.41</v>
      </c>
      <c r="G5532" s="10">
        <f t="shared" si="9"/>
        <v>43514.64583</v>
      </c>
      <c r="H5532" s="6" t="str">
        <f t="shared" si="6"/>
        <v/>
      </c>
      <c r="I5532" s="2">
        <f t="shared" si="7"/>
        <v>1426.89</v>
      </c>
    </row>
    <row r="5533">
      <c r="A5533" s="10">
        <f t="shared" si="8"/>
        <v>43515.66667</v>
      </c>
      <c r="B5533" s="2" t="str">
        <f t="shared" si="2"/>
        <v/>
      </c>
      <c r="C5533" s="2" t="str">
        <f t="shared" si="3"/>
        <v>SP500</v>
      </c>
      <c r="D5533" s="2">
        <f t="shared" si="4"/>
        <v>7486.77</v>
      </c>
      <c r="E5533" s="2">
        <f t="shared" si="5"/>
        <v>7486.77</v>
      </c>
      <c r="G5533" s="10">
        <f t="shared" si="9"/>
        <v>43515.64583</v>
      </c>
      <c r="H5533" s="6" t="str">
        <f t="shared" si="6"/>
        <v/>
      </c>
      <c r="I5533" s="2">
        <f t="shared" si="7"/>
        <v>1426.89</v>
      </c>
    </row>
    <row r="5534">
      <c r="A5534" s="10">
        <f t="shared" si="8"/>
        <v>43516.66667</v>
      </c>
      <c r="B5534" s="2" t="str">
        <f t="shared" si="2"/>
        <v/>
      </c>
      <c r="C5534" s="2" t="str">
        <f t="shared" si="3"/>
        <v>SP500</v>
      </c>
      <c r="D5534" s="2">
        <f t="shared" si="4"/>
        <v>7489.07</v>
      </c>
      <c r="E5534" s="2">
        <f t="shared" si="5"/>
        <v>7489.07</v>
      </c>
      <c r="G5534" s="10">
        <f t="shared" si="9"/>
        <v>43516.64583</v>
      </c>
      <c r="H5534" s="6" t="str">
        <f t="shared" si="6"/>
        <v/>
      </c>
      <c r="I5534" s="2">
        <f t="shared" si="7"/>
        <v>1426.89</v>
      </c>
    </row>
    <row r="5535">
      <c r="A5535" s="10">
        <f t="shared" si="8"/>
        <v>43517.66667</v>
      </c>
      <c r="B5535" s="2" t="str">
        <f t="shared" si="2"/>
        <v/>
      </c>
      <c r="C5535" s="2" t="str">
        <f t="shared" si="3"/>
        <v>SP500</v>
      </c>
      <c r="D5535" s="2">
        <f t="shared" si="4"/>
        <v>7459.71</v>
      </c>
      <c r="E5535" s="2">
        <f t="shared" si="5"/>
        <v>7459.71</v>
      </c>
      <c r="G5535" s="10">
        <f t="shared" si="9"/>
        <v>43517.64583</v>
      </c>
      <c r="H5535" s="6" t="str">
        <f t="shared" si="6"/>
        <v/>
      </c>
      <c r="I5535" s="2">
        <f t="shared" si="7"/>
        <v>1426.89</v>
      </c>
    </row>
    <row r="5536">
      <c r="A5536" s="10">
        <f t="shared" si="8"/>
        <v>43518.66667</v>
      </c>
      <c r="B5536" s="2" t="str">
        <f t="shared" si="2"/>
        <v/>
      </c>
      <c r="C5536" s="2" t="str">
        <f t="shared" si="3"/>
        <v>SP500</v>
      </c>
      <c r="D5536" s="2">
        <f t="shared" si="4"/>
        <v>7527.55</v>
      </c>
      <c r="E5536" s="2">
        <f t="shared" si="5"/>
        <v>7527.55</v>
      </c>
      <c r="G5536" s="10">
        <f t="shared" si="9"/>
        <v>43518.64583</v>
      </c>
      <c r="H5536" s="6" t="str">
        <f t="shared" si="6"/>
        <v/>
      </c>
      <c r="I5536" s="2">
        <f t="shared" si="7"/>
        <v>1426.89</v>
      </c>
    </row>
    <row r="5537">
      <c r="A5537" s="10">
        <f t="shared" si="8"/>
        <v>43519.66667</v>
      </c>
      <c r="B5537" s="2" t="str">
        <f t="shared" si="2"/>
        <v/>
      </c>
      <c r="C5537" s="2" t="str">
        <f t="shared" si="3"/>
        <v>SP500</v>
      </c>
      <c r="D5537" s="2" t="str">
        <f t="shared" si="4"/>
        <v/>
      </c>
      <c r="E5537" s="2">
        <f t="shared" si="5"/>
        <v>7527.55</v>
      </c>
      <c r="G5537" s="10">
        <f t="shared" si="9"/>
        <v>43519.64583</v>
      </c>
      <c r="H5537" s="6" t="str">
        <f t="shared" si="6"/>
        <v/>
      </c>
      <c r="I5537" s="2">
        <f t="shared" si="7"/>
        <v>1426.89</v>
      </c>
    </row>
    <row r="5538">
      <c r="A5538" s="10">
        <f t="shared" si="8"/>
        <v>43520.66667</v>
      </c>
      <c r="B5538" s="2" t="str">
        <f t="shared" si="2"/>
        <v/>
      </c>
      <c r="C5538" s="2" t="str">
        <f t="shared" si="3"/>
        <v>SP500</v>
      </c>
      <c r="D5538" s="2" t="str">
        <f t="shared" si="4"/>
        <v/>
      </c>
      <c r="E5538" s="2">
        <f t="shared" si="5"/>
        <v>7527.55</v>
      </c>
      <c r="G5538" s="10">
        <f t="shared" si="9"/>
        <v>43520.64583</v>
      </c>
      <c r="H5538" s="6" t="str">
        <f t="shared" si="6"/>
        <v/>
      </c>
      <c r="I5538" s="2">
        <f t="shared" si="7"/>
        <v>1426.89</v>
      </c>
    </row>
    <row r="5539">
      <c r="A5539" s="10">
        <f t="shared" si="8"/>
        <v>43521.66667</v>
      </c>
      <c r="B5539" s="2" t="str">
        <f t="shared" si="2"/>
        <v/>
      </c>
      <c r="C5539" s="2" t="str">
        <f t="shared" si="3"/>
        <v>SP500</v>
      </c>
      <c r="D5539" s="2">
        <f t="shared" si="4"/>
        <v>7554.46</v>
      </c>
      <c r="E5539" s="2">
        <f t="shared" si="5"/>
        <v>7554.46</v>
      </c>
      <c r="G5539" s="10">
        <f t="shared" si="9"/>
        <v>43521.64583</v>
      </c>
      <c r="H5539" s="6" t="str">
        <f t="shared" si="6"/>
        <v/>
      </c>
      <c r="I5539" s="2">
        <f t="shared" si="7"/>
        <v>1426.89</v>
      </c>
    </row>
    <row r="5540">
      <c r="A5540" s="10">
        <f t="shared" si="8"/>
        <v>43522.66667</v>
      </c>
      <c r="B5540" s="2" t="str">
        <f t="shared" si="2"/>
        <v/>
      </c>
      <c r="C5540" s="2" t="str">
        <f t="shared" si="3"/>
        <v>SP500</v>
      </c>
      <c r="D5540" s="2">
        <f t="shared" si="4"/>
        <v>7549.3</v>
      </c>
      <c r="E5540" s="2">
        <f t="shared" si="5"/>
        <v>7549.3</v>
      </c>
      <c r="G5540" s="10">
        <f t="shared" si="9"/>
        <v>43522.64583</v>
      </c>
      <c r="H5540" s="6" t="str">
        <f t="shared" si="6"/>
        <v/>
      </c>
      <c r="I5540" s="2">
        <f t="shared" si="7"/>
        <v>1426.89</v>
      </c>
    </row>
    <row r="5541">
      <c r="A5541" s="10">
        <f t="shared" si="8"/>
        <v>43523.66667</v>
      </c>
      <c r="B5541" s="2" t="str">
        <f t="shared" si="2"/>
        <v/>
      </c>
      <c r="C5541" s="2" t="str">
        <f t="shared" si="3"/>
        <v>SP500</v>
      </c>
      <c r="D5541" s="2">
        <f t="shared" si="4"/>
        <v>7554.51</v>
      </c>
      <c r="E5541" s="2">
        <f t="shared" si="5"/>
        <v>7554.51</v>
      </c>
      <c r="G5541" s="10">
        <f t="shared" si="9"/>
        <v>43523.64583</v>
      </c>
      <c r="H5541" s="6" t="str">
        <f t="shared" si="6"/>
        <v/>
      </c>
      <c r="I5541" s="2">
        <f t="shared" si="7"/>
        <v>1426.89</v>
      </c>
    </row>
    <row r="5542">
      <c r="A5542" s="10">
        <f t="shared" si="8"/>
        <v>43524.66667</v>
      </c>
      <c r="B5542" s="2" t="str">
        <f t="shared" si="2"/>
        <v/>
      </c>
      <c r="C5542" s="2" t="str">
        <f t="shared" si="3"/>
        <v>SP500</v>
      </c>
      <c r="D5542" s="2">
        <f t="shared" si="4"/>
        <v>7532.53</v>
      </c>
      <c r="E5542" s="2">
        <f t="shared" si="5"/>
        <v>7532.53</v>
      </c>
      <c r="G5542" s="10">
        <f t="shared" si="9"/>
        <v>43524.64583</v>
      </c>
      <c r="H5542" s="6" t="str">
        <f t="shared" si="6"/>
        <v/>
      </c>
      <c r="I5542" s="2">
        <f t="shared" si="7"/>
        <v>1426.89</v>
      </c>
    </row>
    <row r="5543">
      <c r="A5543" s="10">
        <f t="shared" si="8"/>
        <v>43525.66667</v>
      </c>
      <c r="B5543" s="2" t="str">
        <f t="shared" si="2"/>
        <v/>
      </c>
      <c r="C5543" s="2" t="str">
        <f t="shared" si="3"/>
        <v>SP500</v>
      </c>
      <c r="D5543" s="2">
        <f t="shared" si="4"/>
        <v>7595.35</v>
      </c>
      <c r="E5543" s="2">
        <f t="shared" si="5"/>
        <v>7595.35</v>
      </c>
      <c r="G5543" s="10">
        <f t="shared" si="9"/>
        <v>43525.64583</v>
      </c>
      <c r="H5543" s="6" t="str">
        <f t="shared" si="6"/>
        <v/>
      </c>
      <c r="I5543" s="2">
        <f t="shared" si="7"/>
        <v>1426.89</v>
      </c>
    </row>
    <row r="5544">
      <c r="A5544" s="10">
        <f t="shared" si="8"/>
        <v>43526.66667</v>
      </c>
      <c r="B5544" s="2" t="str">
        <f t="shared" si="2"/>
        <v/>
      </c>
      <c r="C5544" s="2" t="str">
        <f t="shared" si="3"/>
        <v>SP500</v>
      </c>
      <c r="D5544" s="2" t="str">
        <f t="shared" si="4"/>
        <v/>
      </c>
      <c r="E5544" s="2">
        <f t="shared" si="5"/>
        <v>7595.35</v>
      </c>
      <c r="G5544" s="10">
        <f t="shared" si="9"/>
        <v>43526.64583</v>
      </c>
      <c r="H5544" s="6" t="str">
        <f t="shared" si="6"/>
        <v/>
      </c>
      <c r="I5544" s="2">
        <f t="shared" si="7"/>
        <v>1426.89</v>
      </c>
    </row>
    <row r="5545">
      <c r="A5545" s="10">
        <f t="shared" si="8"/>
        <v>43527.66667</v>
      </c>
      <c r="B5545" s="2" t="str">
        <f t="shared" si="2"/>
        <v/>
      </c>
      <c r="C5545" s="2" t="str">
        <f t="shared" si="3"/>
        <v>SP500</v>
      </c>
      <c r="D5545" s="2" t="str">
        <f t="shared" si="4"/>
        <v/>
      </c>
      <c r="E5545" s="2">
        <f t="shared" si="5"/>
        <v>7595.35</v>
      </c>
      <c r="G5545" s="10">
        <f t="shared" si="9"/>
        <v>43527.64583</v>
      </c>
      <c r="H5545" s="6" t="str">
        <f t="shared" si="6"/>
        <v/>
      </c>
      <c r="I5545" s="2">
        <f t="shared" si="7"/>
        <v>1426.89</v>
      </c>
    </row>
    <row r="5546">
      <c r="A5546" s="10">
        <f t="shared" si="8"/>
        <v>43528.66667</v>
      </c>
      <c r="B5546" s="2" t="str">
        <f t="shared" si="2"/>
        <v/>
      </c>
      <c r="C5546" s="2" t="str">
        <f t="shared" si="3"/>
        <v>SP500</v>
      </c>
      <c r="D5546" s="2">
        <f t="shared" si="4"/>
        <v>7577.57</v>
      </c>
      <c r="E5546" s="2">
        <f t="shared" si="5"/>
        <v>7577.57</v>
      </c>
      <c r="G5546" s="10">
        <f t="shared" si="9"/>
        <v>43528.64583</v>
      </c>
      <c r="H5546" s="6" t="str">
        <f t="shared" si="6"/>
        <v/>
      </c>
      <c r="I5546" s="2">
        <f t="shared" si="7"/>
        <v>1426.89</v>
      </c>
    </row>
    <row r="5547">
      <c r="A5547" s="10">
        <f t="shared" si="8"/>
        <v>43529.66667</v>
      </c>
      <c r="B5547" s="2" t="str">
        <f t="shared" si="2"/>
        <v/>
      </c>
      <c r="C5547" s="2" t="str">
        <f t="shared" si="3"/>
        <v>SP500</v>
      </c>
      <c r="D5547" s="2">
        <f t="shared" si="4"/>
        <v>7576.36</v>
      </c>
      <c r="E5547" s="2">
        <f t="shared" si="5"/>
        <v>7576.36</v>
      </c>
      <c r="G5547" s="10">
        <f t="shared" si="9"/>
        <v>43529.64583</v>
      </c>
      <c r="H5547" s="6" t="str">
        <f t="shared" si="6"/>
        <v/>
      </c>
      <c r="I5547" s="2">
        <f t="shared" si="7"/>
        <v>1426.89</v>
      </c>
    </row>
    <row r="5548">
      <c r="A5548" s="10">
        <f t="shared" si="8"/>
        <v>43530.66667</v>
      </c>
      <c r="B5548" s="2" t="str">
        <f t="shared" si="2"/>
        <v/>
      </c>
      <c r="C5548" s="2" t="str">
        <f t="shared" si="3"/>
        <v>SP500</v>
      </c>
      <c r="D5548" s="2">
        <f t="shared" si="4"/>
        <v>7505.92</v>
      </c>
      <c r="E5548" s="2">
        <f t="shared" si="5"/>
        <v>7505.92</v>
      </c>
      <c r="G5548" s="10">
        <f t="shared" si="9"/>
        <v>43530.64583</v>
      </c>
      <c r="H5548" s="6" t="str">
        <f t="shared" si="6"/>
        <v/>
      </c>
      <c r="I5548" s="2">
        <f t="shared" si="7"/>
        <v>1426.89</v>
      </c>
    </row>
    <row r="5549">
      <c r="A5549" s="10">
        <f t="shared" si="8"/>
        <v>43531.66667</v>
      </c>
      <c r="B5549" s="2" t="str">
        <f t="shared" si="2"/>
        <v/>
      </c>
      <c r="C5549" s="2" t="str">
        <f t="shared" si="3"/>
        <v>SP500</v>
      </c>
      <c r="D5549" s="2">
        <f t="shared" si="4"/>
        <v>7421.46</v>
      </c>
      <c r="E5549" s="2">
        <f t="shared" si="5"/>
        <v>7421.46</v>
      </c>
      <c r="G5549" s="10">
        <f t="shared" si="9"/>
        <v>43531.64583</v>
      </c>
      <c r="H5549" s="6" t="str">
        <f t="shared" si="6"/>
        <v/>
      </c>
      <c r="I5549" s="2">
        <f t="shared" si="7"/>
        <v>1426.89</v>
      </c>
    </row>
    <row r="5550">
      <c r="A5550" s="10">
        <f t="shared" si="8"/>
        <v>43532.66667</v>
      </c>
      <c r="B5550" s="2" t="str">
        <f t="shared" si="2"/>
        <v/>
      </c>
      <c r="C5550" s="2" t="str">
        <f t="shared" si="3"/>
        <v>SP500</v>
      </c>
      <c r="D5550" s="2">
        <f t="shared" si="4"/>
        <v>7408.14</v>
      </c>
      <c r="E5550" s="2">
        <f t="shared" si="5"/>
        <v>7408.14</v>
      </c>
      <c r="G5550" s="10">
        <f t="shared" si="9"/>
        <v>43532.64583</v>
      </c>
      <c r="H5550" s="6" t="str">
        <f t="shared" si="6"/>
        <v/>
      </c>
      <c r="I5550" s="2">
        <f t="shared" si="7"/>
        <v>1426.89</v>
      </c>
    </row>
    <row r="5551">
      <c r="A5551" s="10">
        <f t="shared" si="8"/>
        <v>43533.66667</v>
      </c>
      <c r="B5551" s="2" t="str">
        <f t="shared" si="2"/>
        <v/>
      </c>
      <c r="C5551" s="2" t="str">
        <f t="shared" si="3"/>
        <v>SP500</v>
      </c>
      <c r="D5551" s="2" t="str">
        <f t="shared" si="4"/>
        <v/>
      </c>
      <c r="E5551" s="2">
        <f t="shared" si="5"/>
        <v>7408.14</v>
      </c>
      <c r="G5551" s="10">
        <f t="shared" si="9"/>
        <v>43533.64583</v>
      </c>
      <c r="H5551" s="6" t="str">
        <f t="shared" si="6"/>
        <v/>
      </c>
      <c r="I5551" s="2">
        <f t="shared" si="7"/>
        <v>1426.89</v>
      </c>
    </row>
    <row r="5552">
      <c r="A5552" s="10">
        <f t="shared" si="8"/>
        <v>43534.66667</v>
      </c>
      <c r="B5552" s="2" t="str">
        <f t="shared" si="2"/>
        <v/>
      </c>
      <c r="C5552" s="2" t="str">
        <f t="shared" si="3"/>
        <v>SP500</v>
      </c>
      <c r="D5552" s="2" t="str">
        <f t="shared" si="4"/>
        <v/>
      </c>
      <c r="E5552" s="2">
        <f t="shared" si="5"/>
        <v>7408.14</v>
      </c>
      <c r="G5552" s="10">
        <f t="shared" si="9"/>
        <v>43534.64583</v>
      </c>
      <c r="H5552" s="6" t="str">
        <f t="shared" si="6"/>
        <v/>
      </c>
      <c r="I5552" s="2">
        <f t="shared" si="7"/>
        <v>1426.89</v>
      </c>
    </row>
    <row r="5553">
      <c r="A5553" s="10">
        <f t="shared" si="8"/>
        <v>43535.66667</v>
      </c>
      <c r="B5553" s="2" t="str">
        <f t="shared" si="2"/>
        <v/>
      </c>
      <c r="C5553" s="2" t="str">
        <f t="shared" si="3"/>
        <v>SP500</v>
      </c>
      <c r="D5553" s="2">
        <f t="shared" si="4"/>
        <v>7558.06</v>
      </c>
      <c r="E5553" s="2">
        <f t="shared" si="5"/>
        <v>7558.06</v>
      </c>
      <c r="G5553" s="10">
        <f t="shared" si="9"/>
        <v>43535.64583</v>
      </c>
      <c r="H5553" s="6" t="str">
        <f t="shared" si="6"/>
        <v/>
      </c>
      <c r="I5553" s="2">
        <f t="shared" si="7"/>
        <v>1426.89</v>
      </c>
    </row>
    <row r="5554">
      <c r="A5554" s="10">
        <f t="shared" si="8"/>
        <v>43536.66667</v>
      </c>
      <c r="B5554" s="2" t="str">
        <f t="shared" si="2"/>
        <v/>
      </c>
      <c r="C5554" s="2" t="str">
        <f t="shared" si="3"/>
        <v>SP500</v>
      </c>
      <c r="D5554" s="2">
        <f t="shared" si="4"/>
        <v>7591.03</v>
      </c>
      <c r="E5554" s="2">
        <f t="shared" si="5"/>
        <v>7591.03</v>
      </c>
      <c r="G5554" s="10">
        <f t="shared" si="9"/>
        <v>43536.64583</v>
      </c>
      <c r="H5554" s="6" t="str">
        <f t="shared" si="6"/>
        <v/>
      </c>
      <c r="I5554" s="2">
        <f t="shared" si="7"/>
        <v>1426.89</v>
      </c>
    </row>
    <row r="5555">
      <c r="A5555" s="10">
        <f t="shared" si="8"/>
        <v>43537.66667</v>
      </c>
      <c r="B5555" s="2" t="str">
        <f t="shared" si="2"/>
        <v/>
      </c>
      <c r="C5555" s="2" t="str">
        <f t="shared" si="3"/>
        <v>SP500</v>
      </c>
      <c r="D5555" s="2">
        <f t="shared" si="4"/>
        <v>7643.41</v>
      </c>
      <c r="E5555" s="2">
        <f t="shared" si="5"/>
        <v>7643.41</v>
      </c>
      <c r="G5555" s="10">
        <f t="shared" si="9"/>
        <v>43537.64583</v>
      </c>
      <c r="H5555" s="6" t="str">
        <f t="shared" si="6"/>
        <v/>
      </c>
      <c r="I5555" s="2">
        <f t="shared" si="7"/>
        <v>1426.89</v>
      </c>
    </row>
    <row r="5556">
      <c r="A5556" s="10">
        <f t="shared" si="8"/>
        <v>43538.66667</v>
      </c>
      <c r="B5556" s="2" t="str">
        <f t="shared" si="2"/>
        <v/>
      </c>
      <c r="C5556" s="2" t="str">
        <f t="shared" si="3"/>
        <v>SP500</v>
      </c>
      <c r="D5556" s="2">
        <f t="shared" si="4"/>
        <v>7630.91</v>
      </c>
      <c r="E5556" s="2">
        <f t="shared" si="5"/>
        <v>7630.91</v>
      </c>
      <c r="G5556" s="10">
        <f t="shared" si="9"/>
        <v>43538.64583</v>
      </c>
      <c r="H5556" s="6" t="str">
        <f t="shared" si="6"/>
        <v/>
      </c>
      <c r="I5556" s="2">
        <f t="shared" si="7"/>
        <v>1426.89</v>
      </c>
    </row>
    <row r="5557">
      <c r="A5557" s="10">
        <f t="shared" si="8"/>
        <v>43539.66667</v>
      </c>
      <c r="B5557" s="2" t="str">
        <f t="shared" si="2"/>
        <v/>
      </c>
      <c r="C5557" s="2" t="str">
        <f t="shared" si="3"/>
        <v>SP500</v>
      </c>
      <c r="D5557" s="2">
        <f t="shared" si="4"/>
        <v>7688.53</v>
      </c>
      <c r="E5557" s="2">
        <f t="shared" si="5"/>
        <v>7688.53</v>
      </c>
      <c r="G5557" s="10">
        <f t="shared" si="9"/>
        <v>43539.64583</v>
      </c>
      <c r="H5557" s="6" t="str">
        <f t="shared" si="6"/>
        <v/>
      </c>
      <c r="I5557" s="2">
        <f t="shared" si="7"/>
        <v>1426.89</v>
      </c>
    </row>
    <row r="5558">
      <c r="A5558" s="10">
        <f t="shared" si="8"/>
        <v>43540.66667</v>
      </c>
      <c r="B5558" s="2" t="str">
        <f t="shared" si="2"/>
        <v/>
      </c>
      <c r="C5558" s="2" t="str">
        <f t="shared" si="3"/>
        <v>SP500</v>
      </c>
      <c r="D5558" s="2" t="str">
        <f t="shared" si="4"/>
        <v/>
      </c>
      <c r="E5558" s="2">
        <f t="shared" si="5"/>
        <v>7688.53</v>
      </c>
      <c r="G5558" s="10">
        <f t="shared" si="9"/>
        <v>43540.64583</v>
      </c>
      <c r="H5558" s="6" t="str">
        <f t="shared" si="6"/>
        <v/>
      </c>
      <c r="I5558" s="2">
        <f t="shared" si="7"/>
        <v>1426.89</v>
      </c>
    </row>
    <row r="5559">
      <c r="A5559" s="10">
        <f t="shared" si="8"/>
        <v>43541.66667</v>
      </c>
      <c r="B5559" s="2" t="str">
        <f t="shared" si="2"/>
        <v/>
      </c>
      <c r="C5559" s="2" t="str">
        <f t="shared" si="3"/>
        <v>SP500</v>
      </c>
      <c r="D5559" s="2" t="str">
        <f t="shared" si="4"/>
        <v/>
      </c>
      <c r="E5559" s="2">
        <f t="shared" si="5"/>
        <v>7688.53</v>
      </c>
      <c r="G5559" s="10">
        <f t="shared" si="9"/>
        <v>43541.64583</v>
      </c>
      <c r="H5559" s="6" t="str">
        <f t="shared" si="6"/>
        <v/>
      </c>
      <c r="I5559" s="2">
        <f t="shared" si="7"/>
        <v>1426.89</v>
      </c>
    </row>
    <row r="5560">
      <c r="A5560" s="10">
        <f t="shared" si="8"/>
        <v>43542.66667</v>
      </c>
      <c r="B5560" s="2" t="str">
        <f t="shared" si="2"/>
        <v/>
      </c>
      <c r="C5560" s="2" t="str">
        <f t="shared" si="3"/>
        <v>SP500</v>
      </c>
      <c r="D5560" s="2">
        <f t="shared" si="4"/>
        <v>7714.48</v>
      </c>
      <c r="E5560" s="2">
        <f t="shared" si="5"/>
        <v>7714.48</v>
      </c>
      <c r="G5560" s="10">
        <f t="shared" si="9"/>
        <v>43542.64583</v>
      </c>
      <c r="H5560" s="6" t="str">
        <f t="shared" si="6"/>
        <v/>
      </c>
      <c r="I5560" s="2">
        <f t="shared" si="7"/>
        <v>1426.89</v>
      </c>
    </row>
    <row r="5561">
      <c r="A5561" s="10">
        <f t="shared" si="8"/>
        <v>43543.66667</v>
      </c>
      <c r="B5561" s="2" t="str">
        <f t="shared" si="2"/>
        <v/>
      </c>
      <c r="C5561" s="2" t="str">
        <f t="shared" si="3"/>
        <v>SP500</v>
      </c>
      <c r="D5561" s="2">
        <f t="shared" si="4"/>
        <v>7723.95</v>
      </c>
      <c r="E5561" s="2">
        <f t="shared" si="5"/>
        <v>7723.95</v>
      </c>
      <c r="G5561" s="10">
        <f t="shared" si="9"/>
        <v>43543.64583</v>
      </c>
      <c r="H5561" s="6" t="str">
        <f t="shared" si="6"/>
        <v/>
      </c>
      <c r="I5561" s="2">
        <f t="shared" si="7"/>
        <v>1426.89</v>
      </c>
    </row>
    <row r="5562">
      <c r="A5562" s="10">
        <f t="shared" si="8"/>
        <v>43544.66667</v>
      </c>
      <c r="B5562" s="2" t="str">
        <f t="shared" si="2"/>
        <v/>
      </c>
      <c r="C5562" s="2" t="str">
        <f t="shared" si="3"/>
        <v>SP500</v>
      </c>
      <c r="D5562" s="2">
        <f t="shared" si="4"/>
        <v>7728.97</v>
      </c>
      <c r="E5562" s="2">
        <f t="shared" si="5"/>
        <v>7728.97</v>
      </c>
      <c r="G5562" s="10">
        <f t="shared" si="9"/>
        <v>43544.64583</v>
      </c>
      <c r="H5562" s="6" t="str">
        <f t="shared" si="6"/>
        <v/>
      </c>
      <c r="I5562" s="2">
        <f t="shared" si="7"/>
        <v>1426.89</v>
      </c>
    </row>
    <row r="5563">
      <c r="A5563" s="10">
        <f t="shared" si="8"/>
        <v>43545.66667</v>
      </c>
      <c r="B5563" s="2" t="str">
        <f t="shared" si="2"/>
        <v/>
      </c>
      <c r="C5563" s="2" t="str">
        <f t="shared" si="3"/>
        <v>SP500</v>
      </c>
      <c r="D5563" s="2">
        <f t="shared" si="4"/>
        <v>7838.96</v>
      </c>
      <c r="E5563" s="2">
        <f t="shared" si="5"/>
        <v>7838.96</v>
      </c>
      <c r="G5563" s="10">
        <f t="shared" si="9"/>
        <v>43545.64583</v>
      </c>
      <c r="H5563" s="6" t="str">
        <f t="shared" si="6"/>
        <v/>
      </c>
      <c r="I5563" s="2">
        <f t="shared" si="7"/>
        <v>1426.89</v>
      </c>
    </row>
    <row r="5564">
      <c r="A5564" s="10">
        <f t="shared" si="8"/>
        <v>43546.66667</v>
      </c>
      <c r="B5564" s="2" t="str">
        <f t="shared" si="2"/>
        <v/>
      </c>
      <c r="C5564" s="2" t="str">
        <f t="shared" si="3"/>
        <v>SP500</v>
      </c>
      <c r="D5564" s="2">
        <f t="shared" si="4"/>
        <v>7642.67</v>
      </c>
      <c r="E5564" s="2">
        <f t="shared" si="5"/>
        <v>7642.67</v>
      </c>
      <c r="G5564" s="10">
        <f t="shared" si="9"/>
        <v>43546.64583</v>
      </c>
      <c r="H5564" s="6" t="str">
        <f t="shared" si="6"/>
        <v/>
      </c>
      <c r="I5564" s="2">
        <f t="shared" si="7"/>
        <v>1426.89</v>
      </c>
    </row>
    <row r="5565">
      <c r="A5565" s="10">
        <f t="shared" si="8"/>
        <v>43547.66667</v>
      </c>
      <c r="B5565" s="2" t="str">
        <f t="shared" si="2"/>
        <v/>
      </c>
      <c r="C5565" s="2" t="str">
        <f t="shared" si="3"/>
        <v>SP500</v>
      </c>
      <c r="D5565" s="2" t="str">
        <f t="shared" si="4"/>
        <v/>
      </c>
      <c r="E5565" s="2">
        <f t="shared" si="5"/>
        <v>7642.67</v>
      </c>
      <c r="G5565" s="10">
        <f t="shared" si="9"/>
        <v>43547.64583</v>
      </c>
      <c r="H5565" s="6" t="str">
        <f t="shared" si="6"/>
        <v/>
      </c>
      <c r="I5565" s="2">
        <f t="shared" si="7"/>
        <v>1426.89</v>
      </c>
    </row>
    <row r="5566">
      <c r="A5566" s="10">
        <f t="shared" si="8"/>
        <v>43548.66667</v>
      </c>
      <c r="B5566" s="2" t="str">
        <f t="shared" si="2"/>
        <v/>
      </c>
      <c r="C5566" s="2" t="str">
        <f t="shared" si="3"/>
        <v>SP500</v>
      </c>
      <c r="D5566" s="2" t="str">
        <f t="shared" si="4"/>
        <v/>
      </c>
      <c r="E5566" s="2">
        <f t="shared" si="5"/>
        <v>7642.67</v>
      </c>
      <c r="G5566" s="10">
        <f t="shared" si="9"/>
        <v>43548.64583</v>
      </c>
      <c r="H5566" s="6" t="str">
        <f t="shared" si="6"/>
        <v/>
      </c>
      <c r="I5566" s="2">
        <f t="shared" si="7"/>
        <v>1426.89</v>
      </c>
    </row>
    <row r="5567">
      <c r="A5567" s="10">
        <f t="shared" si="8"/>
        <v>43549.66667</v>
      </c>
      <c r="B5567" s="2" t="str">
        <f t="shared" si="2"/>
        <v/>
      </c>
      <c r="C5567" s="2" t="str">
        <f t="shared" si="3"/>
        <v>SP500</v>
      </c>
      <c r="D5567" s="2">
        <f t="shared" si="4"/>
        <v>7637.54</v>
      </c>
      <c r="E5567" s="2">
        <f t="shared" si="5"/>
        <v>7637.54</v>
      </c>
      <c r="G5567" s="10">
        <f t="shared" si="9"/>
        <v>43549.64583</v>
      </c>
      <c r="H5567" s="6" t="str">
        <f t="shared" si="6"/>
        <v/>
      </c>
      <c r="I5567" s="2">
        <f t="shared" si="7"/>
        <v>1426.89</v>
      </c>
    </row>
    <row r="5568">
      <c r="A5568" s="10">
        <f t="shared" si="8"/>
        <v>43550.66667</v>
      </c>
      <c r="B5568" s="2" t="str">
        <f t="shared" si="2"/>
        <v/>
      </c>
      <c r="C5568" s="2" t="str">
        <f t="shared" si="3"/>
        <v>SP500</v>
      </c>
      <c r="D5568" s="2">
        <f t="shared" si="4"/>
        <v>7691.52</v>
      </c>
      <c r="E5568" s="2">
        <f t="shared" si="5"/>
        <v>7691.52</v>
      </c>
      <c r="G5568" s="10">
        <f t="shared" si="9"/>
        <v>43550.64583</v>
      </c>
      <c r="H5568" s="6" t="str">
        <f t="shared" si="6"/>
        <v/>
      </c>
      <c r="I5568" s="2">
        <f t="shared" si="7"/>
        <v>1426.89</v>
      </c>
    </row>
    <row r="5569">
      <c r="A5569" s="10">
        <f t="shared" si="8"/>
        <v>43551.66667</v>
      </c>
      <c r="B5569" s="2" t="str">
        <f t="shared" si="2"/>
        <v/>
      </c>
      <c r="C5569" s="2" t="str">
        <f t="shared" si="3"/>
        <v>SP500</v>
      </c>
      <c r="D5569" s="2">
        <f t="shared" si="4"/>
        <v>7643.38</v>
      </c>
      <c r="E5569" s="2">
        <f t="shared" si="5"/>
        <v>7643.38</v>
      </c>
      <c r="G5569" s="10">
        <f t="shared" si="9"/>
        <v>43551.64583</v>
      </c>
      <c r="H5569" s="6" t="str">
        <f t="shared" si="6"/>
        <v/>
      </c>
      <c r="I5569" s="2">
        <f t="shared" si="7"/>
        <v>1426.89</v>
      </c>
    </row>
    <row r="5570">
      <c r="A5570" s="10">
        <f t="shared" si="8"/>
        <v>43552.66667</v>
      </c>
      <c r="B5570" s="2" t="str">
        <f t="shared" si="2"/>
        <v/>
      </c>
      <c r="C5570" s="2" t="str">
        <f t="shared" si="3"/>
        <v>SP500</v>
      </c>
      <c r="D5570" s="2">
        <f t="shared" si="4"/>
        <v>7669.17</v>
      </c>
      <c r="E5570" s="2">
        <f t="shared" si="5"/>
        <v>7669.17</v>
      </c>
      <c r="G5570" s="10">
        <f t="shared" si="9"/>
        <v>43552.64583</v>
      </c>
      <c r="H5570" s="6" t="str">
        <f t="shared" si="6"/>
        <v/>
      </c>
      <c r="I5570" s="2">
        <f t="shared" si="7"/>
        <v>1426.89</v>
      </c>
    </row>
    <row r="5571">
      <c r="A5571" s="10">
        <f t="shared" si="8"/>
        <v>43553.66667</v>
      </c>
      <c r="B5571" s="2" t="str">
        <f t="shared" si="2"/>
        <v/>
      </c>
      <c r="C5571" s="2" t="str">
        <f t="shared" si="3"/>
        <v>SP500</v>
      </c>
      <c r="D5571" s="2">
        <f t="shared" si="4"/>
        <v>7729.32</v>
      </c>
      <c r="E5571" s="2">
        <f t="shared" si="5"/>
        <v>7729.32</v>
      </c>
      <c r="G5571" s="10">
        <f t="shared" si="9"/>
        <v>43553.64583</v>
      </c>
      <c r="H5571" s="6" t="str">
        <f t="shared" si="6"/>
        <v/>
      </c>
      <c r="I5571" s="2">
        <f t="shared" si="7"/>
        <v>1426.89</v>
      </c>
    </row>
    <row r="5572">
      <c r="A5572" s="10">
        <f t="shared" si="8"/>
        <v>43554.66667</v>
      </c>
      <c r="B5572" s="2" t="str">
        <f t="shared" si="2"/>
        <v/>
      </c>
      <c r="C5572" s="2" t="str">
        <f t="shared" si="3"/>
        <v>SP500</v>
      </c>
      <c r="D5572" s="2" t="str">
        <f t="shared" si="4"/>
        <v/>
      </c>
      <c r="E5572" s="2">
        <f t="shared" si="5"/>
        <v>7729.32</v>
      </c>
      <c r="G5572" s="10">
        <f t="shared" si="9"/>
        <v>43554.64583</v>
      </c>
      <c r="H5572" s="6" t="str">
        <f t="shared" si="6"/>
        <v/>
      </c>
      <c r="I5572" s="2">
        <f t="shared" si="7"/>
        <v>1426.89</v>
      </c>
    </row>
    <row r="5573">
      <c r="A5573" s="10">
        <f t="shared" si="8"/>
        <v>43555.66667</v>
      </c>
      <c r="B5573" s="2" t="str">
        <f t="shared" si="2"/>
        <v/>
      </c>
      <c r="C5573" s="2" t="str">
        <f t="shared" si="3"/>
        <v>SP500</v>
      </c>
      <c r="D5573" s="2" t="str">
        <f t="shared" si="4"/>
        <v/>
      </c>
      <c r="E5573" s="2">
        <f t="shared" si="5"/>
        <v>7729.32</v>
      </c>
      <c r="G5573" s="10">
        <f t="shared" si="9"/>
        <v>43555.64583</v>
      </c>
      <c r="H5573" s="6" t="str">
        <f t="shared" si="6"/>
        <v/>
      </c>
      <c r="I5573" s="2">
        <f t="shared" si="7"/>
        <v>1426.89</v>
      </c>
    </row>
    <row r="5574">
      <c r="A5574" s="10">
        <f t="shared" si="8"/>
        <v>43556.66667</v>
      </c>
      <c r="B5574" s="2" t="str">
        <f t="shared" si="2"/>
        <v/>
      </c>
      <c r="C5574" s="2" t="str">
        <f t="shared" si="3"/>
        <v>SP500</v>
      </c>
      <c r="D5574" s="2">
        <f t="shared" si="4"/>
        <v>7828.91</v>
      </c>
      <c r="E5574" s="2">
        <f t="shared" si="5"/>
        <v>7828.91</v>
      </c>
      <c r="G5574" s="10">
        <f t="shared" si="9"/>
        <v>43556.64583</v>
      </c>
      <c r="H5574" s="6" t="str">
        <f t="shared" si="6"/>
        <v/>
      </c>
      <c r="I5574" s="2">
        <f t="shared" si="7"/>
        <v>1426.89</v>
      </c>
    </row>
    <row r="5575">
      <c r="A5575" s="10">
        <f t="shared" si="8"/>
        <v>43557.66667</v>
      </c>
      <c r="B5575" s="2" t="str">
        <f t="shared" si="2"/>
        <v/>
      </c>
      <c r="C5575" s="2" t="str">
        <f t="shared" si="3"/>
        <v>SP500</v>
      </c>
      <c r="D5575" s="2">
        <f t="shared" si="4"/>
        <v>7848.69</v>
      </c>
      <c r="E5575" s="2">
        <f t="shared" si="5"/>
        <v>7848.69</v>
      </c>
      <c r="G5575" s="10">
        <f t="shared" si="9"/>
        <v>43557.64583</v>
      </c>
      <c r="H5575" s="6" t="str">
        <f t="shared" si="6"/>
        <v/>
      </c>
      <c r="I5575" s="2">
        <f t="shared" si="7"/>
        <v>1426.89</v>
      </c>
    </row>
    <row r="5576">
      <c r="A5576" s="10">
        <f t="shared" si="8"/>
        <v>43558.66667</v>
      </c>
      <c r="B5576" s="2" t="str">
        <f t="shared" si="2"/>
        <v/>
      </c>
      <c r="C5576" s="2" t="str">
        <f t="shared" si="3"/>
        <v>SP500</v>
      </c>
      <c r="D5576" s="2">
        <f t="shared" si="4"/>
        <v>7895.55</v>
      </c>
      <c r="E5576" s="2">
        <f t="shared" si="5"/>
        <v>7895.55</v>
      </c>
      <c r="G5576" s="10">
        <f t="shared" si="9"/>
        <v>43558.64583</v>
      </c>
      <c r="H5576" s="6" t="str">
        <f t="shared" si="6"/>
        <v/>
      </c>
      <c r="I5576" s="2">
        <f t="shared" si="7"/>
        <v>1426.89</v>
      </c>
    </row>
    <row r="5577">
      <c r="A5577" s="10">
        <f t="shared" si="8"/>
        <v>43559.66667</v>
      </c>
      <c r="B5577" s="2" t="str">
        <f t="shared" si="2"/>
        <v/>
      </c>
      <c r="C5577" s="2" t="str">
        <f t="shared" si="3"/>
        <v>SP500</v>
      </c>
      <c r="D5577" s="2">
        <f t="shared" si="4"/>
        <v>7891.78</v>
      </c>
      <c r="E5577" s="2">
        <f t="shared" si="5"/>
        <v>7891.78</v>
      </c>
      <c r="G5577" s="10">
        <f t="shared" si="9"/>
        <v>43559.64583</v>
      </c>
      <c r="H5577" s="6" t="str">
        <f t="shared" si="6"/>
        <v/>
      </c>
      <c r="I5577" s="2">
        <f t="shared" si="7"/>
        <v>1426.89</v>
      </c>
    </row>
    <row r="5578">
      <c r="A5578" s="10">
        <f t="shared" si="8"/>
        <v>43560.66667</v>
      </c>
      <c r="B5578" s="2" t="str">
        <f t="shared" si="2"/>
        <v/>
      </c>
      <c r="C5578" s="2" t="str">
        <f t="shared" si="3"/>
        <v>SP500</v>
      </c>
      <c r="D5578" s="2">
        <f t="shared" si="4"/>
        <v>7938.69</v>
      </c>
      <c r="E5578" s="2">
        <f t="shared" si="5"/>
        <v>7938.69</v>
      </c>
      <c r="G5578" s="10">
        <f t="shared" si="9"/>
        <v>43560.64583</v>
      </c>
      <c r="H5578" s="6" t="str">
        <f t="shared" si="6"/>
        <v/>
      </c>
      <c r="I5578" s="2">
        <f t="shared" si="7"/>
        <v>1426.89</v>
      </c>
    </row>
    <row r="5579">
      <c r="A5579" s="10">
        <f t="shared" si="8"/>
        <v>43561.66667</v>
      </c>
      <c r="B5579" s="2" t="str">
        <f t="shared" si="2"/>
        <v/>
      </c>
      <c r="C5579" s="2" t="str">
        <f t="shared" si="3"/>
        <v>SP500</v>
      </c>
      <c r="D5579" s="2" t="str">
        <f t="shared" si="4"/>
        <v/>
      </c>
      <c r="E5579" s="2">
        <f t="shared" si="5"/>
        <v>7938.69</v>
      </c>
      <c r="G5579" s="10">
        <f t="shared" si="9"/>
        <v>43561.64583</v>
      </c>
      <c r="H5579" s="6" t="str">
        <f t="shared" si="6"/>
        <v/>
      </c>
      <c r="I5579" s="2">
        <f t="shared" si="7"/>
        <v>1426.89</v>
      </c>
    </row>
    <row r="5580">
      <c r="A5580" s="10">
        <f t="shared" si="8"/>
        <v>43562.66667</v>
      </c>
      <c r="B5580" s="2" t="str">
        <f t="shared" si="2"/>
        <v/>
      </c>
      <c r="C5580" s="2" t="str">
        <f t="shared" si="3"/>
        <v>SP500</v>
      </c>
      <c r="D5580" s="2" t="str">
        <f t="shared" si="4"/>
        <v/>
      </c>
      <c r="E5580" s="2">
        <f t="shared" si="5"/>
        <v>7938.69</v>
      </c>
      <c r="G5580" s="10">
        <f t="shared" si="9"/>
        <v>43562.64583</v>
      </c>
      <c r="H5580" s="6" t="str">
        <f t="shared" si="6"/>
        <v/>
      </c>
      <c r="I5580" s="2">
        <f t="shared" si="7"/>
        <v>1426.89</v>
      </c>
    </row>
    <row r="5581">
      <c r="A5581" s="10">
        <f t="shared" si="8"/>
        <v>43563.66667</v>
      </c>
      <c r="B5581" s="2" t="str">
        <f t="shared" si="2"/>
        <v/>
      </c>
      <c r="C5581" s="2" t="str">
        <f t="shared" si="3"/>
        <v>SP500</v>
      </c>
      <c r="D5581" s="2">
        <f t="shared" si="4"/>
        <v>7953.88</v>
      </c>
      <c r="E5581" s="2">
        <f t="shared" si="5"/>
        <v>7953.88</v>
      </c>
      <c r="G5581" s="10">
        <f t="shared" si="9"/>
        <v>43563.64583</v>
      </c>
      <c r="H5581" s="6" t="str">
        <f t="shared" si="6"/>
        <v/>
      </c>
      <c r="I5581" s="2">
        <f t="shared" si="7"/>
        <v>1426.89</v>
      </c>
    </row>
    <row r="5582">
      <c r="A5582" s="10">
        <f t="shared" si="8"/>
        <v>43564.66667</v>
      </c>
      <c r="B5582" s="2" t="str">
        <f t="shared" si="2"/>
        <v/>
      </c>
      <c r="C5582" s="2" t="str">
        <f t="shared" si="3"/>
        <v>SP500</v>
      </c>
      <c r="D5582" s="2">
        <f t="shared" si="4"/>
        <v>7909.28</v>
      </c>
      <c r="E5582" s="2">
        <f t="shared" si="5"/>
        <v>7909.28</v>
      </c>
      <c r="G5582" s="10">
        <f t="shared" si="9"/>
        <v>43564.64583</v>
      </c>
      <c r="H5582" s="6" t="str">
        <f t="shared" si="6"/>
        <v/>
      </c>
      <c r="I5582" s="2">
        <f t="shared" si="7"/>
        <v>1426.89</v>
      </c>
    </row>
    <row r="5583">
      <c r="A5583" s="10">
        <f t="shared" si="8"/>
        <v>43565.66667</v>
      </c>
      <c r="B5583" s="2" t="str">
        <f t="shared" si="2"/>
        <v/>
      </c>
      <c r="C5583" s="2" t="str">
        <f t="shared" si="3"/>
        <v>SP500</v>
      </c>
      <c r="D5583" s="2">
        <f t="shared" si="4"/>
        <v>7964.24</v>
      </c>
      <c r="E5583" s="2">
        <f t="shared" si="5"/>
        <v>7964.24</v>
      </c>
      <c r="G5583" s="10">
        <f t="shared" si="9"/>
        <v>43565.64583</v>
      </c>
      <c r="H5583" s="6" t="str">
        <f t="shared" si="6"/>
        <v/>
      </c>
      <c r="I5583" s="2">
        <f t="shared" si="7"/>
        <v>1426.89</v>
      </c>
    </row>
    <row r="5584">
      <c r="A5584" s="10">
        <f t="shared" si="8"/>
        <v>43566.66667</v>
      </c>
      <c r="B5584" s="2" t="str">
        <f t="shared" si="2"/>
        <v/>
      </c>
      <c r="C5584" s="2" t="str">
        <f t="shared" si="3"/>
        <v>SP500</v>
      </c>
      <c r="D5584" s="2">
        <f t="shared" si="4"/>
        <v>7947.36</v>
      </c>
      <c r="E5584" s="2">
        <f t="shared" si="5"/>
        <v>7947.36</v>
      </c>
      <c r="G5584" s="10">
        <f t="shared" si="9"/>
        <v>43566.64583</v>
      </c>
      <c r="H5584" s="6" t="str">
        <f t="shared" si="6"/>
        <v/>
      </c>
      <c r="I5584" s="2">
        <f t="shared" si="7"/>
        <v>1426.89</v>
      </c>
    </row>
    <row r="5585">
      <c r="A5585" s="10">
        <f t="shared" si="8"/>
        <v>43567.66667</v>
      </c>
      <c r="B5585" s="2" t="str">
        <f t="shared" si="2"/>
        <v/>
      </c>
      <c r="C5585" s="2" t="str">
        <f t="shared" si="3"/>
        <v>SP500</v>
      </c>
      <c r="D5585" s="2">
        <f t="shared" si="4"/>
        <v>7984.16</v>
      </c>
      <c r="E5585" s="2">
        <f t="shared" si="5"/>
        <v>7984.16</v>
      </c>
      <c r="G5585" s="10">
        <f t="shared" si="9"/>
        <v>43567.64583</v>
      </c>
      <c r="H5585" s="6" t="str">
        <f t="shared" si="6"/>
        <v/>
      </c>
      <c r="I5585" s="2">
        <f t="shared" si="7"/>
        <v>1426.89</v>
      </c>
    </row>
    <row r="5586">
      <c r="A5586" s="10">
        <f t="shared" si="8"/>
        <v>43568.66667</v>
      </c>
      <c r="B5586" s="2" t="str">
        <f t="shared" si="2"/>
        <v/>
      </c>
      <c r="C5586" s="2" t="str">
        <f t="shared" si="3"/>
        <v>SP500</v>
      </c>
      <c r="D5586" s="2" t="str">
        <f t="shared" si="4"/>
        <v/>
      </c>
      <c r="E5586" s="2">
        <f t="shared" si="5"/>
        <v>7984.16</v>
      </c>
      <c r="G5586" s="10">
        <f t="shared" si="9"/>
        <v>43568.64583</v>
      </c>
      <c r="H5586" s="6" t="str">
        <f t="shared" si="6"/>
        <v/>
      </c>
      <c r="I5586" s="2">
        <f t="shared" si="7"/>
        <v>1426.89</v>
      </c>
    </row>
    <row r="5587">
      <c r="A5587" s="10">
        <f t="shared" si="8"/>
        <v>43569.66667</v>
      </c>
      <c r="B5587" s="2" t="str">
        <f t="shared" si="2"/>
        <v/>
      </c>
      <c r="C5587" s="2" t="str">
        <f t="shared" si="3"/>
        <v>SP500</v>
      </c>
      <c r="D5587" s="2" t="str">
        <f t="shared" si="4"/>
        <v/>
      </c>
      <c r="E5587" s="2">
        <f t="shared" si="5"/>
        <v>7984.16</v>
      </c>
      <c r="G5587" s="10">
        <f t="shared" si="9"/>
        <v>43569.64583</v>
      </c>
      <c r="H5587" s="6" t="str">
        <f t="shared" si="6"/>
        <v/>
      </c>
      <c r="I5587" s="2">
        <f t="shared" si="7"/>
        <v>1426.89</v>
      </c>
    </row>
    <row r="5588">
      <c r="A5588" s="10">
        <f t="shared" si="8"/>
        <v>43570.66667</v>
      </c>
      <c r="B5588" s="2" t="str">
        <f t="shared" si="2"/>
        <v/>
      </c>
      <c r="C5588" s="2" t="str">
        <f t="shared" si="3"/>
        <v>SP500</v>
      </c>
      <c r="D5588" s="2">
        <f t="shared" si="4"/>
        <v>7976.01</v>
      </c>
      <c r="E5588" s="2">
        <f t="shared" si="5"/>
        <v>7976.01</v>
      </c>
      <c r="G5588" s="10">
        <f t="shared" si="9"/>
        <v>43570.64583</v>
      </c>
      <c r="H5588" s="6" t="str">
        <f t="shared" si="6"/>
        <v/>
      </c>
      <c r="I5588" s="2">
        <f t="shared" si="7"/>
        <v>1426.89</v>
      </c>
    </row>
    <row r="5589">
      <c r="A5589" s="10">
        <f t="shared" si="8"/>
        <v>43571.66667</v>
      </c>
      <c r="B5589" s="2" t="str">
        <f t="shared" si="2"/>
        <v/>
      </c>
      <c r="C5589" s="2" t="str">
        <f t="shared" si="3"/>
        <v>SP500</v>
      </c>
      <c r="D5589" s="2">
        <f t="shared" si="4"/>
        <v>8000.23</v>
      </c>
      <c r="E5589" s="2">
        <f t="shared" si="5"/>
        <v>8000.23</v>
      </c>
      <c r="G5589" s="10">
        <f t="shared" si="9"/>
        <v>43571.64583</v>
      </c>
      <c r="H5589" s="6" t="str">
        <f t="shared" si="6"/>
        <v/>
      </c>
      <c r="I5589" s="2">
        <f t="shared" si="7"/>
        <v>1426.89</v>
      </c>
    </row>
    <row r="5590">
      <c r="A5590" s="10">
        <f t="shared" si="8"/>
        <v>43572.66667</v>
      </c>
      <c r="B5590" s="2" t="str">
        <f t="shared" si="2"/>
        <v/>
      </c>
      <c r="C5590" s="2" t="str">
        <f t="shared" si="3"/>
        <v>SP500</v>
      </c>
      <c r="D5590" s="2">
        <f t="shared" si="4"/>
        <v>7996.08</v>
      </c>
      <c r="E5590" s="2">
        <f t="shared" si="5"/>
        <v>7996.08</v>
      </c>
      <c r="G5590" s="10">
        <f t="shared" si="9"/>
        <v>43572.64583</v>
      </c>
      <c r="H5590" s="6" t="str">
        <f t="shared" si="6"/>
        <v/>
      </c>
      <c r="I5590" s="2">
        <f t="shared" si="7"/>
        <v>1426.89</v>
      </c>
    </row>
    <row r="5591">
      <c r="A5591" s="10">
        <f t="shared" si="8"/>
        <v>43573.66667</v>
      </c>
      <c r="B5591" s="2" t="str">
        <f t="shared" si="2"/>
        <v/>
      </c>
      <c r="C5591" s="2" t="str">
        <f t="shared" si="3"/>
        <v>SP500</v>
      </c>
      <c r="D5591" s="2">
        <f t="shared" si="4"/>
        <v>7998.06</v>
      </c>
      <c r="E5591" s="2">
        <f t="shared" si="5"/>
        <v>7998.06</v>
      </c>
      <c r="G5591" s="10">
        <f t="shared" si="9"/>
        <v>43573.64583</v>
      </c>
      <c r="H5591" s="6" t="str">
        <f t="shared" si="6"/>
        <v/>
      </c>
      <c r="I5591" s="2">
        <f t="shared" si="7"/>
        <v>1426.89</v>
      </c>
    </row>
    <row r="5592">
      <c r="A5592" s="10">
        <f t="shared" si="8"/>
        <v>43574.66667</v>
      </c>
      <c r="B5592" s="2" t="str">
        <f t="shared" si="2"/>
        <v/>
      </c>
      <c r="C5592" s="2" t="str">
        <f t="shared" si="3"/>
        <v>SP500</v>
      </c>
      <c r="D5592" s="2" t="str">
        <f t="shared" si="4"/>
        <v/>
      </c>
      <c r="E5592" s="2">
        <f t="shared" si="5"/>
        <v>7998.06</v>
      </c>
      <c r="G5592" s="10">
        <f t="shared" si="9"/>
        <v>43574.64583</v>
      </c>
      <c r="H5592" s="6" t="str">
        <f t="shared" si="6"/>
        <v/>
      </c>
      <c r="I5592" s="2">
        <f t="shared" si="7"/>
        <v>1426.89</v>
      </c>
    </row>
    <row r="5593">
      <c r="A5593" s="10">
        <f t="shared" si="8"/>
        <v>43575.66667</v>
      </c>
      <c r="B5593" s="2" t="str">
        <f t="shared" si="2"/>
        <v/>
      </c>
      <c r="C5593" s="2" t="str">
        <f t="shared" si="3"/>
        <v>SP500</v>
      </c>
      <c r="D5593" s="2" t="str">
        <f t="shared" si="4"/>
        <v/>
      </c>
      <c r="E5593" s="2">
        <f t="shared" si="5"/>
        <v>7998.06</v>
      </c>
      <c r="G5593" s="10">
        <f t="shared" si="9"/>
        <v>43575.64583</v>
      </c>
      <c r="H5593" s="6" t="str">
        <f t="shared" si="6"/>
        <v/>
      </c>
      <c r="I5593" s="2">
        <f t="shared" si="7"/>
        <v>1426.89</v>
      </c>
    </row>
    <row r="5594">
      <c r="A5594" s="10">
        <f t="shared" si="8"/>
        <v>43576.66667</v>
      </c>
      <c r="B5594" s="2" t="str">
        <f t="shared" si="2"/>
        <v/>
      </c>
      <c r="C5594" s="2" t="str">
        <f t="shared" si="3"/>
        <v>SP500</v>
      </c>
      <c r="D5594" s="2" t="str">
        <f t="shared" si="4"/>
        <v/>
      </c>
      <c r="E5594" s="2">
        <f t="shared" si="5"/>
        <v>7998.06</v>
      </c>
      <c r="G5594" s="10">
        <f t="shared" si="9"/>
        <v>43576.64583</v>
      </c>
      <c r="H5594" s="6" t="str">
        <f t="shared" si="6"/>
        <v/>
      </c>
      <c r="I5594" s="2">
        <f t="shared" si="7"/>
        <v>1426.89</v>
      </c>
    </row>
    <row r="5595">
      <c r="A5595" s="10">
        <f t="shared" si="8"/>
        <v>43577.66667</v>
      </c>
      <c r="B5595" s="2" t="str">
        <f t="shared" si="2"/>
        <v/>
      </c>
      <c r="C5595" s="2" t="str">
        <f t="shared" si="3"/>
        <v>SP500</v>
      </c>
      <c r="D5595" s="2">
        <f t="shared" si="4"/>
        <v>8015.27</v>
      </c>
      <c r="E5595" s="2">
        <f t="shared" si="5"/>
        <v>8015.27</v>
      </c>
      <c r="G5595" s="10">
        <f t="shared" si="9"/>
        <v>43577.64583</v>
      </c>
      <c r="H5595" s="6" t="str">
        <f t="shared" si="6"/>
        <v/>
      </c>
      <c r="I5595" s="2">
        <f t="shared" si="7"/>
        <v>1426.89</v>
      </c>
    </row>
    <row r="5596">
      <c r="A5596" s="10">
        <f t="shared" si="8"/>
        <v>43578.66667</v>
      </c>
      <c r="B5596" s="2" t="str">
        <f t="shared" si="2"/>
        <v/>
      </c>
      <c r="C5596" s="2" t="str">
        <f t="shared" si="3"/>
        <v>SP500</v>
      </c>
      <c r="D5596" s="2">
        <f t="shared" si="4"/>
        <v>8120.82</v>
      </c>
      <c r="E5596" s="2">
        <f t="shared" si="5"/>
        <v>8120.82</v>
      </c>
      <c r="G5596" s="10">
        <f t="shared" si="9"/>
        <v>43578.64583</v>
      </c>
      <c r="H5596" s="6" t="str">
        <f t="shared" si="6"/>
        <v/>
      </c>
      <c r="I5596" s="2">
        <f t="shared" si="7"/>
        <v>1426.89</v>
      </c>
    </row>
    <row r="5597">
      <c r="A5597" s="10">
        <f t="shared" si="8"/>
        <v>43579.66667</v>
      </c>
      <c r="B5597" s="2" t="str">
        <f t="shared" si="2"/>
        <v/>
      </c>
      <c r="C5597" s="2" t="str">
        <f t="shared" si="3"/>
        <v>SP500</v>
      </c>
      <c r="D5597" s="2">
        <f t="shared" si="4"/>
        <v>8102.02</v>
      </c>
      <c r="E5597" s="2">
        <f t="shared" si="5"/>
        <v>8102.02</v>
      </c>
      <c r="G5597" s="10">
        <f t="shared" si="9"/>
        <v>43579.64583</v>
      </c>
      <c r="H5597" s="6" t="str">
        <f t="shared" si="6"/>
        <v/>
      </c>
      <c r="I5597" s="2">
        <f t="shared" si="7"/>
        <v>1426.89</v>
      </c>
    </row>
    <row r="5598">
      <c r="A5598" s="10">
        <f t="shared" si="8"/>
        <v>43580.66667</v>
      </c>
      <c r="B5598" s="2" t="str">
        <f t="shared" si="2"/>
        <v/>
      </c>
      <c r="C5598" s="2" t="str">
        <f t="shared" si="3"/>
        <v>SP500</v>
      </c>
      <c r="D5598" s="2">
        <f t="shared" si="4"/>
        <v>8118.68</v>
      </c>
      <c r="E5598" s="2">
        <f t="shared" si="5"/>
        <v>8118.68</v>
      </c>
      <c r="G5598" s="10">
        <f t="shared" si="9"/>
        <v>43580.64583</v>
      </c>
      <c r="H5598" s="6" t="str">
        <f t="shared" si="6"/>
        <v/>
      </c>
      <c r="I5598" s="2">
        <f t="shared" si="7"/>
        <v>1426.89</v>
      </c>
    </row>
    <row r="5599">
      <c r="A5599" s="10">
        <f t="shared" si="8"/>
        <v>43581.66667</v>
      </c>
      <c r="B5599" s="2" t="str">
        <f t="shared" si="2"/>
        <v/>
      </c>
      <c r="C5599" s="2" t="str">
        <f t="shared" si="3"/>
        <v>SP500</v>
      </c>
      <c r="D5599" s="2">
        <f t="shared" si="4"/>
        <v>8146.4</v>
      </c>
      <c r="E5599" s="2">
        <f t="shared" si="5"/>
        <v>8146.4</v>
      </c>
      <c r="G5599" s="10">
        <f t="shared" si="9"/>
        <v>43581.64583</v>
      </c>
      <c r="H5599" s="6" t="str">
        <f t="shared" si="6"/>
        <v/>
      </c>
      <c r="I5599" s="2">
        <f t="shared" si="7"/>
        <v>1426.89</v>
      </c>
    </row>
    <row r="5600">
      <c r="A5600" s="10">
        <f t="shared" si="8"/>
        <v>43582.66667</v>
      </c>
      <c r="B5600" s="2" t="str">
        <f t="shared" si="2"/>
        <v/>
      </c>
      <c r="C5600" s="2" t="str">
        <f t="shared" si="3"/>
        <v>SP500</v>
      </c>
      <c r="D5600" s="2" t="str">
        <f t="shared" si="4"/>
        <v/>
      </c>
      <c r="E5600" s="2">
        <f t="shared" si="5"/>
        <v>8146.4</v>
      </c>
      <c r="G5600" s="10">
        <f t="shared" si="9"/>
        <v>43582.64583</v>
      </c>
      <c r="H5600" s="6" t="str">
        <f t="shared" si="6"/>
        <v/>
      </c>
      <c r="I5600" s="2">
        <f t="shared" si="7"/>
        <v>1426.89</v>
      </c>
    </row>
    <row r="5601">
      <c r="A5601" s="10">
        <f t="shared" si="8"/>
        <v>43583.66667</v>
      </c>
      <c r="B5601" s="2" t="str">
        <f t="shared" si="2"/>
        <v/>
      </c>
      <c r="C5601" s="2" t="str">
        <f t="shared" si="3"/>
        <v>SP500</v>
      </c>
      <c r="D5601" s="2" t="str">
        <f t="shared" si="4"/>
        <v/>
      </c>
      <c r="E5601" s="2">
        <f t="shared" si="5"/>
        <v>8146.4</v>
      </c>
      <c r="G5601" s="10">
        <f t="shared" si="9"/>
        <v>43583.64583</v>
      </c>
      <c r="H5601" s="6" t="str">
        <f t="shared" si="6"/>
        <v/>
      </c>
      <c r="I5601" s="2">
        <f t="shared" si="7"/>
        <v>1426.89</v>
      </c>
    </row>
    <row r="5602">
      <c r="A5602" s="10">
        <f t="shared" si="8"/>
        <v>43584.66667</v>
      </c>
      <c r="B5602" s="2" t="str">
        <f t="shared" si="2"/>
        <v/>
      </c>
      <c r="C5602" s="2" t="str">
        <f t="shared" si="3"/>
        <v>SP500</v>
      </c>
      <c r="D5602" s="2">
        <f t="shared" si="4"/>
        <v>8161.85</v>
      </c>
      <c r="E5602" s="2">
        <f t="shared" si="5"/>
        <v>8161.85</v>
      </c>
      <c r="G5602" s="10">
        <f t="shared" si="9"/>
        <v>43584.64583</v>
      </c>
      <c r="H5602" s="6" t="str">
        <f t="shared" si="6"/>
        <v/>
      </c>
      <c r="I5602" s="2">
        <f t="shared" si="7"/>
        <v>1426.89</v>
      </c>
    </row>
    <row r="5603">
      <c r="A5603" s="10">
        <f t="shared" si="8"/>
        <v>43585.66667</v>
      </c>
      <c r="B5603" s="2" t="str">
        <f t="shared" si="2"/>
        <v/>
      </c>
      <c r="C5603" s="2" t="str">
        <f t="shared" si="3"/>
        <v>SP500</v>
      </c>
      <c r="D5603" s="2">
        <f t="shared" si="4"/>
        <v>8095.39</v>
      </c>
      <c r="E5603" s="2">
        <f t="shared" si="5"/>
        <v>8095.39</v>
      </c>
      <c r="G5603" s="10">
        <f t="shared" si="9"/>
        <v>43585.64583</v>
      </c>
      <c r="H5603" s="6" t="str">
        <f t="shared" si="6"/>
        <v/>
      </c>
      <c r="I5603" s="2">
        <f t="shared" si="7"/>
        <v>1426.89</v>
      </c>
    </row>
    <row r="5604">
      <c r="A5604" s="10">
        <f t="shared" si="8"/>
        <v>43586.66667</v>
      </c>
      <c r="B5604" s="2" t="str">
        <f t="shared" si="2"/>
        <v/>
      </c>
      <c r="C5604" s="2" t="str">
        <f t="shared" si="3"/>
        <v>SP500</v>
      </c>
      <c r="D5604" s="2">
        <f t="shared" si="4"/>
        <v>8049.64</v>
      </c>
      <c r="E5604" s="2">
        <f t="shared" si="5"/>
        <v>8049.64</v>
      </c>
      <c r="G5604" s="10">
        <f t="shared" si="9"/>
        <v>43586.64583</v>
      </c>
      <c r="H5604" s="6" t="str">
        <f t="shared" si="6"/>
        <v/>
      </c>
      <c r="I5604" s="2">
        <f t="shared" si="7"/>
        <v>1426.89</v>
      </c>
    </row>
    <row r="5605">
      <c r="A5605" s="10">
        <f t="shared" si="8"/>
        <v>43587.66667</v>
      </c>
      <c r="B5605" s="2" t="str">
        <f t="shared" si="2"/>
        <v/>
      </c>
      <c r="C5605" s="2" t="str">
        <f t="shared" si="3"/>
        <v>SP500</v>
      </c>
      <c r="D5605" s="2">
        <f t="shared" si="4"/>
        <v>8036.77</v>
      </c>
      <c r="E5605" s="2">
        <f t="shared" si="5"/>
        <v>8036.77</v>
      </c>
      <c r="G5605" s="10">
        <f t="shared" si="9"/>
        <v>43587.64583</v>
      </c>
      <c r="H5605" s="6" t="str">
        <f t="shared" si="6"/>
        <v/>
      </c>
      <c r="I5605" s="2">
        <f t="shared" si="7"/>
        <v>1426.89</v>
      </c>
    </row>
    <row r="5606">
      <c r="A5606" s="10">
        <f t="shared" si="8"/>
        <v>43588.66667</v>
      </c>
      <c r="B5606" s="2" t="str">
        <f t="shared" si="2"/>
        <v/>
      </c>
      <c r="C5606" s="2" t="str">
        <f t="shared" si="3"/>
        <v>SP500</v>
      </c>
      <c r="D5606" s="2">
        <f t="shared" si="4"/>
        <v>8164</v>
      </c>
      <c r="E5606" s="2">
        <f t="shared" si="5"/>
        <v>8164</v>
      </c>
      <c r="G5606" s="10">
        <f t="shared" si="9"/>
        <v>43588.64583</v>
      </c>
      <c r="H5606" s="6" t="str">
        <f t="shared" si="6"/>
        <v/>
      </c>
      <c r="I5606" s="2">
        <f t="shared" si="7"/>
        <v>1426.89</v>
      </c>
    </row>
    <row r="5607">
      <c r="A5607" s="10">
        <f t="shared" si="8"/>
        <v>43589.66667</v>
      </c>
      <c r="B5607" s="2" t="str">
        <f t="shared" si="2"/>
        <v/>
      </c>
      <c r="C5607" s="2" t="str">
        <f t="shared" si="3"/>
        <v>SP500</v>
      </c>
      <c r="D5607" s="2" t="str">
        <f t="shared" si="4"/>
        <v/>
      </c>
      <c r="E5607" s="2">
        <f t="shared" si="5"/>
        <v>8164</v>
      </c>
      <c r="G5607" s="10">
        <f t="shared" si="9"/>
        <v>43589.64583</v>
      </c>
      <c r="H5607" s="6" t="str">
        <f t="shared" si="6"/>
        <v/>
      </c>
      <c r="I5607" s="2">
        <f t="shared" si="7"/>
        <v>1426.89</v>
      </c>
    </row>
    <row r="5608">
      <c r="A5608" s="10">
        <f t="shared" si="8"/>
        <v>43590.66667</v>
      </c>
      <c r="B5608" s="2" t="str">
        <f t="shared" si="2"/>
        <v/>
      </c>
      <c r="C5608" s="2" t="str">
        <f t="shared" si="3"/>
        <v>SP500</v>
      </c>
      <c r="D5608" s="2" t="str">
        <f t="shared" si="4"/>
        <v/>
      </c>
      <c r="E5608" s="2">
        <f t="shared" si="5"/>
        <v>8164</v>
      </c>
      <c r="G5608" s="10">
        <f t="shared" si="9"/>
        <v>43590.64583</v>
      </c>
      <c r="H5608" s="6" t="str">
        <f t="shared" si="6"/>
        <v/>
      </c>
      <c r="I5608" s="2">
        <f t="shared" si="7"/>
        <v>1426.89</v>
      </c>
    </row>
    <row r="5609">
      <c r="A5609" s="10">
        <f t="shared" si="8"/>
        <v>43591.66667</v>
      </c>
      <c r="B5609" s="2" t="str">
        <f t="shared" si="2"/>
        <v/>
      </c>
      <c r="C5609" s="2" t="str">
        <f t="shared" si="3"/>
        <v>SP500</v>
      </c>
      <c r="D5609" s="2">
        <f t="shared" si="4"/>
        <v>8123.29</v>
      </c>
      <c r="E5609" s="2">
        <f t="shared" si="5"/>
        <v>8123.29</v>
      </c>
      <c r="G5609" s="10">
        <f t="shared" si="9"/>
        <v>43591.64583</v>
      </c>
      <c r="H5609" s="6" t="str">
        <f t="shared" si="6"/>
        <v/>
      </c>
      <c r="I5609" s="2">
        <f t="shared" si="7"/>
        <v>1426.89</v>
      </c>
    </row>
    <row r="5610">
      <c r="A5610" s="10">
        <f t="shared" si="8"/>
        <v>43592.66667</v>
      </c>
      <c r="B5610" s="2" t="str">
        <f t="shared" si="2"/>
        <v/>
      </c>
      <c r="C5610" s="2" t="str">
        <f t="shared" si="3"/>
        <v>SP500</v>
      </c>
      <c r="D5610" s="2">
        <f t="shared" si="4"/>
        <v>7963.76</v>
      </c>
      <c r="E5610" s="2">
        <f t="shared" si="5"/>
        <v>7963.76</v>
      </c>
      <c r="G5610" s="10">
        <f t="shared" si="9"/>
        <v>43592.64583</v>
      </c>
      <c r="H5610" s="6" t="str">
        <f t="shared" si="6"/>
        <v/>
      </c>
      <c r="I5610" s="2">
        <f t="shared" si="7"/>
        <v>1426.89</v>
      </c>
    </row>
    <row r="5611">
      <c r="A5611" s="10">
        <f t="shared" si="8"/>
        <v>43593.66667</v>
      </c>
      <c r="B5611" s="2" t="str">
        <f t="shared" si="2"/>
        <v/>
      </c>
      <c r="C5611" s="2" t="str">
        <f t="shared" si="3"/>
        <v>SP500</v>
      </c>
      <c r="D5611" s="2">
        <f t="shared" si="4"/>
        <v>7943.32</v>
      </c>
      <c r="E5611" s="2">
        <f t="shared" si="5"/>
        <v>7943.32</v>
      </c>
      <c r="G5611" s="10">
        <f t="shared" si="9"/>
        <v>43593.64583</v>
      </c>
      <c r="H5611" s="6" t="str">
        <f t="shared" si="6"/>
        <v/>
      </c>
      <c r="I5611" s="2">
        <f t="shared" si="7"/>
        <v>1426.89</v>
      </c>
    </row>
    <row r="5612">
      <c r="A5612" s="10">
        <f t="shared" si="8"/>
        <v>43594.66667</v>
      </c>
      <c r="B5612" s="2" t="str">
        <f t="shared" si="2"/>
        <v/>
      </c>
      <c r="C5612" s="2" t="str">
        <f t="shared" si="3"/>
        <v>SP500</v>
      </c>
      <c r="D5612" s="2">
        <f t="shared" si="4"/>
        <v>7910.59</v>
      </c>
      <c r="E5612" s="2">
        <f t="shared" si="5"/>
        <v>7910.59</v>
      </c>
      <c r="G5612" s="10">
        <f t="shared" si="9"/>
        <v>43594.64583</v>
      </c>
      <c r="H5612" s="6" t="str">
        <f t="shared" si="6"/>
        <v/>
      </c>
      <c r="I5612" s="2">
        <f t="shared" si="7"/>
        <v>1426.89</v>
      </c>
    </row>
    <row r="5613">
      <c r="A5613" s="10">
        <f t="shared" si="8"/>
        <v>43595.66667</v>
      </c>
      <c r="B5613" s="2" t="str">
        <f t="shared" si="2"/>
        <v/>
      </c>
      <c r="C5613" s="2" t="str">
        <f t="shared" si="3"/>
        <v>SP500</v>
      </c>
      <c r="D5613" s="2">
        <f t="shared" si="4"/>
        <v>7916.94</v>
      </c>
      <c r="E5613" s="2">
        <f t="shared" si="5"/>
        <v>7916.94</v>
      </c>
      <c r="G5613" s="10">
        <f t="shared" si="9"/>
        <v>43595.64583</v>
      </c>
      <c r="H5613" s="6" t="str">
        <f t="shared" si="6"/>
        <v/>
      </c>
      <c r="I5613" s="2">
        <f t="shared" si="7"/>
        <v>1426.89</v>
      </c>
    </row>
    <row r="5614">
      <c r="A5614" s="10">
        <f t="shared" si="8"/>
        <v>43596.66667</v>
      </c>
      <c r="B5614" s="2" t="str">
        <f t="shared" si="2"/>
        <v/>
      </c>
      <c r="C5614" s="2" t="str">
        <f t="shared" si="3"/>
        <v>SP500</v>
      </c>
      <c r="D5614" s="2" t="str">
        <f t="shared" si="4"/>
        <v/>
      </c>
      <c r="E5614" s="2">
        <f t="shared" si="5"/>
        <v>7916.94</v>
      </c>
      <c r="G5614" s="10">
        <f t="shared" si="9"/>
        <v>43596.64583</v>
      </c>
      <c r="H5614" s="6" t="str">
        <f t="shared" si="6"/>
        <v/>
      </c>
      <c r="I5614" s="2">
        <f t="shared" si="7"/>
        <v>1426.89</v>
      </c>
    </row>
    <row r="5615">
      <c r="A5615" s="10">
        <f t="shared" si="8"/>
        <v>43597.66667</v>
      </c>
      <c r="B5615" s="2" t="str">
        <f t="shared" si="2"/>
        <v/>
      </c>
      <c r="C5615" s="2" t="str">
        <f t="shared" si="3"/>
        <v>SP500</v>
      </c>
      <c r="D5615" s="2" t="str">
        <f t="shared" si="4"/>
        <v/>
      </c>
      <c r="E5615" s="2">
        <f t="shared" si="5"/>
        <v>7916.94</v>
      </c>
      <c r="G5615" s="10">
        <f t="shared" si="9"/>
        <v>43597.64583</v>
      </c>
      <c r="H5615" s="6" t="str">
        <f t="shared" si="6"/>
        <v/>
      </c>
      <c r="I5615" s="2">
        <f t="shared" si="7"/>
        <v>1426.89</v>
      </c>
    </row>
    <row r="5616">
      <c r="A5616" s="10">
        <f t="shared" si="8"/>
        <v>43598.66667</v>
      </c>
      <c r="B5616" s="2" t="str">
        <f t="shared" si="2"/>
        <v/>
      </c>
      <c r="C5616" s="2" t="str">
        <f t="shared" si="3"/>
        <v>SP500</v>
      </c>
      <c r="D5616" s="2">
        <f t="shared" si="4"/>
        <v>7647.02</v>
      </c>
      <c r="E5616" s="2">
        <f t="shared" si="5"/>
        <v>7647.02</v>
      </c>
      <c r="G5616" s="10">
        <f t="shared" si="9"/>
        <v>43598.64583</v>
      </c>
      <c r="H5616" s="6" t="str">
        <f t="shared" si="6"/>
        <v/>
      </c>
      <c r="I5616" s="2">
        <f t="shared" si="7"/>
        <v>1426.89</v>
      </c>
    </row>
    <row r="5617">
      <c r="A5617" s="10">
        <f t="shared" si="8"/>
        <v>43599.66667</v>
      </c>
      <c r="B5617" s="2" t="str">
        <f t="shared" si="2"/>
        <v/>
      </c>
      <c r="C5617" s="2" t="str">
        <f t="shared" si="3"/>
        <v>SP500</v>
      </c>
      <c r="D5617" s="2">
        <f t="shared" si="4"/>
        <v>7734.49</v>
      </c>
      <c r="E5617" s="2">
        <f t="shared" si="5"/>
        <v>7734.49</v>
      </c>
      <c r="G5617" s="10">
        <f t="shared" si="9"/>
        <v>43599.64583</v>
      </c>
      <c r="H5617" s="6" t="str">
        <f t="shared" si="6"/>
        <v/>
      </c>
      <c r="I5617" s="2">
        <f t="shared" si="7"/>
        <v>1426.89</v>
      </c>
    </row>
    <row r="5618">
      <c r="A5618" s="10">
        <f t="shared" si="8"/>
        <v>43600.66667</v>
      </c>
      <c r="B5618" s="2" t="str">
        <f t="shared" si="2"/>
        <v/>
      </c>
      <c r="C5618" s="2" t="str">
        <f t="shared" si="3"/>
        <v>SP500</v>
      </c>
      <c r="D5618" s="2">
        <f t="shared" si="4"/>
        <v>7822.15</v>
      </c>
      <c r="E5618" s="2">
        <f t="shared" si="5"/>
        <v>7822.15</v>
      </c>
      <c r="G5618" s="10">
        <f t="shared" si="9"/>
        <v>43600.64583</v>
      </c>
      <c r="H5618" s="6" t="str">
        <f t="shared" si="6"/>
        <v/>
      </c>
      <c r="I5618" s="2">
        <f t="shared" si="7"/>
        <v>1426.89</v>
      </c>
    </row>
    <row r="5619">
      <c r="A5619" s="10">
        <f t="shared" si="8"/>
        <v>43601.66667</v>
      </c>
      <c r="B5619" s="2" t="str">
        <f t="shared" si="2"/>
        <v/>
      </c>
      <c r="C5619" s="2" t="str">
        <f t="shared" si="3"/>
        <v>SP500</v>
      </c>
      <c r="D5619" s="2">
        <f t="shared" si="4"/>
        <v>7898.05</v>
      </c>
      <c r="E5619" s="2">
        <f t="shared" si="5"/>
        <v>7898.05</v>
      </c>
      <c r="G5619" s="10">
        <f t="shared" si="9"/>
        <v>43601.64583</v>
      </c>
      <c r="H5619" s="6" t="str">
        <f t="shared" si="6"/>
        <v/>
      </c>
      <c r="I5619" s="2">
        <f t="shared" si="7"/>
        <v>1426.89</v>
      </c>
    </row>
    <row r="5620">
      <c r="A5620" s="10">
        <f t="shared" si="8"/>
        <v>43602.66667</v>
      </c>
      <c r="B5620" s="2" t="str">
        <f t="shared" si="2"/>
        <v/>
      </c>
      <c r="C5620" s="2" t="str">
        <f t="shared" si="3"/>
        <v>SP500</v>
      </c>
      <c r="D5620" s="2">
        <f t="shared" si="4"/>
        <v>7816.29</v>
      </c>
      <c r="E5620" s="2">
        <f t="shared" si="5"/>
        <v>7816.29</v>
      </c>
      <c r="G5620" s="10">
        <f t="shared" si="9"/>
        <v>43602.64583</v>
      </c>
      <c r="H5620" s="6" t="str">
        <f t="shared" si="6"/>
        <v/>
      </c>
      <c r="I5620" s="2">
        <f t="shared" si="7"/>
        <v>1426.89</v>
      </c>
    </row>
    <row r="5621">
      <c r="A5621" s="10">
        <f t="shared" si="8"/>
        <v>43603.66667</v>
      </c>
      <c r="B5621" s="2" t="str">
        <f t="shared" si="2"/>
        <v/>
      </c>
      <c r="C5621" s="2" t="str">
        <f t="shared" si="3"/>
        <v>SP500</v>
      </c>
      <c r="D5621" s="2" t="str">
        <f t="shared" si="4"/>
        <v/>
      </c>
      <c r="E5621" s="2">
        <f t="shared" si="5"/>
        <v>7816.29</v>
      </c>
      <c r="G5621" s="10">
        <f t="shared" si="9"/>
        <v>43603.64583</v>
      </c>
      <c r="H5621" s="6" t="str">
        <f t="shared" si="6"/>
        <v/>
      </c>
      <c r="I5621" s="2">
        <f t="shared" si="7"/>
        <v>1426.89</v>
      </c>
    </row>
    <row r="5622">
      <c r="A5622" s="10">
        <f t="shared" si="8"/>
        <v>43604.66667</v>
      </c>
      <c r="B5622" s="2" t="str">
        <f t="shared" si="2"/>
        <v/>
      </c>
      <c r="C5622" s="2" t="str">
        <f t="shared" si="3"/>
        <v>SP500</v>
      </c>
      <c r="D5622" s="2" t="str">
        <f t="shared" si="4"/>
        <v/>
      </c>
      <c r="E5622" s="2">
        <f t="shared" si="5"/>
        <v>7816.29</v>
      </c>
      <c r="G5622" s="10">
        <f t="shared" si="9"/>
        <v>43604.64583</v>
      </c>
      <c r="H5622" s="6" t="str">
        <f t="shared" si="6"/>
        <v/>
      </c>
      <c r="I5622" s="2">
        <f t="shared" si="7"/>
        <v>1426.89</v>
      </c>
    </row>
    <row r="5623">
      <c r="A5623" s="10">
        <f t="shared" si="8"/>
        <v>43605.66667</v>
      </c>
      <c r="B5623" s="2" t="str">
        <f t="shared" si="2"/>
        <v/>
      </c>
      <c r="C5623" s="2" t="str">
        <f t="shared" si="3"/>
        <v>SP500</v>
      </c>
      <c r="D5623" s="2">
        <f t="shared" si="4"/>
        <v>7702.38</v>
      </c>
      <c r="E5623" s="2">
        <f t="shared" si="5"/>
        <v>7702.38</v>
      </c>
      <c r="G5623" s="10">
        <f t="shared" si="9"/>
        <v>43605.64583</v>
      </c>
      <c r="H5623" s="6" t="str">
        <f t="shared" si="6"/>
        <v/>
      </c>
      <c r="I5623" s="2">
        <f t="shared" si="7"/>
        <v>1426.89</v>
      </c>
    </row>
    <row r="5624">
      <c r="A5624" s="10">
        <f t="shared" si="8"/>
        <v>43606.66667</v>
      </c>
      <c r="B5624" s="2" t="str">
        <f t="shared" si="2"/>
        <v/>
      </c>
      <c r="C5624" s="2" t="str">
        <f t="shared" si="3"/>
        <v>SP500</v>
      </c>
      <c r="D5624" s="2">
        <f t="shared" si="4"/>
        <v>7785.72</v>
      </c>
      <c r="E5624" s="2">
        <f t="shared" si="5"/>
        <v>7785.72</v>
      </c>
      <c r="G5624" s="10">
        <f t="shared" si="9"/>
        <v>43606.64583</v>
      </c>
      <c r="H5624" s="6" t="str">
        <f t="shared" si="6"/>
        <v/>
      </c>
      <c r="I5624" s="2">
        <f t="shared" si="7"/>
        <v>1426.89</v>
      </c>
    </row>
    <row r="5625">
      <c r="A5625" s="10">
        <f t="shared" si="8"/>
        <v>43607.66667</v>
      </c>
      <c r="B5625" s="2" t="str">
        <f t="shared" si="2"/>
        <v/>
      </c>
      <c r="C5625" s="2" t="str">
        <f t="shared" si="3"/>
        <v>SP500</v>
      </c>
      <c r="D5625" s="2">
        <f t="shared" si="4"/>
        <v>7750.84</v>
      </c>
      <c r="E5625" s="2">
        <f t="shared" si="5"/>
        <v>7750.84</v>
      </c>
      <c r="G5625" s="10">
        <f t="shared" si="9"/>
        <v>43607.64583</v>
      </c>
      <c r="H5625" s="6" t="str">
        <f t="shared" si="6"/>
        <v/>
      </c>
      <c r="I5625" s="2">
        <f t="shared" si="7"/>
        <v>1426.89</v>
      </c>
    </row>
    <row r="5626">
      <c r="A5626" s="10">
        <f t="shared" si="8"/>
        <v>43608.66667</v>
      </c>
      <c r="B5626" s="2" t="str">
        <f t="shared" si="2"/>
        <v/>
      </c>
      <c r="C5626" s="2" t="str">
        <f t="shared" si="3"/>
        <v>SP500</v>
      </c>
      <c r="D5626" s="2">
        <f t="shared" si="4"/>
        <v>7628.28</v>
      </c>
      <c r="E5626" s="2">
        <f t="shared" si="5"/>
        <v>7628.28</v>
      </c>
      <c r="G5626" s="10">
        <f t="shared" si="9"/>
        <v>43608.64583</v>
      </c>
      <c r="H5626" s="6" t="str">
        <f t="shared" si="6"/>
        <v/>
      </c>
      <c r="I5626" s="2">
        <f t="shared" si="7"/>
        <v>1426.89</v>
      </c>
    </row>
    <row r="5627">
      <c r="A5627" s="10">
        <f t="shared" si="8"/>
        <v>43609.66667</v>
      </c>
      <c r="B5627" s="2" t="str">
        <f t="shared" si="2"/>
        <v/>
      </c>
      <c r="C5627" s="2" t="str">
        <f t="shared" si="3"/>
        <v>SP500</v>
      </c>
      <c r="D5627" s="2">
        <f t="shared" si="4"/>
        <v>7637.01</v>
      </c>
      <c r="E5627" s="2">
        <f t="shared" si="5"/>
        <v>7637.01</v>
      </c>
      <c r="G5627" s="10">
        <f t="shared" si="9"/>
        <v>43609.64583</v>
      </c>
      <c r="H5627" s="6" t="str">
        <f t="shared" si="6"/>
        <v/>
      </c>
      <c r="I5627" s="2">
        <f t="shared" si="7"/>
        <v>1426.89</v>
      </c>
    </row>
    <row r="5628">
      <c r="A5628" s="10">
        <f t="shared" si="8"/>
        <v>43610.66667</v>
      </c>
      <c r="B5628" s="2" t="str">
        <f t="shared" si="2"/>
        <v/>
      </c>
      <c r="C5628" s="2" t="str">
        <f t="shared" si="3"/>
        <v>SP500</v>
      </c>
      <c r="D5628" s="2" t="str">
        <f t="shared" si="4"/>
        <v/>
      </c>
      <c r="E5628" s="2">
        <f t="shared" si="5"/>
        <v>7637.01</v>
      </c>
      <c r="G5628" s="10">
        <f t="shared" si="9"/>
        <v>43610.64583</v>
      </c>
      <c r="H5628" s="6" t="str">
        <f t="shared" si="6"/>
        <v/>
      </c>
      <c r="I5628" s="2">
        <f t="shared" si="7"/>
        <v>1426.89</v>
      </c>
    </row>
    <row r="5629">
      <c r="A5629" s="10">
        <f t="shared" si="8"/>
        <v>43611.66667</v>
      </c>
      <c r="B5629" s="2" t="str">
        <f t="shared" si="2"/>
        <v/>
      </c>
      <c r="C5629" s="2" t="str">
        <f t="shared" si="3"/>
        <v>SP500</v>
      </c>
      <c r="D5629" s="2" t="str">
        <f t="shared" si="4"/>
        <v/>
      </c>
      <c r="E5629" s="2">
        <f t="shared" si="5"/>
        <v>7637.01</v>
      </c>
      <c r="G5629" s="10">
        <f t="shared" si="9"/>
        <v>43611.64583</v>
      </c>
      <c r="H5629" s="6" t="str">
        <f t="shared" si="6"/>
        <v/>
      </c>
      <c r="I5629" s="2">
        <f t="shared" si="7"/>
        <v>1426.89</v>
      </c>
    </row>
    <row r="5630">
      <c r="A5630" s="10">
        <f t="shared" si="8"/>
        <v>43612.66667</v>
      </c>
      <c r="B5630" s="2" t="str">
        <f t="shared" si="2"/>
        <v/>
      </c>
      <c r="C5630" s="2" t="str">
        <f t="shared" si="3"/>
        <v>SP500</v>
      </c>
      <c r="D5630" s="2" t="str">
        <f t="shared" si="4"/>
        <v/>
      </c>
      <c r="E5630" s="2">
        <f t="shared" si="5"/>
        <v>7637.01</v>
      </c>
      <c r="G5630" s="10">
        <f t="shared" si="9"/>
        <v>43612.64583</v>
      </c>
      <c r="H5630" s="6" t="str">
        <f t="shared" si="6"/>
        <v/>
      </c>
      <c r="I5630" s="2">
        <f t="shared" si="7"/>
        <v>1426.89</v>
      </c>
    </row>
    <row r="5631">
      <c r="A5631" s="10">
        <f t="shared" si="8"/>
        <v>43613.66667</v>
      </c>
      <c r="B5631" s="2" t="str">
        <f t="shared" si="2"/>
        <v/>
      </c>
      <c r="C5631" s="2" t="str">
        <f t="shared" si="3"/>
        <v>SP500</v>
      </c>
      <c r="D5631" s="2">
        <f t="shared" si="4"/>
        <v>7607.35</v>
      </c>
      <c r="E5631" s="2">
        <f t="shared" si="5"/>
        <v>7607.35</v>
      </c>
      <c r="G5631" s="10">
        <f t="shared" si="9"/>
        <v>43613.64583</v>
      </c>
      <c r="H5631" s="6" t="str">
        <f t="shared" si="6"/>
        <v/>
      </c>
      <c r="I5631" s="2">
        <f t="shared" si="7"/>
        <v>1426.89</v>
      </c>
    </row>
    <row r="5632">
      <c r="A5632" s="10">
        <f t="shared" si="8"/>
        <v>43614.66667</v>
      </c>
      <c r="B5632" s="2" t="str">
        <f t="shared" si="2"/>
        <v/>
      </c>
      <c r="C5632" s="2" t="str">
        <f t="shared" si="3"/>
        <v>SP500</v>
      </c>
      <c r="D5632" s="2">
        <f t="shared" si="4"/>
        <v>7547.31</v>
      </c>
      <c r="E5632" s="2">
        <f t="shared" si="5"/>
        <v>7547.31</v>
      </c>
      <c r="G5632" s="10">
        <f t="shared" si="9"/>
        <v>43614.64583</v>
      </c>
      <c r="H5632" s="6" t="str">
        <f t="shared" si="6"/>
        <v/>
      </c>
      <c r="I5632" s="2">
        <f t="shared" si="7"/>
        <v>1426.89</v>
      </c>
    </row>
    <row r="5633">
      <c r="A5633" s="10">
        <f t="shared" si="8"/>
        <v>43615.66667</v>
      </c>
      <c r="B5633" s="2" t="str">
        <f t="shared" si="2"/>
        <v/>
      </c>
      <c r="C5633" s="2" t="str">
        <f t="shared" si="3"/>
        <v>SP500</v>
      </c>
      <c r="D5633" s="2">
        <f t="shared" si="4"/>
        <v>7567.72</v>
      </c>
      <c r="E5633" s="2">
        <f t="shared" si="5"/>
        <v>7567.72</v>
      </c>
      <c r="G5633" s="10">
        <f t="shared" si="9"/>
        <v>43615.64583</v>
      </c>
      <c r="H5633" s="6" t="str">
        <f t="shared" si="6"/>
        <v/>
      </c>
      <c r="I5633" s="2">
        <f t="shared" si="7"/>
        <v>1426.89</v>
      </c>
    </row>
    <row r="5634">
      <c r="A5634" s="10">
        <f t="shared" si="8"/>
        <v>43616.66667</v>
      </c>
      <c r="B5634" s="2" t="str">
        <f t="shared" si="2"/>
        <v/>
      </c>
      <c r="C5634" s="2" t="str">
        <f t="shared" si="3"/>
        <v>SP500</v>
      </c>
      <c r="D5634" s="2">
        <f t="shared" si="4"/>
        <v>7453.15</v>
      </c>
      <c r="E5634" s="2">
        <f t="shared" si="5"/>
        <v>7453.15</v>
      </c>
      <c r="G5634" s="10">
        <f t="shared" si="9"/>
        <v>43616.64583</v>
      </c>
      <c r="H5634" s="6" t="str">
        <f t="shared" si="6"/>
        <v/>
      </c>
      <c r="I5634" s="2">
        <f t="shared" si="7"/>
        <v>1426.89</v>
      </c>
    </row>
    <row r="5635">
      <c r="A5635" s="10">
        <f t="shared" si="8"/>
        <v>43617.66667</v>
      </c>
      <c r="B5635" s="2" t="str">
        <f t="shared" si="2"/>
        <v/>
      </c>
      <c r="C5635" s="2" t="str">
        <f t="shared" si="3"/>
        <v>SP500</v>
      </c>
      <c r="D5635" s="2" t="str">
        <f t="shared" si="4"/>
        <v/>
      </c>
      <c r="E5635" s="2">
        <f t="shared" si="5"/>
        <v>7453.15</v>
      </c>
      <c r="G5635" s="10">
        <f t="shared" si="9"/>
        <v>43617.64583</v>
      </c>
      <c r="H5635" s="6" t="str">
        <f t="shared" si="6"/>
        <v/>
      </c>
      <c r="I5635" s="2">
        <f t="shared" si="7"/>
        <v>1426.89</v>
      </c>
    </row>
    <row r="5636">
      <c r="A5636" s="10">
        <f t="shared" si="8"/>
        <v>43618.66667</v>
      </c>
      <c r="B5636" s="2" t="str">
        <f t="shared" si="2"/>
        <v/>
      </c>
      <c r="C5636" s="2" t="str">
        <f t="shared" si="3"/>
        <v>SP500</v>
      </c>
      <c r="D5636" s="2" t="str">
        <f t="shared" si="4"/>
        <v/>
      </c>
      <c r="E5636" s="2">
        <f t="shared" si="5"/>
        <v>7453.15</v>
      </c>
      <c r="G5636" s="10">
        <f t="shared" si="9"/>
        <v>43618.64583</v>
      </c>
      <c r="H5636" s="6" t="str">
        <f t="shared" si="6"/>
        <v/>
      </c>
      <c r="I5636" s="2">
        <f t="shared" si="7"/>
        <v>1426.89</v>
      </c>
    </row>
    <row r="5637">
      <c r="A5637" s="10">
        <f t="shared" si="8"/>
        <v>43619.66667</v>
      </c>
      <c r="B5637" s="2" t="str">
        <f t="shared" si="2"/>
        <v/>
      </c>
      <c r="C5637" s="2" t="str">
        <f t="shared" si="3"/>
        <v>SP500</v>
      </c>
      <c r="D5637" s="2">
        <f t="shared" si="4"/>
        <v>7333.02</v>
      </c>
      <c r="E5637" s="2">
        <f t="shared" si="5"/>
        <v>7333.02</v>
      </c>
      <c r="G5637" s="10">
        <f t="shared" si="9"/>
        <v>43619.64583</v>
      </c>
      <c r="H5637" s="6" t="str">
        <f t="shared" si="6"/>
        <v/>
      </c>
      <c r="I5637" s="2">
        <f t="shared" si="7"/>
        <v>1426.89</v>
      </c>
    </row>
    <row r="5638">
      <c r="A5638" s="10">
        <f t="shared" si="8"/>
        <v>43620.66667</v>
      </c>
      <c r="B5638" s="2" t="str">
        <f t="shared" si="2"/>
        <v/>
      </c>
      <c r="C5638" s="2" t="str">
        <f t="shared" si="3"/>
        <v>SP500</v>
      </c>
      <c r="D5638" s="2">
        <f t="shared" si="4"/>
        <v>7527.12</v>
      </c>
      <c r="E5638" s="2">
        <f t="shared" si="5"/>
        <v>7527.12</v>
      </c>
      <c r="G5638" s="10">
        <f t="shared" si="9"/>
        <v>43620.64583</v>
      </c>
      <c r="H5638" s="6" t="str">
        <f t="shared" si="6"/>
        <v/>
      </c>
      <c r="I5638" s="2">
        <f t="shared" si="7"/>
        <v>1426.89</v>
      </c>
    </row>
    <row r="5639">
      <c r="A5639" s="10">
        <f t="shared" si="8"/>
        <v>43621.66667</v>
      </c>
      <c r="B5639" s="2" t="str">
        <f t="shared" si="2"/>
        <v/>
      </c>
      <c r="C5639" s="2" t="str">
        <f t="shared" si="3"/>
        <v>SP500</v>
      </c>
      <c r="D5639" s="2">
        <f t="shared" si="4"/>
        <v>7575.48</v>
      </c>
      <c r="E5639" s="2">
        <f t="shared" si="5"/>
        <v>7575.48</v>
      </c>
      <c r="G5639" s="10">
        <f t="shared" si="9"/>
        <v>43621.64583</v>
      </c>
      <c r="H5639" s="6" t="str">
        <f t="shared" si="6"/>
        <v/>
      </c>
      <c r="I5639" s="2">
        <f t="shared" si="7"/>
        <v>1426.89</v>
      </c>
    </row>
    <row r="5640">
      <c r="A5640" s="10">
        <f t="shared" si="8"/>
        <v>43622.66667</v>
      </c>
      <c r="B5640" s="2" t="str">
        <f t="shared" si="2"/>
        <v/>
      </c>
      <c r="C5640" s="2" t="str">
        <f t="shared" si="3"/>
        <v>SP500</v>
      </c>
      <c r="D5640" s="2">
        <f t="shared" si="4"/>
        <v>7615.55</v>
      </c>
      <c r="E5640" s="2">
        <f t="shared" si="5"/>
        <v>7615.55</v>
      </c>
      <c r="G5640" s="10">
        <f t="shared" si="9"/>
        <v>43622.64583</v>
      </c>
      <c r="H5640" s="6" t="str">
        <f t="shared" si="6"/>
        <v/>
      </c>
      <c r="I5640" s="2">
        <f t="shared" si="7"/>
        <v>1426.89</v>
      </c>
    </row>
    <row r="5641">
      <c r="A5641" s="10">
        <f t="shared" si="8"/>
        <v>43623.66667</v>
      </c>
      <c r="B5641" s="2" t="str">
        <f t="shared" si="2"/>
        <v/>
      </c>
      <c r="C5641" s="2" t="str">
        <f t="shared" si="3"/>
        <v>SP500</v>
      </c>
      <c r="D5641" s="2">
        <f t="shared" si="4"/>
        <v>7742.1</v>
      </c>
      <c r="E5641" s="2">
        <f t="shared" si="5"/>
        <v>7742.1</v>
      </c>
      <c r="G5641" s="10">
        <f t="shared" si="9"/>
        <v>43623.64583</v>
      </c>
      <c r="H5641" s="6" t="str">
        <f t="shared" si="6"/>
        <v/>
      </c>
      <c r="I5641" s="2">
        <f t="shared" si="7"/>
        <v>1426.89</v>
      </c>
    </row>
    <row r="5642">
      <c r="A5642" s="10">
        <f t="shared" si="8"/>
        <v>43624.66667</v>
      </c>
      <c r="B5642" s="2" t="str">
        <f t="shared" si="2"/>
        <v/>
      </c>
      <c r="C5642" s="2" t="str">
        <f t="shared" si="3"/>
        <v>SP500</v>
      </c>
      <c r="D5642" s="2" t="str">
        <f t="shared" si="4"/>
        <v/>
      </c>
      <c r="E5642" s="2">
        <f t="shared" si="5"/>
        <v>7742.1</v>
      </c>
      <c r="G5642" s="10">
        <f t="shared" si="9"/>
        <v>43624.64583</v>
      </c>
      <c r="H5642" s="6" t="str">
        <f t="shared" si="6"/>
        <v/>
      </c>
      <c r="I5642" s="2">
        <f t="shared" si="7"/>
        <v>1426.89</v>
      </c>
    </row>
    <row r="5643">
      <c r="A5643" s="10">
        <f t="shared" si="8"/>
        <v>43625.66667</v>
      </c>
      <c r="B5643" s="2" t="str">
        <f t="shared" si="2"/>
        <v/>
      </c>
      <c r="C5643" s="2" t="str">
        <f t="shared" si="3"/>
        <v>SP500</v>
      </c>
      <c r="D5643" s="2" t="str">
        <f t="shared" si="4"/>
        <v/>
      </c>
      <c r="E5643" s="2">
        <f t="shared" si="5"/>
        <v>7742.1</v>
      </c>
      <c r="G5643" s="10">
        <f t="shared" si="9"/>
        <v>43625.64583</v>
      </c>
      <c r="H5643" s="6" t="str">
        <f t="shared" si="6"/>
        <v/>
      </c>
      <c r="I5643" s="2">
        <f t="shared" si="7"/>
        <v>1426.89</v>
      </c>
    </row>
    <row r="5644">
      <c r="A5644" s="10">
        <f t="shared" si="8"/>
        <v>43626.66667</v>
      </c>
      <c r="B5644" s="2" t="str">
        <f t="shared" si="2"/>
        <v/>
      </c>
      <c r="C5644" s="2" t="str">
        <f t="shared" si="3"/>
        <v>SP500</v>
      </c>
      <c r="D5644" s="2">
        <f t="shared" si="4"/>
        <v>7823.17</v>
      </c>
      <c r="E5644" s="2">
        <f t="shared" si="5"/>
        <v>7823.17</v>
      </c>
      <c r="G5644" s="10">
        <f t="shared" si="9"/>
        <v>43626.64583</v>
      </c>
      <c r="H5644" s="6" t="str">
        <f t="shared" si="6"/>
        <v/>
      </c>
      <c r="I5644" s="2">
        <f t="shared" si="7"/>
        <v>1426.89</v>
      </c>
    </row>
    <row r="5645">
      <c r="A5645" s="10">
        <f t="shared" si="8"/>
        <v>43627.66667</v>
      </c>
      <c r="B5645" s="2" t="str">
        <f t="shared" si="2"/>
        <v/>
      </c>
      <c r="C5645" s="2" t="str">
        <f t="shared" si="3"/>
        <v>SP500</v>
      </c>
      <c r="D5645" s="2">
        <f t="shared" si="4"/>
        <v>7822.57</v>
      </c>
      <c r="E5645" s="2">
        <f t="shared" si="5"/>
        <v>7822.57</v>
      </c>
      <c r="G5645" s="10">
        <f t="shared" si="9"/>
        <v>43627.64583</v>
      </c>
      <c r="H5645" s="6" t="str">
        <f t="shared" si="6"/>
        <v/>
      </c>
      <c r="I5645" s="2">
        <f t="shared" si="7"/>
        <v>1426.89</v>
      </c>
    </row>
    <row r="5646">
      <c r="A5646" s="10">
        <f t="shared" si="8"/>
        <v>43628.66667</v>
      </c>
      <c r="B5646" s="2" t="str">
        <f t="shared" si="2"/>
        <v/>
      </c>
      <c r="C5646" s="2" t="str">
        <f t="shared" si="3"/>
        <v>SP500</v>
      </c>
      <c r="D5646" s="2">
        <f t="shared" si="4"/>
        <v>7792.72</v>
      </c>
      <c r="E5646" s="2">
        <f t="shared" si="5"/>
        <v>7792.72</v>
      </c>
      <c r="G5646" s="10">
        <f t="shared" si="9"/>
        <v>43628.64583</v>
      </c>
      <c r="H5646" s="6" t="str">
        <f t="shared" si="6"/>
        <v/>
      </c>
      <c r="I5646" s="2">
        <f t="shared" si="7"/>
        <v>1426.89</v>
      </c>
    </row>
    <row r="5647">
      <c r="A5647" s="10">
        <f t="shared" si="8"/>
        <v>43629.66667</v>
      </c>
      <c r="B5647" s="2" t="str">
        <f t="shared" si="2"/>
        <v/>
      </c>
      <c r="C5647" s="2" t="str">
        <f t="shared" si="3"/>
        <v>SP500</v>
      </c>
      <c r="D5647" s="2">
        <f t="shared" si="4"/>
        <v>7837.13</v>
      </c>
      <c r="E5647" s="2">
        <f t="shared" si="5"/>
        <v>7837.13</v>
      </c>
      <c r="G5647" s="10">
        <f t="shared" si="9"/>
        <v>43629.64583</v>
      </c>
      <c r="H5647" s="6" t="str">
        <f t="shared" si="6"/>
        <v/>
      </c>
      <c r="I5647" s="2">
        <f t="shared" si="7"/>
        <v>1426.89</v>
      </c>
    </row>
    <row r="5648">
      <c r="A5648" s="10">
        <f t="shared" si="8"/>
        <v>43630.66667</v>
      </c>
      <c r="B5648" s="2" t="str">
        <f t="shared" si="2"/>
        <v/>
      </c>
      <c r="C5648" s="2" t="str">
        <f t="shared" si="3"/>
        <v>SP500</v>
      </c>
      <c r="D5648" s="2">
        <f t="shared" si="4"/>
        <v>7796.66</v>
      </c>
      <c r="E5648" s="2">
        <f t="shared" si="5"/>
        <v>7796.66</v>
      </c>
      <c r="G5648" s="10">
        <f t="shared" si="9"/>
        <v>43630.64583</v>
      </c>
      <c r="H5648" s="6" t="str">
        <f t="shared" si="6"/>
        <v/>
      </c>
      <c r="I5648" s="2">
        <f t="shared" si="7"/>
        <v>1426.89</v>
      </c>
    </row>
    <row r="5649">
      <c r="A5649" s="10">
        <f t="shared" si="8"/>
        <v>43631.66667</v>
      </c>
      <c r="B5649" s="2" t="str">
        <f t="shared" si="2"/>
        <v/>
      </c>
      <c r="C5649" s="2" t="str">
        <f t="shared" si="3"/>
        <v>SP500</v>
      </c>
      <c r="D5649" s="2" t="str">
        <f t="shared" si="4"/>
        <v/>
      </c>
      <c r="E5649" s="2">
        <f t="shared" si="5"/>
        <v>7796.66</v>
      </c>
      <c r="G5649" s="10">
        <f t="shared" si="9"/>
        <v>43631.64583</v>
      </c>
      <c r="H5649" s="6" t="str">
        <f t="shared" si="6"/>
        <v/>
      </c>
      <c r="I5649" s="2">
        <f t="shared" si="7"/>
        <v>1426.89</v>
      </c>
    </row>
    <row r="5650">
      <c r="A5650" s="10">
        <f t="shared" si="8"/>
        <v>43632.66667</v>
      </c>
      <c r="B5650" s="2" t="str">
        <f t="shared" si="2"/>
        <v/>
      </c>
      <c r="C5650" s="2" t="str">
        <f t="shared" si="3"/>
        <v>SP500</v>
      </c>
      <c r="D5650" s="2" t="str">
        <f t="shared" si="4"/>
        <v/>
      </c>
      <c r="E5650" s="2">
        <f t="shared" si="5"/>
        <v>7796.66</v>
      </c>
      <c r="G5650" s="10">
        <f t="shared" si="9"/>
        <v>43632.64583</v>
      </c>
      <c r="H5650" s="6" t="str">
        <f t="shared" si="6"/>
        <v/>
      </c>
      <c r="I5650" s="2">
        <f t="shared" si="7"/>
        <v>1426.89</v>
      </c>
    </row>
    <row r="5651">
      <c r="A5651" s="10">
        <f t="shared" si="8"/>
        <v>43633.66667</v>
      </c>
      <c r="B5651" s="2" t="str">
        <f t="shared" si="2"/>
        <v/>
      </c>
      <c r="C5651" s="2" t="str">
        <f t="shared" si="3"/>
        <v>SP500</v>
      </c>
      <c r="D5651" s="2">
        <f t="shared" si="4"/>
        <v>7845.02</v>
      </c>
      <c r="E5651" s="2">
        <f t="shared" si="5"/>
        <v>7845.02</v>
      </c>
      <c r="G5651" s="10">
        <f t="shared" si="9"/>
        <v>43633.64583</v>
      </c>
      <c r="H5651" s="6" t="str">
        <f t="shared" si="6"/>
        <v/>
      </c>
      <c r="I5651" s="2">
        <f t="shared" si="7"/>
        <v>1426.89</v>
      </c>
    </row>
    <row r="5652">
      <c r="A5652" s="10">
        <f t="shared" si="8"/>
        <v>43634.66667</v>
      </c>
      <c r="B5652" s="2" t="str">
        <f t="shared" si="2"/>
        <v/>
      </c>
      <c r="C5652" s="2" t="str">
        <f t="shared" si="3"/>
        <v>SP500</v>
      </c>
      <c r="D5652" s="2">
        <f t="shared" si="4"/>
        <v>7953.88</v>
      </c>
      <c r="E5652" s="2">
        <f t="shared" si="5"/>
        <v>7953.88</v>
      </c>
      <c r="G5652" s="10">
        <f t="shared" si="9"/>
        <v>43634.64583</v>
      </c>
      <c r="H5652" s="6" t="str">
        <f t="shared" si="6"/>
        <v/>
      </c>
      <c r="I5652" s="2">
        <f t="shared" si="7"/>
        <v>1426.89</v>
      </c>
    </row>
    <row r="5653">
      <c r="A5653" s="10">
        <f t="shared" si="8"/>
        <v>43635.66667</v>
      </c>
      <c r="B5653" s="2" t="str">
        <f t="shared" si="2"/>
        <v/>
      </c>
      <c r="C5653" s="2" t="str">
        <f t="shared" si="3"/>
        <v>SP500</v>
      </c>
      <c r="D5653" s="2">
        <f t="shared" si="4"/>
        <v>7987.32</v>
      </c>
      <c r="E5653" s="2">
        <f t="shared" si="5"/>
        <v>7987.32</v>
      </c>
      <c r="G5653" s="10">
        <f t="shared" si="9"/>
        <v>43635.64583</v>
      </c>
      <c r="H5653" s="6" t="str">
        <f t="shared" si="6"/>
        <v/>
      </c>
      <c r="I5653" s="2">
        <f t="shared" si="7"/>
        <v>1426.89</v>
      </c>
    </row>
    <row r="5654">
      <c r="A5654" s="10">
        <f t="shared" si="8"/>
        <v>43636.66667</v>
      </c>
      <c r="B5654" s="2" t="str">
        <f t="shared" si="2"/>
        <v/>
      </c>
      <c r="C5654" s="2" t="str">
        <f t="shared" si="3"/>
        <v>SP500</v>
      </c>
      <c r="D5654" s="2">
        <f t="shared" si="4"/>
        <v>8051.34</v>
      </c>
      <c r="E5654" s="2">
        <f t="shared" si="5"/>
        <v>8051.34</v>
      </c>
      <c r="G5654" s="10">
        <f t="shared" si="9"/>
        <v>43636.64583</v>
      </c>
      <c r="H5654" s="6" t="str">
        <f t="shared" si="6"/>
        <v/>
      </c>
      <c r="I5654" s="2">
        <f t="shared" si="7"/>
        <v>1426.89</v>
      </c>
    </row>
    <row r="5655">
      <c r="A5655" s="10">
        <f t="shared" si="8"/>
        <v>43637.66667</v>
      </c>
      <c r="B5655" s="2" t="str">
        <f t="shared" si="2"/>
        <v/>
      </c>
      <c r="C5655" s="2" t="str">
        <f t="shared" si="3"/>
        <v>SP500</v>
      </c>
      <c r="D5655" s="2">
        <f t="shared" si="4"/>
        <v>8031.71</v>
      </c>
      <c r="E5655" s="2">
        <f t="shared" si="5"/>
        <v>8031.71</v>
      </c>
      <c r="G5655" s="10">
        <f t="shared" si="9"/>
        <v>43637.64583</v>
      </c>
      <c r="H5655" s="6" t="str">
        <f t="shared" si="6"/>
        <v/>
      </c>
      <c r="I5655" s="2">
        <f t="shared" si="7"/>
        <v>1426.89</v>
      </c>
    </row>
    <row r="5656">
      <c r="A5656" s="10">
        <f t="shared" si="8"/>
        <v>43638.66667</v>
      </c>
      <c r="B5656" s="2" t="str">
        <f t="shared" si="2"/>
        <v/>
      </c>
      <c r="C5656" s="2" t="str">
        <f t="shared" si="3"/>
        <v>SP500</v>
      </c>
      <c r="D5656" s="2" t="str">
        <f t="shared" si="4"/>
        <v/>
      </c>
      <c r="E5656" s="2">
        <f t="shared" si="5"/>
        <v>8031.71</v>
      </c>
      <c r="G5656" s="10">
        <f t="shared" si="9"/>
        <v>43638.64583</v>
      </c>
      <c r="H5656" s="6" t="str">
        <f t="shared" si="6"/>
        <v/>
      </c>
      <c r="I5656" s="2">
        <f t="shared" si="7"/>
        <v>1426.89</v>
      </c>
    </row>
    <row r="5657">
      <c r="A5657" s="10">
        <f t="shared" si="8"/>
        <v>43639.66667</v>
      </c>
      <c r="B5657" s="2" t="str">
        <f t="shared" si="2"/>
        <v/>
      </c>
      <c r="C5657" s="2" t="str">
        <f t="shared" si="3"/>
        <v>SP500</v>
      </c>
      <c r="D5657" s="2" t="str">
        <f t="shared" si="4"/>
        <v/>
      </c>
      <c r="E5657" s="2">
        <f t="shared" si="5"/>
        <v>8031.71</v>
      </c>
      <c r="G5657" s="10">
        <f t="shared" si="9"/>
        <v>43639.64583</v>
      </c>
      <c r="H5657" s="6" t="str">
        <f t="shared" si="6"/>
        <v/>
      </c>
      <c r="I5657" s="2">
        <f t="shared" si="7"/>
        <v>1426.89</v>
      </c>
    </row>
    <row r="5658">
      <c r="A5658" s="10">
        <f t="shared" si="8"/>
        <v>43640.66667</v>
      </c>
      <c r="B5658" s="2" t="str">
        <f t="shared" si="2"/>
        <v/>
      </c>
      <c r="C5658" s="2" t="str">
        <f t="shared" si="3"/>
        <v>SP500</v>
      </c>
      <c r="D5658" s="2">
        <f t="shared" si="4"/>
        <v>8005.7</v>
      </c>
      <c r="E5658" s="2">
        <f t="shared" si="5"/>
        <v>8005.7</v>
      </c>
      <c r="G5658" s="10">
        <f t="shared" si="9"/>
        <v>43640.64583</v>
      </c>
      <c r="H5658" s="6" t="str">
        <f t="shared" si="6"/>
        <v/>
      </c>
      <c r="I5658" s="2">
        <f t="shared" si="7"/>
        <v>1426.89</v>
      </c>
    </row>
    <row r="5659">
      <c r="A5659" s="10">
        <f t="shared" si="8"/>
        <v>43641.66667</v>
      </c>
      <c r="B5659" s="2" t="str">
        <f t="shared" si="2"/>
        <v/>
      </c>
      <c r="C5659" s="2" t="str">
        <f t="shared" si="3"/>
        <v>SP500</v>
      </c>
      <c r="D5659" s="2">
        <f t="shared" si="4"/>
        <v>7884.72</v>
      </c>
      <c r="E5659" s="2">
        <f t="shared" si="5"/>
        <v>7884.72</v>
      </c>
      <c r="G5659" s="10">
        <f t="shared" si="9"/>
        <v>43641.64583</v>
      </c>
      <c r="H5659" s="6" t="str">
        <f t="shared" si="6"/>
        <v/>
      </c>
      <c r="I5659" s="2">
        <f t="shared" si="7"/>
        <v>1426.89</v>
      </c>
    </row>
    <row r="5660">
      <c r="A5660" s="10">
        <f t="shared" si="8"/>
        <v>43642.66667</v>
      </c>
      <c r="B5660" s="2" t="str">
        <f t="shared" si="2"/>
        <v/>
      </c>
      <c r="C5660" s="2" t="str">
        <f t="shared" si="3"/>
        <v>SP500</v>
      </c>
      <c r="D5660" s="2">
        <f t="shared" si="4"/>
        <v>7909.97</v>
      </c>
      <c r="E5660" s="2">
        <f t="shared" si="5"/>
        <v>7909.97</v>
      </c>
      <c r="G5660" s="10">
        <f t="shared" si="9"/>
        <v>43642.64583</v>
      </c>
      <c r="H5660" s="6" t="str">
        <f t="shared" si="6"/>
        <v/>
      </c>
      <c r="I5660" s="2">
        <f t="shared" si="7"/>
        <v>1426.89</v>
      </c>
    </row>
    <row r="5661">
      <c r="A5661" s="10">
        <f t="shared" si="8"/>
        <v>43643.66667</v>
      </c>
      <c r="B5661" s="2" t="str">
        <f t="shared" si="2"/>
        <v/>
      </c>
      <c r="C5661" s="2" t="str">
        <f t="shared" si="3"/>
        <v>SP500</v>
      </c>
      <c r="D5661" s="2">
        <f t="shared" si="4"/>
        <v>7967.76</v>
      </c>
      <c r="E5661" s="2">
        <f t="shared" si="5"/>
        <v>7967.76</v>
      </c>
      <c r="G5661" s="10">
        <f t="shared" si="9"/>
        <v>43643.64583</v>
      </c>
      <c r="H5661" s="6" t="str">
        <f t="shared" si="6"/>
        <v/>
      </c>
      <c r="I5661" s="2">
        <f t="shared" si="7"/>
        <v>1426.89</v>
      </c>
    </row>
    <row r="5662">
      <c r="A5662" s="10">
        <f t="shared" si="8"/>
        <v>43644.66667</v>
      </c>
      <c r="B5662" s="2" t="str">
        <f t="shared" si="2"/>
        <v/>
      </c>
      <c r="C5662" s="2" t="str">
        <f t="shared" si="3"/>
        <v>SP500</v>
      </c>
      <c r="D5662" s="2">
        <f t="shared" si="4"/>
        <v>8006.24</v>
      </c>
      <c r="E5662" s="2">
        <f t="shared" si="5"/>
        <v>8006.24</v>
      </c>
      <c r="G5662" s="10">
        <f t="shared" si="9"/>
        <v>43644.64583</v>
      </c>
      <c r="H5662" s="6" t="str">
        <f t="shared" si="6"/>
        <v/>
      </c>
      <c r="I5662" s="2">
        <f t="shared" si="7"/>
        <v>1426.89</v>
      </c>
    </row>
    <row r="5663">
      <c r="A5663" s="10">
        <f t="shared" si="8"/>
        <v>43645.66667</v>
      </c>
      <c r="B5663" s="2" t="str">
        <f t="shared" si="2"/>
        <v/>
      </c>
      <c r="C5663" s="2" t="str">
        <f t="shared" si="3"/>
        <v>SP500</v>
      </c>
      <c r="D5663" s="2" t="str">
        <f t="shared" si="4"/>
        <v/>
      </c>
      <c r="E5663" s="2">
        <f t="shared" si="5"/>
        <v>8006.24</v>
      </c>
      <c r="G5663" s="10">
        <f t="shared" si="9"/>
        <v>43645.64583</v>
      </c>
      <c r="H5663" s="6" t="str">
        <f t="shared" si="6"/>
        <v/>
      </c>
      <c r="I5663" s="2">
        <f t="shared" si="7"/>
        <v>1426.89</v>
      </c>
    </row>
    <row r="5664">
      <c r="A5664" s="10">
        <f t="shared" si="8"/>
        <v>43646.66667</v>
      </c>
      <c r="B5664" s="2" t="str">
        <f t="shared" si="2"/>
        <v/>
      </c>
      <c r="C5664" s="2" t="str">
        <f t="shared" si="3"/>
        <v>SP500</v>
      </c>
      <c r="D5664" s="2" t="str">
        <f t="shared" si="4"/>
        <v/>
      </c>
      <c r="E5664" s="2">
        <f t="shared" si="5"/>
        <v>8006.24</v>
      </c>
      <c r="G5664" s="10">
        <f t="shared" si="9"/>
        <v>43646.64583</v>
      </c>
      <c r="H5664" s="6" t="str">
        <f t="shared" si="6"/>
        <v/>
      </c>
      <c r="I5664" s="2">
        <f t="shared" si="7"/>
        <v>1426.89</v>
      </c>
    </row>
    <row r="5665">
      <c r="A5665" s="10">
        <f t="shared" si="8"/>
        <v>43647.66667</v>
      </c>
      <c r="B5665" s="2" t="str">
        <f t="shared" si="2"/>
        <v/>
      </c>
      <c r="C5665" s="2" t="str">
        <f t="shared" si="3"/>
        <v>SP500</v>
      </c>
      <c r="D5665" s="2">
        <f t="shared" si="4"/>
        <v>8091.16</v>
      </c>
      <c r="E5665" s="2">
        <f t="shared" si="5"/>
        <v>8091.16</v>
      </c>
      <c r="G5665" s="10">
        <f t="shared" si="9"/>
        <v>43647.64583</v>
      </c>
      <c r="H5665" s="6" t="str">
        <f t="shared" si="6"/>
        <v/>
      </c>
      <c r="I5665" s="2">
        <f t="shared" si="7"/>
        <v>1426.89</v>
      </c>
    </row>
    <row r="5666">
      <c r="A5666" s="10">
        <f t="shared" si="8"/>
        <v>43648.66667</v>
      </c>
      <c r="B5666" s="2" t="str">
        <f t="shared" si="2"/>
        <v/>
      </c>
      <c r="C5666" s="2" t="str">
        <f t="shared" si="3"/>
        <v>SP500</v>
      </c>
      <c r="D5666" s="2">
        <f t="shared" si="4"/>
        <v>8109.09</v>
      </c>
      <c r="E5666" s="2">
        <f t="shared" si="5"/>
        <v>8109.09</v>
      </c>
      <c r="G5666" s="10">
        <f t="shared" si="9"/>
        <v>43648.64583</v>
      </c>
      <c r="H5666" s="6" t="str">
        <f t="shared" si="6"/>
        <v/>
      </c>
      <c r="I5666" s="2">
        <f t="shared" si="7"/>
        <v>1426.89</v>
      </c>
    </row>
    <row r="5667">
      <c r="A5667" s="10">
        <f t="shared" si="8"/>
        <v>43649.66667</v>
      </c>
      <c r="B5667" s="2" t="str">
        <f t="shared" si="2"/>
        <v/>
      </c>
      <c r="C5667" s="2" t="str">
        <f t="shared" si="3"/>
        <v>SP500</v>
      </c>
      <c r="D5667" s="2" t="str">
        <f t="shared" si="4"/>
        <v/>
      </c>
      <c r="E5667" s="2">
        <f t="shared" si="5"/>
        <v>8109.09</v>
      </c>
      <c r="G5667" s="10">
        <f t="shared" si="9"/>
        <v>43649.64583</v>
      </c>
      <c r="H5667" s="6" t="str">
        <f t="shared" si="6"/>
        <v/>
      </c>
      <c r="I5667" s="2">
        <f t="shared" si="7"/>
        <v>1426.89</v>
      </c>
    </row>
    <row r="5668">
      <c r="A5668" s="10">
        <f t="shared" si="8"/>
        <v>43650.66667</v>
      </c>
      <c r="B5668" s="2" t="str">
        <f t="shared" si="2"/>
        <v/>
      </c>
      <c r="C5668" s="2" t="str">
        <f t="shared" si="3"/>
        <v>SP500</v>
      </c>
      <c r="D5668" s="2" t="str">
        <f t="shared" si="4"/>
        <v/>
      </c>
      <c r="E5668" s="2">
        <f t="shared" si="5"/>
        <v>8109.09</v>
      </c>
      <c r="G5668" s="10">
        <f t="shared" si="9"/>
        <v>43650.64583</v>
      </c>
      <c r="H5668" s="6" t="str">
        <f t="shared" si="6"/>
        <v/>
      </c>
      <c r="I5668" s="2">
        <f t="shared" si="7"/>
        <v>1426.89</v>
      </c>
    </row>
    <row r="5669">
      <c r="A5669" s="10">
        <f t="shared" si="8"/>
        <v>43651.66667</v>
      </c>
      <c r="B5669" s="2" t="str">
        <f t="shared" si="2"/>
        <v/>
      </c>
      <c r="C5669" s="2" t="str">
        <f t="shared" si="3"/>
        <v>SP500</v>
      </c>
      <c r="D5669" s="2">
        <f t="shared" si="4"/>
        <v>8161.79</v>
      </c>
      <c r="E5669" s="2">
        <f t="shared" si="5"/>
        <v>8161.79</v>
      </c>
      <c r="G5669" s="10">
        <f t="shared" si="9"/>
        <v>43651.64583</v>
      </c>
      <c r="H5669" s="6" t="str">
        <f t="shared" si="6"/>
        <v/>
      </c>
      <c r="I5669" s="2">
        <f t="shared" si="7"/>
        <v>1426.89</v>
      </c>
    </row>
    <row r="5670">
      <c r="A5670" s="10">
        <f t="shared" si="8"/>
        <v>43652.66667</v>
      </c>
      <c r="B5670" s="2" t="str">
        <f t="shared" si="2"/>
        <v/>
      </c>
      <c r="C5670" s="2" t="str">
        <f t="shared" si="3"/>
        <v>SP500</v>
      </c>
      <c r="D5670" s="2" t="str">
        <f t="shared" si="4"/>
        <v/>
      </c>
      <c r="E5670" s="2">
        <f t="shared" si="5"/>
        <v>8161.79</v>
      </c>
      <c r="G5670" s="10">
        <f t="shared" si="9"/>
        <v>43652.64583</v>
      </c>
      <c r="H5670" s="6" t="str">
        <f t="shared" si="6"/>
        <v/>
      </c>
      <c r="I5670" s="2">
        <f t="shared" si="7"/>
        <v>1426.89</v>
      </c>
    </row>
    <row r="5671">
      <c r="A5671" s="10">
        <f t="shared" si="8"/>
        <v>43653.66667</v>
      </c>
      <c r="B5671" s="2" t="str">
        <f t="shared" si="2"/>
        <v/>
      </c>
      <c r="C5671" s="2" t="str">
        <f t="shared" si="3"/>
        <v>SP500</v>
      </c>
      <c r="D5671" s="2" t="str">
        <f t="shared" si="4"/>
        <v/>
      </c>
      <c r="E5671" s="2">
        <f t="shared" si="5"/>
        <v>8161.79</v>
      </c>
      <c r="G5671" s="10">
        <f t="shared" si="9"/>
        <v>43653.64583</v>
      </c>
      <c r="H5671" s="6" t="str">
        <f t="shared" si="6"/>
        <v/>
      </c>
      <c r="I5671" s="2">
        <f t="shared" si="7"/>
        <v>1426.89</v>
      </c>
    </row>
    <row r="5672">
      <c r="A5672" s="10">
        <f t="shared" si="8"/>
        <v>43654.66667</v>
      </c>
      <c r="B5672" s="2" t="str">
        <f t="shared" si="2"/>
        <v/>
      </c>
      <c r="C5672" s="2" t="str">
        <f t="shared" si="3"/>
        <v>SP500</v>
      </c>
      <c r="D5672" s="2">
        <f t="shared" si="4"/>
        <v>8098.38</v>
      </c>
      <c r="E5672" s="2">
        <f t="shared" si="5"/>
        <v>8098.38</v>
      </c>
      <c r="G5672" s="10">
        <f t="shared" si="9"/>
        <v>43654.64583</v>
      </c>
      <c r="H5672" s="6" t="str">
        <f t="shared" si="6"/>
        <v/>
      </c>
      <c r="I5672" s="2">
        <f t="shared" si="7"/>
        <v>1426.89</v>
      </c>
    </row>
    <row r="5673">
      <c r="A5673" s="10">
        <f t="shared" si="8"/>
        <v>43655.66667</v>
      </c>
      <c r="B5673" s="2" t="str">
        <f t="shared" si="2"/>
        <v/>
      </c>
      <c r="C5673" s="2" t="str">
        <f t="shared" si="3"/>
        <v>SP500</v>
      </c>
      <c r="D5673" s="2">
        <f t="shared" si="4"/>
        <v>8141.73</v>
      </c>
      <c r="E5673" s="2">
        <f t="shared" si="5"/>
        <v>8141.73</v>
      </c>
      <c r="G5673" s="10">
        <f t="shared" si="9"/>
        <v>43655.64583</v>
      </c>
      <c r="H5673" s="6" t="str">
        <f t="shared" si="6"/>
        <v/>
      </c>
      <c r="I5673" s="2">
        <f t="shared" si="7"/>
        <v>1426.89</v>
      </c>
    </row>
    <row r="5674">
      <c r="A5674" s="10">
        <f t="shared" si="8"/>
        <v>43656.66667</v>
      </c>
      <c r="B5674" s="2" t="str">
        <f t="shared" si="2"/>
        <v/>
      </c>
      <c r="C5674" s="2" t="str">
        <f t="shared" si="3"/>
        <v>SP500</v>
      </c>
      <c r="D5674" s="2">
        <f t="shared" si="4"/>
        <v>8202.53</v>
      </c>
      <c r="E5674" s="2">
        <f t="shared" si="5"/>
        <v>8202.53</v>
      </c>
      <c r="G5674" s="10">
        <f t="shared" si="9"/>
        <v>43656.64583</v>
      </c>
      <c r="H5674" s="6" t="str">
        <f t="shared" si="6"/>
        <v/>
      </c>
      <c r="I5674" s="2">
        <f t="shared" si="7"/>
        <v>1426.89</v>
      </c>
    </row>
    <row r="5675">
      <c r="A5675" s="10">
        <f t="shared" si="8"/>
        <v>43657.66667</v>
      </c>
      <c r="B5675" s="2" t="str">
        <f t="shared" si="2"/>
        <v/>
      </c>
      <c r="C5675" s="2" t="str">
        <f t="shared" si="3"/>
        <v>SP500</v>
      </c>
      <c r="D5675" s="2">
        <f t="shared" si="4"/>
        <v>8196.04</v>
      </c>
      <c r="E5675" s="2">
        <f t="shared" si="5"/>
        <v>8196.04</v>
      </c>
      <c r="G5675" s="10">
        <f t="shared" si="9"/>
        <v>43657.64583</v>
      </c>
      <c r="H5675" s="6" t="str">
        <f t="shared" si="6"/>
        <v/>
      </c>
      <c r="I5675" s="2">
        <f t="shared" si="7"/>
        <v>1426.89</v>
      </c>
    </row>
    <row r="5676">
      <c r="A5676" s="10">
        <f t="shared" si="8"/>
        <v>43658.66667</v>
      </c>
      <c r="B5676" s="2" t="str">
        <f t="shared" si="2"/>
        <v/>
      </c>
      <c r="C5676" s="2" t="str">
        <f t="shared" si="3"/>
        <v>SP500</v>
      </c>
      <c r="D5676" s="2">
        <f t="shared" si="4"/>
        <v>8244.14</v>
      </c>
      <c r="E5676" s="2">
        <f t="shared" si="5"/>
        <v>8244.14</v>
      </c>
      <c r="G5676" s="10">
        <f t="shared" si="9"/>
        <v>43658.64583</v>
      </c>
      <c r="H5676" s="6" t="str">
        <f t="shared" si="6"/>
        <v/>
      </c>
      <c r="I5676" s="2">
        <f t="shared" si="7"/>
        <v>1426.89</v>
      </c>
    </row>
    <row r="5677">
      <c r="A5677" s="10">
        <f t="shared" si="8"/>
        <v>43659.66667</v>
      </c>
      <c r="B5677" s="2" t="str">
        <f t="shared" si="2"/>
        <v/>
      </c>
      <c r="C5677" s="2" t="str">
        <f t="shared" si="3"/>
        <v>SP500</v>
      </c>
      <c r="D5677" s="2" t="str">
        <f t="shared" si="4"/>
        <v/>
      </c>
      <c r="E5677" s="2">
        <f t="shared" si="5"/>
        <v>8244.14</v>
      </c>
      <c r="G5677" s="10">
        <f t="shared" si="9"/>
        <v>43659.64583</v>
      </c>
      <c r="H5677" s="6" t="str">
        <f t="shared" si="6"/>
        <v/>
      </c>
      <c r="I5677" s="2">
        <f t="shared" si="7"/>
        <v>1426.89</v>
      </c>
    </row>
    <row r="5678">
      <c r="A5678" s="10">
        <f t="shared" si="8"/>
        <v>43660.66667</v>
      </c>
      <c r="B5678" s="2" t="str">
        <f t="shared" si="2"/>
        <v/>
      </c>
      <c r="C5678" s="2" t="str">
        <f t="shared" si="3"/>
        <v>SP500</v>
      </c>
      <c r="D5678" s="2" t="str">
        <f t="shared" si="4"/>
        <v/>
      </c>
      <c r="E5678" s="2">
        <f t="shared" si="5"/>
        <v>8244.14</v>
      </c>
      <c r="G5678" s="10">
        <f t="shared" si="9"/>
        <v>43660.64583</v>
      </c>
      <c r="H5678" s="6" t="str">
        <f t="shared" si="6"/>
        <v/>
      </c>
      <c r="I5678" s="2">
        <f t="shared" si="7"/>
        <v>1426.89</v>
      </c>
    </row>
    <row r="5679">
      <c r="A5679" s="10">
        <f t="shared" si="8"/>
        <v>43661.66667</v>
      </c>
      <c r="B5679" s="2" t="str">
        <f t="shared" si="2"/>
        <v/>
      </c>
      <c r="C5679" s="2" t="str">
        <f t="shared" si="3"/>
        <v>SP500</v>
      </c>
      <c r="D5679" s="2">
        <f t="shared" si="4"/>
        <v>8258.19</v>
      </c>
      <c r="E5679" s="2">
        <f t="shared" si="5"/>
        <v>8258.19</v>
      </c>
      <c r="G5679" s="10">
        <f t="shared" si="9"/>
        <v>43661.64583</v>
      </c>
      <c r="H5679" s="6" t="str">
        <f t="shared" si="6"/>
        <v/>
      </c>
      <c r="I5679" s="2">
        <f t="shared" si="7"/>
        <v>1426.89</v>
      </c>
    </row>
    <row r="5680">
      <c r="A5680" s="10">
        <f t="shared" si="8"/>
        <v>43662.66667</v>
      </c>
      <c r="B5680" s="2" t="str">
        <f t="shared" si="2"/>
        <v/>
      </c>
      <c r="C5680" s="2" t="str">
        <f t="shared" si="3"/>
        <v>SP500</v>
      </c>
      <c r="D5680" s="2">
        <f t="shared" si="4"/>
        <v>8222.8</v>
      </c>
      <c r="E5680" s="2">
        <f t="shared" si="5"/>
        <v>8222.8</v>
      </c>
      <c r="G5680" s="10">
        <f t="shared" si="9"/>
        <v>43662.64583</v>
      </c>
      <c r="H5680" s="6" t="str">
        <f t="shared" si="6"/>
        <v/>
      </c>
      <c r="I5680" s="2">
        <f t="shared" si="7"/>
        <v>1426.89</v>
      </c>
    </row>
    <row r="5681">
      <c r="A5681" s="10">
        <f t="shared" si="8"/>
        <v>43663.66667</v>
      </c>
      <c r="B5681" s="2" t="str">
        <f t="shared" si="2"/>
        <v/>
      </c>
      <c r="C5681" s="2" t="str">
        <f t="shared" si="3"/>
        <v>SP500</v>
      </c>
      <c r="D5681" s="2">
        <f t="shared" si="4"/>
        <v>8185.21</v>
      </c>
      <c r="E5681" s="2">
        <f t="shared" si="5"/>
        <v>8185.21</v>
      </c>
      <c r="G5681" s="10">
        <f t="shared" si="9"/>
        <v>43663.64583</v>
      </c>
      <c r="H5681" s="6" t="str">
        <f t="shared" si="6"/>
        <v/>
      </c>
      <c r="I5681" s="2">
        <f t="shared" si="7"/>
        <v>1426.89</v>
      </c>
    </row>
    <row r="5682">
      <c r="A5682" s="10">
        <f t="shared" si="8"/>
        <v>43664.66667</v>
      </c>
      <c r="B5682" s="2" t="str">
        <f t="shared" si="2"/>
        <v/>
      </c>
      <c r="C5682" s="2" t="str">
        <f t="shared" si="3"/>
        <v>SP500</v>
      </c>
      <c r="D5682" s="2">
        <f t="shared" si="4"/>
        <v>8207.24</v>
      </c>
      <c r="E5682" s="2">
        <f t="shared" si="5"/>
        <v>8207.24</v>
      </c>
      <c r="G5682" s="10">
        <f t="shared" si="9"/>
        <v>43664.64583</v>
      </c>
      <c r="H5682" s="6" t="str">
        <f t="shared" si="6"/>
        <v/>
      </c>
      <c r="I5682" s="2">
        <f t="shared" si="7"/>
        <v>1426.89</v>
      </c>
    </row>
    <row r="5683">
      <c r="A5683" s="10">
        <f t="shared" si="8"/>
        <v>43665.66667</v>
      </c>
      <c r="B5683" s="2" t="str">
        <f t="shared" si="2"/>
        <v/>
      </c>
      <c r="C5683" s="2" t="str">
        <f t="shared" si="3"/>
        <v>SP500</v>
      </c>
      <c r="D5683" s="2">
        <f t="shared" si="4"/>
        <v>8146.49</v>
      </c>
      <c r="E5683" s="2">
        <f t="shared" si="5"/>
        <v>8146.49</v>
      </c>
      <c r="G5683" s="10">
        <f t="shared" si="9"/>
        <v>43665.64583</v>
      </c>
      <c r="H5683" s="6" t="str">
        <f t="shared" si="6"/>
        <v/>
      </c>
      <c r="I5683" s="2">
        <f t="shared" si="7"/>
        <v>1426.89</v>
      </c>
    </row>
    <row r="5684">
      <c r="A5684" s="10">
        <f t="shared" si="8"/>
        <v>43666.66667</v>
      </c>
      <c r="B5684" s="2" t="str">
        <f t="shared" si="2"/>
        <v/>
      </c>
      <c r="C5684" s="2" t="str">
        <f t="shared" si="3"/>
        <v>SP500</v>
      </c>
      <c r="D5684" s="2" t="str">
        <f t="shared" si="4"/>
        <v/>
      </c>
      <c r="E5684" s="2">
        <f t="shared" si="5"/>
        <v>8146.49</v>
      </c>
      <c r="G5684" s="10">
        <f t="shared" si="9"/>
        <v>43666.64583</v>
      </c>
      <c r="H5684" s="6" t="str">
        <f t="shared" si="6"/>
        <v/>
      </c>
      <c r="I5684" s="2">
        <f t="shared" si="7"/>
        <v>1426.89</v>
      </c>
    </row>
    <row r="5685">
      <c r="A5685" s="10">
        <f t="shared" si="8"/>
        <v>43667.66667</v>
      </c>
      <c r="B5685" s="2" t="str">
        <f t="shared" si="2"/>
        <v/>
      </c>
      <c r="C5685" s="2" t="str">
        <f t="shared" si="3"/>
        <v>SP500</v>
      </c>
      <c r="D5685" s="2" t="str">
        <f t="shared" si="4"/>
        <v/>
      </c>
      <c r="E5685" s="2">
        <f t="shared" si="5"/>
        <v>8146.49</v>
      </c>
      <c r="G5685" s="10">
        <f t="shared" si="9"/>
        <v>43667.64583</v>
      </c>
      <c r="H5685" s="6" t="str">
        <f t="shared" si="6"/>
        <v/>
      </c>
      <c r="I5685" s="2">
        <f t="shared" si="7"/>
        <v>1426.89</v>
      </c>
    </row>
    <row r="5686">
      <c r="A5686" s="10">
        <f t="shared" si="8"/>
        <v>43668.66667</v>
      </c>
      <c r="B5686" s="2" t="str">
        <f t="shared" si="2"/>
        <v/>
      </c>
      <c r="C5686" s="2" t="str">
        <f t="shared" si="3"/>
        <v>SP500</v>
      </c>
      <c r="D5686" s="2">
        <f t="shared" si="4"/>
        <v>8204.14</v>
      </c>
      <c r="E5686" s="2">
        <f t="shared" si="5"/>
        <v>8204.14</v>
      </c>
      <c r="G5686" s="10">
        <f t="shared" si="9"/>
        <v>43668.64583</v>
      </c>
      <c r="H5686" s="6" t="str">
        <f t="shared" si="6"/>
        <v/>
      </c>
      <c r="I5686" s="2">
        <f t="shared" si="7"/>
        <v>1426.89</v>
      </c>
    </row>
    <row r="5687">
      <c r="A5687" s="10">
        <f t="shared" si="8"/>
        <v>43669.66667</v>
      </c>
      <c r="B5687" s="2" t="str">
        <f t="shared" si="2"/>
        <v/>
      </c>
      <c r="C5687" s="2" t="str">
        <f t="shared" si="3"/>
        <v>SP500</v>
      </c>
      <c r="D5687" s="2">
        <f t="shared" si="4"/>
        <v>8251.4</v>
      </c>
      <c r="E5687" s="2">
        <f t="shared" si="5"/>
        <v>8251.4</v>
      </c>
      <c r="G5687" s="10">
        <f t="shared" si="9"/>
        <v>43669.64583</v>
      </c>
      <c r="H5687" s="6" t="str">
        <f t="shared" si="6"/>
        <v/>
      </c>
      <c r="I5687" s="2">
        <f t="shared" si="7"/>
        <v>1426.89</v>
      </c>
    </row>
    <row r="5688">
      <c r="A5688" s="10">
        <f t="shared" si="8"/>
        <v>43670.66667</v>
      </c>
      <c r="B5688" s="2" t="str">
        <f t="shared" si="2"/>
        <v/>
      </c>
      <c r="C5688" s="2" t="str">
        <f t="shared" si="3"/>
        <v>SP500</v>
      </c>
      <c r="D5688" s="2">
        <f t="shared" si="4"/>
        <v>8321.5</v>
      </c>
      <c r="E5688" s="2">
        <f t="shared" si="5"/>
        <v>8321.5</v>
      </c>
      <c r="G5688" s="10">
        <f t="shared" si="9"/>
        <v>43670.64583</v>
      </c>
      <c r="H5688" s="6" t="str">
        <f t="shared" si="6"/>
        <v/>
      </c>
      <c r="I5688" s="2">
        <f t="shared" si="7"/>
        <v>1426.89</v>
      </c>
    </row>
    <row r="5689">
      <c r="A5689" s="10">
        <f t="shared" si="8"/>
        <v>43671.66667</v>
      </c>
      <c r="B5689" s="2" t="str">
        <f t="shared" si="2"/>
        <v/>
      </c>
      <c r="C5689" s="2" t="str">
        <f t="shared" si="3"/>
        <v>SP500</v>
      </c>
      <c r="D5689" s="2">
        <f t="shared" si="4"/>
        <v>8238.54</v>
      </c>
      <c r="E5689" s="2">
        <f t="shared" si="5"/>
        <v>8238.54</v>
      </c>
      <c r="G5689" s="10">
        <f t="shared" si="9"/>
        <v>43671.64583</v>
      </c>
      <c r="H5689" s="6" t="str">
        <f t="shared" si="6"/>
        <v/>
      </c>
      <c r="I5689" s="2">
        <f t="shared" si="7"/>
        <v>1426.89</v>
      </c>
    </row>
    <row r="5690">
      <c r="A5690" s="10">
        <f t="shared" si="8"/>
        <v>43672.66667</v>
      </c>
      <c r="B5690" s="2" t="str">
        <f t="shared" si="2"/>
        <v/>
      </c>
      <c r="C5690" s="2" t="str">
        <f t="shared" si="3"/>
        <v>SP500</v>
      </c>
      <c r="D5690" s="2">
        <f t="shared" si="4"/>
        <v>8330.21</v>
      </c>
      <c r="E5690" s="2">
        <f t="shared" si="5"/>
        <v>8330.21</v>
      </c>
      <c r="G5690" s="10">
        <f t="shared" si="9"/>
        <v>43672.64583</v>
      </c>
      <c r="H5690" s="6" t="str">
        <f t="shared" si="6"/>
        <v/>
      </c>
      <c r="I5690" s="2">
        <f t="shared" si="7"/>
        <v>1426.89</v>
      </c>
    </row>
    <row r="5691">
      <c r="A5691" s="10">
        <f t="shared" si="8"/>
        <v>43673.66667</v>
      </c>
      <c r="B5691" s="2" t="str">
        <f t="shared" si="2"/>
        <v/>
      </c>
      <c r="C5691" s="2" t="str">
        <f t="shared" si="3"/>
        <v>SP500</v>
      </c>
      <c r="D5691" s="2" t="str">
        <f t="shared" si="4"/>
        <v/>
      </c>
      <c r="E5691" s="2">
        <f t="shared" si="5"/>
        <v>8330.21</v>
      </c>
      <c r="G5691" s="10">
        <f t="shared" si="9"/>
        <v>43673.64583</v>
      </c>
      <c r="H5691" s="6" t="str">
        <f t="shared" si="6"/>
        <v/>
      </c>
      <c r="I5691" s="2">
        <f t="shared" si="7"/>
        <v>1426.89</v>
      </c>
    </row>
    <row r="5692">
      <c r="A5692" s="10">
        <f t="shared" si="8"/>
        <v>43674.66667</v>
      </c>
      <c r="B5692" s="2" t="str">
        <f t="shared" si="2"/>
        <v/>
      </c>
      <c r="C5692" s="2" t="str">
        <f t="shared" si="3"/>
        <v>SP500</v>
      </c>
      <c r="D5692" s="2" t="str">
        <f t="shared" si="4"/>
        <v/>
      </c>
      <c r="E5692" s="2">
        <f t="shared" si="5"/>
        <v>8330.21</v>
      </c>
      <c r="G5692" s="10">
        <f t="shared" si="9"/>
        <v>43674.64583</v>
      </c>
      <c r="H5692" s="6" t="str">
        <f t="shared" si="6"/>
        <v/>
      </c>
      <c r="I5692" s="2">
        <f t="shared" si="7"/>
        <v>1426.89</v>
      </c>
    </row>
    <row r="5693">
      <c r="A5693" s="10">
        <f t="shared" si="8"/>
        <v>43675.66667</v>
      </c>
      <c r="B5693" s="2" t="str">
        <f t="shared" si="2"/>
        <v/>
      </c>
      <c r="C5693" s="2" t="str">
        <f t="shared" si="3"/>
        <v>SP500</v>
      </c>
      <c r="D5693" s="2">
        <f t="shared" si="4"/>
        <v>8293.33</v>
      </c>
      <c r="E5693" s="2">
        <f t="shared" si="5"/>
        <v>8293.33</v>
      </c>
      <c r="G5693" s="10">
        <f t="shared" si="9"/>
        <v>43675.64583</v>
      </c>
      <c r="H5693" s="6" t="str">
        <f t="shared" si="6"/>
        <v/>
      </c>
      <c r="I5693" s="2">
        <f t="shared" si="7"/>
        <v>1426.89</v>
      </c>
    </row>
    <row r="5694">
      <c r="A5694" s="10">
        <f t="shared" si="8"/>
        <v>43676.66667</v>
      </c>
      <c r="B5694" s="2" t="str">
        <f t="shared" si="2"/>
        <v/>
      </c>
      <c r="C5694" s="2" t="str">
        <f t="shared" si="3"/>
        <v>SP500</v>
      </c>
      <c r="D5694" s="2">
        <f t="shared" si="4"/>
        <v>8273.61</v>
      </c>
      <c r="E5694" s="2">
        <f t="shared" si="5"/>
        <v>8273.61</v>
      </c>
      <c r="G5694" s="10">
        <f t="shared" si="9"/>
        <v>43676.64583</v>
      </c>
      <c r="H5694" s="6" t="str">
        <f t="shared" si="6"/>
        <v/>
      </c>
      <c r="I5694" s="2">
        <f t="shared" si="7"/>
        <v>1426.89</v>
      </c>
    </row>
    <row r="5695">
      <c r="A5695" s="10">
        <f t="shared" si="8"/>
        <v>43677.66667</v>
      </c>
      <c r="B5695" s="2" t="str">
        <f t="shared" si="2"/>
        <v/>
      </c>
      <c r="C5695" s="2" t="str">
        <f t="shared" si="3"/>
        <v>SP500</v>
      </c>
      <c r="D5695" s="2">
        <f t="shared" si="4"/>
        <v>8175.42</v>
      </c>
      <c r="E5695" s="2">
        <f t="shared" si="5"/>
        <v>8175.42</v>
      </c>
      <c r="G5695" s="10">
        <f t="shared" si="9"/>
        <v>43677.64583</v>
      </c>
      <c r="H5695" s="6" t="str">
        <f t="shared" si="6"/>
        <v/>
      </c>
      <c r="I5695" s="2">
        <f t="shared" si="7"/>
        <v>1426.89</v>
      </c>
    </row>
    <row r="5696">
      <c r="A5696" s="10">
        <f t="shared" si="8"/>
        <v>43678.66667</v>
      </c>
      <c r="B5696" s="2" t="str">
        <f t="shared" si="2"/>
        <v/>
      </c>
      <c r="C5696" s="2" t="str">
        <f t="shared" si="3"/>
        <v>SP500</v>
      </c>
      <c r="D5696" s="2">
        <f t="shared" si="4"/>
        <v>8111.12</v>
      </c>
      <c r="E5696" s="2">
        <f t="shared" si="5"/>
        <v>8111.12</v>
      </c>
      <c r="G5696" s="10">
        <f t="shared" si="9"/>
        <v>43678.64583</v>
      </c>
      <c r="H5696" s="6" t="str">
        <f t="shared" si="6"/>
        <v/>
      </c>
      <c r="I5696" s="2">
        <f t="shared" si="7"/>
        <v>1426.89</v>
      </c>
    </row>
    <row r="5697">
      <c r="A5697" s="10">
        <f t="shared" si="8"/>
        <v>43679.66667</v>
      </c>
      <c r="B5697" s="2" t="str">
        <f t="shared" si="2"/>
        <v/>
      </c>
      <c r="C5697" s="2" t="str">
        <f t="shared" si="3"/>
        <v>SP500</v>
      </c>
      <c r="D5697" s="2">
        <f t="shared" si="4"/>
        <v>8004.07</v>
      </c>
      <c r="E5697" s="2">
        <f t="shared" si="5"/>
        <v>8004.07</v>
      </c>
      <c r="G5697" s="10">
        <f t="shared" si="9"/>
        <v>43679.64583</v>
      </c>
      <c r="H5697" s="6" t="str">
        <f t="shared" si="6"/>
        <v/>
      </c>
      <c r="I5697" s="2">
        <f t="shared" si="7"/>
        <v>1426.89</v>
      </c>
    </row>
    <row r="5698">
      <c r="A5698" s="10">
        <f t="shared" si="8"/>
        <v>43680.66667</v>
      </c>
      <c r="B5698" s="2" t="str">
        <f t="shared" si="2"/>
        <v/>
      </c>
      <c r="C5698" s="2" t="str">
        <f t="shared" si="3"/>
        <v>SP500</v>
      </c>
      <c r="D5698" s="2" t="str">
        <f t="shared" si="4"/>
        <v/>
      </c>
      <c r="E5698" s="2">
        <f t="shared" si="5"/>
        <v>8004.07</v>
      </c>
      <c r="G5698" s="10">
        <f t="shared" si="9"/>
        <v>43680.64583</v>
      </c>
      <c r="H5698" s="6" t="str">
        <f t="shared" si="6"/>
        <v/>
      </c>
      <c r="I5698" s="2">
        <f t="shared" si="7"/>
        <v>1426.89</v>
      </c>
    </row>
    <row r="5699">
      <c r="A5699" s="10">
        <f t="shared" si="8"/>
        <v>43681.66667</v>
      </c>
      <c r="B5699" s="2" t="str">
        <f t="shared" si="2"/>
        <v/>
      </c>
      <c r="C5699" s="2" t="str">
        <f t="shared" si="3"/>
        <v>SP500</v>
      </c>
      <c r="D5699" s="2" t="str">
        <f t="shared" si="4"/>
        <v/>
      </c>
      <c r="E5699" s="2">
        <f t="shared" si="5"/>
        <v>8004.07</v>
      </c>
      <c r="G5699" s="10">
        <f t="shared" si="9"/>
        <v>43681.64583</v>
      </c>
      <c r="H5699" s="6" t="str">
        <f t="shared" si="6"/>
        <v/>
      </c>
      <c r="I5699" s="2">
        <f t="shared" si="7"/>
        <v>1426.89</v>
      </c>
    </row>
    <row r="5700">
      <c r="A5700" s="10">
        <f t="shared" si="8"/>
        <v>43682.66667</v>
      </c>
      <c r="B5700" s="2" t="str">
        <f t="shared" si="2"/>
        <v/>
      </c>
      <c r="C5700" s="2" t="str">
        <f t="shared" si="3"/>
        <v>SP500</v>
      </c>
      <c r="D5700" s="2">
        <f t="shared" si="4"/>
        <v>7726.04</v>
      </c>
      <c r="E5700" s="2">
        <f t="shared" si="5"/>
        <v>7726.04</v>
      </c>
      <c r="G5700" s="10">
        <f t="shared" si="9"/>
        <v>43682.64583</v>
      </c>
      <c r="H5700" s="6" t="str">
        <f t="shared" si="6"/>
        <v/>
      </c>
      <c r="I5700" s="2">
        <f t="shared" si="7"/>
        <v>1426.89</v>
      </c>
    </row>
    <row r="5701">
      <c r="A5701" s="10">
        <f t="shared" si="8"/>
        <v>43683.66667</v>
      </c>
      <c r="B5701" s="2" t="str">
        <f t="shared" si="2"/>
        <v/>
      </c>
      <c r="C5701" s="2" t="str">
        <f t="shared" si="3"/>
        <v>SP500</v>
      </c>
      <c r="D5701" s="2">
        <f t="shared" si="4"/>
        <v>7833.27</v>
      </c>
      <c r="E5701" s="2">
        <f t="shared" si="5"/>
        <v>7833.27</v>
      </c>
      <c r="G5701" s="10">
        <f t="shared" si="9"/>
        <v>43683.64583</v>
      </c>
      <c r="H5701" s="6" t="str">
        <f t="shared" si="6"/>
        <v/>
      </c>
      <c r="I5701" s="2">
        <f t="shared" si="7"/>
        <v>1426.89</v>
      </c>
    </row>
    <row r="5702">
      <c r="A5702" s="10">
        <f t="shared" si="8"/>
        <v>43684.66667</v>
      </c>
      <c r="B5702" s="2" t="str">
        <f t="shared" si="2"/>
        <v/>
      </c>
      <c r="C5702" s="2" t="str">
        <f t="shared" si="3"/>
        <v>SP500</v>
      </c>
      <c r="D5702" s="2">
        <f t="shared" si="4"/>
        <v>7862.83</v>
      </c>
      <c r="E5702" s="2">
        <f t="shared" si="5"/>
        <v>7862.83</v>
      </c>
      <c r="G5702" s="10">
        <f t="shared" si="9"/>
        <v>43684.64583</v>
      </c>
      <c r="H5702" s="6" t="str">
        <f t="shared" si="6"/>
        <v/>
      </c>
      <c r="I5702" s="2">
        <f t="shared" si="7"/>
        <v>1426.89</v>
      </c>
    </row>
    <row r="5703">
      <c r="A5703" s="10">
        <f t="shared" si="8"/>
        <v>43685.66667</v>
      </c>
      <c r="B5703" s="2" t="str">
        <f t="shared" si="2"/>
        <v/>
      </c>
      <c r="C5703" s="2" t="str">
        <f t="shared" si="3"/>
        <v>SP500</v>
      </c>
      <c r="D5703" s="2">
        <f t="shared" si="4"/>
        <v>8039.16</v>
      </c>
      <c r="E5703" s="2">
        <f t="shared" si="5"/>
        <v>8039.16</v>
      </c>
      <c r="G5703" s="10">
        <f t="shared" si="9"/>
        <v>43685.64583</v>
      </c>
      <c r="H5703" s="6" t="str">
        <f t="shared" si="6"/>
        <v/>
      </c>
      <c r="I5703" s="2">
        <f t="shared" si="7"/>
        <v>1426.89</v>
      </c>
    </row>
    <row r="5704">
      <c r="A5704" s="10">
        <f t="shared" si="8"/>
        <v>43686.66667</v>
      </c>
      <c r="B5704" s="2" t="str">
        <f t="shared" si="2"/>
        <v/>
      </c>
      <c r="C5704" s="2" t="str">
        <f t="shared" si="3"/>
        <v>SP500</v>
      </c>
      <c r="D5704" s="2">
        <f t="shared" si="4"/>
        <v>7959.14</v>
      </c>
      <c r="E5704" s="2">
        <f t="shared" si="5"/>
        <v>7959.14</v>
      </c>
      <c r="G5704" s="10">
        <f t="shared" si="9"/>
        <v>43686.64583</v>
      </c>
      <c r="H5704" s="6" t="str">
        <f t="shared" si="6"/>
        <v/>
      </c>
      <c r="I5704" s="2">
        <f t="shared" si="7"/>
        <v>1426.89</v>
      </c>
    </row>
    <row r="5705">
      <c r="A5705" s="10">
        <f t="shared" si="8"/>
        <v>43687.66667</v>
      </c>
      <c r="B5705" s="2" t="str">
        <f t="shared" si="2"/>
        <v/>
      </c>
      <c r="C5705" s="2" t="str">
        <f t="shared" si="3"/>
        <v>SP500</v>
      </c>
      <c r="D5705" s="2" t="str">
        <f t="shared" si="4"/>
        <v/>
      </c>
      <c r="E5705" s="2">
        <f t="shared" si="5"/>
        <v>7959.14</v>
      </c>
      <c r="G5705" s="10">
        <f t="shared" si="9"/>
        <v>43687.64583</v>
      </c>
      <c r="H5705" s="6" t="str">
        <f t="shared" si="6"/>
        <v/>
      </c>
      <c r="I5705" s="2">
        <f t="shared" si="7"/>
        <v>1426.89</v>
      </c>
    </row>
    <row r="5706">
      <c r="A5706" s="10">
        <f t="shared" si="8"/>
        <v>43688.66667</v>
      </c>
      <c r="B5706" s="2" t="str">
        <f t="shared" si="2"/>
        <v/>
      </c>
      <c r="C5706" s="2" t="str">
        <f t="shared" si="3"/>
        <v>SP500</v>
      </c>
      <c r="D5706" s="2" t="str">
        <f t="shared" si="4"/>
        <v/>
      </c>
      <c r="E5706" s="2">
        <f t="shared" si="5"/>
        <v>7959.14</v>
      </c>
      <c r="G5706" s="10">
        <f t="shared" si="9"/>
        <v>43688.64583</v>
      </c>
      <c r="H5706" s="6" t="str">
        <f t="shared" si="6"/>
        <v/>
      </c>
      <c r="I5706" s="2">
        <f t="shared" si="7"/>
        <v>1426.89</v>
      </c>
    </row>
    <row r="5707">
      <c r="A5707" s="10">
        <f t="shared" si="8"/>
        <v>43689.66667</v>
      </c>
      <c r="B5707" s="2" t="str">
        <f t="shared" si="2"/>
        <v/>
      </c>
      <c r="C5707" s="2" t="str">
        <f t="shared" si="3"/>
        <v>SP500</v>
      </c>
      <c r="D5707" s="2">
        <f t="shared" si="4"/>
        <v>7863.41</v>
      </c>
      <c r="E5707" s="2">
        <f t="shared" si="5"/>
        <v>7863.41</v>
      </c>
      <c r="G5707" s="10">
        <f t="shared" si="9"/>
        <v>43689.64583</v>
      </c>
      <c r="H5707" s="6" t="str">
        <f t="shared" si="6"/>
        <v/>
      </c>
      <c r="I5707" s="2">
        <f t="shared" si="7"/>
        <v>1426.89</v>
      </c>
    </row>
    <row r="5708">
      <c r="A5708" s="10">
        <f t="shared" si="8"/>
        <v>43690.66667</v>
      </c>
      <c r="B5708" s="2" t="str">
        <f t="shared" si="2"/>
        <v/>
      </c>
      <c r="C5708" s="2" t="str">
        <f t="shared" si="3"/>
        <v>SP500</v>
      </c>
      <c r="D5708" s="2">
        <f t="shared" si="4"/>
        <v>8016.36</v>
      </c>
      <c r="E5708" s="2">
        <f t="shared" si="5"/>
        <v>8016.36</v>
      </c>
      <c r="G5708" s="10">
        <f t="shared" si="9"/>
        <v>43690.64583</v>
      </c>
      <c r="H5708" s="6" t="str">
        <f t="shared" si="6"/>
        <v/>
      </c>
      <c r="I5708" s="2">
        <f t="shared" si="7"/>
        <v>1426.89</v>
      </c>
    </row>
    <row r="5709">
      <c r="A5709" s="10">
        <f t="shared" si="8"/>
        <v>43691.66667</v>
      </c>
      <c r="B5709" s="2" t="str">
        <f t="shared" si="2"/>
        <v/>
      </c>
      <c r="C5709" s="2" t="str">
        <f t="shared" si="3"/>
        <v>SP500</v>
      </c>
      <c r="D5709" s="2">
        <f t="shared" si="4"/>
        <v>7773.94</v>
      </c>
      <c r="E5709" s="2">
        <f t="shared" si="5"/>
        <v>7773.94</v>
      </c>
      <c r="G5709" s="10">
        <f t="shared" si="9"/>
        <v>43691.64583</v>
      </c>
      <c r="H5709" s="6" t="str">
        <f t="shared" si="6"/>
        <v/>
      </c>
      <c r="I5709" s="2">
        <f t="shared" si="7"/>
        <v>1426.89</v>
      </c>
    </row>
    <row r="5710">
      <c r="A5710" s="10">
        <f t="shared" si="8"/>
        <v>43692.66667</v>
      </c>
      <c r="B5710" s="2" t="str">
        <f t="shared" si="2"/>
        <v/>
      </c>
      <c r="C5710" s="2" t="str">
        <f t="shared" si="3"/>
        <v>SP500</v>
      </c>
      <c r="D5710" s="2">
        <f t="shared" si="4"/>
        <v>7766.62</v>
      </c>
      <c r="E5710" s="2">
        <f t="shared" si="5"/>
        <v>7766.62</v>
      </c>
      <c r="G5710" s="10">
        <f t="shared" si="9"/>
        <v>43692.64583</v>
      </c>
      <c r="H5710" s="6" t="str">
        <f t="shared" si="6"/>
        <v/>
      </c>
      <c r="I5710" s="2">
        <f t="shared" si="7"/>
        <v>1426.89</v>
      </c>
    </row>
    <row r="5711">
      <c r="A5711" s="10">
        <f t="shared" si="8"/>
        <v>43693.66667</v>
      </c>
      <c r="B5711" s="2" t="str">
        <f t="shared" si="2"/>
        <v/>
      </c>
      <c r="C5711" s="2" t="str">
        <f t="shared" si="3"/>
        <v>SP500</v>
      </c>
      <c r="D5711" s="2">
        <f t="shared" si="4"/>
        <v>7895.99</v>
      </c>
      <c r="E5711" s="2">
        <f t="shared" si="5"/>
        <v>7895.99</v>
      </c>
      <c r="G5711" s="10">
        <f t="shared" si="9"/>
        <v>43693.64583</v>
      </c>
      <c r="H5711" s="6" t="str">
        <f t="shared" si="6"/>
        <v/>
      </c>
      <c r="I5711" s="2">
        <f t="shared" si="7"/>
        <v>1426.89</v>
      </c>
    </row>
    <row r="5712">
      <c r="A5712" s="10">
        <f t="shared" si="8"/>
        <v>43694.66667</v>
      </c>
      <c r="B5712" s="2" t="str">
        <f t="shared" si="2"/>
        <v/>
      </c>
      <c r="C5712" s="2" t="str">
        <f t="shared" si="3"/>
        <v>SP500</v>
      </c>
      <c r="D5712" s="2" t="str">
        <f t="shared" si="4"/>
        <v/>
      </c>
      <c r="E5712" s="2">
        <f t="shared" si="5"/>
        <v>7895.99</v>
      </c>
      <c r="G5712" s="10">
        <f t="shared" si="9"/>
        <v>43694.64583</v>
      </c>
      <c r="H5712" s="6" t="str">
        <f t="shared" si="6"/>
        <v/>
      </c>
      <c r="I5712" s="2">
        <f t="shared" si="7"/>
        <v>1426.89</v>
      </c>
    </row>
    <row r="5713">
      <c r="A5713" s="10">
        <f t="shared" si="8"/>
        <v>43695.66667</v>
      </c>
      <c r="B5713" s="2" t="str">
        <f t="shared" si="2"/>
        <v/>
      </c>
      <c r="C5713" s="2" t="str">
        <f t="shared" si="3"/>
        <v>SP500</v>
      </c>
      <c r="D5713" s="2" t="str">
        <f t="shared" si="4"/>
        <v/>
      </c>
      <c r="E5713" s="2">
        <f t="shared" si="5"/>
        <v>7895.99</v>
      </c>
      <c r="G5713" s="10">
        <f t="shared" si="9"/>
        <v>43695.64583</v>
      </c>
      <c r="H5713" s="6" t="str">
        <f t="shared" si="6"/>
        <v/>
      </c>
      <c r="I5713" s="2">
        <f t="shared" si="7"/>
        <v>1426.89</v>
      </c>
    </row>
    <row r="5714">
      <c r="A5714" s="10">
        <f t="shared" si="8"/>
        <v>43696.66667</v>
      </c>
      <c r="B5714" s="2" t="str">
        <f t="shared" si="2"/>
        <v/>
      </c>
      <c r="C5714" s="2" t="str">
        <f t="shared" si="3"/>
        <v>SP500</v>
      </c>
      <c r="D5714" s="2">
        <f t="shared" si="4"/>
        <v>8002.81</v>
      </c>
      <c r="E5714" s="2">
        <f t="shared" si="5"/>
        <v>8002.81</v>
      </c>
      <c r="G5714" s="10">
        <f t="shared" si="9"/>
        <v>43696.64583</v>
      </c>
      <c r="H5714" s="6" t="str">
        <f t="shared" si="6"/>
        <v/>
      </c>
      <c r="I5714" s="2">
        <f t="shared" si="7"/>
        <v>1426.89</v>
      </c>
    </row>
    <row r="5715">
      <c r="A5715" s="10">
        <f t="shared" si="8"/>
        <v>43697.66667</v>
      </c>
      <c r="B5715" s="2" t="str">
        <f t="shared" si="2"/>
        <v/>
      </c>
      <c r="C5715" s="2" t="str">
        <f t="shared" si="3"/>
        <v>SP500</v>
      </c>
      <c r="D5715" s="2">
        <f t="shared" si="4"/>
        <v>7948.56</v>
      </c>
      <c r="E5715" s="2">
        <f t="shared" si="5"/>
        <v>7948.56</v>
      </c>
      <c r="G5715" s="10">
        <f t="shared" si="9"/>
        <v>43697.64583</v>
      </c>
      <c r="H5715" s="6" t="str">
        <f t="shared" si="6"/>
        <v/>
      </c>
      <c r="I5715" s="2">
        <f t="shared" si="7"/>
        <v>1426.89</v>
      </c>
    </row>
    <row r="5716">
      <c r="A5716" s="10">
        <f t="shared" si="8"/>
        <v>43698.66667</v>
      </c>
      <c r="B5716" s="2" t="str">
        <f t="shared" si="2"/>
        <v/>
      </c>
      <c r="C5716" s="2" t="str">
        <f t="shared" si="3"/>
        <v>SP500</v>
      </c>
      <c r="D5716" s="2">
        <f t="shared" si="4"/>
        <v>8020.21</v>
      </c>
      <c r="E5716" s="2">
        <f t="shared" si="5"/>
        <v>8020.21</v>
      </c>
      <c r="G5716" s="10">
        <f t="shared" si="9"/>
        <v>43698.64583</v>
      </c>
      <c r="H5716" s="6" t="str">
        <f t="shared" si="6"/>
        <v/>
      </c>
      <c r="I5716" s="2">
        <f t="shared" si="7"/>
        <v>1426.89</v>
      </c>
    </row>
    <row r="5717">
      <c r="A5717" s="10">
        <f t="shared" si="8"/>
        <v>43699.66667</v>
      </c>
      <c r="B5717" s="2" t="str">
        <f t="shared" si="2"/>
        <v/>
      </c>
      <c r="C5717" s="2" t="str">
        <f t="shared" si="3"/>
        <v>SP500</v>
      </c>
      <c r="D5717" s="2">
        <f t="shared" si="4"/>
        <v>7991.39</v>
      </c>
      <c r="E5717" s="2">
        <f t="shared" si="5"/>
        <v>7991.39</v>
      </c>
      <c r="G5717" s="10">
        <f t="shared" si="9"/>
        <v>43699.64583</v>
      </c>
      <c r="H5717" s="6" t="str">
        <f t="shared" si="6"/>
        <v/>
      </c>
      <c r="I5717" s="2">
        <f t="shared" si="7"/>
        <v>1426.89</v>
      </c>
    </row>
    <row r="5718">
      <c r="A5718" s="10">
        <f t="shared" si="8"/>
        <v>43700.66667</v>
      </c>
      <c r="B5718" s="2" t="str">
        <f t="shared" si="2"/>
        <v/>
      </c>
      <c r="C5718" s="2" t="str">
        <f t="shared" si="3"/>
        <v>SP500</v>
      </c>
      <c r="D5718" s="2">
        <f t="shared" si="4"/>
        <v>7751.77</v>
      </c>
      <c r="E5718" s="2">
        <f t="shared" si="5"/>
        <v>7751.77</v>
      </c>
      <c r="G5718" s="10">
        <f t="shared" si="9"/>
        <v>43700.64583</v>
      </c>
      <c r="H5718" s="6" t="str">
        <f t="shared" si="6"/>
        <v/>
      </c>
      <c r="I5718" s="2">
        <f t="shared" si="7"/>
        <v>1426.89</v>
      </c>
    </row>
    <row r="5719">
      <c r="A5719" s="10">
        <f t="shared" si="8"/>
        <v>43701.66667</v>
      </c>
      <c r="B5719" s="2" t="str">
        <f t="shared" si="2"/>
        <v/>
      </c>
      <c r="C5719" s="2" t="str">
        <f t="shared" si="3"/>
        <v>SP500</v>
      </c>
      <c r="D5719" s="2" t="str">
        <f t="shared" si="4"/>
        <v/>
      </c>
      <c r="E5719" s="2">
        <f t="shared" si="5"/>
        <v>7751.77</v>
      </c>
      <c r="G5719" s="10">
        <f t="shared" si="9"/>
        <v>43701.64583</v>
      </c>
      <c r="H5719" s="6" t="str">
        <f t="shared" si="6"/>
        <v/>
      </c>
      <c r="I5719" s="2">
        <f t="shared" si="7"/>
        <v>1426.89</v>
      </c>
    </row>
    <row r="5720">
      <c r="A5720" s="10">
        <f t="shared" si="8"/>
        <v>43702.66667</v>
      </c>
      <c r="B5720" s="2" t="str">
        <f t="shared" si="2"/>
        <v/>
      </c>
      <c r="C5720" s="2" t="str">
        <f t="shared" si="3"/>
        <v>SP500</v>
      </c>
      <c r="D5720" s="2" t="str">
        <f t="shared" si="4"/>
        <v/>
      </c>
      <c r="E5720" s="2">
        <f t="shared" si="5"/>
        <v>7751.77</v>
      </c>
      <c r="G5720" s="10">
        <f t="shared" si="9"/>
        <v>43702.64583</v>
      </c>
      <c r="H5720" s="6" t="str">
        <f t="shared" si="6"/>
        <v/>
      </c>
      <c r="I5720" s="2">
        <f t="shared" si="7"/>
        <v>1426.89</v>
      </c>
    </row>
    <row r="5721">
      <c r="A5721" s="10">
        <f t="shared" si="8"/>
        <v>43703.66667</v>
      </c>
      <c r="B5721" s="2" t="str">
        <f t="shared" si="2"/>
        <v/>
      </c>
      <c r="C5721" s="2" t="str">
        <f t="shared" si="3"/>
        <v>SP500</v>
      </c>
      <c r="D5721" s="2">
        <f t="shared" si="4"/>
        <v>7853.74</v>
      </c>
      <c r="E5721" s="2">
        <f t="shared" si="5"/>
        <v>7853.74</v>
      </c>
      <c r="G5721" s="10">
        <f t="shared" si="9"/>
        <v>43703.64583</v>
      </c>
      <c r="H5721" s="6" t="str">
        <f t="shared" si="6"/>
        <v/>
      </c>
      <c r="I5721" s="2">
        <f t="shared" si="7"/>
        <v>1426.89</v>
      </c>
    </row>
    <row r="5722">
      <c r="A5722" s="10">
        <f t="shared" si="8"/>
        <v>43704.66667</v>
      </c>
      <c r="B5722" s="2" t="str">
        <f t="shared" si="2"/>
        <v/>
      </c>
      <c r="C5722" s="2" t="str">
        <f t="shared" si="3"/>
        <v>SP500</v>
      </c>
      <c r="D5722" s="2">
        <f t="shared" si="4"/>
        <v>7826.95</v>
      </c>
      <c r="E5722" s="2">
        <f t="shared" si="5"/>
        <v>7826.95</v>
      </c>
      <c r="G5722" s="10">
        <f t="shared" si="9"/>
        <v>43704.64583</v>
      </c>
      <c r="H5722" s="6" t="str">
        <f t="shared" si="6"/>
        <v/>
      </c>
      <c r="I5722" s="2">
        <f t="shared" si="7"/>
        <v>1426.89</v>
      </c>
    </row>
    <row r="5723">
      <c r="A5723" s="10">
        <f t="shared" si="8"/>
        <v>43705.66667</v>
      </c>
      <c r="B5723" s="2" t="str">
        <f t="shared" si="2"/>
        <v/>
      </c>
      <c r="C5723" s="2" t="str">
        <f t="shared" si="3"/>
        <v>SP500</v>
      </c>
      <c r="D5723" s="2">
        <f t="shared" si="4"/>
        <v>7856.88</v>
      </c>
      <c r="E5723" s="2">
        <f t="shared" si="5"/>
        <v>7856.88</v>
      </c>
      <c r="G5723" s="10">
        <f t="shared" si="9"/>
        <v>43705.64583</v>
      </c>
      <c r="H5723" s="6" t="str">
        <f t="shared" si="6"/>
        <v/>
      </c>
      <c r="I5723" s="2">
        <f t="shared" si="7"/>
        <v>1426.89</v>
      </c>
    </row>
    <row r="5724">
      <c r="A5724" s="10">
        <f t="shared" si="8"/>
        <v>43706.66667</v>
      </c>
      <c r="B5724" s="2" t="str">
        <f t="shared" si="2"/>
        <v/>
      </c>
      <c r="C5724" s="2" t="str">
        <f t="shared" si="3"/>
        <v>SP500</v>
      </c>
      <c r="D5724" s="2">
        <f t="shared" si="4"/>
        <v>7973.39</v>
      </c>
      <c r="E5724" s="2">
        <f t="shared" si="5"/>
        <v>7973.39</v>
      </c>
      <c r="G5724" s="10">
        <f t="shared" si="9"/>
        <v>43706.64583</v>
      </c>
      <c r="H5724" s="6" t="str">
        <f t="shared" si="6"/>
        <v/>
      </c>
      <c r="I5724" s="2">
        <f t="shared" si="7"/>
        <v>1426.89</v>
      </c>
    </row>
    <row r="5725">
      <c r="A5725" s="10">
        <f t="shared" si="8"/>
        <v>43707.66667</v>
      </c>
      <c r="B5725" s="2" t="str">
        <f t="shared" si="2"/>
        <v/>
      </c>
      <c r="C5725" s="2" t="str">
        <f t="shared" si="3"/>
        <v>SP500</v>
      </c>
      <c r="D5725" s="2">
        <f t="shared" si="4"/>
        <v>7962.88</v>
      </c>
      <c r="E5725" s="2">
        <f t="shared" si="5"/>
        <v>7962.88</v>
      </c>
      <c r="G5725" s="10">
        <f t="shared" si="9"/>
        <v>43707.64583</v>
      </c>
      <c r="H5725" s="6" t="str">
        <f t="shared" si="6"/>
        <v/>
      </c>
      <c r="I5725" s="2">
        <f t="shared" si="7"/>
        <v>1426.89</v>
      </c>
    </row>
    <row r="5726">
      <c r="A5726" s="10">
        <f t="shared" si="8"/>
        <v>43708.66667</v>
      </c>
      <c r="B5726" s="2" t="str">
        <f t="shared" si="2"/>
        <v/>
      </c>
      <c r="C5726" s="2" t="str">
        <f t="shared" si="3"/>
        <v>SP500</v>
      </c>
      <c r="D5726" s="2" t="str">
        <f t="shared" si="4"/>
        <v/>
      </c>
      <c r="E5726" s="2">
        <f t="shared" si="5"/>
        <v>7962.88</v>
      </c>
      <c r="G5726" s="10">
        <f t="shared" si="9"/>
        <v>43708.64583</v>
      </c>
      <c r="H5726" s="6" t="str">
        <f t="shared" si="6"/>
        <v/>
      </c>
      <c r="I5726" s="2">
        <f t="shared" si="7"/>
        <v>1426.89</v>
      </c>
    </row>
    <row r="5727">
      <c r="A5727" s="10">
        <f t="shared" si="8"/>
        <v>43709.66667</v>
      </c>
      <c r="B5727" s="2" t="str">
        <f t="shared" si="2"/>
        <v/>
      </c>
      <c r="C5727" s="2" t="str">
        <f t="shared" si="3"/>
        <v>SP500</v>
      </c>
      <c r="D5727" s="2" t="str">
        <f t="shared" si="4"/>
        <v/>
      </c>
      <c r="E5727" s="2">
        <f t="shared" si="5"/>
        <v>7962.88</v>
      </c>
      <c r="G5727" s="10">
        <f t="shared" si="9"/>
        <v>43709.64583</v>
      </c>
      <c r="H5727" s="6" t="str">
        <f t="shared" si="6"/>
        <v/>
      </c>
      <c r="I5727" s="2">
        <f t="shared" si="7"/>
        <v>1426.89</v>
      </c>
    </row>
    <row r="5728">
      <c r="A5728" s="10">
        <f t="shared" si="8"/>
        <v>43710.66667</v>
      </c>
      <c r="B5728" s="2" t="str">
        <f t="shared" si="2"/>
        <v/>
      </c>
      <c r="C5728" s="2" t="str">
        <f t="shared" si="3"/>
        <v>SP500</v>
      </c>
      <c r="D5728" s="2" t="str">
        <f t="shared" si="4"/>
        <v/>
      </c>
      <c r="E5728" s="2">
        <f t="shared" si="5"/>
        <v>7962.88</v>
      </c>
      <c r="G5728" s="10">
        <f t="shared" si="9"/>
        <v>43710.64583</v>
      </c>
      <c r="H5728" s="6" t="str">
        <f t="shared" si="6"/>
        <v/>
      </c>
      <c r="I5728" s="2">
        <f t="shared" si="7"/>
        <v>1426.89</v>
      </c>
    </row>
    <row r="5729">
      <c r="A5729" s="10">
        <f t="shared" si="8"/>
        <v>43711.66667</v>
      </c>
      <c r="B5729" s="2" t="str">
        <f t="shared" si="2"/>
        <v/>
      </c>
      <c r="C5729" s="2" t="str">
        <f t="shared" si="3"/>
        <v>SP500</v>
      </c>
      <c r="D5729" s="2">
        <f t="shared" si="4"/>
        <v>7874.16</v>
      </c>
      <c r="E5729" s="2">
        <f t="shared" si="5"/>
        <v>7874.16</v>
      </c>
      <c r="G5729" s="10">
        <f t="shared" si="9"/>
        <v>43711.64583</v>
      </c>
      <c r="H5729" s="6" t="str">
        <f t="shared" si="6"/>
        <v/>
      </c>
      <c r="I5729" s="2">
        <f t="shared" si="7"/>
        <v>1426.89</v>
      </c>
    </row>
    <row r="5730">
      <c r="A5730" s="10">
        <f t="shared" si="8"/>
        <v>43712.66667</v>
      </c>
      <c r="B5730" s="2" t="str">
        <f t="shared" si="2"/>
        <v/>
      </c>
      <c r="C5730" s="2" t="str">
        <f t="shared" si="3"/>
        <v>SP500</v>
      </c>
      <c r="D5730" s="2">
        <f t="shared" si="4"/>
        <v>7976.88</v>
      </c>
      <c r="E5730" s="2">
        <f t="shared" si="5"/>
        <v>7976.88</v>
      </c>
      <c r="G5730" s="10">
        <f t="shared" si="9"/>
        <v>43712.64583</v>
      </c>
      <c r="H5730" s="6" t="str">
        <f t="shared" si="6"/>
        <v/>
      </c>
      <c r="I5730" s="2">
        <f t="shared" si="7"/>
        <v>1426.89</v>
      </c>
    </row>
    <row r="5731">
      <c r="A5731" s="10">
        <f t="shared" si="8"/>
        <v>43713.66667</v>
      </c>
      <c r="B5731" s="2" t="str">
        <f t="shared" si="2"/>
        <v/>
      </c>
      <c r="C5731" s="2" t="str">
        <f t="shared" si="3"/>
        <v>SP500</v>
      </c>
      <c r="D5731" s="2">
        <f t="shared" si="4"/>
        <v>8116.83</v>
      </c>
      <c r="E5731" s="2">
        <f t="shared" si="5"/>
        <v>8116.83</v>
      </c>
      <c r="G5731" s="10">
        <f t="shared" si="9"/>
        <v>43713.64583</v>
      </c>
      <c r="H5731" s="6" t="str">
        <f t="shared" si="6"/>
        <v/>
      </c>
      <c r="I5731" s="2">
        <f t="shared" si="7"/>
        <v>1426.89</v>
      </c>
    </row>
    <row r="5732">
      <c r="A5732" s="10">
        <f t="shared" si="8"/>
        <v>43714.66667</v>
      </c>
      <c r="B5732" s="2" t="str">
        <f t="shared" si="2"/>
        <v/>
      </c>
      <c r="C5732" s="2" t="str">
        <f t="shared" si="3"/>
        <v>SP500</v>
      </c>
      <c r="D5732" s="2">
        <f t="shared" si="4"/>
        <v>8103.07</v>
      </c>
      <c r="E5732" s="2">
        <f t="shared" si="5"/>
        <v>8103.07</v>
      </c>
      <c r="G5732" s="10">
        <f t="shared" si="9"/>
        <v>43714.64583</v>
      </c>
      <c r="H5732" s="6" t="str">
        <f t="shared" si="6"/>
        <v/>
      </c>
      <c r="I5732" s="2">
        <f t="shared" si="7"/>
        <v>1426.89</v>
      </c>
    </row>
    <row r="5733">
      <c r="A5733" s="10">
        <f t="shared" si="8"/>
        <v>43715.66667</v>
      </c>
      <c r="B5733" s="2" t="str">
        <f t="shared" si="2"/>
        <v/>
      </c>
      <c r="C5733" s="2" t="str">
        <f t="shared" si="3"/>
        <v>SP500</v>
      </c>
      <c r="D5733" s="2" t="str">
        <f t="shared" si="4"/>
        <v/>
      </c>
      <c r="E5733" s="2">
        <f t="shared" si="5"/>
        <v>8103.07</v>
      </c>
      <c r="G5733" s="10">
        <f t="shared" si="9"/>
        <v>43715.64583</v>
      </c>
      <c r="H5733" s="6" t="str">
        <f t="shared" si="6"/>
        <v/>
      </c>
      <c r="I5733" s="2">
        <f t="shared" si="7"/>
        <v>1426.89</v>
      </c>
    </row>
    <row r="5734">
      <c r="A5734" s="10">
        <f t="shared" si="8"/>
        <v>43716.66667</v>
      </c>
      <c r="B5734" s="2" t="str">
        <f t="shared" si="2"/>
        <v/>
      </c>
      <c r="C5734" s="2" t="str">
        <f t="shared" si="3"/>
        <v>SP500</v>
      </c>
      <c r="D5734" s="2" t="str">
        <f t="shared" si="4"/>
        <v/>
      </c>
      <c r="E5734" s="2">
        <f t="shared" si="5"/>
        <v>8103.07</v>
      </c>
      <c r="G5734" s="10">
        <f t="shared" si="9"/>
        <v>43716.64583</v>
      </c>
      <c r="H5734" s="6" t="str">
        <f t="shared" si="6"/>
        <v/>
      </c>
      <c r="I5734" s="2">
        <f t="shared" si="7"/>
        <v>1426.89</v>
      </c>
    </row>
    <row r="5735">
      <c r="A5735" s="10">
        <f t="shared" si="8"/>
        <v>43717.66667</v>
      </c>
      <c r="B5735" s="2" t="str">
        <f t="shared" si="2"/>
        <v/>
      </c>
      <c r="C5735" s="2" t="str">
        <f t="shared" si="3"/>
        <v>SP500</v>
      </c>
      <c r="D5735" s="2">
        <f t="shared" si="4"/>
        <v>8087.44</v>
      </c>
      <c r="E5735" s="2">
        <f t="shared" si="5"/>
        <v>8087.44</v>
      </c>
      <c r="G5735" s="10">
        <f t="shared" si="9"/>
        <v>43717.64583</v>
      </c>
      <c r="H5735" s="6" t="str">
        <f t="shared" si="6"/>
        <v/>
      </c>
      <c r="I5735" s="2">
        <f t="shared" si="7"/>
        <v>1426.89</v>
      </c>
    </row>
    <row r="5736">
      <c r="A5736" s="10">
        <f t="shared" si="8"/>
        <v>43718.66667</v>
      </c>
      <c r="B5736" s="2" t="str">
        <f t="shared" si="2"/>
        <v/>
      </c>
      <c r="C5736" s="2" t="str">
        <f t="shared" si="3"/>
        <v>SP500</v>
      </c>
      <c r="D5736" s="2">
        <f t="shared" si="4"/>
        <v>8084.16</v>
      </c>
      <c r="E5736" s="2">
        <f t="shared" si="5"/>
        <v>8084.16</v>
      </c>
      <c r="G5736" s="10">
        <f t="shared" si="9"/>
        <v>43718.64583</v>
      </c>
      <c r="H5736" s="6" t="str">
        <f t="shared" si="6"/>
        <v/>
      </c>
      <c r="I5736" s="2">
        <f t="shared" si="7"/>
        <v>1426.89</v>
      </c>
    </row>
    <row r="5737">
      <c r="A5737" s="10">
        <f t="shared" si="8"/>
        <v>43719.66667</v>
      </c>
      <c r="B5737" s="2" t="str">
        <f t="shared" si="2"/>
        <v/>
      </c>
      <c r="C5737" s="2" t="str">
        <f t="shared" si="3"/>
        <v>SP500</v>
      </c>
      <c r="D5737" s="2">
        <f t="shared" si="4"/>
        <v>8169.68</v>
      </c>
      <c r="E5737" s="2">
        <f t="shared" si="5"/>
        <v>8169.68</v>
      </c>
      <c r="G5737" s="10">
        <f t="shared" si="9"/>
        <v>43719.64583</v>
      </c>
      <c r="H5737" s="6" t="str">
        <f t="shared" si="6"/>
        <v/>
      </c>
      <c r="I5737" s="2">
        <f t="shared" si="7"/>
        <v>1426.89</v>
      </c>
    </row>
    <row r="5738">
      <c r="A5738" s="10">
        <f t="shared" si="8"/>
        <v>43720.66667</v>
      </c>
      <c r="B5738" s="2" t="str">
        <f t="shared" si="2"/>
        <v/>
      </c>
      <c r="C5738" s="2" t="str">
        <f t="shared" si="3"/>
        <v>SP500</v>
      </c>
      <c r="D5738" s="2">
        <f t="shared" si="4"/>
        <v>8194.47</v>
      </c>
      <c r="E5738" s="2">
        <f t="shared" si="5"/>
        <v>8194.47</v>
      </c>
      <c r="G5738" s="10">
        <f t="shared" si="9"/>
        <v>43720.64583</v>
      </c>
      <c r="H5738" s="6" t="str">
        <f t="shared" si="6"/>
        <v/>
      </c>
      <c r="I5738" s="2">
        <f t="shared" si="7"/>
        <v>1426.89</v>
      </c>
    </row>
    <row r="5739">
      <c r="A5739" s="10">
        <f t="shared" si="8"/>
        <v>43721.66667</v>
      </c>
      <c r="B5739" s="2" t="str">
        <f t="shared" si="2"/>
        <v/>
      </c>
      <c r="C5739" s="2" t="str">
        <f t="shared" si="3"/>
        <v>SP500</v>
      </c>
      <c r="D5739" s="2">
        <f t="shared" si="4"/>
        <v>8176.71</v>
      </c>
      <c r="E5739" s="2">
        <f t="shared" si="5"/>
        <v>8176.71</v>
      </c>
      <c r="G5739" s="10">
        <f t="shared" si="9"/>
        <v>43721.64583</v>
      </c>
      <c r="H5739" s="6" t="str">
        <f t="shared" si="6"/>
        <v/>
      </c>
      <c r="I5739" s="2">
        <f t="shared" si="7"/>
        <v>1426.89</v>
      </c>
    </row>
    <row r="5740">
      <c r="A5740" s="10">
        <f t="shared" si="8"/>
        <v>43722.66667</v>
      </c>
      <c r="B5740" s="2" t="str">
        <f t="shared" si="2"/>
        <v/>
      </c>
      <c r="C5740" s="2" t="str">
        <f t="shared" si="3"/>
        <v>SP500</v>
      </c>
      <c r="D5740" s="2" t="str">
        <f t="shared" si="4"/>
        <v/>
      </c>
      <c r="E5740" s="2">
        <f t="shared" si="5"/>
        <v>8176.71</v>
      </c>
      <c r="G5740" s="10">
        <f t="shared" si="9"/>
        <v>43722.64583</v>
      </c>
      <c r="H5740" s="6" t="str">
        <f t="shared" si="6"/>
        <v/>
      </c>
      <c r="I5740" s="2">
        <f t="shared" si="7"/>
        <v>1426.89</v>
      </c>
    </row>
    <row r="5741">
      <c r="A5741" s="10">
        <f t="shared" si="8"/>
        <v>43723.66667</v>
      </c>
      <c r="B5741" s="2" t="str">
        <f t="shared" si="2"/>
        <v/>
      </c>
      <c r="C5741" s="2" t="str">
        <f t="shared" si="3"/>
        <v>SP500</v>
      </c>
      <c r="D5741" s="2" t="str">
        <f t="shared" si="4"/>
        <v/>
      </c>
      <c r="E5741" s="2">
        <f t="shared" si="5"/>
        <v>8176.71</v>
      </c>
      <c r="G5741" s="10">
        <f t="shared" si="9"/>
        <v>43723.64583</v>
      </c>
      <c r="H5741" s="6" t="str">
        <f t="shared" si="6"/>
        <v/>
      </c>
      <c r="I5741" s="2">
        <f t="shared" si="7"/>
        <v>1426.89</v>
      </c>
    </row>
    <row r="5742">
      <c r="A5742" s="10">
        <f t="shared" si="8"/>
        <v>43724.66667</v>
      </c>
      <c r="B5742" s="2" t="str">
        <f t="shared" si="2"/>
        <v/>
      </c>
      <c r="C5742" s="2" t="str">
        <f t="shared" si="3"/>
        <v>SP500</v>
      </c>
      <c r="D5742" s="2">
        <f t="shared" si="4"/>
        <v>8153.54</v>
      </c>
      <c r="E5742" s="2">
        <f t="shared" si="5"/>
        <v>8153.54</v>
      </c>
      <c r="G5742" s="10">
        <f t="shared" si="9"/>
        <v>43724.64583</v>
      </c>
      <c r="H5742" s="6" t="str">
        <f t="shared" si="6"/>
        <v/>
      </c>
      <c r="I5742" s="2">
        <f t="shared" si="7"/>
        <v>1426.89</v>
      </c>
    </row>
    <row r="5743">
      <c r="A5743" s="10">
        <f t="shared" si="8"/>
        <v>43725.66667</v>
      </c>
      <c r="B5743" s="2" t="str">
        <f t="shared" si="2"/>
        <v/>
      </c>
      <c r="C5743" s="2" t="str">
        <f t="shared" si="3"/>
        <v>SP500</v>
      </c>
      <c r="D5743" s="2">
        <f t="shared" si="4"/>
        <v>8186.02</v>
      </c>
      <c r="E5743" s="2">
        <f t="shared" si="5"/>
        <v>8186.02</v>
      </c>
      <c r="G5743" s="10">
        <f t="shared" si="9"/>
        <v>43725.64583</v>
      </c>
      <c r="H5743" s="6" t="str">
        <f t="shared" si="6"/>
        <v/>
      </c>
      <c r="I5743" s="2">
        <f t="shared" si="7"/>
        <v>1426.89</v>
      </c>
    </row>
    <row r="5744">
      <c r="A5744" s="10">
        <f t="shared" si="8"/>
        <v>43726.66667</v>
      </c>
      <c r="B5744" s="2" t="str">
        <f t="shared" si="2"/>
        <v/>
      </c>
      <c r="C5744" s="2" t="str">
        <f t="shared" si="3"/>
        <v>SP500</v>
      </c>
      <c r="D5744" s="2">
        <f t="shared" si="4"/>
        <v>8177.39</v>
      </c>
      <c r="E5744" s="2">
        <f t="shared" si="5"/>
        <v>8177.39</v>
      </c>
      <c r="G5744" s="10">
        <f t="shared" si="9"/>
        <v>43726.64583</v>
      </c>
      <c r="H5744" s="6" t="str">
        <f t="shared" si="6"/>
        <v/>
      </c>
      <c r="I5744" s="2">
        <f t="shared" si="7"/>
        <v>1426.89</v>
      </c>
    </row>
    <row r="5745">
      <c r="A5745" s="10">
        <f t="shared" si="8"/>
        <v>43727.66667</v>
      </c>
      <c r="B5745" s="2" t="str">
        <f t="shared" si="2"/>
        <v/>
      </c>
      <c r="C5745" s="2" t="str">
        <f t="shared" si="3"/>
        <v>SP500</v>
      </c>
      <c r="D5745" s="2">
        <f t="shared" si="4"/>
        <v>8182.88</v>
      </c>
      <c r="E5745" s="2">
        <f t="shared" si="5"/>
        <v>8182.88</v>
      </c>
      <c r="G5745" s="10">
        <f t="shared" si="9"/>
        <v>43727.64583</v>
      </c>
      <c r="H5745" s="6" t="str">
        <f t="shared" si="6"/>
        <v/>
      </c>
      <c r="I5745" s="2">
        <f t="shared" si="7"/>
        <v>1426.89</v>
      </c>
    </row>
    <row r="5746">
      <c r="A5746" s="10">
        <f t="shared" si="8"/>
        <v>43728.66667</v>
      </c>
      <c r="B5746" s="2" t="str">
        <f t="shared" si="2"/>
        <v/>
      </c>
      <c r="C5746" s="2" t="str">
        <f t="shared" si="3"/>
        <v>SP500</v>
      </c>
      <c r="D5746" s="2">
        <f t="shared" si="4"/>
        <v>8117.67</v>
      </c>
      <c r="E5746" s="2">
        <f t="shared" si="5"/>
        <v>8117.67</v>
      </c>
      <c r="G5746" s="10">
        <f t="shared" si="9"/>
        <v>43728.64583</v>
      </c>
      <c r="H5746" s="6" t="str">
        <f t="shared" si="6"/>
        <v/>
      </c>
      <c r="I5746" s="2">
        <f t="shared" si="7"/>
        <v>1426.89</v>
      </c>
    </row>
    <row r="5747">
      <c r="A5747" s="10">
        <f t="shared" si="8"/>
        <v>43729.66667</v>
      </c>
      <c r="B5747" s="2" t="str">
        <f t="shared" si="2"/>
        <v/>
      </c>
      <c r="C5747" s="2" t="str">
        <f t="shared" si="3"/>
        <v>SP500</v>
      </c>
      <c r="D5747" s="2" t="str">
        <f t="shared" si="4"/>
        <v/>
      </c>
      <c r="E5747" s="2">
        <f t="shared" si="5"/>
        <v>8117.67</v>
      </c>
      <c r="G5747" s="10">
        <f t="shared" si="9"/>
        <v>43729.64583</v>
      </c>
      <c r="H5747" s="6" t="str">
        <f t="shared" si="6"/>
        <v/>
      </c>
      <c r="I5747" s="2">
        <f t="shared" si="7"/>
        <v>1426.89</v>
      </c>
    </row>
    <row r="5748">
      <c r="A5748" s="10">
        <f t="shared" si="8"/>
        <v>43730.66667</v>
      </c>
      <c r="B5748" s="2" t="str">
        <f t="shared" si="2"/>
        <v/>
      </c>
      <c r="C5748" s="2" t="str">
        <f t="shared" si="3"/>
        <v>SP500</v>
      </c>
      <c r="D5748" s="2" t="str">
        <f t="shared" si="4"/>
        <v/>
      </c>
      <c r="E5748" s="2">
        <f t="shared" si="5"/>
        <v>8117.67</v>
      </c>
      <c r="G5748" s="10">
        <f t="shared" si="9"/>
        <v>43730.64583</v>
      </c>
      <c r="H5748" s="6" t="str">
        <f t="shared" si="6"/>
        <v/>
      </c>
      <c r="I5748" s="2">
        <f t="shared" si="7"/>
        <v>1426.89</v>
      </c>
    </row>
    <row r="5749">
      <c r="A5749" s="10">
        <f t="shared" si="8"/>
        <v>43731.66667</v>
      </c>
      <c r="B5749" s="2" t="str">
        <f t="shared" si="2"/>
        <v/>
      </c>
      <c r="C5749" s="2" t="str">
        <f t="shared" si="3"/>
        <v>SP500</v>
      </c>
      <c r="D5749" s="2">
        <f t="shared" si="4"/>
        <v>8112.46</v>
      </c>
      <c r="E5749" s="2">
        <f t="shared" si="5"/>
        <v>8112.46</v>
      </c>
      <c r="G5749" s="10">
        <f t="shared" si="9"/>
        <v>43731.64583</v>
      </c>
      <c r="H5749" s="6" t="str">
        <f t="shared" si="6"/>
        <v/>
      </c>
      <c r="I5749" s="2">
        <f t="shared" si="7"/>
        <v>1426.89</v>
      </c>
    </row>
    <row r="5750">
      <c r="A5750" s="10">
        <f t="shared" si="8"/>
        <v>43732.66667</v>
      </c>
      <c r="B5750" s="2" t="str">
        <f t="shared" si="2"/>
        <v/>
      </c>
      <c r="C5750" s="2" t="str">
        <f t="shared" si="3"/>
        <v>SP500</v>
      </c>
      <c r="D5750" s="2">
        <f t="shared" si="4"/>
        <v>7993.63</v>
      </c>
      <c r="E5750" s="2">
        <f t="shared" si="5"/>
        <v>7993.63</v>
      </c>
      <c r="G5750" s="10">
        <f t="shared" si="9"/>
        <v>43732.64583</v>
      </c>
      <c r="H5750" s="6" t="str">
        <f t="shared" si="6"/>
        <v/>
      </c>
      <c r="I5750" s="2">
        <f t="shared" si="7"/>
        <v>1426.89</v>
      </c>
    </row>
    <row r="5751">
      <c r="A5751" s="10">
        <f t="shared" si="8"/>
        <v>43733.66667</v>
      </c>
      <c r="B5751" s="2" t="str">
        <f t="shared" si="2"/>
        <v/>
      </c>
      <c r="C5751" s="2" t="str">
        <f t="shared" si="3"/>
        <v>SP500</v>
      </c>
      <c r="D5751" s="2">
        <f t="shared" si="4"/>
        <v>8077.38</v>
      </c>
      <c r="E5751" s="2">
        <f t="shared" si="5"/>
        <v>8077.38</v>
      </c>
      <c r="G5751" s="10">
        <f t="shared" si="9"/>
        <v>43733.64583</v>
      </c>
      <c r="H5751" s="6" t="str">
        <f t="shared" si="6"/>
        <v/>
      </c>
      <c r="I5751" s="2">
        <f t="shared" si="7"/>
        <v>1426.89</v>
      </c>
    </row>
    <row r="5752">
      <c r="A5752" s="10">
        <f t="shared" si="8"/>
        <v>43734.66667</v>
      </c>
      <c r="B5752" s="2" t="str">
        <f t="shared" si="2"/>
        <v/>
      </c>
      <c r="C5752" s="2" t="str">
        <f t="shared" si="3"/>
        <v>SP500</v>
      </c>
      <c r="D5752" s="2">
        <f t="shared" si="4"/>
        <v>8030.66</v>
      </c>
      <c r="E5752" s="2">
        <f t="shared" si="5"/>
        <v>8030.66</v>
      </c>
      <c r="G5752" s="10">
        <f t="shared" si="9"/>
        <v>43734.64583</v>
      </c>
      <c r="H5752" s="6" t="str">
        <f t="shared" si="6"/>
        <v/>
      </c>
      <c r="I5752" s="2">
        <f t="shared" si="7"/>
        <v>1426.89</v>
      </c>
    </row>
    <row r="5753">
      <c r="A5753" s="10">
        <f t="shared" si="8"/>
        <v>43735.66667</v>
      </c>
      <c r="B5753" s="2" t="str">
        <f t="shared" si="2"/>
        <v/>
      </c>
      <c r="C5753" s="2" t="str">
        <f t="shared" si="3"/>
        <v>SP500</v>
      </c>
      <c r="D5753" s="2">
        <f t="shared" si="4"/>
        <v>7939.63</v>
      </c>
      <c r="E5753" s="2">
        <f t="shared" si="5"/>
        <v>7939.63</v>
      </c>
      <c r="G5753" s="10">
        <f t="shared" si="9"/>
        <v>43735.64583</v>
      </c>
      <c r="H5753" s="6" t="str">
        <f t="shared" si="6"/>
        <v/>
      </c>
      <c r="I5753" s="2">
        <f t="shared" si="7"/>
        <v>1426.89</v>
      </c>
    </row>
    <row r="5754">
      <c r="A5754" s="10">
        <f t="shared" si="8"/>
        <v>43736.66667</v>
      </c>
      <c r="B5754" s="2" t="str">
        <f t="shared" si="2"/>
        <v/>
      </c>
      <c r="C5754" s="2" t="str">
        <f t="shared" si="3"/>
        <v>SP500</v>
      </c>
      <c r="D5754" s="2" t="str">
        <f t="shared" si="4"/>
        <v/>
      </c>
      <c r="E5754" s="2">
        <f t="shared" si="5"/>
        <v>7939.63</v>
      </c>
      <c r="G5754" s="10">
        <f t="shared" si="9"/>
        <v>43736.64583</v>
      </c>
      <c r="H5754" s="6" t="str">
        <f t="shared" si="6"/>
        <v/>
      </c>
      <c r="I5754" s="2">
        <f t="shared" si="7"/>
        <v>1426.89</v>
      </c>
    </row>
    <row r="5755">
      <c r="A5755" s="10">
        <f t="shared" si="8"/>
        <v>43737.66667</v>
      </c>
      <c r="B5755" s="2" t="str">
        <f t="shared" si="2"/>
        <v/>
      </c>
      <c r="C5755" s="2" t="str">
        <f t="shared" si="3"/>
        <v>SP500</v>
      </c>
      <c r="D5755" s="2" t="str">
        <f t="shared" si="4"/>
        <v/>
      </c>
      <c r="E5755" s="2">
        <f t="shared" si="5"/>
        <v>7939.63</v>
      </c>
      <c r="G5755" s="10">
        <f t="shared" si="9"/>
        <v>43737.64583</v>
      </c>
      <c r="H5755" s="6" t="str">
        <f t="shared" si="6"/>
        <v/>
      </c>
      <c r="I5755" s="2">
        <f t="shared" si="7"/>
        <v>1426.89</v>
      </c>
    </row>
    <row r="5756">
      <c r="A5756" s="10">
        <f t="shared" si="8"/>
        <v>43738.66667</v>
      </c>
      <c r="B5756" s="2" t="str">
        <f t="shared" si="2"/>
        <v/>
      </c>
      <c r="C5756" s="2" t="str">
        <f t="shared" si="3"/>
        <v>SP500</v>
      </c>
      <c r="D5756" s="2">
        <f t="shared" si="4"/>
        <v>7999.33</v>
      </c>
      <c r="E5756" s="2">
        <f t="shared" si="5"/>
        <v>7999.33</v>
      </c>
      <c r="G5756" s="10">
        <f t="shared" si="9"/>
        <v>43738.64583</v>
      </c>
      <c r="H5756" s="6" t="str">
        <f t="shared" si="6"/>
        <v/>
      </c>
      <c r="I5756" s="2">
        <f t="shared" si="7"/>
        <v>1426.89</v>
      </c>
    </row>
    <row r="5757">
      <c r="A5757" s="10">
        <f t="shared" si="8"/>
        <v>43739.66667</v>
      </c>
      <c r="B5757" s="2" t="str">
        <f t="shared" si="2"/>
        <v/>
      </c>
      <c r="C5757" s="2" t="str">
        <f t="shared" si="3"/>
        <v>SP500</v>
      </c>
      <c r="D5757" s="2">
        <f t="shared" si="4"/>
        <v>7908.67</v>
      </c>
      <c r="E5757" s="2">
        <f t="shared" si="5"/>
        <v>7908.67</v>
      </c>
      <c r="G5757" s="10">
        <f t="shared" si="9"/>
        <v>43739.64583</v>
      </c>
      <c r="H5757" s="6" t="str">
        <f t="shared" si="6"/>
        <v/>
      </c>
      <c r="I5757" s="2">
        <f t="shared" si="7"/>
        <v>1426.89</v>
      </c>
    </row>
    <row r="5758">
      <c r="A5758" s="10">
        <f t="shared" si="8"/>
        <v>43740.66667</v>
      </c>
      <c r="B5758" s="2" t="str">
        <f t="shared" si="2"/>
        <v/>
      </c>
      <c r="C5758" s="2" t="str">
        <f t="shared" si="3"/>
        <v>SP500</v>
      </c>
      <c r="D5758" s="2">
        <f t="shared" si="4"/>
        <v>7785.23</v>
      </c>
      <c r="E5758" s="2">
        <f t="shared" si="5"/>
        <v>7785.23</v>
      </c>
      <c r="G5758" s="10">
        <f t="shared" si="9"/>
        <v>43740.64583</v>
      </c>
      <c r="H5758" s="6" t="str">
        <f t="shared" si="6"/>
        <v/>
      </c>
      <c r="I5758" s="2">
        <f t="shared" si="7"/>
        <v>1426.89</v>
      </c>
    </row>
    <row r="5759">
      <c r="A5759" s="10">
        <f t="shared" si="8"/>
        <v>43741.66667</v>
      </c>
      <c r="B5759" s="2" t="str">
        <f t="shared" si="2"/>
        <v/>
      </c>
      <c r="C5759" s="2" t="str">
        <f t="shared" si="3"/>
        <v>SP500</v>
      </c>
      <c r="D5759" s="2">
        <f t="shared" si="4"/>
        <v>7872.25</v>
      </c>
      <c r="E5759" s="2">
        <f t="shared" si="5"/>
        <v>7872.25</v>
      </c>
      <c r="G5759" s="10">
        <f t="shared" si="9"/>
        <v>43741.64583</v>
      </c>
      <c r="H5759" s="6" t="str">
        <f t="shared" si="6"/>
        <v/>
      </c>
      <c r="I5759" s="2">
        <f t="shared" si="7"/>
        <v>1426.89</v>
      </c>
    </row>
    <row r="5760">
      <c r="A5760" s="10">
        <f t="shared" si="8"/>
        <v>43742.66667</v>
      </c>
      <c r="B5760" s="2" t="str">
        <f t="shared" si="2"/>
        <v/>
      </c>
      <c r="C5760" s="2" t="str">
        <f t="shared" si="3"/>
        <v>SP500</v>
      </c>
      <c r="D5760" s="2">
        <f t="shared" si="4"/>
        <v>7982.46</v>
      </c>
      <c r="E5760" s="2">
        <f t="shared" si="5"/>
        <v>7982.46</v>
      </c>
      <c r="G5760" s="10">
        <f t="shared" si="9"/>
        <v>43742.64583</v>
      </c>
      <c r="H5760" s="6" t="str">
        <f t="shared" si="6"/>
        <v/>
      </c>
      <c r="I5760" s="2">
        <f t="shared" si="7"/>
        <v>1426.89</v>
      </c>
    </row>
    <row r="5761">
      <c r="A5761" s="10">
        <f t="shared" si="8"/>
        <v>43743.66667</v>
      </c>
      <c r="B5761" s="2" t="str">
        <f t="shared" si="2"/>
        <v/>
      </c>
      <c r="C5761" s="2" t="str">
        <f t="shared" si="3"/>
        <v>SP500</v>
      </c>
      <c r="D5761" s="2" t="str">
        <f t="shared" si="4"/>
        <v/>
      </c>
      <c r="E5761" s="2">
        <f t="shared" si="5"/>
        <v>7982.46</v>
      </c>
      <c r="G5761" s="10">
        <f t="shared" si="9"/>
        <v>43743.64583</v>
      </c>
      <c r="H5761" s="6" t="str">
        <f t="shared" si="6"/>
        <v/>
      </c>
      <c r="I5761" s="2">
        <f t="shared" si="7"/>
        <v>1426.89</v>
      </c>
    </row>
    <row r="5762">
      <c r="A5762" s="10">
        <f t="shared" si="8"/>
        <v>43744.66667</v>
      </c>
      <c r="B5762" s="2" t="str">
        <f t="shared" si="2"/>
        <v/>
      </c>
      <c r="C5762" s="2" t="str">
        <f t="shared" si="3"/>
        <v>SP500</v>
      </c>
      <c r="D5762" s="2" t="str">
        <f t="shared" si="4"/>
        <v/>
      </c>
      <c r="E5762" s="2">
        <f t="shared" si="5"/>
        <v>7982.46</v>
      </c>
      <c r="G5762" s="10">
        <f t="shared" si="9"/>
        <v>43744.64583</v>
      </c>
      <c r="H5762" s="6" t="str">
        <f t="shared" si="6"/>
        <v/>
      </c>
      <c r="I5762" s="2">
        <f t="shared" si="7"/>
        <v>1426.89</v>
      </c>
    </row>
    <row r="5763">
      <c r="A5763" s="10">
        <f t="shared" si="8"/>
        <v>43745.66667</v>
      </c>
      <c r="B5763" s="2" t="str">
        <f t="shared" si="2"/>
        <v/>
      </c>
      <c r="C5763" s="2" t="str">
        <f t="shared" si="3"/>
        <v>SP500</v>
      </c>
      <c r="D5763" s="2">
        <f t="shared" si="4"/>
        <v>7956.28</v>
      </c>
      <c r="E5763" s="2">
        <f t="shared" si="5"/>
        <v>7956.28</v>
      </c>
      <c r="G5763" s="10">
        <f t="shared" si="9"/>
        <v>43745.64583</v>
      </c>
      <c r="H5763" s="6" t="str">
        <f t="shared" si="6"/>
        <v/>
      </c>
      <c r="I5763" s="2">
        <f t="shared" si="7"/>
        <v>1426.89</v>
      </c>
    </row>
    <row r="5764">
      <c r="A5764" s="10">
        <f t="shared" si="8"/>
        <v>43746.66667</v>
      </c>
      <c r="B5764" s="2" t="str">
        <f t="shared" si="2"/>
        <v/>
      </c>
      <c r="C5764" s="2" t="str">
        <f t="shared" si="3"/>
        <v>SP500</v>
      </c>
      <c r="D5764" s="2">
        <f t="shared" si="4"/>
        <v>7823.76</v>
      </c>
      <c r="E5764" s="2">
        <f t="shared" si="5"/>
        <v>7823.76</v>
      </c>
      <c r="G5764" s="10">
        <f t="shared" si="9"/>
        <v>43746.64583</v>
      </c>
      <c r="H5764" s="6" t="str">
        <f t="shared" si="6"/>
        <v/>
      </c>
      <c r="I5764" s="2">
        <f t="shared" si="7"/>
        <v>1426.89</v>
      </c>
    </row>
    <row r="5765">
      <c r="A5765" s="10">
        <f t="shared" si="8"/>
        <v>43747.66667</v>
      </c>
      <c r="B5765" s="2" t="str">
        <f t="shared" si="2"/>
        <v/>
      </c>
      <c r="C5765" s="2" t="str">
        <f t="shared" si="3"/>
        <v>SP500</v>
      </c>
      <c r="D5765" s="2">
        <f t="shared" si="4"/>
        <v>7903.73</v>
      </c>
      <c r="E5765" s="2">
        <f t="shared" si="5"/>
        <v>7903.73</v>
      </c>
      <c r="G5765" s="10">
        <f t="shared" si="9"/>
        <v>43747.64583</v>
      </c>
      <c r="H5765" s="6" t="str">
        <f t="shared" si="6"/>
        <v/>
      </c>
      <c r="I5765" s="2">
        <f t="shared" si="7"/>
        <v>1426.89</v>
      </c>
    </row>
    <row r="5766">
      <c r="A5766" s="10">
        <f t="shared" si="8"/>
        <v>43748.66667</v>
      </c>
      <c r="B5766" s="2" t="str">
        <f t="shared" si="2"/>
        <v/>
      </c>
      <c r="C5766" s="2" t="str">
        <f t="shared" si="3"/>
        <v>SP500</v>
      </c>
      <c r="D5766" s="2">
        <f t="shared" si="4"/>
        <v>7950.77</v>
      </c>
      <c r="E5766" s="2">
        <f t="shared" si="5"/>
        <v>7950.77</v>
      </c>
      <c r="G5766" s="10">
        <f t="shared" si="9"/>
        <v>43748.64583</v>
      </c>
      <c r="H5766" s="6" t="str">
        <f t="shared" si="6"/>
        <v/>
      </c>
      <c r="I5766" s="2">
        <f t="shared" si="7"/>
        <v>1426.89</v>
      </c>
    </row>
    <row r="5767">
      <c r="A5767" s="10">
        <f t="shared" si="8"/>
        <v>43749.66667</v>
      </c>
      <c r="B5767" s="2" t="str">
        <f t="shared" si="2"/>
        <v/>
      </c>
      <c r="C5767" s="2" t="str">
        <f t="shared" si="3"/>
        <v>SP500</v>
      </c>
      <c r="D5767" s="2">
        <f t="shared" si="4"/>
        <v>8057.04</v>
      </c>
      <c r="E5767" s="2">
        <f t="shared" si="5"/>
        <v>8057.04</v>
      </c>
      <c r="G5767" s="10">
        <f t="shared" si="9"/>
        <v>43749.64583</v>
      </c>
      <c r="H5767" s="6" t="str">
        <f t="shared" si="6"/>
        <v/>
      </c>
      <c r="I5767" s="2">
        <f t="shared" si="7"/>
        <v>1426.89</v>
      </c>
    </row>
    <row r="5768">
      <c r="A5768" s="10">
        <f t="shared" si="8"/>
        <v>43750.66667</v>
      </c>
      <c r="B5768" s="2" t="str">
        <f t="shared" si="2"/>
        <v/>
      </c>
      <c r="C5768" s="2" t="str">
        <f t="shared" si="3"/>
        <v>SP500</v>
      </c>
      <c r="D5768" s="2" t="str">
        <f t="shared" si="4"/>
        <v/>
      </c>
      <c r="E5768" s="2">
        <f t="shared" si="5"/>
        <v>8057.04</v>
      </c>
      <c r="G5768" s="10">
        <f t="shared" si="9"/>
        <v>43750.64583</v>
      </c>
      <c r="H5768" s="6" t="str">
        <f t="shared" si="6"/>
        <v/>
      </c>
      <c r="I5768" s="2">
        <f t="shared" si="7"/>
        <v>1426.89</v>
      </c>
    </row>
    <row r="5769">
      <c r="A5769" s="10">
        <f t="shared" si="8"/>
        <v>43751.66667</v>
      </c>
      <c r="B5769" s="2" t="str">
        <f t="shared" si="2"/>
        <v/>
      </c>
      <c r="C5769" s="2" t="str">
        <f t="shared" si="3"/>
        <v>SP500</v>
      </c>
      <c r="D5769" s="2" t="str">
        <f t="shared" si="4"/>
        <v/>
      </c>
      <c r="E5769" s="2">
        <f t="shared" si="5"/>
        <v>8057.04</v>
      </c>
      <c r="G5769" s="10">
        <f t="shared" si="9"/>
        <v>43751.64583</v>
      </c>
      <c r="H5769" s="6" t="str">
        <f t="shared" si="6"/>
        <v/>
      </c>
      <c r="I5769" s="2">
        <f t="shared" si="7"/>
        <v>1426.89</v>
      </c>
    </row>
    <row r="5770">
      <c r="A5770" s="10">
        <f t="shared" si="8"/>
        <v>43752.66667</v>
      </c>
      <c r="B5770" s="2" t="str">
        <f t="shared" si="2"/>
        <v/>
      </c>
      <c r="C5770" s="2" t="str">
        <f t="shared" si="3"/>
        <v>SP500</v>
      </c>
      <c r="D5770" s="2">
        <f t="shared" si="4"/>
        <v>8048.65</v>
      </c>
      <c r="E5770" s="2">
        <f t="shared" si="5"/>
        <v>8048.65</v>
      </c>
      <c r="G5770" s="10">
        <f t="shared" si="9"/>
        <v>43752.64583</v>
      </c>
      <c r="H5770" s="6" t="str">
        <f t="shared" si="6"/>
        <v/>
      </c>
      <c r="I5770" s="2">
        <f t="shared" si="7"/>
        <v>1426.89</v>
      </c>
    </row>
    <row r="5771">
      <c r="A5771" s="10">
        <f t="shared" si="8"/>
        <v>43753.66667</v>
      </c>
      <c r="B5771" s="2" t="str">
        <f t="shared" si="2"/>
        <v/>
      </c>
      <c r="C5771" s="2" t="str">
        <f t="shared" si="3"/>
        <v>SP500</v>
      </c>
      <c r="D5771" s="2">
        <f t="shared" si="4"/>
        <v>8148.71</v>
      </c>
      <c r="E5771" s="2">
        <f t="shared" si="5"/>
        <v>8148.71</v>
      </c>
      <c r="G5771" s="10">
        <f t="shared" si="9"/>
        <v>43753.64583</v>
      </c>
      <c r="H5771" s="6" t="str">
        <f t="shared" si="6"/>
        <v/>
      </c>
      <c r="I5771" s="2">
        <f t="shared" si="7"/>
        <v>1426.89</v>
      </c>
    </row>
    <row r="5772">
      <c r="A5772" s="10">
        <f t="shared" si="8"/>
        <v>43754.66667</v>
      </c>
      <c r="B5772" s="2" t="str">
        <f t="shared" si="2"/>
        <v/>
      </c>
      <c r="C5772" s="2" t="str">
        <f t="shared" si="3"/>
        <v>SP500</v>
      </c>
      <c r="D5772" s="2">
        <f t="shared" si="4"/>
        <v>8124.18</v>
      </c>
      <c r="E5772" s="2">
        <f t="shared" si="5"/>
        <v>8124.18</v>
      </c>
      <c r="G5772" s="10">
        <f t="shared" si="9"/>
        <v>43754.64583</v>
      </c>
      <c r="H5772" s="6" t="str">
        <f t="shared" si="6"/>
        <v/>
      </c>
      <c r="I5772" s="2">
        <f t="shared" si="7"/>
        <v>1426.89</v>
      </c>
    </row>
    <row r="5773">
      <c r="A5773" s="10">
        <f t="shared" si="8"/>
        <v>43755.66667</v>
      </c>
      <c r="B5773" s="2" t="str">
        <f t="shared" si="2"/>
        <v/>
      </c>
      <c r="C5773" s="2" t="str">
        <f t="shared" si="3"/>
        <v>SP500</v>
      </c>
      <c r="D5773" s="2">
        <f t="shared" si="4"/>
        <v>8156.85</v>
      </c>
      <c r="E5773" s="2">
        <f t="shared" si="5"/>
        <v>8156.85</v>
      </c>
      <c r="G5773" s="10">
        <f t="shared" si="9"/>
        <v>43755.64583</v>
      </c>
      <c r="H5773" s="6" t="str">
        <f t="shared" si="6"/>
        <v/>
      </c>
      <c r="I5773" s="2">
        <f t="shared" si="7"/>
        <v>1426.89</v>
      </c>
    </row>
    <row r="5774">
      <c r="A5774" s="10">
        <f t="shared" si="8"/>
        <v>43756.66667</v>
      </c>
      <c r="B5774" s="2" t="str">
        <f t="shared" si="2"/>
        <v/>
      </c>
      <c r="C5774" s="2" t="str">
        <f t="shared" si="3"/>
        <v>SP500</v>
      </c>
      <c r="D5774" s="2">
        <f t="shared" si="4"/>
        <v>8089.54</v>
      </c>
      <c r="E5774" s="2">
        <f t="shared" si="5"/>
        <v>8089.54</v>
      </c>
      <c r="G5774" s="10">
        <f t="shared" si="9"/>
        <v>43756.64583</v>
      </c>
      <c r="H5774" s="6" t="str">
        <f t="shared" si="6"/>
        <v/>
      </c>
      <c r="I5774" s="2">
        <f t="shared" si="7"/>
        <v>1426.89</v>
      </c>
    </row>
    <row r="5775">
      <c r="A5775" s="10">
        <f t="shared" si="8"/>
        <v>43757.66667</v>
      </c>
      <c r="B5775" s="2" t="str">
        <f t="shared" si="2"/>
        <v/>
      </c>
      <c r="C5775" s="2" t="str">
        <f t="shared" si="3"/>
        <v>SP500</v>
      </c>
      <c r="D5775" s="2" t="str">
        <f t="shared" si="4"/>
        <v/>
      </c>
      <c r="E5775" s="2">
        <f t="shared" si="5"/>
        <v>8089.54</v>
      </c>
      <c r="G5775" s="10">
        <f t="shared" si="9"/>
        <v>43757.64583</v>
      </c>
      <c r="H5775" s="6" t="str">
        <f t="shared" si="6"/>
        <v/>
      </c>
      <c r="I5775" s="2">
        <f t="shared" si="7"/>
        <v>1426.89</v>
      </c>
    </row>
    <row r="5776">
      <c r="A5776" s="10">
        <f t="shared" si="8"/>
        <v>43758.66667</v>
      </c>
      <c r="B5776" s="2" t="str">
        <f t="shared" si="2"/>
        <v/>
      </c>
      <c r="C5776" s="2" t="str">
        <f t="shared" si="3"/>
        <v>SP500</v>
      </c>
      <c r="D5776" s="2" t="str">
        <f t="shared" si="4"/>
        <v/>
      </c>
      <c r="E5776" s="2">
        <f t="shared" si="5"/>
        <v>8089.54</v>
      </c>
      <c r="G5776" s="10">
        <f t="shared" si="9"/>
        <v>43758.64583</v>
      </c>
      <c r="H5776" s="6" t="str">
        <f t="shared" si="6"/>
        <v/>
      </c>
      <c r="I5776" s="2">
        <f t="shared" si="7"/>
        <v>1426.89</v>
      </c>
    </row>
    <row r="5777">
      <c r="A5777" s="10">
        <f t="shared" si="8"/>
        <v>43759.66667</v>
      </c>
      <c r="B5777" s="2" t="str">
        <f t="shared" si="2"/>
        <v/>
      </c>
      <c r="C5777" s="2" t="str">
        <f t="shared" si="3"/>
        <v>SP500</v>
      </c>
      <c r="D5777" s="2">
        <f t="shared" si="4"/>
        <v>8162.99</v>
      </c>
      <c r="E5777" s="2">
        <f t="shared" si="5"/>
        <v>8162.99</v>
      </c>
      <c r="G5777" s="10">
        <f t="shared" si="9"/>
        <v>43759.64583</v>
      </c>
      <c r="H5777" s="6" t="str">
        <f t="shared" si="6"/>
        <v/>
      </c>
      <c r="I5777" s="2">
        <f t="shared" si="7"/>
        <v>1426.89</v>
      </c>
    </row>
    <row r="5778">
      <c r="A5778" s="10">
        <f t="shared" si="8"/>
        <v>43760.66667</v>
      </c>
      <c r="B5778" s="2" t="str">
        <f t="shared" si="2"/>
        <v/>
      </c>
      <c r="C5778" s="2" t="str">
        <f t="shared" si="3"/>
        <v>SP500</v>
      </c>
      <c r="D5778" s="2">
        <f t="shared" si="4"/>
        <v>8104.3</v>
      </c>
      <c r="E5778" s="2">
        <f t="shared" si="5"/>
        <v>8104.3</v>
      </c>
      <c r="G5778" s="10">
        <f t="shared" si="9"/>
        <v>43760.64583</v>
      </c>
      <c r="H5778" s="6" t="str">
        <f t="shared" si="6"/>
        <v/>
      </c>
      <c r="I5778" s="2">
        <f t="shared" si="7"/>
        <v>1426.89</v>
      </c>
    </row>
    <row r="5779">
      <c r="A5779" s="10">
        <f t="shared" si="8"/>
        <v>43761.66667</v>
      </c>
      <c r="B5779" s="2" t="str">
        <f t="shared" si="2"/>
        <v/>
      </c>
      <c r="C5779" s="2" t="str">
        <f t="shared" si="3"/>
        <v>SP500</v>
      </c>
      <c r="D5779" s="2">
        <f t="shared" si="4"/>
        <v>8119.79</v>
      </c>
      <c r="E5779" s="2">
        <f t="shared" si="5"/>
        <v>8119.79</v>
      </c>
      <c r="G5779" s="10">
        <f t="shared" si="9"/>
        <v>43761.64583</v>
      </c>
      <c r="H5779" s="6" t="str">
        <f t="shared" si="6"/>
        <v/>
      </c>
      <c r="I5779" s="2">
        <f t="shared" si="7"/>
        <v>1426.89</v>
      </c>
    </row>
    <row r="5780">
      <c r="A5780" s="10">
        <f t="shared" si="8"/>
        <v>43762.66667</v>
      </c>
      <c r="B5780" s="2" t="str">
        <f t="shared" si="2"/>
        <v/>
      </c>
      <c r="C5780" s="2" t="str">
        <f t="shared" si="3"/>
        <v>SP500</v>
      </c>
      <c r="D5780" s="2">
        <f t="shared" si="4"/>
        <v>8185.8</v>
      </c>
      <c r="E5780" s="2">
        <f t="shared" si="5"/>
        <v>8185.8</v>
      </c>
      <c r="G5780" s="10">
        <f t="shared" si="9"/>
        <v>43762.64583</v>
      </c>
      <c r="H5780" s="6" t="str">
        <f t="shared" si="6"/>
        <v/>
      </c>
      <c r="I5780" s="2">
        <f t="shared" si="7"/>
        <v>1426.89</v>
      </c>
    </row>
    <row r="5781">
      <c r="A5781" s="10">
        <f t="shared" si="8"/>
        <v>43763.66667</v>
      </c>
      <c r="B5781" s="2" t="str">
        <f t="shared" si="2"/>
        <v/>
      </c>
      <c r="C5781" s="2" t="str">
        <f t="shared" si="3"/>
        <v>SP500</v>
      </c>
      <c r="D5781" s="2">
        <f t="shared" si="4"/>
        <v>8243.12</v>
      </c>
      <c r="E5781" s="2">
        <f t="shared" si="5"/>
        <v>8243.12</v>
      </c>
      <c r="G5781" s="10">
        <f t="shared" si="9"/>
        <v>43763.64583</v>
      </c>
      <c r="H5781" s="6" t="str">
        <f t="shared" si="6"/>
        <v/>
      </c>
      <c r="I5781" s="2">
        <f t="shared" si="7"/>
        <v>1426.89</v>
      </c>
    </row>
    <row r="5782">
      <c r="A5782" s="10">
        <f t="shared" si="8"/>
        <v>43764.66667</v>
      </c>
      <c r="B5782" s="2" t="str">
        <f t="shared" si="2"/>
        <v/>
      </c>
      <c r="C5782" s="2" t="str">
        <f t="shared" si="3"/>
        <v>SP500</v>
      </c>
      <c r="D5782" s="2" t="str">
        <f t="shared" si="4"/>
        <v/>
      </c>
      <c r="E5782" s="2">
        <f t="shared" si="5"/>
        <v>8243.12</v>
      </c>
      <c r="G5782" s="10">
        <f t="shared" si="9"/>
        <v>43764.64583</v>
      </c>
      <c r="H5782" s="6" t="str">
        <f t="shared" si="6"/>
        <v/>
      </c>
      <c r="I5782" s="2">
        <f t="shared" si="7"/>
        <v>1426.89</v>
      </c>
    </row>
    <row r="5783">
      <c r="A5783" s="10">
        <f t="shared" si="8"/>
        <v>43765.66667</v>
      </c>
      <c r="B5783" s="2" t="str">
        <f t="shared" si="2"/>
        <v/>
      </c>
      <c r="C5783" s="2" t="str">
        <f t="shared" si="3"/>
        <v>SP500</v>
      </c>
      <c r="D5783" s="2" t="str">
        <f t="shared" si="4"/>
        <v/>
      </c>
      <c r="E5783" s="2">
        <f t="shared" si="5"/>
        <v>8243.12</v>
      </c>
      <c r="G5783" s="10">
        <f t="shared" si="9"/>
        <v>43765.64583</v>
      </c>
      <c r="H5783" s="6" t="str">
        <f t="shared" si="6"/>
        <v/>
      </c>
      <c r="I5783" s="2">
        <f t="shared" si="7"/>
        <v>1426.89</v>
      </c>
    </row>
    <row r="5784">
      <c r="A5784" s="10">
        <f t="shared" si="8"/>
        <v>43766.66667</v>
      </c>
      <c r="B5784" s="2" t="str">
        <f t="shared" si="2"/>
        <v/>
      </c>
      <c r="C5784" s="2" t="str">
        <f t="shared" si="3"/>
        <v>SP500</v>
      </c>
      <c r="D5784" s="2">
        <f t="shared" si="4"/>
        <v>8325.99</v>
      </c>
      <c r="E5784" s="2">
        <f t="shared" si="5"/>
        <v>8325.99</v>
      </c>
      <c r="G5784" s="10">
        <f t="shared" si="9"/>
        <v>43766.64583</v>
      </c>
      <c r="H5784" s="6" t="str">
        <f t="shared" si="6"/>
        <v/>
      </c>
      <c r="I5784" s="2">
        <f t="shared" si="7"/>
        <v>1426.89</v>
      </c>
    </row>
    <row r="5785">
      <c r="A5785" s="10">
        <f t="shared" si="8"/>
        <v>43767.66667</v>
      </c>
      <c r="B5785" s="2" t="str">
        <f t="shared" si="2"/>
        <v/>
      </c>
      <c r="C5785" s="2" t="str">
        <f t="shared" si="3"/>
        <v>SP500</v>
      </c>
      <c r="D5785" s="2">
        <f t="shared" si="4"/>
        <v>8276.85</v>
      </c>
      <c r="E5785" s="2">
        <f t="shared" si="5"/>
        <v>8276.85</v>
      </c>
      <c r="G5785" s="10">
        <f t="shared" si="9"/>
        <v>43767.64583</v>
      </c>
      <c r="H5785" s="6" t="str">
        <f t="shared" si="6"/>
        <v/>
      </c>
      <c r="I5785" s="2">
        <f t="shared" si="7"/>
        <v>1426.89</v>
      </c>
    </row>
    <row r="5786">
      <c r="A5786" s="10">
        <f t="shared" si="8"/>
        <v>43768.66667</v>
      </c>
      <c r="B5786" s="2" t="str">
        <f t="shared" si="2"/>
        <v/>
      </c>
      <c r="C5786" s="2" t="str">
        <f t="shared" si="3"/>
        <v>SP500</v>
      </c>
      <c r="D5786" s="2">
        <f t="shared" si="4"/>
        <v>8303.98</v>
      </c>
      <c r="E5786" s="2">
        <f t="shared" si="5"/>
        <v>8303.98</v>
      </c>
      <c r="G5786" s="10">
        <f t="shared" si="9"/>
        <v>43768.64583</v>
      </c>
      <c r="H5786" s="6" t="str">
        <f t="shared" si="6"/>
        <v/>
      </c>
      <c r="I5786" s="2">
        <f t="shared" si="7"/>
        <v>1426.89</v>
      </c>
    </row>
    <row r="5787">
      <c r="A5787" s="10">
        <f t="shared" si="8"/>
        <v>43769.66667</v>
      </c>
      <c r="B5787" s="2" t="str">
        <f t="shared" si="2"/>
        <v/>
      </c>
      <c r="C5787" s="2" t="str">
        <f t="shared" si="3"/>
        <v>SP500</v>
      </c>
      <c r="D5787" s="2">
        <f t="shared" si="4"/>
        <v>8292.36</v>
      </c>
      <c r="E5787" s="2">
        <f t="shared" si="5"/>
        <v>8292.36</v>
      </c>
      <c r="G5787" s="10">
        <f t="shared" si="9"/>
        <v>43769.64583</v>
      </c>
      <c r="H5787" s="6" t="str">
        <f t="shared" si="6"/>
        <v/>
      </c>
      <c r="I5787" s="2">
        <f t="shared" si="7"/>
        <v>1426.89</v>
      </c>
    </row>
    <row r="5788">
      <c r="A5788" s="10">
        <f t="shared" si="8"/>
        <v>43770.66667</v>
      </c>
      <c r="B5788" s="2" t="str">
        <f t="shared" si="2"/>
        <v/>
      </c>
      <c r="C5788" s="2" t="str">
        <f t="shared" si="3"/>
        <v>SP500</v>
      </c>
      <c r="D5788" s="2">
        <f t="shared" si="4"/>
        <v>8386.4</v>
      </c>
      <c r="E5788" s="2">
        <f t="shared" si="5"/>
        <v>8386.4</v>
      </c>
      <c r="G5788" s="10">
        <f t="shared" si="9"/>
        <v>43770.64583</v>
      </c>
      <c r="H5788" s="6" t="str">
        <f t="shared" si="6"/>
        <v/>
      </c>
      <c r="I5788" s="2">
        <f t="shared" si="7"/>
        <v>1426.89</v>
      </c>
    </row>
    <row r="5789">
      <c r="A5789" s="10">
        <f t="shared" si="8"/>
        <v>43771.66667</v>
      </c>
      <c r="B5789" s="2" t="str">
        <f t="shared" si="2"/>
        <v/>
      </c>
      <c r="C5789" s="2" t="str">
        <f t="shared" si="3"/>
        <v>SP500</v>
      </c>
      <c r="D5789" s="2" t="str">
        <f t="shared" si="4"/>
        <v/>
      </c>
      <c r="E5789" s="2">
        <f t="shared" si="5"/>
        <v>8386.4</v>
      </c>
      <c r="G5789" s="10">
        <f t="shared" si="9"/>
        <v>43771.64583</v>
      </c>
      <c r="H5789" s="6" t="str">
        <f t="shared" si="6"/>
        <v/>
      </c>
      <c r="I5789" s="2">
        <f t="shared" si="7"/>
        <v>1426.89</v>
      </c>
    </row>
    <row r="5790">
      <c r="A5790" s="10">
        <f t="shared" si="8"/>
        <v>43772.66667</v>
      </c>
      <c r="B5790" s="2" t="str">
        <f t="shared" si="2"/>
        <v/>
      </c>
      <c r="C5790" s="2" t="str">
        <f t="shared" si="3"/>
        <v>SP500</v>
      </c>
      <c r="D5790" s="2" t="str">
        <f t="shared" si="4"/>
        <v/>
      </c>
      <c r="E5790" s="2">
        <f t="shared" si="5"/>
        <v>8386.4</v>
      </c>
      <c r="G5790" s="10">
        <f t="shared" si="9"/>
        <v>43772.64583</v>
      </c>
      <c r="H5790" s="6" t="str">
        <f t="shared" si="6"/>
        <v/>
      </c>
      <c r="I5790" s="2">
        <f t="shared" si="7"/>
        <v>1426.89</v>
      </c>
    </row>
    <row r="5791">
      <c r="A5791" s="10">
        <f t="shared" si="8"/>
        <v>43773.66667</v>
      </c>
      <c r="B5791" s="2" t="str">
        <f t="shared" si="2"/>
        <v/>
      </c>
      <c r="C5791" s="2" t="str">
        <f t="shared" si="3"/>
        <v>SP500</v>
      </c>
      <c r="D5791" s="2">
        <f t="shared" si="4"/>
        <v>8433.2</v>
      </c>
      <c r="E5791" s="2">
        <f t="shared" si="5"/>
        <v>8433.2</v>
      </c>
      <c r="G5791" s="10">
        <f t="shared" si="9"/>
        <v>43773.64583</v>
      </c>
      <c r="H5791" s="6" t="str">
        <f t="shared" si="6"/>
        <v/>
      </c>
      <c r="I5791" s="2">
        <f t="shared" si="7"/>
        <v>1426.89</v>
      </c>
    </row>
    <row r="5792">
      <c r="A5792" s="10">
        <f t="shared" si="8"/>
        <v>43774.66667</v>
      </c>
      <c r="B5792" s="2" t="str">
        <f t="shared" si="2"/>
        <v/>
      </c>
      <c r="C5792" s="2" t="str">
        <f t="shared" si="3"/>
        <v>SP500</v>
      </c>
      <c r="D5792" s="2">
        <f t="shared" si="4"/>
        <v>8434.68</v>
      </c>
      <c r="E5792" s="2">
        <f t="shared" si="5"/>
        <v>8434.68</v>
      </c>
      <c r="G5792" s="10">
        <f t="shared" si="9"/>
        <v>43774.64583</v>
      </c>
      <c r="H5792" s="6" t="str">
        <f t="shared" si="6"/>
        <v/>
      </c>
      <c r="I5792" s="2">
        <f t="shared" si="7"/>
        <v>1426.89</v>
      </c>
    </row>
    <row r="5793">
      <c r="A5793" s="10">
        <f t="shared" si="8"/>
        <v>43775.66667</v>
      </c>
      <c r="B5793" s="2" t="str">
        <f t="shared" si="2"/>
        <v/>
      </c>
      <c r="C5793" s="2" t="str">
        <f t="shared" si="3"/>
        <v>SP500</v>
      </c>
      <c r="D5793" s="2">
        <f t="shared" si="4"/>
        <v>8410.63</v>
      </c>
      <c r="E5793" s="2">
        <f t="shared" si="5"/>
        <v>8410.63</v>
      </c>
      <c r="G5793" s="10">
        <f t="shared" si="9"/>
        <v>43775.64583</v>
      </c>
      <c r="H5793" s="6" t="str">
        <f t="shared" si="6"/>
        <v/>
      </c>
      <c r="I5793" s="2">
        <f t="shared" si="7"/>
        <v>1426.89</v>
      </c>
    </row>
    <row r="5794">
      <c r="A5794" s="10">
        <f t="shared" si="8"/>
        <v>43776.66667</v>
      </c>
      <c r="B5794" s="2" t="str">
        <f t="shared" si="2"/>
        <v/>
      </c>
      <c r="C5794" s="2" t="str">
        <f t="shared" si="3"/>
        <v>SP500</v>
      </c>
      <c r="D5794" s="2">
        <f t="shared" si="4"/>
        <v>8434.52</v>
      </c>
      <c r="E5794" s="2">
        <f t="shared" si="5"/>
        <v>8434.52</v>
      </c>
      <c r="G5794" s="10">
        <f t="shared" si="9"/>
        <v>43776.64583</v>
      </c>
      <c r="H5794" s="6" t="str">
        <f t="shared" si="6"/>
        <v/>
      </c>
      <c r="I5794" s="2">
        <f t="shared" si="7"/>
        <v>1426.89</v>
      </c>
    </row>
    <row r="5795">
      <c r="A5795" s="10">
        <f t="shared" si="8"/>
        <v>43777.66667</v>
      </c>
      <c r="B5795" s="2" t="str">
        <f t="shared" si="2"/>
        <v/>
      </c>
      <c r="C5795" s="2" t="str">
        <f t="shared" si="3"/>
        <v>SP500</v>
      </c>
      <c r="D5795" s="2">
        <f t="shared" si="4"/>
        <v>8475.31</v>
      </c>
      <c r="E5795" s="2">
        <f t="shared" si="5"/>
        <v>8475.31</v>
      </c>
      <c r="G5795" s="10">
        <f t="shared" si="9"/>
        <v>43777.64583</v>
      </c>
      <c r="H5795" s="6" t="str">
        <f t="shared" si="6"/>
        <v/>
      </c>
      <c r="I5795" s="2">
        <f t="shared" si="7"/>
        <v>1426.89</v>
      </c>
    </row>
    <row r="5796">
      <c r="A5796" s="10">
        <f t="shared" si="8"/>
        <v>43778.66667</v>
      </c>
      <c r="B5796" s="2" t="str">
        <f t="shared" si="2"/>
        <v/>
      </c>
      <c r="C5796" s="2" t="str">
        <f t="shared" si="3"/>
        <v>SP500</v>
      </c>
      <c r="D5796" s="2" t="str">
        <f t="shared" si="4"/>
        <v/>
      </c>
      <c r="E5796" s="2">
        <f t="shared" si="5"/>
        <v>8475.31</v>
      </c>
      <c r="G5796" s="10">
        <f t="shared" si="9"/>
        <v>43778.64583</v>
      </c>
      <c r="H5796" s="6" t="str">
        <f t="shared" si="6"/>
        <v/>
      </c>
      <c r="I5796" s="2">
        <f t="shared" si="7"/>
        <v>1426.89</v>
      </c>
    </row>
    <row r="5797">
      <c r="A5797" s="10">
        <f t="shared" si="8"/>
        <v>43779.66667</v>
      </c>
      <c r="B5797" s="2" t="str">
        <f t="shared" si="2"/>
        <v/>
      </c>
      <c r="C5797" s="2" t="str">
        <f t="shared" si="3"/>
        <v>SP500</v>
      </c>
      <c r="D5797" s="2" t="str">
        <f t="shared" si="4"/>
        <v/>
      </c>
      <c r="E5797" s="2">
        <f t="shared" si="5"/>
        <v>8475.31</v>
      </c>
      <c r="G5797" s="10">
        <f t="shared" si="9"/>
        <v>43779.64583</v>
      </c>
      <c r="H5797" s="6" t="str">
        <f t="shared" si="6"/>
        <v/>
      </c>
      <c r="I5797" s="2">
        <f t="shared" si="7"/>
        <v>1426.89</v>
      </c>
    </row>
    <row r="5798">
      <c r="A5798" s="10">
        <f t="shared" si="8"/>
        <v>43780.66667</v>
      </c>
      <c r="B5798" s="2" t="str">
        <f t="shared" si="2"/>
        <v/>
      </c>
      <c r="C5798" s="2" t="str">
        <f t="shared" si="3"/>
        <v>SP500</v>
      </c>
      <c r="D5798" s="2">
        <f t="shared" si="4"/>
        <v>8464.28</v>
      </c>
      <c r="E5798" s="2">
        <f t="shared" si="5"/>
        <v>8464.28</v>
      </c>
      <c r="G5798" s="10">
        <f t="shared" si="9"/>
        <v>43780.64583</v>
      </c>
      <c r="H5798" s="6" t="str">
        <f t="shared" si="6"/>
        <v/>
      </c>
      <c r="I5798" s="2">
        <f t="shared" si="7"/>
        <v>1426.89</v>
      </c>
    </row>
    <row r="5799">
      <c r="A5799" s="10">
        <f t="shared" si="8"/>
        <v>43781.66667</v>
      </c>
      <c r="B5799" s="2" t="str">
        <f t="shared" si="2"/>
        <v/>
      </c>
      <c r="C5799" s="2" t="str">
        <f t="shared" si="3"/>
        <v>SP500</v>
      </c>
      <c r="D5799" s="2">
        <f t="shared" si="4"/>
        <v>8486.09</v>
      </c>
      <c r="E5799" s="2">
        <f t="shared" si="5"/>
        <v>8486.09</v>
      </c>
      <c r="G5799" s="10">
        <f t="shared" si="9"/>
        <v>43781.64583</v>
      </c>
      <c r="H5799" s="6" t="str">
        <f t="shared" si="6"/>
        <v/>
      </c>
      <c r="I5799" s="2">
        <f t="shared" si="7"/>
        <v>1426.89</v>
      </c>
    </row>
    <row r="5800">
      <c r="A5800" s="10">
        <f t="shared" si="8"/>
        <v>43782.66667</v>
      </c>
      <c r="B5800" s="2" t="str">
        <f t="shared" si="2"/>
        <v/>
      </c>
      <c r="C5800" s="2" t="str">
        <f t="shared" si="3"/>
        <v>SP500</v>
      </c>
      <c r="D5800" s="2">
        <f t="shared" si="4"/>
        <v>8482.1</v>
      </c>
      <c r="E5800" s="2">
        <f t="shared" si="5"/>
        <v>8482.1</v>
      </c>
      <c r="G5800" s="10">
        <f t="shared" si="9"/>
        <v>43782.64583</v>
      </c>
      <c r="H5800" s="6" t="str">
        <f t="shared" si="6"/>
        <v/>
      </c>
      <c r="I5800" s="2">
        <f t="shared" si="7"/>
        <v>1426.89</v>
      </c>
    </row>
    <row r="5801">
      <c r="A5801" s="10">
        <f t="shared" si="8"/>
        <v>43783.66667</v>
      </c>
      <c r="B5801" s="2" t="str">
        <f t="shared" si="2"/>
        <v/>
      </c>
      <c r="C5801" s="2" t="str">
        <f t="shared" si="3"/>
        <v>SP500</v>
      </c>
      <c r="D5801" s="2">
        <f t="shared" si="4"/>
        <v>8479.02</v>
      </c>
      <c r="E5801" s="2">
        <f t="shared" si="5"/>
        <v>8479.02</v>
      </c>
      <c r="G5801" s="10">
        <f t="shared" si="9"/>
        <v>43783.64583</v>
      </c>
      <c r="H5801" s="6" t="str">
        <f t="shared" si="6"/>
        <v/>
      </c>
      <c r="I5801" s="2">
        <f t="shared" si="7"/>
        <v>1426.89</v>
      </c>
    </row>
    <row r="5802">
      <c r="A5802" s="10">
        <f t="shared" si="8"/>
        <v>43784.66667</v>
      </c>
      <c r="B5802" s="2" t="str">
        <f t="shared" si="2"/>
        <v/>
      </c>
      <c r="C5802" s="2" t="str">
        <f t="shared" si="3"/>
        <v>SP500</v>
      </c>
      <c r="D5802" s="2">
        <f t="shared" si="4"/>
        <v>8540.83</v>
      </c>
      <c r="E5802" s="2">
        <f t="shared" si="5"/>
        <v>8540.83</v>
      </c>
      <c r="G5802" s="10">
        <f t="shared" si="9"/>
        <v>43784.64583</v>
      </c>
      <c r="H5802" s="6" t="str">
        <f t="shared" si="6"/>
        <v/>
      </c>
      <c r="I5802" s="2">
        <f t="shared" si="7"/>
        <v>1426.89</v>
      </c>
    </row>
    <row r="5803">
      <c r="A5803" s="10">
        <f t="shared" si="8"/>
        <v>43785.66667</v>
      </c>
      <c r="B5803" s="2" t="str">
        <f t="shared" si="2"/>
        <v/>
      </c>
      <c r="C5803" s="2" t="str">
        <f t="shared" si="3"/>
        <v>SP500</v>
      </c>
      <c r="D5803" s="2" t="str">
        <f t="shared" si="4"/>
        <v/>
      </c>
      <c r="E5803" s="2">
        <f t="shared" si="5"/>
        <v>8540.83</v>
      </c>
      <c r="G5803" s="10">
        <f t="shared" si="9"/>
        <v>43785.64583</v>
      </c>
      <c r="H5803" s="6" t="str">
        <f t="shared" si="6"/>
        <v/>
      </c>
      <c r="I5803" s="2">
        <f t="shared" si="7"/>
        <v>1426.89</v>
      </c>
    </row>
    <row r="5804">
      <c r="A5804" s="10">
        <f t="shared" si="8"/>
        <v>43786.66667</v>
      </c>
      <c r="B5804" s="2" t="str">
        <f t="shared" si="2"/>
        <v/>
      </c>
      <c r="C5804" s="2" t="str">
        <f t="shared" si="3"/>
        <v>SP500</v>
      </c>
      <c r="D5804" s="2" t="str">
        <f t="shared" si="4"/>
        <v/>
      </c>
      <c r="E5804" s="2">
        <f t="shared" si="5"/>
        <v>8540.83</v>
      </c>
      <c r="G5804" s="10">
        <f t="shared" si="9"/>
        <v>43786.64583</v>
      </c>
      <c r="H5804" s="6" t="str">
        <f t="shared" si="6"/>
        <v/>
      </c>
      <c r="I5804" s="2">
        <f t="shared" si="7"/>
        <v>1426.89</v>
      </c>
    </row>
    <row r="5805">
      <c r="A5805" s="10">
        <f t="shared" si="8"/>
        <v>43787.66667</v>
      </c>
      <c r="B5805" s="2" t="str">
        <f t="shared" si="2"/>
        <v/>
      </c>
      <c r="C5805" s="2" t="str">
        <f t="shared" si="3"/>
        <v>SP500</v>
      </c>
      <c r="D5805" s="2">
        <f t="shared" si="4"/>
        <v>8549.94</v>
      </c>
      <c r="E5805" s="2">
        <f t="shared" si="5"/>
        <v>8549.94</v>
      </c>
      <c r="G5805" s="10">
        <f t="shared" si="9"/>
        <v>43787.64583</v>
      </c>
      <c r="H5805" s="6" t="str">
        <f t="shared" si="6"/>
        <v/>
      </c>
      <c r="I5805" s="2">
        <f t="shared" si="7"/>
        <v>1426.89</v>
      </c>
    </row>
    <row r="5806">
      <c r="A5806" s="10">
        <f t="shared" si="8"/>
        <v>43788.66667</v>
      </c>
      <c r="B5806" s="2" t="str">
        <f t="shared" si="2"/>
        <v/>
      </c>
      <c r="C5806" s="2" t="str">
        <f t="shared" si="3"/>
        <v>SP500</v>
      </c>
      <c r="D5806" s="2">
        <f t="shared" si="4"/>
        <v>8570.66</v>
      </c>
      <c r="E5806" s="2">
        <f t="shared" si="5"/>
        <v>8570.66</v>
      </c>
      <c r="G5806" s="10">
        <f t="shared" si="9"/>
        <v>43788.64583</v>
      </c>
      <c r="H5806" s="6" t="str">
        <f t="shared" si="6"/>
        <v/>
      </c>
      <c r="I5806" s="2">
        <f t="shared" si="7"/>
        <v>1426.89</v>
      </c>
    </row>
    <row r="5807">
      <c r="A5807" s="10">
        <f t="shared" si="8"/>
        <v>43789.66667</v>
      </c>
      <c r="B5807" s="2" t="str">
        <f t="shared" si="2"/>
        <v/>
      </c>
      <c r="C5807" s="2" t="str">
        <f t="shared" si="3"/>
        <v>SP500</v>
      </c>
      <c r="D5807" s="2">
        <f t="shared" si="4"/>
        <v>8526.73</v>
      </c>
      <c r="E5807" s="2">
        <f t="shared" si="5"/>
        <v>8526.73</v>
      </c>
      <c r="G5807" s="10">
        <f t="shared" si="9"/>
        <v>43789.64583</v>
      </c>
      <c r="H5807" s="6" t="str">
        <f t="shared" si="6"/>
        <v/>
      </c>
      <c r="I5807" s="2">
        <f t="shared" si="7"/>
        <v>1426.89</v>
      </c>
    </row>
    <row r="5808">
      <c r="A5808" s="10">
        <f t="shared" si="8"/>
        <v>43790.66667</v>
      </c>
      <c r="B5808" s="2" t="str">
        <f t="shared" si="2"/>
        <v/>
      </c>
      <c r="C5808" s="2" t="str">
        <f t="shared" si="3"/>
        <v>SP500</v>
      </c>
      <c r="D5808" s="2">
        <f t="shared" si="4"/>
        <v>8506.21</v>
      </c>
      <c r="E5808" s="2">
        <f t="shared" si="5"/>
        <v>8506.21</v>
      </c>
      <c r="G5808" s="10">
        <f t="shared" si="9"/>
        <v>43790.64583</v>
      </c>
      <c r="H5808" s="6" t="str">
        <f t="shared" si="6"/>
        <v/>
      </c>
      <c r="I5808" s="2">
        <f t="shared" si="7"/>
        <v>1426.89</v>
      </c>
    </row>
    <row r="5809">
      <c r="A5809" s="10">
        <f t="shared" si="8"/>
        <v>43791.66667</v>
      </c>
      <c r="B5809" s="2" t="str">
        <f t="shared" si="2"/>
        <v/>
      </c>
      <c r="C5809" s="2" t="str">
        <f t="shared" si="3"/>
        <v>SP500</v>
      </c>
      <c r="D5809" s="2">
        <f t="shared" si="4"/>
        <v>8519.89</v>
      </c>
      <c r="E5809" s="2">
        <f t="shared" si="5"/>
        <v>8519.89</v>
      </c>
      <c r="G5809" s="10">
        <f t="shared" si="9"/>
        <v>43791.64583</v>
      </c>
      <c r="H5809" s="6" t="str">
        <f t="shared" si="6"/>
        <v/>
      </c>
      <c r="I5809" s="2">
        <f t="shared" si="7"/>
        <v>1426.89</v>
      </c>
    </row>
    <row r="5810">
      <c r="A5810" s="10">
        <f t="shared" si="8"/>
        <v>43792.66667</v>
      </c>
      <c r="B5810" s="2" t="str">
        <f t="shared" si="2"/>
        <v/>
      </c>
      <c r="C5810" s="2" t="str">
        <f t="shared" si="3"/>
        <v>SP500</v>
      </c>
      <c r="D5810" s="2" t="str">
        <f t="shared" si="4"/>
        <v/>
      </c>
      <c r="E5810" s="2">
        <f t="shared" si="5"/>
        <v>8519.89</v>
      </c>
      <c r="G5810" s="10">
        <f t="shared" si="9"/>
        <v>43792.64583</v>
      </c>
      <c r="H5810" s="6" t="str">
        <f t="shared" si="6"/>
        <v/>
      </c>
      <c r="I5810" s="2">
        <f t="shared" si="7"/>
        <v>1426.89</v>
      </c>
    </row>
    <row r="5811">
      <c r="A5811" s="10">
        <f t="shared" si="8"/>
        <v>43793.66667</v>
      </c>
      <c r="B5811" s="2" t="str">
        <f t="shared" si="2"/>
        <v/>
      </c>
      <c r="C5811" s="2" t="str">
        <f t="shared" si="3"/>
        <v>SP500</v>
      </c>
      <c r="D5811" s="2" t="str">
        <f t="shared" si="4"/>
        <v/>
      </c>
      <c r="E5811" s="2">
        <f t="shared" si="5"/>
        <v>8519.89</v>
      </c>
      <c r="G5811" s="10">
        <f t="shared" si="9"/>
        <v>43793.64583</v>
      </c>
      <c r="H5811" s="6" t="str">
        <f t="shared" si="6"/>
        <v/>
      </c>
      <c r="I5811" s="2">
        <f t="shared" si="7"/>
        <v>1426.89</v>
      </c>
    </row>
    <row r="5812">
      <c r="A5812" s="10">
        <f t="shared" si="8"/>
        <v>43794.66667</v>
      </c>
      <c r="B5812" s="2" t="str">
        <f t="shared" si="2"/>
        <v/>
      </c>
      <c r="C5812" s="2" t="str">
        <f t="shared" si="3"/>
        <v>SP500</v>
      </c>
      <c r="D5812" s="2">
        <f t="shared" si="4"/>
        <v>8632.49</v>
      </c>
      <c r="E5812" s="2">
        <f t="shared" si="5"/>
        <v>8632.49</v>
      </c>
      <c r="G5812" s="10">
        <f t="shared" si="9"/>
        <v>43794.64583</v>
      </c>
      <c r="H5812" s="6" t="str">
        <f t="shared" si="6"/>
        <v/>
      </c>
      <c r="I5812" s="2">
        <f t="shared" si="7"/>
        <v>1426.89</v>
      </c>
    </row>
    <row r="5813">
      <c r="A5813" s="10">
        <f t="shared" si="8"/>
        <v>43795.66667</v>
      </c>
      <c r="B5813" s="2" t="str">
        <f t="shared" si="2"/>
        <v/>
      </c>
      <c r="C5813" s="2" t="str">
        <f t="shared" si="3"/>
        <v>SP500</v>
      </c>
      <c r="D5813" s="2">
        <f t="shared" si="4"/>
        <v>8647.93</v>
      </c>
      <c r="E5813" s="2">
        <f t="shared" si="5"/>
        <v>8647.93</v>
      </c>
      <c r="G5813" s="10">
        <f t="shared" si="9"/>
        <v>43795.64583</v>
      </c>
      <c r="H5813" s="6" t="str">
        <f t="shared" si="6"/>
        <v/>
      </c>
      <c r="I5813" s="2">
        <f t="shared" si="7"/>
        <v>1426.89</v>
      </c>
    </row>
    <row r="5814">
      <c r="A5814" s="10">
        <f t="shared" si="8"/>
        <v>43796.66667</v>
      </c>
      <c r="B5814" s="2" t="str">
        <f t="shared" si="2"/>
        <v/>
      </c>
      <c r="C5814" s="2" t="str">
        <f t="shared" si="3"/>
        <v>SP500</v>
      </c>
      <c r="D5814" s="2">
        <f t="shared" si="4"/>
        <v>8705.17</v>
      </c>
      <c r="E5814" s="2">
        <f t="shared" si="5"/>
        <v>8705.17</v>
      </c>
      <c r="G5814" s="10">
        <f t="shared" si="9"/>
        <v>43796.64583</v>
      </c>
      <c r="H5814" s="6" t="str">
        <f t="shared" si="6"/>
        <v/>
      </c>
      <c r="I5814" s="2">
        <f t="shared" si="7"/>
        <v>1426.89</v>
      </c>
    </row>
    <row r="5815">
      <c r="A5815" s="10">
        <f t="shared" si="8"/>
        <v>43797.66667</v>
      </c>
      <c r="B5815" s="2" t="str">
        <f t="shared" si="2"/>
        <v/>
      </c>
      <c r="C5815" s="2" t="str">
        <f t="shared" si="3"/>
        <v>SP500</v>
      </c>
      <c r="D5815" s="2" t="str">
        <f t="shared" si="4"/>
        <v/>
      </c>
      <c r="E5815" s="2">
        <f t="shared" si="5"/>
        <v>8705.17</v>
      </c>
      <c r="G5815" s="10">
        <f t="shared" si="9"/>
        <v>43797.64583</v>
      </c>
      <c r="H5815" s="6" t="str">
        <f t="shared" si="6"/>
        <v/>
      </c>
      <c r="I5815" s="2">
        <f t="shared" si="7"/>
        <v>1426.89</v>
      </c>
    </row>
    <row r="5816">
      <c r="A5816" s="10">
        <f t="shared" si="8"/>
        <v>43798.66667</v>
      </c>
      <c r="B5816" s="2" t="str">
        <f t="shared" si="2"/>
        <v/>
      </c>
      <c r="C5816" s="2" t="str">
        <f t="shared" si="3"/>
        <v>SP500</v>
      </c>
      <c r="D5816" s="2" t="str">
        <f t="shared" si="4"/>
        <v/>
      </c>
      <c r="E5816" s="2">
        <f t="shared" si="5"/>
        <v>8705.17</v>
      </c>
      <c r="G5816" s="10">
        <f t="shared" si="9"/>
        <v>43798.64583</v>
      </c>
      <c r="H5816" s="6" t="str">
        <f t="shared" si="6"/>
        <v/>
      </c>
      <c r="I5816" s="2">
        <f t="shared" si="7"/>
        <v>1426.89</v>
      </c>
    </row>
    <row r="5817">
      <c r="A5817" s="10">
        <f t="shared" si="8"/>
        <v>43799.66667</v>
      </c>
      <c r="B5817" s="2" t="str">
        <f t="shared" si="2"/>
        <v/>
      </c>
      <c r="C5817" s="2" t="str">
        <f t="shared" si="3"/>
        <v>SP500</v>
      </c>
      <c r="D5817" s="2" t="str">
        <f t="shared" si="4"/>
        <v/>
      </c>
      <c r="E5817" s="2">
        <f t="shared" si="5"/>
        <v>8705.17</v>
      </c>
      <c r="G5817" s="10">
        <f t="shared" si="9"/>
        <v>43799.64583</v>
      </c>
      <c r="H5817" s="6" t="str">
        <f t="shared" si="6"/>
        <v/>
      </c>
      <c r="I5817" s="2">
        <f t="shared" si="7"/>
        <v>1426.89</v>
      </c>
    </row>
    <row r="5818">
      <c r="A5818" s="10">
        <f t="shared" si="8"/>
        <v>43800.66667</v>
      </c>
      <c r="B5818" s="2" t="str">
        <f t="shared" si="2"/>
        <v/>
      </c>
      <c r="C5818" s="2" t="str">
        <f t="shared" si="3"/>
        <v>SP500</v>
      </c>
      <c r="D5818" s="2" t="str">
        <f t="shared" si="4"/>
        <v/>
      </c>
      <c r="E5818" s="2">
        <f t="shared" si="5"/>
        <v>8705.17</v>
      </c>
      <c r="G5818" s="10">
        <f t="shared" si="9"/>
        <v>43800.64583</v>
      </c>
      <c r="H5818" s="6" t="str">
        <f t="shared" si="6"/>
        <v/>
      </c>
      <c r="I5818" s="2">
        <f t="shared" si="7"/>
        <v>1426.89</v>
      </c>
    </row>
    <row r="5819">
      <c r="A5819" s="10">
        <f t="shared" si="8"/>
        <v>43801.66667</v>
      </c>
      <c r="B5819" s="2" t="str">
        <f t="shared" si="2"/>
        <v/>
      </c>
      <c r="C5819" s="2" t="str">
        <f t="shared" si="3"/>
        <v>SP500</v>
      </c>
      <c r="D5819" s="2">
        <f t="shared" si="4"/>
        <v>8567.99</v>
      </c>
      <c r="E5819" s="2">
        <f t="shared" si="5"/>
        <v>8567.99</v>
      </c>
      <c r="G5819" s="10">
        <f t="shared" si="9"/>
        <v>43801.64583</v>
      </c>
      <c r="H5819" s="6" t="str">
        <f t="shared" si="6"/>
        <v/>
      </c>
      <c r="I5819" s="2">
        <f t="shared" si="7"/>
        <v>1426.89</v>
      </c>
    </row>
    <row r="5820">
      <c r="A5820" s="10">
        <f t="shared" si="8"/>
        <v>43802.66667</v>
      </c>
      <c r="B5820" s="2" t="str">
        <f t="shared" si="2"/>
        <v/>
      </c>
      <c r="C5820" s="2" t="str">
        <f t="shared" si="3"/>
        <v>SP500</v>
      </c>
      <c r="D5820" s="2">
        <f t="shared" si="4"/>
        <v>8520.64</v>
      </c>
      <c r="E5820" s="2">
        <f t="shared" si="5"/>
        <v>8520.64</v>
      </c>
      <c r="G5820" s="10">
        <f t="shared" si="9"/>
        <v>43802.64583</v>
      </c>
      <c r="H5820" s="6" t="str">
        <f t="shared" si="6"/>
        <v/>
      </c>
      <c r="I5820" s="2">
        <f t="shared" si="7"/>
        <v>1426.89</v>
      </c>
    </row>
    <row r="5821">
      <c r="A5821" s="10">
        <f t="shared" si="8"/>
        <v>43803.66667</v>
      </c>
      <c r="B5821" s="2" t="str">
        <f t="shared" si="2"/>
        <v/>
      </c>
      <c r="C5821" s="2" t="str">
        <f t="shared" si="3"/>
        <v>SP500</v>
      </c>
      <c r="D5821" s="2">
        <f t="shared" si="4"/>
        <v>8566.67</v>
      </c>
      <c r="E5821" s="2">
        <f t="shared" si="5"/>
        <v>8566.67</v>
      </c>
      <c r="G5821" s="10">
        <f t="shared" si="9"/>
        <v>43803.64583</v>
      </c>
      <c r="H5821" s="6" t="str">
        <f t="shared" si="6"/>
        <v/>
      </c>
      <c r="I5821" s="2">
        <f t="shared" si="7"/>
        <v>1426.89</v>
      </c>
    </row>
    <row r="5822">
      <c r="A5822" s="10">
        <f t="shared" si="8"/>
        <v>43804.66667</v>
      </c>
      <c r="B5822" s="2" t="str">
        <f t="shared" si="2"/>
        <v/>
      </c>
      <c r="C5822" s="2" t="str">
        <f t="shared" si="3"/>
        <v>SP500</v>
      </c>
      <c r="D5822" s="2">
        <f t="shared" si="4"/>
        <v>8570.7</v>
      </c>
      <c r="E5822" s="2">
        <f t="shared" si="5"/>
        <v>8570.7</v>
      </c>
      <c r="G5822" s="10">
        <f t="shared" si="9"/>
        <v>43804.64583</v>
      </c>
      <c r="H5822" s="6" t="str">
        <f t="shared" si="6"/>
        <v/>
      </c>
      <c r="I5822" s="2">
        <f t="shared" si="7"/>
        <v>1426.89</v>
      </c>
    </row>
    <row r="5823">
      <c r="A5823" s="10">
        <f t="shared" si="8"/>
        <v>43805.66667</v>
      </c>
      <c r="B5823" s="2" t="str">
        <f t="shared" si="2"/>
        <v/>
      </c>
      <c r="C5823" s="2" t="str">
        <f t="shared" si="3"/>
        <v>SP500</v>
      </c>
      <c r="D5823" s="2">
        <f t="shared" si="4"/>
        <v>8656.53</v>
      </c>
      <c r="E5823" s="2">
        <f t="shared" si="5"/>
        <v>8656.53</v>
      </c>
      <c r="G5823" s="10">
        <f t="shared" si="9"/>
        <v>43805.64583</v>
      </c>
      <c r="H5823" s="6" t="str">
        <f t="shared" si="6"/>
        <v/>
      </c>
      <c r="I5823" s="2">
        <f t="shared" si="7"/>
        <v>1426.89</v>
      </c>
    </row>
    <row r="5824">
      <c r="A5824" s="10">
        <f t="shared" si="8"/>
        <v>43806.66667</v>
      </c>
      <c r="B5824" s="2" t="str">
        <f t="shared" si="2"/>
        <v/>
      </c>
      <c r="C5824" s="2" t="str">
        <f t="shared" si="3"/>
        <v>SP500</v>
      </c>
      <c r="D5824" s="2" t="str">
        <f t="shared" si="4"/>
        <v/>
      </c>
      <c r="E5824" s="2">
        <f t="shared" si="5"/>
        <v>8656.53</v>
      </c>
      <c r="G5824" s="10">
        <f t="shared" si="9"/>
        <v>43806.64583</v>
      </c>
      <c r="H5824" s="6" t="str">
        <f t="shared" si="6"/>
        <v/>
      </c>
      <c r="I5824" s="2">
        <f t="shared" si="7"/>
        <v>1426.89</v>
      </c>
    </row>
    <row r="5825">
      <c r="A5825" s="10">
        <f t="shared" si="8"/>
        <v>43807.66667</v>
      </c>
      <c r="B5825" s="2" t="str">
        <f t="shared" si="2"/>
        <v/>
      </c>
      <c r="C5825" s="2" t="str">
        <f t="shared" si="3"/>
        <v>SP500</v>
      </c>
      <c r="D5825" s="2" t="str">
        <f t="shared" si="4"/>
        <v/>
      </c>
      <c r="E5825" s="2">
        <f t="shared" si="5"/>
        <v>8656.53</v>
      </c>
      <c r="G5825" s="10">
        <f t="shared" si="9"/>
        <v>43807.64583</v>
      </c>
      <c r="H5825" s="6" t="str">
        <f t="shared" si="6"/>
        <v/>
      </c>
      <c r="I5825" s="2">
        <f t="shared" si="7"/>
        <v>1426.89</v>
      </c>
    </row>
    <row r="5826">
      <c r="A5826" s="10">
        <f t="shared" si="8"/>
        <v>43808.66667</v>
      </c>
      <c r="B5826" s="2" t="str">
        <f t="shared" si="2"/>
        <v/>
      </c>
      <c r="C5826" s="2" t="str">
        <f t="shared" si="3"/>
        <v>SP500</v>
      </c>
      <c r="D5826" s="2">
        <f t="shared" si="4"/>
        <v>8621.83</v>
      </c>
      <c r="E5826" s="2">
        <f t="shared" si="5"/>
        <v>8621.83</v>
      </c>
      <c r="G5826" s="10">
        <f t="shared" si="9"/>
        <v>43808.64583</v>
      </c>
      <c r="H5826" s="6" t="str">
        <f t="shared" si="6"/>
        <v/>
      </c>
      <c r="I5826" s="2">
        <f t="shared" si="7"/>
        <v>1426.89</v>
      </c>
    </row>
    <row r="5827">
      <c r="A5827" s="10">
        <f t="shared" si="8"/>
        <v>43809.66667</v>
      </c>
      <c r="B5827" s="2" t="str">
        <f t="shared" si="2"/>
        <v/>
      </c>
      <c r="C5827" s="2" t="str">
        <f t="shared" si="3"/>
        <v>SP500</v>
      </c>
      <c r="D5827" s="2">
        <f t="shared" si="4"/>
        <v>8616.18</v>
      </c>
      <c r="E5827" s="2">
        <f t="shared" si="5"/>
        <v>8616.18</v>
      </c>
      <c r="G5827" s="10">
        <f t="shared" si="9"/>
        <v>43809.64583</v>
      </c>
      <c r="H5827" s="6" t="str">
        <f t="shared" si="6"/>
        <v/>
      </c>
      <c r="I5827" s="2">
        <f t="shared" si="7"/>
        <v>1426.89</v>
      </c>
    </row>
    <row r="5828">
      <c r="A5828" s="10">
        <f t="shared" si="8"/>
        <v>43810.66667</v>
      </c>
      <c r="B5828" s="2" t="str">
        <f t="shared" si="2"/>
        <v/>
      </c>
      <c r="C5828" s="2" t="str">
        <f t="shared" si="3"/>
        <v>SP500</v>
      </c>
      <c r="D5828" s="2">
        <f t="shared" si="4"/>
        <v>8654.05</v>
      </c>
      <c r="E5828" s="2">
        <f t="shared" si="5"/>
        <v>8654.05</v>
      </c>
      <c r="G5828" s="10">
        <f t="shared" si="9"/>
        <v>43810.64583</v>
      </c>
      <c r="H5828" s="6" t="str">
        <f t="shared" si="6"/>
        <v/>
      </c>
      <c r="I5828" s="2">
        <f t="shared" si="7"/>
        <v>1426.89</v>
      </c>
    </row>
    <row r="5829">
      <c r="A5829" s="10">
        <f t="shared" si="8"/>
        <v>43811.66667</v>
      </c>
      <c r="B5829" s="2" t="str">
        <f t="shared" si="2"/>
        <v/>
      </c>
      <c r="C5829" s="2" t="str">
        <f t="shared" si="3"/>
        <v>SP500</v>
      </c>
      <c r="D5829" s="2">
        <f t="shared" si="4"/>
        <v>8717.32</v>
      </c>
      <c r="E5829" s="2">
        <f t="shared" si="5"/>
        <v>8717.32</v>
      </c>
      <c r="G5829" s="10">
        <f t="shared" si="9"/>
        <v>43811.64583</v>
      </c>
      <c r="H5829" s="6" t="str">
        <f t="shared" si="6"/>
        <v/>
      </c>
      <c r="I5829" s="2">
        <f t="shared" si="7"/>
        <v>1426.89</v>
      </c>
    </row>
    <row r="5830">
      <c r="A5830" s="10">
        <f t="shared" si="8"/>
        <v>43812.66667</v>
      </c>
      <c r="B5830" s="2" t="str">
        <f t="shared" si="2"/>
        <v/>
      </c>
      <c r="C5830" s="2" t="str">
        <f t="shared" si="3"/>
        <v>SP500</v>
      </c>
      <c r="D5830" s="2">
        <f t="shared" si="4"/>
        <v>8734.88</v>
      </c>
      <c r="E5830" s="2">
        <f t="shared" si="5"/>
        <v>8734.88</v>
      </c>
      <c r="G5830" s="10">
        <f t="shared" si="9"/>
        <v>43812.64583</v>
      </c>
      <c r="H5830" s="6" t="str">
        <f t="shared" si="6"/>
        <v/>
      </c>
      <c r="I5830" s="2">
        <f t="shared" si="7"/>
        <v>1426.89</v>
      </c>
    </row>
    <row r="5831">
      <c r="A5831" s="10">
        <f t="shared" si="8"/>
        <v>43813.66667</v>
      </c>
      <c r="B5831" s="2" t="str">
        <f t="shared" si="2"/>
        <v/>
      </c>
      <c r="C5831" s="2" t="str">
        <f t="shared" si="3"/>
        <v>SP500</v>
      </c>
      <c r="D5831" s="2" t="str">
        <f t="shared" si="4"/>
        <v/>
      </c>
      <c r="E5831" s="2">
        <f t="shared" si="5"/>
        <v>8734.88</v>
      </c>
      <c r="G5831" s="10">
        <f t="shared" si="9"/>
        <v>43813.64583</v>
      </c>
      <c r="H5831" s="6" t="str">
        <f t="shared" si="6"/>
        <v/>
      </c>
      <c r="I5831" s="2">
        <f t="shared" si="7"/>
        <v>1426.89</v>
      </c>
    </row>
    <row r="5832">
      <c r="A5832" s="10">
        <f t="shared" si="8"/>
        <v>43814.66667</v>
      </c>
      <c r="B5832" s="2" t="str">
        <f t="shared" si="2"/>
        <v/>
      </c>
      <c r="C5832" s="2" t="str">
        <f t="shared" si="3"/>
        <v>SP500</v>
      </c>
      <c r="D5832" s="2" t="str">
        <f t="shared" si="4"/>
        <v/>
      </c>
      <c r="E5832" s="2">
        <f t="shared" si="5"/>
        <v>8734.88</v>
      </c>
      <c r="G5832" s="10">
        <f t="shared" si="9"/>
        <v>43814.64583</v>
      </c>
      <c r="H5832" s="6" t="str">
        <f t="shared" si="6"/>
        <v/>
      </c>
      <c r="I5832" s="2">
        <f t="shared" si="7"/>
        <v>1426.89</v>
      </c>
    </row>
    <row r="5833">
      <c r="A5833" s="10">
        <f t="shared" si="8"/>
        <v>43815.66667</v>
      </c>
      <c r="B5833" s="2" t="str">
        <f t="shared" si="2"/>
        <v/>
      </c>
      <c r="C5833" s="2" t="str">
        <f t="shared" si="3"/>
        <v>SP500</v>
      </c>
      <c r="D5833" s="2">
        <f t="shared" si="4"/>
        <v>8814.23</v>
      </c>
      <c r="E5833" s="2">
        <f t="shared" si="5"/>
        <v>8814.23</v>
      </c>
      <c r="G5833" s="10">
        <f t="shared" si="9"/>
        <v>43815.64583</v>
      </c>
      <c r="H5833" s="6" t="str">
        <f t="shared" si="6"/>
        <v/>
      </c>
      <c r="I5833" s="2">
        <f t="shared" si="7"/>
        <v>1426.89</v>
      </c>
    </row>
    <row r="5834">
      <c r="A5834" s="10">
        <f t="shared" si="8"/>
        <v>43816.66667</v>
      </c>
      <c r="B5834" s="2" t="str">
        <f t="shared" si="2"/>
        <v/>
      </c>
      <c r="C5834" s="2" t="str">
        <f t="shared" si="3"/>
        <v>SP500</v>
      </c>
      <c r="D5834" s="2">
        <f t="shared" si="4"/>
        <v>8823.36</v>
      </c>
      <c r="E5834" s="2">
        <f t="shared" si="5"/>
        <v>8823.36</v>
      </c>
      <c r="G5834" s="10">
        <f t="shared" si="9"/>
        <v>43816.64583</v>
      </c>
      <c r="H5834" s="6" t="str">
        <f t="shared" si="6"/>
        <v/>
      </c>
      <c r="I5834" s="2">
        <f t="shared" si="7"/>
        <v>1426.89</v>
      </c>
    </row>
    <row r="5835">
      <c r="A5835" s="10">
        <f t="shared" si="8"/>
        <v>43817.66667</v>
      </c>
      <c r="B5835" s="2" t="str">
        <f t="shared" si="2"/>
        <v/>
      </c>
      <c r="C5835" s="2" t="str">
        <f t="shared" si="3"/>
        <v>SP500</v>
      </c>
      <c r="D5835" s="2">
        <f t="shared" si="4"/>
        <v>8827.74</v>
      </c>
      <c r="E5835" s="2">
        <f t="shared" si="5"/>
        <v>8827.74</v>
      </c>
      <c r="G5835" s="10">
        <f t="shared" si="9"/>
        <v>43817.64583</v>
      </c>
      <c r="H5835" s="6" t="str">
        <f t="shared" si="6"/>
        <v/>
      </c>
      <c r="I5835" s="2">
        <f t="shared" si="7"/>
        <v>1426.89</v>
      </c>
    </row>
    <row r="5836">
      <c r="A5836" s="10">
        <f t="shared" si="8"/>
        <v>43818.66667</v>
      </c>
      <c r="B5836" s="2" t="str">
        <f t="shared" si="2"/>
        <v/>
      </c>
      <c r="C5836" s="2" t="str">
        <f t="shared" si="3"/>
        <v>SP500</v>
      </c>
      <c r="D5836" s="2">
        <f t="shared" si="4"/>
        <v>8887.22</v>
      </c>
      <c r="E5836" s="2">
        <f t="shared" si="5"/>
        <v>8887.22</v>
      </c>
      <c r="G5836" s="10">
        <f t="shared" si="9"/>
        <v>43818.64583</v>
      </c>
      <c r="H5836" s="6" t="str">
        <f t="shared" si="6"/>
        <v/>
      </c>
      <c r="I5836" s="2">
        <f t="shared" si="7"/>
        <v>1426.89</v>
      </c>
    </row>
    <row r="5837">
      <c r="A5837" s="10">
        <f t="shared" si="8"/>
        <v>43819.66667</v>
      </c>
      <c r="B5837" s="2" t="str">
        <f t="shared" si="2"/>
        <v/>
      </c>
      <c r="C5837" s="2" t="str">
        <f t="shared" si="3"/>
        <v>SP500</v>
      </c>
      <c r="D5837" s="2">
        <f t="shared" si="4"/>
        <v>8924.96</v>
      </c>
      <c r="E5837" s="2">
        <f t="shared" si="5"/>
        <v>8924.96</v>
      </c>
      <c r="G5837" s="10">
        <f t="shared" si="9"/>
        <v>43819.64583</v>
      </c>
      <c r="H5837" s="6" t="str">
        <f t="shared" si="6"/>
        <v/>
      </c>
      <c r="I5837" s="2">
        <f t="shared" si="7"/>
        <v>1426.89</v>
      </c>
    </row>
    <row r="5838">
      <c r="A5838" s="10">
        <f t="shared" si="8"/>
        <v>43820.66667</v>
      </c>
      <c r="B5838" s="2" t="str">
        <f t="shared" si="2"/>
        <v/>
      </c>
      <c r="C5838" s="2" t="str">
        <f t="shared" si="3"/>
        <v>SP500</v>
      </c>
      <c r="D5838" s="2" t="str">
        <f t="shared" si="4"/>
        <v/>
      </c>
      <c r="E5838" s="2">
        <f t="shared" si="5"/>
        <v>8924.96</v>
      </c>
      <c r="G5838" s="10">
        <f t="shared" si="9"/>
        <v>43820.64583</v>
      </c>
      <c r="H5838" s="6" t="str">
        <f t="shared" si="6"/>
        <v/>
      </c>
      <c r="I5838" s="2">
        <f t="shared" si="7"/>
        <v>1426.89</v>
      </c>
    </row>
    <row r="5839">
      <c r="A5839" s="10">
        <f t="shared" si="8"/>
        <v>43821.66667</v>
      </c>
      <c r="B5839" s="2" t="str">
        <f t="shared" si="2"/>
        <v/>
      </c>
      <c r="C5839" s="2" t="str">
        <f t="shared" si="3"/>
        <v>SP500</v>
      </c>
      <c r="D5839" s="2" t="str">
        <f t="shared" si="4"/>
        <v/>
      </c>
      <c r="E5839" s="2">
        <f t="shared" si="5"/>
        <v>8924.96</v>
      </c>
      <c r="G5839" s="10">
        <f t="shared" si="9"/>
        <v>43821.64583</v>
      </c>
      <c r="H5839" s="6" t="str">
        <f t="shared" si="6"/>
        <v/>
      </c>
      <c r="I5839" s="2">
        <f t="shared" si="7"/>
        <v>1426.89</v>
      </c>
    </row>
    <row r="5840">
      <c r="A5840" s="10">
        <f t="shared" si="8"/>
        <v>43822.66667</v>
      </c>
      <c r="B5840" s="2" t="str">
        <f t="shared" si="2"/>
        <v/>
      </c>
      <c r="C5840" s="2" t="str">
        <f t="shared" si="3"/>
        <v>SP500</v>
      </c>
      <c r="D5840" s="2">
        <f t="shared" si="4"/>
        <v>8945.65</v>
      </c>
      <c r="E5840" s="2">
        <f t="shared" si="5"/>
        <v>8945.65</v>
      </c>
      <c r="G5840" s="10">
        <f t="shared" si="9"/>
        <v>43822.64583</v>
      </c>
      <c r="H5840" s="6" t="str">
        <f t="shared" si="6"/>
        <v/>
      </c>
      <c r="I5840" s="2">
        <f t="shared" si="7"/>
        <v>1426.89</v>
      </c>
    </row>
    <row r="5841">
      <c r="A5841" s="10">
        <f t="shared" si="8"/>
        <v>43823.66667</v>
      </c>
      <c r="B5841" s="2" t="str">
        <f t="shared" si="2"/>
        <v/>
      </c>
      <c r="C5841" s="2" t="str">
        <f t="shared" si="3"/>
        <v>SP500</v>
      </c>
      <c r="D5841" s="2" t="str">
        <f t="shared" si="4"/>
        <v/>
      </c>
      <c r="E5841" s="2">
        <f t="shared" si="5"/>
        <v>8945.65</v>
      </c>
      <c r="G5841" s="10">
        <f t="shared" si="9"/>
        <v>43823.64583</v>
      </c>
      <c r="H5841" s="6" t="str">
        <f t="shared" si="6"/>
        <v/>
      </c>
      <c r="I5841" s="2">
        <f t="shared" si="7"/>
        <v>1426.89</v>
      </c>
    </row>
    <row r="5842">
      <c r="A5842" s="10">
        <f t="shared" si="8"/>
        <v>43824.66667</v>
      </c>
      <c r="B5842" s="2" t="str">
        <f t="shared" si="2"/>
        <v/>
      </c>
      <c r="C5842" s="2" t="str">
        <f t="shared" si="3"/>
        <v>SP500</v>
      </c>
      <c r="D5842" s="2" t="str">
        <f t="shared" si="4"/>
        <v/>
      </c>
      <c r="E5842" s="2">
        <f t="shared" si="5"/>
        <v>8945.65</v>
      </c>
      <c r="G5842" s="10">
        <f t="shared" si="9"/>
        <v>43824.64583</v>
      </c>
      <c r="H5842" s="6" t="str">
        <f t="shared" si="6"/>
        <v/>
      </c>
      <c r="I5842" s="2">
        <f t="shared" si="7"/>
        <v>1426.89</v>
      </c>
    </row>
    <row r="5843">
      <c r="A5843" s="10">
        <f t="shared" si="8"/>
        <v>43825.66667</v>
      </c>
      <c r="B5843" s="2" t="str">
        <f t="shared" si="2"/>
        <v/>
      </c>
      <c r="C5843" s="2" t="str">
        <f t="shared" si="3"/>
        <v>SP500</v>
      </c>
      <c r="D5843" s="2">
        <f t="shared" si="4"/>
        <v>9022.39</v>
      </c>
      <c r="E5843" s="2">
        <f t="shared" si="5"/>
        <v>9022.39</v>
      </c>
      <c r="G5843" s="10">
        <f t="shared" si="9"/>
        <v>43825.64583</v>
      </c>
      <c r="H5843" s="6" t="str">
        <f t="shared" si="6"/>
        <v/>
      </c>
      <c r="I5843" s="2">
        <f t="shared" si="7"/>
        <v>1426.89</v>
      </c>
    </row>
    <row r="5844">
      <c r="A5844" s="10">
        <f t="shared" si="8"/>
        <v>43826.66667</v>
      </c>
      <c r="B5844" s="2" t="str">
        <f t="shared" si="2"/>
        <v/>
      </c>
      <c r="C5844" s="2" t="str">
        <f t="shared" si="3"/>
        <v>SP500</v>
      </c>
      <c r="D5844" s="2">
        <f t="shared" si="4"/>
        <v>9006.62</v>
      </c>
      <c r="E5844" s="2">
        <f t="shared" si="5"/>
        <v>9006.62</v>
      </c>
      <c r="G5844" s="10">
        <f t="shared" si="9"/>
        <v>43826.64583</v>
      </c>
      <c r="H5844" s="6" t="str">
        <f t="shared" si="6"/>
        <v/>
      </c>
      <c r="I5844" s="2">
        <f t="shared" si="7"/>
        <v>1426.89</v>
      </c>
    </row>
    <row r="5845">
      <c r="A5845" s="10">
        <f t="shared" si="8"/>
        <v>43827.66667</v>
      </c>
      <c r="B5845" s="2" t="str">
        <f t="shared" si="2"/>
        <v/>
      </c>
      <c r="C5845" s="2" t="str">
        <f t="shared" si="3"/>
        <v>SP500</v>
      </c>
      <c r="D5845" s="2" t="str">
        <f t="shared" si="4"/>
        <v/>
      </c>
      <c r="E5845" s="2">
        <f t="shared" si="5"/>
        <v>9006.62</v>
      </c>
      <c r="G5845" s="10">
        <f t="shared" si="9"/>
        <v>43827.64583</v>
      </c>
      <c r="H5845" s="6" t="str">
        <f t="shared" si="6"/>
        <v/>
      </c>
      <c r="I5845" s="2">
        <f t="shared" si="7"/>
        <v>1426.89</v>
      </c>
    </row>
    <row r="5846">
      <c r="A5846" s="10">
        <f t="shared" si="8"/>
        <v>43828.66667</v>
      </c>
      <c r="B5846" s="2" t="str">
        <f t="shared" si="2"/>
        <v/>
      </c>
      <c r="C5846" s="2" t="str">
        <f t="shared" si="3"/>
        <v>SP500</v>
      </c>
      <c r="D5846" s="2" t="str">
        <f t="shared" si="4"/>
        <v/>
      </c>
      <c r="E5846" s="2">
        <f t="shared" si="5"/>
        <v>9006.62</v>
      </c>
      <c r="G5846" s="10">
        <f t="shared" si="9"/>
        <v>43828.64583</v>
      </c>
      <c r="H5846" s="6" t="str">
        <f t="shared" si="6"/>
        <v/>
      </c>
      <c r="I5846" s="2">
        <f t="shared" si="7"/>
        <v>1426.89</v>
      </c>
    </row>
    <row r="5847">
      <c r="A5847" s="10">
        <f t="shared" si="8"/>
        <v>43829.66667</v>
      </c>
      <c r="B5847" s="2" t="str">
        <f t="shared" si="2"/>
        <v/>
      </c>
      <c r="C5847" s="2" t="str">
        <f t="shared" si="3"/>
        <v>SP500</v>
      </c>
      <c r="D5847" s="2">
        <f t="shared" si="4"/>
        <v>8945.99</v>
      </c>
      <c r="E5847" s="2">
        <f t="shared" si="5"/>
        <v>8945.99</v>
      </c>
      <c r="G5847" s="10">
        <f t="shared" si="9"/>
        <v>43829.64583</v>
      </c>
      <c r="H5847" s="6" t="str">
        <f t="shared" si="6"/>
        <v/>
      </c>
      <c r="I5847" s="2">
        <f t="shared" si="7"/>
        <v>1426.89</v>
      </c>
    </row>
    <row r="5848">
      <c r="A5848" s="10">
        <f t="shared" si="8"/>
        <v>43830.66667</v>
      </c>
      <c r="B5848" s="2" t="str">
        <f t="shared" si="2"/>
        <v/>
      </c>
      <c r="C5848" s="2" t="str">
        <f t="shared" si="3"/>
        <v>SP500</v>
      </c>
      <c r="D5848" s="2">
        <f t="shared" si="4"/>
        <v>8972.6</v>
      </c>
      <c r="E5848" s="2">
        <f t="shared" si="5"/>
        <v>8972.6</v>
      </c>
      <c r="G5848" s="10">
        <f t="shared" si="9"/>
        <v>43830.64583</v>
      </c>
      <c r="H5848" s="6" t="str">
        <f t="shared" si="6"/>
        <v/>
      </c>
      <c r="I5848" s="2">
        <f t="shared" si="7"/>
        <v>1426.89</v>
      </c>
    </row>
    <row r="5849">
      <c r="A5849" s="10">
        <f t="shared" si="8"/>
        <v>43831.66667</v>
      </c>
      <c r="B5849" s="2" t="str">
        <f t="shared" si="2"/>
        <v/>
      </c>
      <c r="C5849" s="2" t="str">
        <f t="shared" si="3"/>
        <v>SP500</v>
      </c>
      <c r="D5849" s="2" t="str">
        <f t="shared" si="4"/>
        <v/>
      </c>
      <c r="E5849" s="2">
        <f t="shared" si="5"/>
        <v>8972.6</v>
      </c>
      <c r="G5849" s="10">
        <f t="shared" si="9"/>
        <v>43831.64583</v>
      </c>
      <c r="H5849" s="6" t="str">
        <f t="shared" si="6"/>
        <v/>
      </c>
      <c r="I5849" s="2">
        <f t="shared" si="7"/>
        <v>1426.89</v>
      </c>
    </row>
    <row r="5850">
      <c r="A5850" s="10">
        <f t="shared" si="8"/>
        <v>43832.66667</v>
      </c>
      <c r="B5850" s="2" t="str">
        <f t="shared" si="2"/>
        <v/>
      </c>
      <c r="C5850" s="2" t="str">
        <f t="shared" si="3"/>
        <v>SP500</v>
      </c>
      <c r="D5850" s="2">
        <f t="shared" si="4"/>
        <v>9092.19</v>
      </c>
      <c r="E5850" s="2">
        <f t="shared" si="5"/>
        <v>9092.19</v>
      </c>
      <c r="G5850" s="10">
        <f t="shared" si="9"/>
        <v>43832.64583</v>
      </c>
      <c r="H5850" s="6" t="str">
        <f t="shared" si="6"/>
        <v/>
      </c>
      <c r="I5850" s="2">
        <f t="shared" si="7"/>
        <v>1426.89</v>
      </c>
    </row>
    <row r="5851">
      <c r="A5851" s="10">
        <f t="shared" si="8"/>
        <v>43833.66667</v>
      </c>
      <c r="B5851" s="2" t="str">
        <f t="shared" si="2"/>
        <v/>
      </c>
      <c r="C5851" s="2" t="str">
        <f t="shared" si="3"/>
        <v>SP500</v>
      </c>
      <c r="D5851" s="2">
        <f t="shared" si="4"/>
        <v>9020.77</v>
      </c>
      <c r="E5851" s="2">
        <f t="shared" si="5"/>
        <v>9020.77</v>
      </c>
      <c r="G5851" s="10">
        <f t="shared" si="9"/>
        <v>43833.64583</v>
      </c>
      <c r="H5851" s="6" t="str">
        <f t="shared" si="6"/>
        <v/>
      </c>
      <c r="I5851" s="2">
        <f t="shared" si="7"/>
        <v>1426.89</v>
      </c>
    </row>
    <row r="5852">
      <c r="A5852" s="10">
        <f t="shared" si="8"/>
        <v>43834.66667</v>
      </c>
      <c r="B5852" s="2" t="str">
        <f t="shared" si="2"/>
        <v/>
      </c>
      <c r="C5852" s="2" t="str">
        <f t="shared" si="3"/>
        <v>SP500</v>
      </c>
      <c r="D5852" s="2" t="str">
        <f t="shared" si="4"/>
        <v/>
      </c>
      <c r="E5852" s="2">
        <f t="shared" si="5"/>
        <v>9020.77</v>
      </c>
      <c r="G5852" s="10">
        <f t="shared" si="9"/>
        <v>43834.64583</v>
      </c>
      <c r="H5852" s="6" t="str">
        <f t="shared" si="6"/>
        <v/>
      </c>
      <c r="I5852" s="2">
        <f t="shared" si="7"/>
        <v>1426.89</v>
      </c>
    </row>
    <row r="5853">
      <c r="A5853" s="10">
        <f t="shared" si="8"/>
        <v>43835.66667</v>
      </c>
      <c r="B5853" s="2" t="str">
        <f t="shared" si="2"/>
        <v/>
      </c>
      <c r="C5853" s="2" t="str">
        <f t="shared" si="3"/>
        <v>SP500</v>
      </c>
      <c r="D5853" s="2" t="str">
        <f t="shared" si="4"/>
        <v/>
      </c>
      <c r="E5853" s="2">
        <f t="shared" si="5"/>
        <v>9020.77</v>
      </c>
      <c r="G5853" s="10">
        <f t="shared" si="9"/>
        <v>43835.64583</v>
      </c>
      <c r="H5853" s="6" t="str">
        <f t="shared" si="6"/>
        <v/>
      </c>
      <c r="I5853" s="2">
        <f t="shared" si="7"/>
        <v>1426.89</v>
      </c>
    </row>
    <row r="5854">
      <c r="A5854" s="10">
        <f t="shared" si="8"/>
        <v>43836.66667</v>
      </c>
      <c r="B5854" s="2" t="str">
        <f t="shared" si="2"/>
        <v/>
      </c>
      <c r="C5854" s="2" t="str">
        <f t="shared" si="3"/>
        <v>SP500</v>
      </c>
      <c r="D5854" s="2">
        <f t="shared" si="4"/>
        <v>9071.47</v>
      </c>
      <c r="E5854" s="2">
        <f t="shared" si="5"/>
        <v>9071.47</v>
      </c>
      <c r="G5854" s="10">
        <f t="shared" si="9"/>
        <v>43836.64583</v>
      </c>
      <c r="H5854" s="6" t="str">
        <f t="shared" si="6"/>
        <v/>
      </c>
      <c r="I5854" s="2">
        <f t="shared" si="7"/>
        <v>1426.89</v>
      </c>
    </row>
    <row r="5855">
      <c r="A5855" s="10">
        <f t="shared" si="8"/>
        <v>43837.66667</v>
      </c>
      <c r="B5855" s="2" t="str">
        <f t="shared" si="2"/>
        <v/>
      </c>
      <c r="C5855" s="2" t="str">
        <f t="shared" si="3"/>
        <v>SP500</v>
      </c>
      <c r="D5855" s="2">
        <f t="shared" si="4"/>
        <v>9068.58</v>
      </c>
      <c r="E5855" s="2">
        <f t="shared" si="5"/>
        <v>9068.58</v>
      </c>
      <c r="G5855" s="10">
        <f t="shared" si="9"/>
        <v>43837.64583</v>
      </c>
      <c r="H5855" s="6" t="str">
        <f t="shared" si="6"/>
        <v/>
      </c>
      <c r="I5855" s="2">
        <f t="shared" si="7"/>
        <v>1426.89</v>
      </c>
    </row>
    <row r="5856">
      <c r="A5856" s="10">
        <f t="shared" si="8"/>
        <v>43838.66667</v>
      </c>
      <c r="B5856" s="2" t="str">
        <f t="shared" si="2"/>
        <v/>
      </c>
      <c r="C5856" s="2" t="str">
        <f t="shared" si="3"/>
        <v>SP500</v>
      </c>
      <c r="D5856" s="2">
        <f t="shared" si="4"/>
        <v>9129.24</v>
      </c>
      <c r="E5856" s="2">
        <f t="shared" si="5"/>
        <v>9129.24</v>
      </c>
      <c r="G5856" s="10">
        <f t="shared" si="9"/>
        <v>43838.64583</v>
      </c>
      <c r="H5856" s="6" t="str">
        <f t="shared" si="6"/>
        <v/>
      </c>
      <c r="I5856" s="2">
        <f t="shared" si="7"/>
        <v>1426.89</v>
      </c>
    </row>
    <row r="5857">
      <c r="A5857" s="10">
        <f t="shared" si="8"/>
        <v>43839.66667</v>
      </c>
      <c r="B5857" s="2" t="str">
        <f t="shared" si="2"/>
        <v/>
      </c>
      <c r="C5857" s="2" t="str">
        <f t="shared" si="3"/>
        <v>SP500</v>
      </c>
      <c r="D5857" s="2">
        <f t="shared" si="4"/>
        <v>9203.43</v>
      </c>
      <c r="E5857" s="2">
        <f t="shared" si="5"/>
        <v>9203.43</v>
      </c>
      <c r="G5857" s="10">
        <f t="shared" si="9"/>
        <v>43839.64583</v>
      </c>
      <c r="H5857" s="6" t="str">
        <f t="shared" si="6"/>
        <v/>
      </c>
      <c r="I5857" s="2">
        <f t="shared" si="7"/>
        <v>1426.89</v>
      </c>
    </row>
    <row r="5858">
      <c r="A5858" s="10">
        <f t="shared" si="8"/>
        <v>43840.66667</v>
      </c>
      <c r="B5858" s="2" t="str">
        <f t="shared" si="2"/>
        <v/>
      </c>
      <c r="C5858" s="2" t="str">
        <f t="shared" si="3"/>
        <v>SP500</v>
      </c>
      <c r="D5858" s="2">
        <f t="shared" si="4"/>
        <v>9178.86</v>
      </c>
      <c r="E5858" s="2">
        <f t="shared" si="5"/>
        <v>9178.86</v>
      </c>
      <c r="G5858" s="10">
        <f t="shared" si="9"/>
        <v>43840.64583</v>
      </c>
      <c r="H5858" s="6" t="str">
        <f t="shared" si="6"/>
        <v/>
      </c>
      <c r="I5858" s="2">
        <f t="shared" si="7"/>
        <v>1426.89</v>
      </c>
    </row>
    <row r="5859">
      <c r="A5859" s="10">
        <f t="shared" si="8"/>
        <v>43841.66667</v>
      </c>
      <c r="B5859" s="2" t="str">
        <f t="shared" si="2"/>
        <v/>
      </c>
      <c r="C5859" s="2" t="str">
        <f t="shared" si="3"/>
        <v>SP500</v>
      </c>
      <c r="D5859" s="2" t="str">
        <f t="shared" si="4"/>
        <v/>
      </c>
      <c r="E5859" s="2">
        <f t="shared" si="5"/>
        <v>9178.86</v>
      </c>
      <c r="G5859" s="10">
        <f t="shared" si="9"/>
        <v>43841.64583</v>
      </c>
      <c r="H5859" s="6" t="str">
        <f t="shared" si="6"/>
        <v/>
      </c>
      <c r="I5859" s="2">
        <f t="shared" si="7"/>
        <v>1426.89</v>
      </c>
    </row>
    <row r="5860">
      <c r="A5860" s="10">
        <f t="shared" si="8"/>
        <v>43842.66667</v>
      </c>
      <c r="B5860" s="2" t="str">
        <f t="shared" si="2"/>
        <v/>
      </c>
      <c r="C5860" s="2" t="str">
        <f t="shared" si="3"/>
        <v>SP500</v>
      </c>
      <c r="D5860" s="2" t="str">
        <f t="shared" si="4"/>
        <v/>
      </c>
      <c r="E5860" s="2">
        <f t="shared" si="5"/>
        <v>9178.86</v>
      </c>
      <c r="G5860" s="10">
        <f t="shared" si="9"/>
        <v>43842.64583</v>
      </c>
      <c r="H5860" s="6" t="str">
        <f t="shared" si="6"/>
        <v/>
      </c>
      <c r="I5860" s="2">
        <f t="shared" si="7"/>
        <v>1426.89</v>
      </c>
    </row>
    <row r="5861">
      <c r="A5861" s="10">
        <f t="shared" si="8"/>
        <v>43843.66667</v>
      </c>
      <c r="B5861" s="2" t="str">
        <f t="shared" si="2"/>
        <v/>
      </c>
      <c r="C5861" s="2" t="str">
        <f t="shared" si="3"/>
        <v>SP500</v>
      </c>
      <c r="D5861" s="2">
        <f t="shared" si="4"/>
        <v>9273.93</v>
      </c>
      <c r="E5861" s="2">
        <f t="shared" si="5"/>
        <v>9273.93</v>
      </c>
      <c r="G5861" s="10">
        <f t="shared" si="9"/>
        <v>43843.64583</v>
      </c>
      <c r="H5861" s="6" t="str">
        <f t="shared" si="6"/>
        <v/>
      </c>
      <c r="I5861" s="2">
        <f t="shared" si="7"/>
        <v>1426.89</v>
      </c>
    </row>
    <row r="5862">
      <c r="A5862" s="10">
        <f t="shared" si="8"/>
        <v>43844.66667</v>
      </c>
      <c r="B5862" s="2" t="str">
        <f t="shared" si="2"/>
        <v/>
      </c>
      <c r="C5862" s="2" t="str">
        <f t="shared" si="3"/>
        <v>SP500</v>
      </c>
      <c r="D5862" s="2">
        <f t="shared" si="4"/>
        <v>9251.33</v>
      </c>
      <c r="E5862" s="2">
        <f t="shared" si="5"/>
        <v>9251.33</v>
      </c>
      <c r="G5862" s="10">
        <f t="shared" si="9"/>
        <v>43844.64583</v>
      </c>
      <c r="H5862" s="6" t="str">
        <f t="shared" si="6"/>
        <v/>
      </c>
      <c r="I5862" s="2">
        <f t="shared" si="7"/>
        <v>1426.89</v>
      </c>
    </row>
    <row r="5863">
      <c r="A5863" s="10">
        <f t="shared" si="8"/>
        <v>43845.66667</v>
      </c>
      <c r="B5863" s="2" t="str">
        <f t="shared" si="2"/>
        <v/>
      </c>
      <c r="C5863" s="2" t="str">
        <f t="shared" si="3"/>
        <v>SP500</v>
      </c>
      <c r="D5863" s="2">
        <f t="shared" si="4"/>
        <v>9258.7</v>
      </c>
      <c r="E5863" s="2">
        <f t="shared" si="5"/>
        <v>9258.7</v>
      </c>
      <c r="G5863" s="10">
        <f t="shared" si="9"/>
        <v>43845.64583</v>
      </c>
      <c r="H5863" s="6" t="str">
        <f t="shared" si="6"/>
        <v/>
      </c>
      <c r="I5863" s="2">
        <f t="shared" si="7"/>
        <v>1426.89</v>
      </c>
    </row>
    <row r="5864">
      <c r="A5864" s="10">
        <f t="shared" si="8"/>
        <v>43846.66667</v>
      </c>
      <c r="B5864" s="2" t="str">
        <f t="shared" si="2"/>
        <v/>
      </c>
      <c r="C5864" s="2" t="str">
        <f t="shared" si="3"/>
        <v>SP500</v>
      </c>
      <c r="D5864" s="2">
        <f t="shared" si="4"/>
        <v>9357.13</v>
      </c>
      <c r="E5864" s="2">
        <f t="shared" si="5"/>
        <v>9357.13</v>
      </c>
      <c r="G5864" s="10">
        <f t="shared" si="9"/>
        <v>43846.64583</v>
      </c>
      <c r="H5864" s="6" t="str">
        <f t="shared" si="6"/>
        <v/>
      </c>
      <c r="I5864" s="2">
        <f t="shared" si="7"/>
        <v>1426.89</v>
      </c>
    </row>
    <row r="5865">
      <c r="A5865" s="10">
        <f t="shared" si="8"/>
        <v>43847.66667</v>
      </c>
      <c r="B5865" s="2" t="str">
        <f t="shared" si="2"/>
        <v/>
      </c>
      <c r="C5865" s="2" t="str">
        <f t="shared" si="3"/>
        <v>SP500</v>
      </c>
      <c r="D5865" s="2">
        <f t="shared" si="4"/>
        <v>9388.94</v>
      </c>
      <c r="E5865" s="2">
        <f t="shared" si="5"/>
        <v>9388.94</v>
      </c>
      <c r="G5865" s="10">
        <f t="shared" si="9"/>
        <v>43847.64583</v>
      </c>
      <c r="H5865" s="6" t="str">
        <f t="shared" si="6"/>
        <v/>
      </c>
      <c r="I5865" s="2">
        <f t="shared" si="7"/>
        <v>1426.89</v>
      </c>
    </row>
    <row r="5866">
      <c r="A5866" s="10">
        <f t="shared" si="8"/>
        <v>43848.66667</v>
      </c>
      <c r="B5866" s="2" t="str">
        <f t="shared" si="2"/>
        <v/>
      </c>
      <c r="C5866" s="2" t="str">
        <f t="shared" si="3"/>
        <v>SP500</v>
      </c>
      <c r="D5866" s="2" t="str">
        <f t="shared" si="4"/>
        <v/>
      </c>
      <c r="E5866" s="2">
        <f t="shared" si="5"/>
        <v>9388.94</v>
      </c>
      <c r="G5866" s="10">
        <f t="shared" si="9"/>
        <v>43848.64583</v>
      </c>
      <c r="H5866" s="6" t="str">
        <f t="shared" si="6"/>
        <v/>
      </c>
      <c r="I5866" s="2">
        <f t="shared" si="7"/>
        <v>1426.89</v>
      </c>
    </row>
    <row r="5867">
      <c r="A5867" s="10">
        <f t="shared" si="8"/>
        <v>43849.66667</v>
      </c>
      <c r="B5867" s="2" t="str">
        <f t="shared" si="2"/>
        <v/>
      </c>
      <c r="C5867" s="2" t="str">
        <f t="shared" si="3"/>
        <v>SP500</v>
      </c>
      <c r="D5867" s="2" t="str">
        <f t="shared" si="4"/>
        <v/>
      </c>
      <c r="E5867" s="2">
        <f t="shared" si="5"/>
        <v>9388.94</v>
      </c>
      <c r="G5867" s="10">
        <f t="shared" si="9"/>
        <v>43849.64583</v>
      </c>
      <c r="H5867" s="6" t="str">
        <f t="shared" si="6"/>
        <v/>
      </c>
      <c r="I5867" s="2">
        <f t="shared" si="7"/>
        <v>1426.89</v>
      </c>
    </row>
    <row r="5868">
      <c r="A5868" s="10">
        <f t="shared" si="8"/>
        <v>43850.66667</v>
      </c>
      <c r="B5868" s="2" t="str">
        <f t="shared" si="2"/>
        <v/>
      </c>
      <c r="C5868" s="2" t="str">
        <f t="shared" si="3"/>
        <v>SP500</v>
      </c>
      <c r="D5868" s="2" t="str">
        <f t="shared" si="4"/>
        <v/>
      </c>
      <c r="E5868" s="2">
        <f t="shared" si="5"/>
        <v>9388.94</v>
      </c>
      <c r="G5868" s="10">
        <f t="shared" si="9"/>
        <v>43850.64583</v>
      </c>
      <c r="H5868" s="6" t="str">
        <f t="shared" si="6"/>
        <v/>
      </c>
      <c r="I5868" s="2">
        <f t="shared" si="7"/>
        <v>1426.89</v>
      </c>
    </row>
    <row r="5869">
      <c r="A5869" s="10">
        <f t="shared" si="8"/>
        <v>43851.66667</v>
      </c>
      <c r="B5869" s="2" t="str">
        <f t="shared" si="2"/>
        <v/>
      </c>
      <c r="C5869" s="2" t="str">
        <f t="shared" si="3"/>
        <v>SP500</v>
      </c>
      <c r="D5869" s="2">
        <f t="shared" si="4"/>
        <v>9370.81</v>
      </c>
      <c r="E5869" s="2">
        <f t="shared" si="5"/>
        <v>9370.81</v>
      </c>
      <c r="G5869" s="10">
        <f t="shared" si="9"/>
        <v>43851.64583</v>
      </c>
      <c r="H5869" s="6" t="str">
        <f t="shared" si="6"/>
        <v/>
      </c>
      <c r="I5869" s="2">
        <f t="shared" si="7"/>
        <v>1426.89</v>
      </c>
    </row>
    <row r="5870">
      <c r="A5870" s="10">
        <f t="shared" si="8"/>
        <v>43852.66667</v>
      </c>
      <c r="B5870" s="2" t="str">
        <f t="shared" si="2"/>
        <v/>
      </c>
      <c r="C5870" s="2" t="str">
        <f t="shared" si="3"/>
        <v>SP500</v>
      </c>
      <c r="D5870" s="2">
        <f t="shared" si="4"/>
        <v>9383.77</v>
      </c>
      <c r="E5870" s="2">
        <f t="shared" si="5"/>
        <v>9383.77</v>
      </c>
      <c r="G5870" s="10">
        <f t="shared" si="9"/>
        <v>43852.64583</v>
      </c>
      <c r="H5870" s="6" t="str">
        <f t="shared" si="6"/>
        <v/>
      </c>
      <c r="I5870" s="2">
        <f t="shared" si="7"/>
        <v>1426.89</v>
      </c>
    </row>
    <row r="5871">
      <c r="A5871" s="10">
        <f t="shared" si="8"/>
        <v>43853.66667</v>
      </c>
      <c r="B5871" s="2" t="str">
        <f t="shared" si="2"/>
        <v/>
      </c>
      <c r="C5871" s="2" t="str">
        <f t="shared" si="3"/>
        <v>SP500</v>
      </c>
      <c r="D5871" s="2">
        <f t="shared" si="4"/>
        <v>9402.48</v>
      </c>
      <c r="E5871" s="2">
        <f t="shared" si="5"/>
        <v>9402.48</v>
      </c>
      <c r="G5871" s="10">
        <f t="shared" si="9"/>
        <v>43853.64583</v>
      </c>
      <c r="H5871" s="6" t="str">
        <f t="shared" si="6"/>
        <v/>
      </c>
      <c r="I5871" s="2">
        <f t="shared" si="7"/>
        <v>1426.89</v>
      </c>
    </row>
    <row r="5872">
      <c r="A5872" s="10">
        <f t="shared" si="8"/>
        <v>43854.66667</v>
      </c>
      <c r="B5872" s="2" t="str">
        <f t="shared" si="2"/>
        <v/>
      </c>
      <c r="C5872" s="2" t="str">
        <f t="shared" si="3"/>
        <v>SP500</v>
      </c>
      <c r="D5872" s="2">
        <f t="shared" si="4"/>
        <v>9314.91</v>
      </c>
      <c r="E5872" s="2">
        <f t="shared" si="5"/>
        <v>9314.91</v>
      </c>
      <c r="G5872" s="10">
        <f t="shared" si="9"/>
        <v>43854.64583</v>
      </c>
      <c r="H5872" s="6" t="str">
        <f t="shared" si="6"/>
        <v/>
      </c>
      <c r="I5872" s="2">
        <f t="shared" si="7"/>
        <v>1426.89</v>
      </c>
    </row>
    <row r="5873">
      <c r="A5873" s="10">
        <f t="shared" si="8"/>
        <v>43855.66667</v>
      </c>
      <c r="B5873" s="2" t="str">
        <f t="shared" si="2"/>
        <v/>
      </c>
      <c r="C5873" s="2" t="str">
        <f t="shared" si="3"/>
        <v>SP500</v>
      </c>
      <c r="D5873" s="2" t="str">
        <f t="shared" si="4"/>
        <v/>
      </c>
      <c r="E5873" s="2">
        <f t="shared" si="5"/>
        <v>9314.91</v>
      </c>
      <c r="G5873" s="10">
        <f t="shared" si="9"/>
        <v>43855.64583</v>
      </c>
      <c r="H5873" s="6" t="str">
        <f t="shared" si="6"/>
        <v/>
      </c>
      <c r="I5873" s="2">
        <f t="shared" si="7"/>
        <v>1426.89</v>
      </c>
    </row>
    <row r="5874">
      <c r="A5874" s="10">
        <f t="shared" si="8"/>
        <v>43856.66667</v>
      </c>
      <c r="B5874" s="2" t="str">
        <f t="shared" si="2"/>
        <v/>
      </c>
      <c r="C5874" s="2" t="str">
        <f t="shared" si="3"/>
        <v>SP500</v>
      </c>
      <c r="D5874" s="2" t="str">
        <f t="shared" si="4"/>
        <v/>
      </c>
      <c r="E5874" s="2">
        <f t="shared" si="5"/>
        <v>9314.91</v>
      </c>
      <c r="G5874" s="10">
        <f t="shared" si="9"/>
        <v>43856.64583</v>
      </c>
      <c r="H5874" s="6" t="str">
        <f t="shared" si="6"/>
        <v/>
      </c>
      <c r="I5874" s="2">
        <f t="shared" si="7"/>
        <v>1426.89</v>
      </c>
    </row>
    <row r="5875">
      <c r="A5875" s="10">
        <f t="shared" si="8"/>
        <v>43857.66667</v>
      </c>
      <c r="B5875" s="2" t="str">
        <f t="shared" si="2"/>
        <v/>
      </c>
      <c r="C5875" s="2" t="str">
        <f t="shared" si="3"/>
        <v>SP500</v>
      </c>
      <c r="D5875" s="2">
        <f t="shared" si="4"/>
        <v>9139.31</v>
      </c>
      <c r="E5875" s="2">
        <f t="shared" si="5"/>
        <v>9139.31</v>
      </c>
      <c r="G5875" s="10">
        <f t="shared" si="9"/>
        <v>43857.64583</v>
      </c>
      <c r="H5875" s="6" t="str">
        <f t="shared" si="6"/>
        <v/>
      </c>
      <c r="I5875" s="2">
        <f t="shared" si="7"/>
        <v>1426.89</v>
      </c>
    </row>
    <row r="5876">
      <c r="A5876" s="10">
        <f t="shared" si="8"/>
        <v>43858.66667</v>
      </c>
      <c r="B5876" s="2" t="str">
        <f t="shared" si="2"/>
        <v/>
      </c>
      <c r="C5876" s="2" t="str">
        <f t="shared" si="3"/>
        <v>SP500</v>
      </c>
      <c r="D5876" s="2">
        <f t="shared" si="4"/>
        <v>9269.68</v>
      </c>
      <c r="E5876" s="2">
        <f t="shared" si="5"/>
        <v>9269.68</v>
      </c>
      <c r="G5876" s="10">
        <f t="shared" si="9"/>
        <v>43858.64583</v>
      </c>
      <c r="H5876" s="6" t="str">
        <f t="shared" si="6"/>
        <v/>
      </c>
      <c r="I5876" s="2">
        <f t="shared" si="7"/>
        <v>1426.89</v>
      </c>
    </row>
    <row r="5877">
      <c r="A5877" s="10">
        <f t="shared" si="8"/>
        <v>43859.66667</v>
      </c>
      <c r="B5877" s="2" t="str">
        <f t="shared" si="2"/>
        <v/>
      </c>
      <c r="C5877" s="2" t="str">
        <f t="shared" si="3"/>
        <v>SP500</v>
      </c>
      <c r="D5877" s="2">
        <f t="shared" si="4"/>
        <v>9275.16</v>
      </c>
      <c r="E5877" s="2">
        <f t="shared" si="5"/>
        <v>9275.16</v>
      </c>
      <c r="G5877" s="10">
        <f t="shared" si="9"/>
        <v>43859.64583</v>
      </c>
      <c r="H5877" s="6" t="str">
        <f t="shared" si="6"/>
        <v/>
      </c>
      <c r="I5877" s="2">
        <f t="shared" si="7"/>
        <v>1426.89</v>
      </c>
    </row>
    <row r="5878">
      <c r="A5878" s="10">
        <f t="shared" si="8"/>
        <v>43860.66667</v>
      </c>
      <c r="B5878" s="2" t="str">
        <f t="shared" si="2"/>
        <v/>
      </c>
      <c r="C5878" s="2" t="str">
        <f t="shared" si="3"/>
        <v>SP500</v>
      </c>
      <c r="D5878" s="2">
        <f t="shared" si="4"/>
        <v>9298.93</v>
      </c>
      <c r="E5878" s="2">
        <f t="shared" si="5"/>
        <v>9298.93</v>
      </c>
      <c r="G5878" s="10">
        <f t="shared" si="9"/>
        <v>43860.64583</v>
      </c>
      <c r="H5878" s="6" t="str">
        <f t="shared" si="6"/>
        <v/>
      </c>
      <c r="I5878" s="2">
        <f t="shared" si="7"/>
        <v>1426.89</v>
      </c>
    </row>
    <row r="5879">
      <c r="A5879" s="10">
        <f t="shared" si="8"/>
        <v>43861.66667</v>
      </c>
      <c r="B5879" s="2" t="str">
        <f t="shared" si="2"/>
        <v/>
      </c>
      <c r="C5879" s="2" t="str">
        <f t="shared" si="3"/>
        <v>SP500</v>
      </c>
      <c r="D5879" s="2">
        <f t="shared" si="4"/>
        <v>9150.94</v>
      </c>
      <c r="E5879" s="2">
        <f t="shared" si="5"/>
        <v>9150.94</v>
      </c>
      <c r="G5879" s="10">
        <f t="shared" si="9"/>
        <v>43861.64583</v>
      </c>
      <c r="H5879" s="6" t="str">
        <f t="shared" si="6"/>
        <v/>
      </c>
      <c r="I5879" s="2">
        <f t="shared" si="7"/>
        <v>1426.89</v>
      </c>
    </row>
    <row r="5880">
      <c r="A5880" s="10">
        <f t="shared" si="8"/>
        <v>43862.66667</v>
      </c>
      <c r="B5880" s="2" t="str">
        <f t="shared" si="2"/>
        <v/>
      </c>
      <c r="C5880" s="2" t="str">
        <f t="shared" si="3"/>
        <v>SP500</v>
      </c>
      <c r="D5880" s="2" t="str">
        <f t="shared" si="4"/>
        <v/>
      </c>
      <c r="E5880" s="2">
        <f t="shared" si="5"/>
        <v>9150.94</v>
      </c>
      <c r="G5880" s="10">
        <f t="shared" si="9"/>
        <v>43862.64583</v>
      </c>
      <c r="H5880" s="6" t="str">
        <f t="shared" si="6"/>
        <v/>
      </c>
      <c r="I5880" s="2">
        <f t="shared" si="7"/>
        <v>1426.89</v>
      </c>
    </row>
    <row r="5881">
      <c r="A5881" s="10">
        <f t="shared" si="8"/>
        <v>43863.66667</v>
      </c>
      <c r="B5881" s="2" t="str">
        <f t="shared" si="2"/>
        <v/>
      </c>
      <c r="C5881" s="2" t="str">
        <f t="shared" si="3"/>
        <v>SP500</v>
      </c>
      <c r="D5881" s="2" t="str">
        <f t="shared" si="4"/>
        <v/>
      </c>
      <c r="E5881" s="2">
        <f t="shared" si="5"/>
        <v>9150.94</v>
      </c>
      <c r="G5881" s="10">
        <f t="shared" si="9"/>
        <v>43863.64583</v>
      </c>
      <c r="H5881" s="6" t="str">
        <f t="shared" si="6"/>
        <v/>
      </c>
      <c r="I5881" s="2">
        <f t="shared" si="7"/>
        <v>1426.89</v>
      </c>
    </row>
    <row r="5882">
      <c r="A5882" s="10">
        <f t="shared" si="8"/>
        <v>43864.66667</v>
      </c>
      <c r="B5882" s="2" t="str">
        <f t="shared" si="2"/>
        <v/>
      </c>
      <c r="C5882" s="2" t="str">
        <f t="shared" si="3"/>
        <v>SP500</v>
      </c>
      <c r="D5882" s="2">
        <f t="shared" si="4"/>
        <v>9273.4</v>
      </c>
      <c r="E5882" s="2">
        <f t="shared" si="5"/>
        <v>9273.4</v>
      </c>
      <c r="G5882" s="10">
        <f t="shared" si="9"/>
        <v>43864.64583</v>
      </c>
      <c r="H5882" s="6" t="str">
        <f t="shared" si="6"/>
        <v/>
      </c>
      <c r="I5882" s="2">
        <f t="shared" si="7"/>
        <v>1426.89</v>
      </c>
    </row>
    <row r="5883">
      <c r="A5883" s="10">
        <f t="shared" si="8"/>
        <v>43865.66667</v>
      </c>
      <c r="B5883" s="2" t="str">
        <f t="shared" si="2"/>
        <v/>
      </c>
      <c r="C5883" s="2" t="str">
        <f t="shared" si="3"/>
        <v>SP500</v>
      </c>
      <c r="D5883" s="2">
        <f t="shared" si="4"/>
        <v>9467.97</v>
      </c>
      <c r="E5883" s="2">
        <f t="shared" si="5"/>
        <v>9467.97</v>
      </c>
      <c r="G5883" s="10">
        <f t="shared" si="9"/>
        <v>43865.64583</v>
      </c>
      <c r="H5883" s="6" t="str">
        <f t="shared" si="6"/>
        <v/>
      </c>
      <c r="I5883" s="2">
        <f t="shared" si="7"/>
        <v>1426.89</v>
      </c>
    </row>
    <row r="5884">
      <c r="A5884" s="10">
        <f t="shared" si="8"/>
        <v>43866.66667</v>
      </c>
      <c r="B5884" s="2" t="str">
        <f t="shared" si="2"/>
        <v/>
      </c>
      <c r="C5884" s="2" t="str">
        <f t="shared" si="3"/>
        <v>SP500</v>
      </c>
      <c r="D5884" s="2">
        <f t="shared" si="4"/>
        <v>9508.68</v>
      </c>
      <c r="E5884" s="2">
        <f t="shared" si="5"/>
        <v>9508.68</v>
      </c>
      <c r="G5884" s="10">
        <f t="shared" si="9"/>
        <v>43866.64583</v>
      </c>
      <c r="H5884" s="6" t="str">
        <f t="shared" si="6"/>
        <v/>
      </c>
      <c r="I5884" s="2">
        <f t="shared" si="7"/>
        <v>1426.89</v>
      </c>
    </row>
    <row r="5885">
      <c r="A5885" s="10">
        <f t="shared" si="8"/>
        <v>43867.66667</v>
      </c>
      <c r="B5885" s="2" t="str">
        <f t="shared" si="2"/>
        <v/>
      </c>
      <c r="C5885" s="2" t="str">
        <f t="shared" si="3"/>
        <v>SP500</v>
      </c>
      <c r="D5885" s="2">
        <f t="shared" si="4"/>
        <v>9572.15</v>
      </c>
      <c r="E5885" s="2">
        <f t="shared" si="5"/>
        <v>9572.15</v>
      </c>
      <c r="G5885" s="10">
        <f t="shared" si="9"/>
        <v>43867.64583</v>
      </c>
      <c r="H5885" s="6" t="str">
        <f t="shared" si="6"/>
        <v/>
      </c>
      <c r="I5885" s="2">
        <f t="shared" si="7"/>
        <v>1426.89</v>
      </c>
    </row>
    <row r="5886">
      <c r="A5886" s="10">
        <f t="shared" si="8"/>
        <v>43868.66667</v>
      </c>
      <c r="B5886" s="2" t="str">
        <f t="shared" si="2"/>
        <v/>
      </c>
      <c r="C5886" s="2" t="str">
        <f t="shared" si="3"/>
        <v>SP500</v>
      </c>
      <c r="D5886" s="2">
        <f t="shared" si="4"/>
        <v>9520.51</v>
      </c>
      <c r="E5886" s="2">
        <f t="shared" si="5"/>
        <v>9520.51</v>
      </c>
      <c r="G5886" s="10">
        <f t="shared" si="9"/>
        <v>43868.64583</v>
      </c>
      <c r="H5886" s="6" t="str">
        <f t="shared" si="6"/>
        <v/>
      </c>
      <c r="I5886" s="2">
        <f t="shared" si="7"/>
        <v>1426.89</v>
      </c>
    </row>
    <row r="5887">
      <c r="A5887" s="10">
        <f t="shared" si="8"/>
        <v>43869.66667</v>
      </c>
      <c r="B5887" s="2" t="str">
        <f t="shared" si="2"/>
        <v/>
      </c>
      <c r="C5887" s="2" t="str">
        <f t="shared" si="3"/>
        <v>SP500</v>
      </c>
      <c r="D5887" s="2" t="str">
        <f t="shared" si="4"/>
        <v/>
      </c>
      <c r="E5887" s="2">
        <f t="shared" si="5"/>
        <v>9520.51</v>
      </c>
      <c r="G5887" s="10">
        <f t="shared" si="9"/>
        <v>43869.64583</v>
      </c>
      <c r="H5887" s="6" t="str">
        <f t="shared" si="6"/>
        <v/>
      </c>
      <c r="I5887" s="2">
        <f t="shared" si="7"/>
        <v>1426.89</v>
      </c>
    </row>
    <row r="5888">
      <c r="A5888" s="10">
        <f t="shared" si="8"/>
        <v>43870.66667</v>
      </c>
      <c r="B5888" s="2" t="str">
        <f t="shared" si="2"/>
        <v/>
      </c>
      <c r="C5888" s="2" t="str">
        <f t="shared" si="3"/>
        <v>SP500</v>
      </c>
      <c r="D5888" s="2" t="str">
        <f t="shared" si="4"/>
        <v/>
      </c>
      <c r="E5888" s="2">
        <f t="shared" si="5"/>
        <v>9520.51</v>
      </c>
      <c r="G5888" s="10">
        <f t="shared" si="9"/>
        <v>43870.64583</v>
      </c>
      <c r="H5888" s="6" t="str">
        <f t="shared" si="6"/>
        <v/>
      </c>
      <c r="I5888" s="2">
        <f t="shared" si="7"/>
        <v>1426.89</v>
      </c>
    </row>
    <row r="5889">
      <c r="A5889" s="10">
        <f t="shared" si="8"/>
        <v>43871.66667</v>
      </c>
      <c r="B5889" s="2" t="str">
        <f t="shared" si="2"/>
        <v/>
      </c>
      <c r="C5889" s="2" t="str">
        <f t="shared" si="3"/>
        <v>SP500</v>
      </c>
      <c r="D5889" s="2">
        <f t="shared" si="4"/>
        <v>9628.39</v>
      </c>
      <c r="E5889" s="2">
        <f t="shared" si="5"/>
        <v>9628.39</v>
      </c>
      <c r="G5889" s="10">
        <f t="shared" si="9"/>
        <v>43871.64583</v>
      </c>
      <c r="H5889" s="6" t="str">
        <f t="shared" si="6"/>
        <v/>
      </c>
      <c r="I5889" s="2">
        <f t="shared" si="7"/>
        <v>1426.89</v>
      </c>
    </row>
    <row r="5890">
      <c r="A5890" s="10">
        <f t="shared" si="8"/>
        <v>43872.66667</v>
      </c>
      <c r="B5890" s="2" t="str">
        <f t="shared" si="2"/>
        <v/>
      </c>
      <c r="C5890" s="2" t="str">
        <f t="shared" si="3"/>
        <v>SP500</v>
      </c>
      <c r="D5890" s="2">
        <f t="shared" si="4"/>
        <v>9638.94</v>
      </c>
      <c r="E5890" s="2">
        <f t="shared" si="5"/>
        <v>9638.94</v>
      </c>
      <c r="G5890" s="10">
        <f t="shared" si="9"/>
        <v>43872.64583</v>
      </c>
      <c r="H5890" s="6" t="str">
        <f t="shared" si="6"/>
        <v/>
      </c>
      <c r="I5890" s="2">
        <f t="shared" si="7"/>
        <v>1426.89</v>
      </c>
    </row>
    <row r="5891">
      <c r="A5891" s="10">
        <f t="shared" si="8"/>
        <v>43873.66667</v>
      </c>
      <c r="B5891" s="2" t="str">
        <f t="shared" si="2"/>
        <v/>
      </c>
      <c r="C5891" s="2" t="str">
        <f t="shared" si="3"/>
        <v>SP500</v>
      </c>
      <c r="D5891" s="2">
        <f t="shared" si="4"/>
        <v>9725.96</v>
      </c>
      <c r="E5891" s="2">
        <f t="shared" si="5"/>
        <v>9725.96</v>
      </c>
      <c r="G5891" s="10">
        <f t="shared" si="9"/>
        <v>43873.64583</v>
      </c>
      <c r="H5891" s="6" t="str">
        <f t="shared" si="6"/>
        <v/>
      </c>
      <c r="I5891" s="2">
        <f t="shared" si="7"/>
        <v>1426.89</v>
      </c>
    </row>
    <row r="5892">
      <c r="A5892" s="10">
        <f t="shared" si="8"/>
        <v>43874.66667</v>
      </c>
      <c r="B5892" s="2" t="str">
        <f t="shared" si="2"/>
        <v/>
      </c>
      <c r="C5892" s="2" t="str">
        <f t="shared" si="3"/>
        <v>SP500</v>
      </c>
      <c r="D5892" s="2">
        <f t="shared" si="4"/>
        <v>9711.97</v>
      </c>
      <c r="E5892" s="2">
        <f t="shared" si="5"/>
        <v>9711.97</v>
      </c>
      <c r="G5892" s="10">
        <f t="shared" si="9"/>
        <v>43874.64583</v>
      </c>
      <c r="H5892" s="6" t="str">
        <f t="shared" si="6"/>
        <v/>
      </c>
      <c r="I5892" s="2">
        <f t="shared" si="7"/>
        <v>1426.89</v>
      </c>
    </row>
    <row r="5893">
      <c r="A5893" s="10">
        <f t="shared" si="8"/>
        <v>43875.66667</v>
      </c>
      <c r="B5893" s="2" t="str">
        <f t="shared" si="2"/>
        <v/>
      </c>
      <c r="C5893" s="2" t="str">
        <f t="shared" si="3"/>
        <v>SP500</v>
      </c>
      <c r="D5893" s="2">
        <f t="shared" si="4"/>
        <v>9731.18</v>
      </c>
      <c r="E5893" s="2">
        <f t="shared" si="5"/>
        <v>9731.18</v>
      </c>
      <c r="G5893" s="10">
        <f t="shared" si="9"/>
        <v>43875.64583</v>
      </c>
      <c r="H5893" s="6" t="str">
        <f t="shared" si="6"/>
        <v/>
      </c>
      <c r="I5893" s="2">
        <f t="shared" si="7"/>
        <v>1426.89</v>
      </c>
    </row>
    <row r="5894">
      <c r="A5894" s="10">
        <f t="shared" si="8"/>
        <v>43876.66667</v>
      </c>
      <c r="B5894" s="2" t="str">
        <f t="shared" si="2"/>
        <v/>
      </c>
      <c r="C5894" s="2" t="str">
        <f t="shared" si="3"/>
        <v>SP500</v>
      </c>
      <c r="D5894" s="2" t="str">
        <f t="shared" si="4"/>
        <v/>
      </c>
      <c r="E5894" s="2">
        <f t="shared" si="5"/>
        <v>9731.18</v>
      </c>
      <c r="G5894" s="10">
        <f t="shared" si="9"/>
        <v>43876.64583</v>
      </c>
      <c r="H5894" s="6" t="str">
        <f t="shared" si="6"/>
        <v/>
      </c>
      <c r="I5894" s="2">
        <f t="shared" si="7"/>
        <v>1426.89</v>
      </c>
    </row>
    <row r="5895">
      <c r="A5895" s="10">
        <f t="shared" si="8"/>
        <v>43877.66667</v>
      </c>
      <c r="B5895" s="2" t="str">
        <f t="shared" si="2"/>
        <v/>
      </c>
      <c r="C5895" s="2" t="str">
        <f t="shared" si="3"/>
        <v>SP500</v>
      </c>
      <c r="D5895" s="2" t="str">
        <f t="shared" si="4"/>
        <v/>
      </c>
      <c r="E5895" s="2">
        <f t="shared" si="5"/>
        <v>9731.18</v>
      </c>
      <c r="G5895" s="10">
        <f t="shared" si="9"/>
        <v>43877.64583</v>
      </c>
      <c r="H5895" s="6" t="str">
        <f t="shared" si="6"/>
        <v/>
      </c>
      <c r="I5895" s="2">
        <f t="shared" si="7"/>
        <v>1426.89</v>
      </c>
    </row>
    <row r="5896">
      <c r="A5896" s="10">
        <f t="shared" si="8"/>
        <v>43878.66667</v>
      </c>
      <c r="B5896" s="2" t="str">
        <f t="shared" si="2"/>
        <v/>
      </c>
      <c r="C5896" s="2" t="str">
        <f t="shared" si="3"/>
        <v>SP500</v>
      </c>
      <c r="D5896" s="2" t="str">
        <f t="shared" si="4"/>
        <v/>
      </c>
      <c r="E5896" s="2">
        <f t="shared" si="5"/>
        <v>9731.18</v>
      </c>
      <c r="G5896" s="10">
        <f t="shared" si="9"/>
        <v>43878.64583</v>
      </c>
      <c r="H5896" s="6" t="str">
        <f t="shared" si="6"/>
        <v/>
      </c>
      <c r="I5896" s="2">
        <f t="shared" si="7"/>
        <v>1426.89</v>
      </c>
    </row>
    <row r="5897">
      <c r="A5897" s="10">
        <f t="shared" si="8"/>
        <v>43879.66667</v>
      </c>
      <c r="B5897" s="2" t="str">
        <f t="shared" si="2"/>
        <v/>
      </c>
      <c r="C5897" s="2" t="str">
        <f t="shared" si="3"/>
        <v>SP500</v>
      </c>
      <c r="D5897" s="2">
        <f t="shared" si="4"/>
        <v>9732.74</v>
      </c>
      <c r="E5897" s="2">
        <f t="shared" si="5"/>
        <v>9732.74</v>
      </c>
      <c r="G5897" s="10">
        <f t="shared" si="9"/>
        <v>43879.64583</v>
      </c>
      <c r="H5897" s="6" t="str">
        <f t="shared" si="6"/>
        <v/>
      </c>
      <c r="I5897" s="2">
        <f t="shared" si="7"/>
        <v>1426.89</v>
      </c>
    </row>
    <row r="5898">
      <c r="A5898" s="10">
        <f t="shared" si="8"/>
        <v>43880.66667</v>
      </c>
      <c r="B5898" s="2" t="str">
        <f t="shared" si="2"/>
        <v/>
      </c>
      <c r="C5898" s="2" t="str">
        <f t="shared" si="3"/>
        <v>SP500</v>
      </c>
      <c r="D5898" s="2">
        <f t="shared" si="4"/>
        <v>9817.18</v>
      </c>
      <c r="E5898" s="2">
        <f t="shared" si="5"/>
        <v>9817.18</v>
      </c>
      <c r="G5898" s="10">
        <f t="shared" si="9"/>
        <v>43880.64583</v>
      </c>
      <c r="H5898" s="6" t="str">
        <f t="shared" si="6"/>
        <v/>
      </c>
      <c r="I5898" s="2">
        <f t="shared" si="7"/>
        <v>1426.89</v>
      </c>
    </row>
    <row r="5899">
      <c r="A5899" s="10">
        <f t="shared" si="8"/>
        <v>43881.66667</v>
      </c>
      <c r="B5899" s="2" t="str">
        <f t="shared" si="2"/>
        <v/>
      </c>
      <c r="C5899" s="2" t="str">
        <f t="shared" si="3"/>
        <v>SP500</v>
      </c>
      <c r="D5899" s="2">
        <f t="shared" si="4"/>
        <v>9750.97</v>
      </c>
      <c r="E5899" s="2">
        <f t="shared" si="5"/>
        <v>9750.97</v>
      </c>
      <c r="G5899" s="10">
        <f t="shared" si="9"/>
        <v>43881.64583</v>
      </c>
      <c r="H5899" s="6" t="str">
        <f t="shared" si="6"/>
        <v/>
      </c>
      <c r="I5899" s="2">
        <f t="shared" si="7"/>
        <v>1426.89</v>
      </c>
    </row>
    <row r="5900">
      <c r="A5900" s="10">
        <f t="shared" si="8"/>
        <v>43882.66667</v>
      </c>
      <c r="B5900" s="2" t="str">
        <f t="shared" si="2"/>
        <v/>
      </c>
      <c r="C5900" s="2" t="str">
        <f t="shared" si="3"/>
        <v>SP500</v>
      </c>
      <c r="D5900" s="2">
        <f t="shared" si="4"/>
        <v>9576.59</v>
      </c>
      <c r="E5900" s="2">
        <f t="shared" si="5"/>
        <v>9576.59</v>
      </c>
      <c r="G5900" s="10">
        <f t="shared" si="9"/>
        <v>43882.64583</v>
      </c>
      <c r="H5900" s="6" t="str">
        <f t="shared" si="6"/>
        <v/>
      </c>
      <c r="I5900" s="2">
        <f t="shared" si="7"/>
        <v>1426.89</v>
      </c>
    </row>
    <row r="5901">
      <c r="A5901" s="10">
        <f t="shared" si="8"/>
        <v>43883.66667</v>
      </c>
      <c r="B5901" s="2" t="str">
        <f t="shared" si="2"/>
        <v/>
      </c>
      <c r="C5901" s="2" t="str">
        <f t="shared" si="3"/>
        <v>SP500</v>
      </c>
      <c r="D5901" s="2" t="str">
        <f t="shared" si="4"/>
        <v/>
      </c>
      <c r="E5901" s="2">
        <f t="shared" si="5"/>
        <v>9576.59</v>
      </c>
      <c r="G5901" s="10">
        <f t="shared" si="9"/>
        <v>43883.64583</v>
      </c>
      <c r="H5901" s="6" t="str">
        <f t="shared" si="6"/>
        <v/>
      </c>
      <c r="I5901" s="2">
        <f t="shared" si="7"/>
        <v>1426.89</v>
      </c>
    </row>
    <row r="5902">
      <c r="A5902" s="10">
        <f t="shared" si="8"/>
        <v>43884.66667</v>
      </c>
      <c r="B5902" s="2" t="str">
        <f t="shared" si="2"/>
        <v/>
      </c>
      <c r="C5902" s="2" t="str">
        <f t="shared" si="3"/>
        <v>SP500</v>
      </c>
      <c r="D5902" s="2" t="str">
        <f t="shared" si="4"/>
        <v/>
      </c>
      <c r="E5902" s="2">
        <f t="shared" si="5"/>
        <v>9576.59</v>
      </c>
      <c r="G5902" s="10">
        <f t="shared" si="9"/>
        <v>43884.64583</v>
      </c>
      <c r="H5902" s="6" t="str">
        <f t="shared" si="6"/>
        <v/>
      </c>
      <c r="I5902" s="2">
        <f t="shared" si="7"/>
        <v>1426.89</v>
      </c>
    </row>
    <row r="5903">
      <c r="A5903" s="10">
        <f t="shared" si="8"/>
        <v>43885.66667</v>
      </c>
      <c r="B5903" s="2" t="str">
        <f t="shared" si="2"/>
        <v/>
      </c>
      <c r="C5903" s="2" t="str">
        <f t="shared" si="3"/>
        <v>SP500</v>
      </c>
      <c r="D5903" s="2">
        <f t="shared" si="4"/>
        <v>9221.28</v>
      </c>
      <c r="E5903" s="2">
        <f t="shared" si="5"/>
        <v>9221.28</v>
      </c>
      <c r="G5903" s="10">
        <f t="shared" si="9"/>
        <v>43885.64583</v>
      </c>
      <c r="H5903" s="6" t="str">
        <f t="shared" si="6"/>
        <v/>
      </c>
      <c r="I5903" s="2">
        <f t="shared" si="7"/>
        <v>1426.89</v>
      </c>
    </row>
    <row r="5904">
      <c r="A5904" s="10">
        <f t="shared" si="8"/>
        <v>43886.66667</v>
      </c>
      <c r="B5904" s="2" t="str">
        <f t="shared" si="2"/>
        <v/>
      </c>
      <c r="C5904" s="2" t="str">
        <f t="shared" si="3"/>
        <v>SP500</v>
      </c>
      <c r="D5904" s="2">
        <f t="shared" si="4"/>
        <v>8965.61</v>
      </c>
      <c r="E5904" s="2">
        <f t="shared" si="5"/>
        <v>8965.61</v>
      </c>
      <c r="G5904" s="10">
        <f t="shared" si="9"/>
        <v>43886.64583</v>
      </c>
      <c r="H5904" s="6" t="str">
        <f t="shared" si="6"/>
        <v/>
      </c>
      <c r="I5904" s="2">
        <f t="shared" si="7"/>
        <v>1426.89</v>
      </c>
    </row>
    <row r="5905">
      <c r="A5905" s="10">
        <f t="shared" si="8"/>
        <v>43887.66667</v>
      </c>
      <c r="B5905" s="2" t="str">
        <f t="shared" si="2"/>
        <v/>
      </c>
      <c r="C5905" s="2" t="str">
        <f t="shared" si="3"/>
        <v>SP500</v>
      </c>
      <c r="D5905" s="2">
        <f t="shared" si="4"/>
        <v>8980.78</v>
      </c>
      <c r="E5905" s="2">
        <f t="shared" si="5"/>
        <v>8980.78</v>
      </c>
      <c r="G5905" s="10">
        <f t="shared" si="9"/>
        <v>43887.64583</v>
      </c>
      <c r="H5905" s="6" t="str">
        <f t="shared" si="6"/>
        <v/>
      </c>
      <c r="I5905" s="2">
        <f t="shared" si="7"/>
        <v>1426.89</v>
      </c>
    </row>
    <row r="5906">
      <c r="A5906" s="10">
        <f t="shared" si="8"/>
        <v>43888.66667</v>
      </c>
      <c r="B5906" s="2" t="str">
        <f t="shared" si="2"/>
        <v/>
      </c>
      <c r="C5906" s="2" t="str">
        <f t="shared" si="3"/>
        <v>SP500</v>
      </c>
      <c r="D5906" s="2">
        <f t="shared" si="4"/>
        <v>8566.48</v>
      </c>
      <c r="E5906" s="2">
        <f t="shared" si="5"/>
        <v>8566.48</v>
      </c>
      <c r="G5906" s="10">
        <f t="shared" si="9"/>
        <v>43888.64583</v>
      </c>
      <c r="H5906" s="6" t="str">
        <f t="shared" si="6"/>
        <v/>
      </c>
      <c r="I5906" s="2">
        <f t="shared" si="7"/>
        <v>1426.89</v>
      </c>
    </row>
    <row r="5907">
      <c r="A5907" s="10">
        <f t="shared" si="8"/>
        <v>43889.66667</v>
      </c>
      <c r="B5907" s="2" t="str">
        <f t="shared" si="2"/>
        <v/>
      </c>
      <c r="C5907" s="2" t="str">
        <f t="shared" si="3"/>
        <v>SP500</v>
      </c>
      <c r="D5907" s="2">
        <f t="shared" si="4"/>
        <v>8567.37</v>
      </c>
      <c r="E5907" s="2">
        <f t="shared" si="5"/>
        <v>8567.37</v>
      </c>
      <c r="G5907" s="10">
        <f t="shared" si="9"/>
        <v>43889.64583</v>
      </c>
      <c r="H5907" s="6" t="str">
        <f t="shared" si="6"/>
        <v/>
      </c>
      <c r="I5907" s="2">
        <f t="shared" si="7"/>
        <v>1426.89</v>
      </c>
    </row>
    <row r="5908">
      <c r="A5908" s="10">
        <f t="shared" si="8"/>
        <v>43890.66667</v>
      </c>
      <c r="B5908" s="2" t="str">
        <f t="shared" si="2"/>
        <v/>
      </c>
      <c r="C5908" s="2" t="str">
        <f t="shared" si="3"/>
        <v>SP500</v>
      </c>
      <c r="D5908" s="2" t="str">
        <f t="shared" si="4"/>
        <v/>
      </c>
      <c r="E5908" s="2">
        <f t="shared" si="5"/>
        <v>8567.37</v>
      </c>
      <c r="G5908" s="10">
        <f t="shared" si="9"/>
        <v>43890.64583</v>
      </c>
      <c r="H5908" s="6" t="str">
        <f t="shared" si="6"/>
        <v/>
      </c>
      <c r="I5908" s="2">
        <f t="shared" si="7"/>
        <v>1426.89</v>
      </c>
    </row>
    <row r="5909">
      <c r="A5909" s="10">
        <f t="shared" si="8"/>
        <v>43891.66667</v>
      </c>
      <c r="B5909" s="2" t="str">
        <f t="shared" si="2"/>
        <v/>
      </c>
      <c r="C5909" s="2" t="str">
        <f t="shared" si="3"/>
        <v>SP500</v>
      </c>
      <c r="D5909" s="2" t="str">
        <f t="shared" si="4"/>
        <v/>
      </c>
      <c r="E5909" s="2">
        <f t="shared" si="5"/>
        <v>8567.37</v>
      </c>
      <c r="G5909" s="10">
        <f t="shared" si="9"/>
        <v>43891.64583</v>
      </c>
      <c r="H5909" s="6" t="str">
        <f t="shared" si="6"/>
        <v/>
      </c>
      <c r="I5909" s="2">
        <f t="shared" si="7"/>
        <v>1426.89</v>
      </c>
    </row>
    <row r="5910">
      <c r="A5910" s="10">
        <f t="shared" si="8"/>
        <v>43892.66667</v>
      </c>
      <c r="B5910" s="2" t="str">
        <f t="shared" si="2"/>
        <v/>
      </c>
      <c r="C5910" s="2" t="str">
        <f t="shared" si="3"/>
        <v>SP500</v>
      </c>
      <c r="D5910" s="2">
        <f t="shared" si="4"/>
        <v>8952.17</v>
      </c>
      <c r="E5910" s="2">
        <f t="shared" si="5"/>
        <v>8952.17</v>
      </c>
      <c r="G5910" s="10">
        <f t="shared" si="9"/>
        <v>43892.64583</v>
      </c>
      <c r="H5910" s="6" t="str">
        <f t="shared" si="6"/>
        <v/>
      </c>
      <c r="I5910" s="2">
        <f t="shared" si="7"/>
        <v>1426.89</v>
      </c>
    </row>
    <row r="5911">
      <c r="A5911" s="10">
        <f t="shared" si="8"/>
        <v>43893.66667</v>
      </c>
      <c r="B5911" s="2" t="str">
        <f t="shared" si="2"/>
        <v/>
      </c>
      <c r="C5911" s="2" t="str">
        <f t="shared" si="3"/>
        <v>SP500</v>
      </c>
      <c r="D5911" s="2">
        <f t="shared" si="4"/>
        <v>8684.09</v>
      </c>
      <c r="E5911" s="2">
        <f t="shared" si="5"/>
        <v>8684.09</v>
      </c>
      <c r="G5911" s="10">
        <f t="shared" si="9"/>
        <v>43893.64583</v>
      </c>
      <c r="H5911" s="6" t="str">
        <f t="shared" si="6"/>
        <v/>
      </c>
      <c r="I5911" s="2">
        <f t="shared" si="7"/>
        <v>1426.89</v>
      </c>
    </row>
    <row r="5912">
      <c r="A5912" s="10">
        <f t="shared" si="8"/>
        <v>43894.66667</v>
      </c>
      <c r="B5912" s="2" t="str">
        <f t="shared" si="2"/>
        <v/>
      </c>
      <c r="C5912" s="2" t="str">
        <f t="shared" si="3"/>
        <v>SP500</v>
      </c>
      <c r="D5912" s="2">
        <f t="shared" si="4"/>
        <v>9018.09</v>
      </c>
      <c r="E5912" s="2">
        <f t="shared" si="5"/>
        <v>9018.09</v>
      </c>
      <c r="G5912" s="10">
        <f t="shared" si="9"/>
        <v>43894.64583</v>
      </c>
      <c r="H5912" s="6" t="str">
        <f t="shared" si="6"/>
        <v/>
      </c>
      <c r="I5912" s="2">
        <f t="shared" si="7"/>
        <v>1426.89</v>
      </c>
    </row>
    <row r="5913">
      <c r="A5913" s="10">
        <f t="shared" si="8"/>
        <v>43895.66667</v>
      </c>
      <c r="B5913" s="2" t="str">
        <f t="shared" si="2"/>
        <v/>
      </c>
      <c r="C5913" s="2" t="str">
        <f t="shared" si="3"/>
        <v>SP500</v>
      </c>
      <c r="D5913" s="2">
        <f t="shared" si="4"/>
        <v>8738.59</v>
      </c>
      <c r="E5913" s="2">
        <f t="shared" si="5"/>
        <v>8738.59</v>
      </c>
      <c r="G5913" s="10">
        <f t="shared" si="9"/>
        <v>43895.64583</v>
      </c>
      <c r="H5913" s="6" t="str">
        <f t="shared" si="6"/>
        <v/>
      </c>
      <c r="I5913" s="2">
        <f t="shared" si="7"/>
        <v>1426.89</v>
      </c>
    </row>
    <row r="5914">
      <c r="A5914" s="10">
        <f t="shared" si="8"/>
        <v>43896.66667</v>
      </c>
      <c r="B5914" s="2" t="str">
        <f t="shared" si="2"/>
        <v/>
      </c>
      <c r="C5914" s="2" t="str">
        <f t="shared" si="3"/>
        <v>SP500</v>
      </c>
      <c r="D5914" s="2">
        <f t="shared" si="4"/>
        <v>8575.62</v>
      </c>
      <c r="E5914" s="2">
        <f t="shared" si="5"/>
        <v>8575.62</v>
      </c>
      <c r="G5914" s="10">
        <f t="shared" si="9"/>
        <v>43896.64583</v>
      </c>
      <c r="H5914" s="6" t="str">
        <f t="shared" si="6"/>
        <v/>
      </c>
      <c r="I5914" s="2">
        <f t="shared" si="7"/>
        <v>1426.89</v>
      </c>
    </row>
    <row r="5915">
      <c r="A5915" s="10">
        <f t="shared" si="8"/>
        <v>43897.66667</v>
      </c>
      <c r="B5915" s="2" t="str">
        <f t="shared" si="2"/>
        <v/>
      </c>
      <c r="C5915" s="2" t="str">
        <f t="shared" si="3"/>
        <v>SP500</v>
      </c>
      <c r="D5915" s="2" t="str">
        <f t="shared" si="4"/>
        <v/>
      </c>
      <c r="E5915" s="2">
        <f t="shared" si="5"/>
        <v>8575.62</v>
      </c>
      <c r="G5915" s="10">
        <f t="shared" si="9"/>
        <v>43897.64583</v>
      </c>
      <c r="H5915" s="6" t="str">
        <f t="shared" si="6"/>
        <v/>
      </c>
      <c r="I5915" s="2">
        <f t="shared" si="7"/>
        <v>1426.89</v>
      </c>
    </row>
    <row r="5916">
      <c r="A5916" s="10">
        <f t="shared" si="8"/>
        <v>43898.66667</v>
      </c>
      <c r="B5916" s="2" t="str">
        <f t="shared" si="2"/>
        <v/>
      </c>
      <c r="C5916" s="2" t="str">
        <f t="shared" si="3"/>
        <v>SP500</v>
      </c>
      <c r="D5916" s="2" t="str">
        <f t="shared" si="4"/>
        <v/>
      </c>
      <c r="E5916" s="2">
        <f t="shared" si="5"/>
        <v>8575.62</v>
      </c>
      <c r="G5916" s="10">
        <f t="shared" si="9"/>
        <v>43898.64583</v>
      </c>
      <c r="H5916" s="6" t="str">
        <f t="shared" si="6"/>
        <v/>
      </c>
      <c r="I5916" s="2">
        <f t="shared" si="7"/>
        <v>1426.89</v>
      </c>
    </row>
    <row r="5917">
      <c r="A5917" s="10">
        <f t="shared" si="8"/>
        <v>43899.66667</v>
      </c>
      <c r="B5917" s="2" t="str">
        <f t="shared" si="2"/>
        <v/>
      </c>
      <c r="C5917" s="2" t="str">
        <f t="shared" si="3"/>
        <v>SP500</v>
      </c>
      <c r="D5917" s="2">
        <f t="shared" si="4"/>
        <v>7950.68</v>
      </c>
      <c r="E5917" s="2">
        <f t="shared" si="5"/>
        <v>7950.68</v>
      </c>
      <c r="G5917" s="10">
        <f t="shared" si="9"/>
        <v>43899.64583</v>
      </c>
      <c r="H5917" s="6" t="str">
        <f t="shared" si="6"/>
        <v/>
      </c>
      <c r="I5917" s="2">
        <f t="shared" si="7"/>
        <v>1426.89</v>
      </c>
    </row>
    <row r="5918">
      <c r="A5918" s="10">
        <f t="shared" si="8"/>
        <v>43900.66667</v>
      </c>
      <c r="B5918" s="2" t="str">
        <f t="shared" si="2"/>
        <v/>
      </c>
      <c r="C5918" s="2" t="str">
        <f t="shared" si="3"/>
        <v>SP500</v>
      </c>
      <c r="D5918" s="2">
        <f t="shared" si="4"/>
        <v>8344.25</v>
      </c>
      <c r="E5918" s="2">
        <f t="shared" si="5"/>
        <v>8344.25</v>
      </c>
      <c r="G5918" s="10">
        <f t="shared" si="9"/>
        <v>43900.64583</v>
      </c>
      <c r="H5918" s="6" t="str">
        <f t="shared" si="6"/>
        <v/>
      </c>
      <c r="I5918" s="2">
        <f t="shared" si="7"/>
        <v>1426.89</v>
      </c>
    </row>
    <row r="5919">
      <c r="A5919" s="10">
        <f t="shared" si="8"/>
        <v>43901.66667</v>
      </c>
      <c r="B5919" s="2" t="str">
        <f t="shared" si="2"/>
        <v/>
      </c>
      <c r="C5919" s="2" t="str">
        <f t="shared" si="3"/>
        <v>SP500</v>
      </c>
      <c r="D5919" s="2">
        <f t="shared" si="4"/>
        <v>7952.05</v>
      </c>
      <c r="E5919" s="2">
        <f t="shared" si="5"/>
        <v>7952.05</v>
      </c>
      <c r="G5919" s="10">
        <f t="shared" si="9"/>
        <v>43901.64583</v>
      </c>
      <c r="H5919" s="6" t="str">
        <f t="shared" si="6"/>
        <v/>
      </c>
      <c r="I5919" s="2">
        <f t="shared" si="7"/>
        <v>1426.89</v>
      </c>
    </row>
    <row r="5920">
      <c r="A5920" s="10">
        <f t="shared" si="8"/>
        <v>43902.66667</v>
      </c>
      <c r="B5920" s="2" t="str">
        <f t="shared" si="2"/>
        <v/>
      </c>
      <c r="C5920" s="2" t="str">
        <f t="shared" si="3"/>
        <v>SP500</v>
      </c>
      <c r="D5920" s="2">
        <f t="shared" si="4"/>
        <v>7201.8</v>
      </c>
      <c r="E5920" s="2">
        <f t="shared" si="5"/>
        <v>7201.8</v>
      </c>
      <c r="G5920" s="10">
        <f t="shared" si="9"/>
        <v>43902.64583</v>
      </c>
      <c r="H5920" s="6" t="str">
        <f t="shared" si="6"/>
        <v/>
      </c>
      <c r="I5920" s="2">
        <f t="shared" si="7"/>
        <v>1426.89</v>
      </c>
    </row>
    <row r="5921">
      <c r="A5921" s="10">
        <f t="shared" si="8"/>
        <v>43903.66667</v>
      </c>
      <c r="B5921" s="2" t="str">
        <f t="shared" si="2"/>
        <v/>
      </c>
      <c r="C5921" s="2" t="str">
        <f t="shared" si="3"/>
        <v>SP500</v>
      </c>
      <c r="D5921" s="2">
        <f t="shared" si="4"/>
        <v>7874.88</v>
      </c>
      <c r="E5921" s="2">
        <f t="shared" si="5"/>
        <v>7874.88</v>
      </c>
      <c r="G5921" s="10">
        <f t="shared" si="9"/>
        <v>43903.64583</v>
      </c>
      <c r="H5921" s="6" t="str">
        <f t="shared" si="6"/>
        <v/>
      </c>
      <c r="I5921" s="2">
        <f t="shared" si="7"/>
        <v>1426.89</v>
      </c>
    </row>
    <row r="5922">
      <c r="A5922" s="10">
        <f t="shared" si="8"/>
        <v>43904.66667</v>
      </c>
      <c r="B5922" s="2" t="str">
        <f t="shared" si="2"/>
        <v/>
      </c>
      <c r="C5922" s="2" t="str">
        <f t="shared" si="3"/>
        <v>SP500</v>
      </c>
      <c r="D5922" s="2" t="str">
        <f t="shared" si="4"/>
        <v/>
      </c>
      <c r="E5922" s="2">
        <f t="shared" si="5"/>
        <v>7874.88</v>
      </c>
      <c r="G5922" s="10">
        <f t="shared" si="9"/>
        <v>43904.64583</v>
      </c>
      <c r="H5922" s="6" t="str">
        <f t="shared" si="6"/>
        <v/>
      </c>
      <c r="I5922" s="2">
        <f t="shared" si="7"/>
        <v>1426.89</v>
      </c>
    </row>
    <row r="5923">
      <c r="A5923" s="10">
        <f t="shared" si="8"/>
        <v>43905.66667</v>
      </c>
      <c r="B5923" s="2" t="str">
        <f t="shared" si="2"/>
        <v/>
      </c>
      <c r="C5923" s="2" t="str">
        <f t="shared" si="3"/>
        <v>SP500</v>
      </c>
      <c r="D5923" s="2" t="str">
        <f t="shared" si="4"/>
        <v/>
      </c>
      <c r="E5923" s="2">
        <f t="shared" si="5"/>
        <v>7874.88</v>
      </c>
      <c r="G5923" s="10">
        <f t="shared" si="9"/>
        <v>43905.64583</v>
      </c>
      <c r="H5923" s="6" t="str">
        <f t="shared" si="6"/>
        <v/>
      </c>
      <c r="I5923" s="2">
        <f t="shared" si="7"/>
        <v>1426.89</v>
      </c>
    </row>
    <row r="5924">
      <c r="A5924" s="10">
        <f t="shared" si="8"/>
        <v>43906.66667</v>
      </c>
      <c r="B5924" s="2" t="str">
        <f t="shared" si="2"/>
        <v/>
      </c>
      <c r="C5924" s="2" t="str">
        <f t="shared" si="3"/>
        <v>SP500</v>
      </c>
      <c r="D5924" s="2">
        <f t="shared" si="4"/>
        <v>6904.59</v>
      </c>
      <c r="E5924" s="2">
        <f t="shared" si="5"/>
        <v>6904.59</v>
      </c>
      <c r="G5924" s="10">
        <f t="shared" si="9"/>
        <v>43906.64583</v>
      </c>
      <c r="H5924" s="6" t="str">
        <f t="shared" si="6"/>
        <v/>
      </c>
      <c r="I5924" s="2">
        <f t="shared" si="7"/>
        <v>1426.89</v>
      </c>
    </row>
    <row r="5925">
      <c r="A5925" s="10">
        <f t="shared" si="8"/>
        <v>43907.66667</v>
      </c>
      <c r="B5925" s="2" t="str">
        <f t="shared" si="2"/>
        <v/>
      </c>
      <c r="C5925" s="2" t="str">
        <f t="shared" si="3"/>
        <v>SP500</v>
      </c>
      <c r="D5925" s="2">
        <f t="shared" si="4"/>
        <v>7334.78</v>
      </c>
      <c r="E5925" s="2">
        <f t="shared" si="5"/>
        <v>7334.78</v>
      </c>
      <c r="G5925" s="10">
        <f t="shared" si="9"/>
        <v>43907.64583</v>
      </c>
      <c r="H5925" s="6" t="str">
        <f t="shared" si="6"/>
        <v/>
      </c>
      <c r="I5925" s="2">
        <f t="shared" si="7"/>
        <v>1426.89</v>
      </c>
    </row>
    <row r="5926">
      <c r="A5926" s="10">
        <f t="shared" si="8"/>
        <v>43908.66667</v>
      </c>
      <c r="B5926" s="2" t="str">
        <f t="shared" si="2"/>
        <v/>
      </c>
      <c r="C5926" s="2" t="str">
        <f t="shared" si="3"/>
        <v>SP500</v>
      </c>
      <c r="D5926" s="2">
        <f t="shared" si="4"/>
        <v>6989.84</v>
      </c>
      <c r="E5926" s="2">
        <f t="shared" si="5"/>
        <v>6989.84</v>
      </c>
      <c r="G5926" s="10">
        <f t="shared" si="9"/>
        <v>43908.64583</v>
      </c>
      <c r="H5926" s="6" t="str">
        <f t="shared" si="6"/>
        <v/>
      </c>
      <c r="I5926" s="2">
        <f t="shared" si="7"/>
        <v>1426.89</v>
      </c>
    </row>
    <row r="5927">
      <c r="A5927" s="10">
        <f t="shared" si="8"/>
        <v>43909.66667</v>
      </c>
      <c r="B5927" s="2" t="str">
        <f t="shared" si="2"/>
        <v/>
      </c>
      <c r="C5927" s="2" t="str">
        <f t="shared" si="3"/>
        <v>SP500</v>
      </c>
      <c r="D5927" s="2">
        <f t="shared" si="4"/>
        <v>7150.58</v>
      </c>
      <c r="E5927" s="2">
        <f t="shared" si="5"/>
        <v>7150.58</v>
      </c>
      <c r="G5927" s="10">
        <f t="shared" si="9"/>
        <v>43909.64583</v>
      </c>
      <c r="H5927" s="6" t="str">
        <f t="shared" si="6"/>
        <v/>
      </c>
      <c r="I5927" s="2">
        <f t="shared" si="7"/>
        <v>1426.89</v>
      </c>
    </row>
    <row r="5928">
      <c r="A5928" s="10">
        <f t="shared" si="8"/>
        <v>43910.66667</v>
      </c>
      <c r="B5928" s="2" t="str">
        <f t="shared" si="2"/>
        <v/>
      </c>
      <c r="C5928" s="2" t="str">
        <f t="shared" si="3"/>
        <v>SP500</v>
      </c>
      <c r="D5928" s="2">
        <f t="shared" si="4"/>
        <v>6879.52</v>
      </c>
      <c r="E5928" s="2">
        <f t="shared" si="5"/>
        <v>6879.52</v>
      </c>
      <c r="G5928" s="10">
        <f t="shared" si="9"/>
        <v>43910.64583</v>
      </c>
      <c r="H5928" s="6" t="str">
        <f t="shared" si="6"/>
        <v/>
      </c>
      <c r="I5928" s="2">
        <f t="shared" si="7"/>
        <v>1426.89</v>
      </c>
    </row>
    <row r="5929">
      <c r="A5929" s="10">
        <f t="shared" si="8"/>
        <v>43911.66667</v>
      </c>
      <c r="B5929" s="2" t="str">
        <f t="shared" si="2"/>
        <v/>
      </c>
      <c r="C5929" s="2" t="str">
        <f t="shared" si="3"/>
        <v>SP500</v>
      </c>
      <c r="D5929" s="2" t="str">
        <f t="shared" si="4"/>
        <v/>
      </c>
      <c r="E5929" s="2">
        <f t="shared" si="5"/>
        <v>6879.52</v>
      </c>
      <c r="G5929" s="10">
        <f t="shared" si="9"/>
        <v>43911.64583</v>
      </c>
      <c r="H5929" s="6" t="str">
        <f t="shared" si="6"/>
        <v/>
      </c>
      <c r="I5929" s="2">
        <f t="shared" si="7"/>
        <v>1426.89</v>
      </c>
    </row>
    <row r="5930">
      <c r="A5930" s="10">
        <f t="shared" si="8"/>
        <v>43912.66667</v>
      </c>
      <c r="B5930" s="2" t="str">
        <f t="shared" si="2"/>
        <v/>
      </c>
      <c r="C5930" s="2" t="str">
        <f t="shared" si="3"/>
        <v>SP500</v>
      </c>
      <c r="D5930" s="2" t="str">
        <f t="shared" si="4"/>
        <v/>
      </c>
      <c r="E5930" s="2">
        <f t="shared" si="5"/>
        <v>6879.52</v>
      </c>
      <c r="G5930" s="10">
        <f t="shared" si="9"/>
        <v>43912.64583</v>
      </c>
      <c r="H5930" s="6" t="str">
        <f t="shared" si="6"/>
        <v/>
      </c>
      <c r="I5930" s="2">
        <f t="shared" si="7"/>
        <v>1426.89</v>
      </c>
    </row>
    <row r="5931">
      <c r="A5931" s="10">
        <f t="shared" si="8"/>
        <v>43913.66667</v>
      </c>
      <c r="B5931" s="2" t="str">
        <f t="shared" si="2"/>
        <v/>
      </c>
      <c r="C5931" s="2" t="str">
        <f t="shared" si="3"/>
        <v>SP500</v>
      </c>
      <c r="D5931" s="2">
        <f t="shared" si="4"/>
        <v>6860.67</v>
      </c>
      <c r="E5931" s="2">
        <f t="shared" si="5"/>
        <v>6860.67</v>
      </c>
      <c r="G5931" s="10">
        <f t="shared" si="9"/>
        <v>43913.64583</v>
      </c>
      <c r="H5931" s="6" t="str">
        <f t="shared" si="6"/>
        <v/>
      </c>
      <c r="I5931" s="2">
        <f t="shared" si="7"/>
        <v>1426.89</v>
      </c>
    </row>
    <row r="5932">
      <c r="A5932" s="10">
        <f t="shared" si="8"/>
        <v>43914.66667</v>
      </c>
      <c r="B5932" s="2" t="str">
        <f t="shared" si="2"/>
        <v/>
      </c>
      <c r="C5932" s="2" t="str">
        <f t="shared" si="3"/>
        <v>SP500</v>
      </c>
      <c r="D5932" s="2">
        <f t="shared" si="4"/>
        <v>7417.86</v>
      </c>
      <c r="E5932" s="2">
        <f t="shared" si="5"/>
        <v>7417.86</v>
      </c>
      <c r="G5932" s="10">
        <f t="shared" si="9"/>
        <v>43914.64583</v>
      </c>
      <c r="H5932" s="6" t="str">
        <f t="shared" si="6"/>
        <v/>
      </c>
      <c r="I5932" s="2">
        <f t="shared" si="7"/>
        <v>1426.89</v>
      </c>
    </row>
    <row r="5933">
      <c r="A5933" s="10">
        <f t="shared" si="8"/>
        <v>43915.66667</v>
      </c>
      <c r="B5933" s="2" t="str">
        <f t="shared" si="2"/>
        <v/>
      </c>
      <c r="C5933" s="2" t="str">
        <f t="shared" si="3"/>
        <v>SP500</v>
      </c>
      <c r="D5933" s="2">
        <f t="shared" si="4"/>
        <v>7384.3</v>
      </c>
      <c r="E5933" s="2">
        <f t="shared" si="5"/>
        <v>7384.3</v>
      </c>
      <c r="G5933" s="10">
        <f t="shared" si="9"/>
        <v>43915.64583</v>
      </c>
      <c r="H5933" s="6" t="str">
        <f t="shared" si="6"/>
        <v/>
      </c>
      <c r="I5933" s="2">
        <f t="shared" si="7"/>
        <v>1426.89</v>
      </c>
    </row>
    <row r="5934">
      <c r="A5934" s="10">
        <f t="shared" si="8"/>
        <v>43916.66667</v>
      </c>
      <c r="B5934" s="2" t="str">
        <f t="shared" si="2"/>
        <v/>
      </c>
      <c r="C5934" s="2" t="str">
        <f t="shared" si="3"/>
        <v>SP500</v>
      </c>
      <c r="D5934" s="2">
        <f t="shared" si="4"/>
        <v>7797.54</v>
      </c>
      <c r="E5934" s="2">
        <f t="shared" si="5"/>
        <v>7797.54</v>
      </c>
      <c r="G5934" s="10">
        <f t="shared" si="9"/>
        <v>43916.64583</v>
      </c>
      <c r="H5934" s="6" t="str">
        <f t="shared" si="6"/>
        <v/>
      </c>
      <c r="I5934" s="2">
        <f t="shared" si="7"/>
        <v>1426.89</v>
      </c>
    </row>
    <row r="5935">
      <c r="A5935" s="10">
        <f t="shared" si="8"/>
        <v>43917.66667</v>
      </c>
      <c r="B5935" s="2" t="str">
        <f t="shared" si="2"/>
        <v/>
      </c>
      <c r="C5935" s="2" t="str">
        <f t="shared" si="3"/>
        <v>SP500</v>
      </c>
      <c r="D5935" s="2">
        <f t="shared" si="4"/>
        <v>7502.38</v>
      </c>
      <c r="E5935" s="2">
        <f t="shared" si="5"/>
        <v>7502.38</v>
      </c>
      <c r="G5935" s="10">
        <f t="shared" si="9"/>
        <v>43917.64583</v>
      </c>
      <c r="H5935" s="6" t="str">
        <f t="shared" si="6"/>
        <v/>
      </c>
      <c r="I5935" s="2">
        <f t="shared" si="7"/>
        <v>1426.89</v>
      </c>
    </row>
    <row r="5936">
      <c r="A5936" s="10">
        <f t="shared" si="8"/>
        <v>43918.66667</v>
      </c>
      <c r="B5936" s="2" t="str">
        <f t="shared" si="2"/>
        <v/>
      </c>
      <c r="C5936" s="2" t="str">
        <f t="shared" si="3"/>
        <v>SP500</v>
      </c>
      <c r="D5936" s="2" t="str">
        <f t="shared" si="4"/>
        <v/>
      </c>
      <c r="E5936" s="2">
        <f t="shared" si="5"/>
        <v>7502.38</v>
      </c>
      <c r="G5936" s="10">
        <f t="shared" si="9"/>
        <v>43918.64583</v>
      </c>
      <c r="H5936" s="6" t="str">
        <f t="shared" si="6"/>
        <v/>
      </c>
      <c r="I5936" s="2">
        <f t="shared" si="7"/>
        <v>1426.89</v>
      </c>
    </row>
    <row r="5937">
      <c r="A5937" s="10">
        <f t="shared" si="8"/>
        <v>43919.66667</v>
      </c>
      <c r="B5937" s="2" t="str">
        <f t="shared" si="2"/>
        <v/>
      </c>
      <c r="C5937" s="2" t="str">
        <f t="shared" si="3"/>
        <v>SP500</v>
      </c>
      <c r="D5937" s="2" t="str">
        <f t="shared" si="4"/>
        <v/>
      </c>
      <c r="E5937" s="2">
        <f t="shared" si="5"/>
        <v>7502.38</v>
      </c>
      <c r="G5937" s="10">
        <f t="shared" si="9"/>
        <v>43919.64583</v>
      </c>
      <c r="H5937" s="6" t="str">
        <f t="shared" si="6"/>
        <v/>
      </c>
      <c r="I5937" s="2">
        <f t="shared" si="7"/>
        <v>1426.89</v>
      </c>
    </row>
    <row r="5938">
      <c r="A5938" s="10">
        <f t="shared" si="8"/>
        <v>43920.66667</v>
      </c>
      <c r="B5938" s="2" t="str">
        <f t="shared" si="2"/>
        <v/>
      </c>
      <c r="C5938" s="2" t="str">
        <f t="shared" si="3"/>
        <v>SP500</v>
      </c>
      <c r="D5938" s="2">
        <f t="shared" si="4"/>
        <v>7774.15</v>
      </c>
      <c r="E5938" s="2">
        <f t="shared" si="5"/>
        <v>7774.15</v>
      </c>
      <c r="G5938" s="10">
        <f t="shared" si="9"/>
        <v>43920.64583</v>
      </c>
      <c r="H5938" s="6" t="str">
        <f t="shared" si="6"/>
        <v/>
      </c>
      <c r="I5938" s="2">
        <f t="shared" si="7"/>
        <v>1426.89</v>
      </c>
    </row>
    <row r="5939">
      <c r="A5939" s="10">
        <f t="shared" si="8"/>
        <v>43921.66667</v>
      </c>
      <c r="B5939" s="2" t="str">
        <f t="shared" si="2"/>
        <v/>
      </c>
      <c r="C5939" s="2" t="str">
        <f t="shared" si="3"/>
        <v>SP500</v>
      </c>
      <c r="D5939" s="2">
        <f t="shared" si="4"/>
        <v>7700.1</v>
      </c>
      <c r="E5939" s="2">
        <f t="shared" si="5"/>
        <v>7700.1</v>
      </c>
      <c r="G5939" s="10">
        <f t="shared" si="9"/>
        <v>43921.64583</v>
      </c>
      <c r="H5939" s="6" t="str">
        <f t="shared" si="6"/>
        <v/>
      </c>
      <c r="I5939" s="2">
        <f t="shared" si="7"/>
        <v>1426.89</v>
      </c>
    </row>
    <row r="5940">
      <c r="A5940" s="10">
        <f t="shared" si="8"/>
        <v>43922.66667</v>
      </c>
      <c r="B5940" s="2" t="str">
        <f t="shared" si="2"/>
        <v/>
      </c>
      <c r="C5940" s="2" t="str">
        <f t="shared" si="3"/>
        <v>SP500</v>
      </c>
      <c r="D5940" s="2">
        <f t="shared" si="4"/>
        <v>7360.58</v>
      </c>
      <c r="E5940" s="2">
        <f t="shared" si="5"/>
        <v>7360.58</v>
      </c>
      <c r="G5940" s="10">
        <f t="shared" si="9"/>
        <v>43922.64583</v>
      </c>
      <c r="H5940" s="6" t="str">
        <f t="shared" si="6"/>
        <v/>
      </c>
      <c r="I5940" s="2">
        <f t="shared" si="7"/>
        <v>1426.89</v>
      </c>
    </row>
    <row r="5941">
      <c r="A5941" s="10">
        <f t="shared" si="8"/>
        <v>43923.66667</v>
      </c>
      <c r="B5941" s="2" t="str">
        <f t="shared" si="2"/>
        <v/>
      </c>
      <c r="C5941" s="2" t="str">
        <f t="shared" si="3"/>
        <v>SP500</v>
      </c>
      <c r="D5941" s="2">
        <f t="shared" si="4"/>
        <v>7487.31</v>
      </c>
      <c r="E5941" s="2">
        <f t="shared" si="5"/>
        <v>7487.31</v>
      </c>
      <c r="G5941" s="10">
        <f t="shared" si="9"/>
        <v>43923.64583</v>
      </c>
      <c r="H5941" s="6" t="str">
        <f t="shared" si="6"/>
        <v/>
      </c>
      <c r="I5941" s="2">
        <f t="shared" si="7"/>
        <v>1426.89</v>
      </c>
    </row>
    <row r="5942">
      <c r="A5942" s="10">
        <f t="shared" si="8"/>
        <v>43924.66667</v>
      </c>
      <c r="B5942" s="2" t="str">
        <f t="shared" si="2"/>
        <v/>
      </c>
      <c r="C5942" s="2" t="str">
        <f t="shared" si="3"/>
        <v>SP500</v>
      </c>
      <c r="D5942" s="2">
        <f t="shared" si="4"/>
        <v>7373.08</v>
      </c>
      <c r="E5942" s="2">
        <f t="shared" si="5"/>
        <v>7373.08</v>
      </c>
      <c r="G5942" s="10">
        <f t="shared" si="9"/>
        <v>43924.64583</v>
      </c>
      <c r="H5942" s="6" t="str">
        <f t="shared" si="6"/>
        <v/>
      </c>
      <c r="I5942" s="2">
        <f t="shared" si="7"/>
        <v>1426.89</v>
      </c>
    </row>
    <row r="5943">
      <c r="A5943" s="10">
        <f t="shared" si="8"/>
        <v>43925.66667</v>
      </c>
      <c r="B5943" s="2" t="str">
        <f t="shared" si="2"/>
        <v/>
      </c>
      <c r="C5943" s="2" t="str">
        <f t="shared" si="3"/>
        <v>SP500</v>
      </c>
      <c r="D5943" s="2" t="str">
        <f t="shared" si="4"/>
        <v/>
      </c>
      <c r="E5943" s="2">
        <f t="shared" si="5"/>
        <v>7373.08</v>
      </c>
      <c r="G5943" s="10">
        <f t="shared" si="9"/>
        <v>43925.64583</v>
      </c>
      <c r="H5943" s="6" t="str">
        <f t="shared" si="6"/>
        <v/>
      </c>
      <c r="I5943" s="2">
        <f t="shared" si="7"/>
        <v>1426.89</v>
      </c>
    </row>
    <row r="5944">
      <c r="A5944" s="10">
        <f t="shared" si="8"/>
        <v>43926.66667</v>
      </c>
      <c r="B5944" s="2" t="str">
        <f t="shared" si="2"/>
        <v/>
      </c>
      <c r="C5944" s="2" t="str">
        <f t="shared" si="3"/>
        <v>SP500</v>
      </c>
      <c r="D5944" s="2" t="str">
        <f t="shared" si="4"/>
        <v/>
      </c>
      <c r="E5944" s="2">
        <f t="shared" si="5"/>
        <v>7373.08</v>
      </c>
      <c r="G5944" s="10">
        <f t="shared" si="9"/>
        <v>43926.64583</v>
      </c>
      <c r="H5944" s="6" t="str">
        <f t="shared" si="6"/>
        <v/>
      </c>
      <c r="I5944" s="2">
        <f t="shared" si="7"/>
        <v>1426.89</v>
      </c>
    </row>
    <row r="5945">
      <c r="A5945" s="10">
        <f t="shared" si="8"/>
        <v>43927.66667</v>
      </c>
      <c r="B5945" s="2" t="str">
        <f t="shared" si="2"/>
        <v/>
      </c>
      <c r="C5945" s="2" t="str">
        <f t="shared" si="3"/>
        <v>SP500</v>
      </c>
      <c r="D5945" s="2">
        <f t="shared" si="4"/>
        <v>7913.24</v>
      </c>
      <c r="E5945" s="2">
        <f t="shared" si="5"/>
        <v>7913.24</v>
      </c>
      <c r="G5945" s="10">
        <f t="shared" si="9"/>
        <v>43927.64583</v>
      </c>
      <c r="H5945" s="6" t="str">
        <f t="shared" si="6"/>
        <v/>
      </c>
      <c r="I5945" s="2">
        <f t="shared" si="7"/>
        <v>1426.89</v>
      </c>
    </row>
    <row r="5946">
      <c r="A5946" s="10">
        <f t="shared" si="8"/>
        <v>43928.66667</v>
      </c>
      <c r="B5946" s="2" t="str">
        <f t="shared" si="2"/>
        <v/>
      </c>
      <c r="C5946" s="2" t="str">
        <f t="shared" si="3"/>
        <v>SP500</v>
      </c>
      <c r="D5946" s="2">
        <f t="shared" si="4"/>
        <v>7887.26</v>
      </c>
      <c r="E5946" s="2">
        <f t="shared" si="5"/>
        <v>7887.26</v>
      </c>
      <c r="G5946" s="10">
        <f t="shared" si="9"/>
        <v>43928.64583</v>
      </c>
      <c r="H5946" s="6" t="str">
        <f t="shared" si="6"/>
        <v/>
      </c>
      <c r="I5946" s="2">
        <f t="shared" si="7"/>
        <v>1426.89</v>
      </c>
    </row>
    <row r="5947">
      <c r="A5947" s="10">
        <f t="shared" si="8"/>
        <v>43929.66667</v>
      </c>
      <c r="B5947" s="2" t="str">
        <f t="shared" si="2"/>
        <v/>
      </c>
      <c r="C5947" s="2" t="str">
        <f t="shared" si="3"/>
        <v>SP500</v>
      </c>
      <c r="D5947" s="2">
        <f t="shared" si="4"/>
        <v>8090.9</v>
      </c>
      <c r="E5947" s="2">
        <f t="shared" si="5"/>
        <v>8090.9</v>
      </c>
      <c r="G5947" s="10">
        <f t="shared" si="9"/>
        <v>43929.64583</v>
      </c>
      <c r="H5947" s="6" t="str">
        <f t="shared" si="6"/>
        <v/>
      </c>
      <c r="I5947" s="2">
        <f t="shared" si="7"/>
        <v>1426.89</v>
      </c>
    </row>
    <row r="5948">
      <c r="A5948" s="10">
        <f t="shared" si="8"/>
        <v>43930.66667</v>
      </c>
      <c r="B5948" s="2" t="str">
        <f t="shared" si="2"/>
        <v/>
      </c>
      <c r="C5948" s="2" t="str">
        <f t="shared" si="3"/>
        <v>SP500</v>
      </c>
      <c r="D5948" s="2">
        <f t="shared" si="4"/>
        <v>8153.58</v>
      </c>
      <c r="E5948" s="2">
        <f t="shared" si="5"/>
        <v>8153.58</v>
      </c>
      <c r="G5948" s="10">
        <f t="shared" si="9"/>
        <v>43930.64583</v>
      </c>
      <c r="H5948" s="6" t="str">
        <f t="shared" si="6"/>
        <v/>
      </c>
      <c r="I5948" s="2">
        <f t="shared" si="7"/>
        <v>1426.89</v>
      </c>
    </row>
    <row r="5949">
      <c r="A5949" s="10">
        <f t="shared" si="8"/>
        <v>43931.66667</v>
      </c>
      <c r="B5949" s="2" t="str">
        <f t="shared" si="2"/>
        <v/>
      </c>
      <c r="C5949" s="2" t="str">
        <f t="shared" si="3"/>
        <v>SP500</v>
      </c>
      <c r="D5949" s="2" t="str">
        <f t="shared" si="4"/>
        <v/>
      </c>
      <c r="E5949" s="2">
        <f t="shared" si="5"/>
        <v>8153.58</v>
      </c>
      <c r="G5949" s="10">
        <f t="shared" si="9"/>
        <v>43931.64583</v>
      </c>
      <c r="H5949" s="6" t="str">
        <f t="shared" si="6"/>
        <v/>
      </c>
      <c r="I5949" s="2">
        <f t="shared" si="7"/>
        <v>1426.89</v>
      </c>
    </row>
    <row r="5950">
      <c r="A5950" s="10">
        <f t="shared" si="8"/>
        <v>43932.66667</v>
      </c>
      <c r="B5950" s="2" t="str">
        <f t="shared" si="2"/>
        <v/>
      </c>
      <c r="C5950" s="2" t="str">
        <f t="shared" si="3"/>
        <v>SP500</v>
      </c>
      <c r="D5950" s="2" t="str">
        <f t="shared" si="4"/>
        <v/>
      </c>
      <c r="E5950" s="2">
        <f t="shared" si="5"/>
        <v>8153.58</v>
      </c>
      <c r="G5950" s="10">
        <f t="shared" si="9"/>
        <v>43932.64583</v>
      </c>
      <c r="H5950" s="6" t="str">
        <f t="shared" si="6"/>
        <v/>
      </c>
      <c r="I5950" s="2">
        <f t="shared" si="7"/>
        <v>1426.89</v>
      </c>
    </row>
    <row r="5951">
      <c r="A5951" s="10">
        <f t="shared" si="8"/>
        <v>43933.66667</v>
      </c>
      <c r="B5951" s="2" t="str">
        <f t="shared" si="2"/>
        <v/>
      </c>
      <c r="C5951" s="2" t="str">
        <f t="shared" si="3"/>
        <v>SP500</v>
      </c>
      <c r="D5951" s="2" t="str">
        <f t="shared" si="4"/>
        <v/>
      </c>
      <c r="E5951" s="2">
        <f t="shared" si="5"/>
        <v>8153.58</v>
      </c>
      <c r="G5951" s="10">
        <f t="shared" si="9"/>
        <v>43933.64583</v>
      </c>
      <c r="H5951" s="6" t="str">
        <f t="shared" si="6"/>
        <v/>
      </c>
      <c r="I5951" s="2">
        <f t="shared" si="7"/>
        <v>1426.89</v>
      </c>
    </row>
    <row r="5952">
      <c r="A5952" s="10">
        <f t="shared" si="8"/>
        <v>43934.66667</v>
      </c>
      <c r="B5952" s="2" t="str">
        <f t="shared" si="2"/>
        <v/>
      </c>
      <c r="C5952" s="2" t="str">
        <f t="shared" si="3"/>
        <v>SP500</v>
      </c>
      <c r="D5952" s="2">
        <f t="shared" si="4"/>
        <v>8192.42</v>
      </c>
      <c r="E5952" s="2">
        <f t="shared" si="5"/>
        <v>8192.42</v>
      </c>
      <c r="G5952" s="10">
        <f t="shared" si="9"/>
        <v>43934.64583</v>
      </c>
      <c r="H5952" s="6" t="str">
        <f t="shared" si="6"/>
        <v/>
      </c>
      <c r="I5952" s="2">
        <f t="shared" si="7"/>
        <v>1426.89</v>
      </c>
    </row>
    <row r="5953">
      <c r="A5953" s="10">
        <f t="shared" si="8"/>
        <v>43935.66667</v>
      </c>
      <c r="B5953" s="2" t="str">
        <f t="shared" si="2"/>
        <v/>
      </c>
      <c r="C5953" s="2" t="str">
        <f t="shared" si="3"/>
        <v>SP500</v>
      </c>
      <c r="D5953" s="2">
        <f t="shared" si="4"/>
        <v>8515.74</v>
      </c>
      <c r="E5953" s="2">
        <f t="shared" si="5"/>
        <v>8515.74</v>
      </c>
      <c r="G5953" s="10">
        <f t="shared" si="9"/>
        <v>43935.64583</v>
      </c>
      <c r="H5953" s="6" t="str">
        <f t="shared" si="6"/>
        <v/>
      </c>
      <c r="I5953" s="2">
        <f t="shared" si="7"/>
        <v>1426.89</v>
      </c>
    </row>
    <row r="5954">
      <c r="A5954" s="10">
        <f t="shared" si="8"/>
        <v>43936.66667</v>
      </c>
      <c r="B5954" s="2" t="str">
        <f t="shared" si="2"/>
        <v/>
      </c>
      <c r="C5954" s="2" t="str">
        <f t="shared" si="3"/>
        <v>SP500</v>
      </c>
      <c r="D5954" s="2">
        <f t="shared" si="4"/>
        <v>8393.18</v>
      </c>
      <c r="E5954" s="2">
        <f t="shared" si="5"/>
        <v>8393.18</v>
      </c>
      <c r="G5954" s="10">
        <f t="shared" si="9"/>
        <v>43936.64583</v>
      </c>
      <c r="H5954" s="6" t="str">
        <f t="shared" si="6"/>
        <v/>
      </c>
      <c r="I5954" s="2">
        <f t="shared" si="7"/>
        <v>1426.89</v>
      </c>
    </row>
    <row r="5955">
      <c r="A5955" s="10">
        <f t="shared" si="8"/>
        <v>43937.66667</v>
      </c>
      <c r="B5955" s="2" t="str">
        <f t="shared" si="2"/>
        <v/>
      </c>
      <c r="C5955" s="2" t="str">
        <f t="shared" si="3"/>
        <v>SP500</v>
      </c>
      <c r="D5955" s="2">
        <f t="shared" si="4"/>
        <v>8532.36</v>
      </c>
      <c r="E5955" s="2">
        <f t="shared" si="5"/>
        <v>8532.36</v>
      </c>
      <c r="G5955" s="10">
        <f t="shared" si="9"/>
        <v>43937.64583</v>
      </c>
      <c r="H5955" s="6" t="str">
        <f t="shared" si="6"/>
        <v/>
      </c>
      <c r="I5955" s="2">
        <f t="shared" si="7"/>
        <v>1426.89</v>
      </c>
    </row>
    <row r="5956">
      <c r="A5956" s="10">
        <f t="shared" si="8"/>
        <v>43938.66667</v>
      </c>
      <c r="B5956" s="2" t="str">
        <f t="shared" si="2"/>
        <v/>
      </c>
      <c r="C5956" s="2" t="str">
        <f t="shared" si="3"/>
        <v>SP500</v>
      </c>
      <c r="D5956" s="2">
        <f t="shared" si="4"/>
        <v>8650.14</v>
      </c>
      <c r="E5956" s="2">
        <f t="shared" si="5"/>
        <v>8650.14</v>
      </c>
      <c r="G5956" s="10">
        <f t="shared" si="9"/>
        <v>43938.64583</v>
      </c>
      <c r="H5956" s="6" t="str">
        <f t="shared" si="6"/>
        <v/>
      </c>
      <c r="I5956" s="2">
        <f t="shared" si="7"/>
        <v>1426.89</v>
      </c>
    </row>
    <row r="5957">
      <c r="A5957" s="10">
        <f t="shared" si="8"/>
        <v>43939.66667</v>
      </c>
      <c r="B5957" s="2" t="str">
        <f t="shared" si="2"/>
        <v/>
      </c>
      <c r="C5957" s="2" t="str">
        <f t="shared" si="3"/>
        <v>SP500</v>
      </c>
      <c r="D5957" s="2" t="str">
        <f t="shared" si="4"/>
        <v/>
      </c>
      <c r="E5957" s="2">
        <f t="shared" si="5"/>
        <v>8650.14</v>
      </c>
      <c r="G5957" s="10">
        <f t="shared" si="9"/>
        <v>43939.64583</v>
      </c>
      <c r="H5957" s="6" t="str">
        <f t="shared" si="6"/>
        <v/>
      </c>
      <c r="I5957" s="2">
        <f t="shared" si="7"/>
        <v>1426.89</v>
      </c>
    </row>
    <row r="5958">
      <c r="A5958" s="10">
        <f t="shared" si="8"/>
        <v>43940.66667</v>
      </c>
      <c r="B5958" s="2" t="str">
        <f t="shared" si="2"/>
        <v/>
      </c>
      <c r="C5958" s="2" t="str">
        <f t="shared" si="3"/>
        <v>SP500</v>
      </c>
      <c r="D5958" s="2" t="str">
        <f t="shared" si="4"/>
        <v/>
      </c>
      <c r="E5958" s="2">
        <f t="shared" si="5"/>
        <v>8650.14</v>
      </c>
      <c r="G5958" s="10">
        <f t="shared" si="9"/>
        <v>43940.64583</v>
      </c>
      <c r="H5958" s="6" t="str">
        <f t="shared" si="6"/>
        <v/>
      </c>
      <c r="I5958" s="2">
        <f t="shared" si="7"/>
        <v>1426.89</v>
      </c>
    </row>
    <row r="5959">
      <c r="A5959" s="10">
        <f t="shared" si="8"/>
        <v>43941.66667</v>
      </c>
      <c r="B5959" s="2" t="str">
        <f t="shared" si="2"/>
        <v/>
      </c>
      <c r="C5959" s="2" t="str">
        <f t="shared" si="3"/>
        <v>SP500</v>
      </c>
      <c r="D5959" s="2">
        <f t="shared" si="4"/>
        <v>8560.73</v>
      </c>
      <c r="E5959" s="2">
        <f t="shared" si="5"/>
        <v>8560.73</v>
      </c>
      <c r="G5959" s="10">
        <f t="shared" si="9"/>
        <v>43941.64583</v>
      </c>
      <c r="H5959" s="6" t="str">
        <f t="shared" si="6"/>
        <v/>
      </c>
      <c r="I5959" s="2">
        <f t="shared" si="7"/>
        <v>1426.89</v>
      </c>
    </row>
    <row r="5960">
      <c r="A5960" s="10">
        <f t="shared" si="8"/>
        <v>43942.66667</v>
      </c>
      <c r="B5960" s="2" t="str">
        <f t="shared" si="2"/>
        <v/>
      </c>
      <c r="C5960" s="2" t="str">
        <f t="shared" si="3"/>
        <v>SP500</v>
      </c>
      <c r="D5960" s="2">
        <f t="shared" si="4"/>
        <v>8263.23</v>
      </c>
      <c r="E5960" s="2">
        <f t="shared" si="5"/>
        <v>8263.23</v>
      </c>
      <c r="G5960" s="10">
        <f t="shared" si="9"/>
        <v>43942.64583</v>
      </c>
      <c r="H5960" s="6" t="str">
        <f t="shared" si="6"/>
        <v/>
      </c>
      <c r="I5960" s="2">
        <f t="shared" si="7"/>
        <v>1426.89</v>
      </c>
    </row>
    <row r="5961">
      <c r="A5961" s="10">
        <f t="shared" si="8"/>
        <v>43943.66667</v>
      </c>
      <c r="B5961" s="2" t="str">
        <f t="shared" si="2"/>
        <v/>
      </c>
      <c r="C5961" s="2" t="str">
        <f t="shared" si="3"/>
        <v>SP500</v>
      </c>
      <c r="D5961" s="2">
        <f t="shared" si="4"/>
        <v>8495.38</v>
      </c>
      <c r="E5961" s="2">
        <f t="shared" si="5"/>
        <v>8495.38</v>
      </c>
      <c r="G5961" s="10">
        <f t="shared" si="9"/>
        <v>43943.64583</v>
      </c>
      <c r="H5961" s="6" t="str">
        <f t="shared" si="6"/>
        <v/>
      </c>
      <c r="I5961" s="2">
        <f t="shared" si="7"/>
        <v>1426.89</v>
      </c>
    </row>
    <row r="5962">
      <c r="A5962" s="10">
        <f t="shared" si="8"/>
        <v>43944.66667</v>
      </c>
      <c r="B5962" s="2" t="str">
        <f t="shared" si="2"/>
        <v/>
      </c>
      <c r="C5962" s="2" t="str">
        <f t="shared" si="3"/>
        <v>SP500</v>
      </c>
      <c r="D5962" s="2">
        <f t="shared" si="4"/>
        <v>8494.75</v>
      </c>
      <c r="E5962" s="2">
        <f t="shared" si="5"/>
        <v>8494.75</v>
      </c>
      <c r="G5962" s="10">
        <f t="shared" si="9"/>
        <v>43944.64583</v>
      </c>
      <c r="H5962" s="6" t="str">
        <f t="shared" si="6"/>
        <v/>
      </c>
      <c r="I5962" s="2">
        <f t="shared" si="7"/>
        <v>1426.89</v>
      </c>
    </row>
    <row r="5963">
      <c r="A5963" s="10">
        <f t="shared" si="8"/>
        <v>43945.66667</v>
      </c>
      <c r="B5963" s="2" t="str">
        <f t="shared" si="2"/>
        <v/>
      </c>
      <c r="C5963" s="2" t="str">
        <f t="shared" si="3"/>
        <v>SP500</v>
      </c>
      <c r="D5963" s="2">
        <f t="shared" si="4"/>
        <v>8634.52</v>
      </c>
      <c r="E5963" s="2">
        <f t="shared" si="5"/>
        <v>8634.52</v>
      </c>
      <c r="G5963" s="10">
        <f t="shared" si="9"/>
        <v>43945.64583</v>
      </c>
      <c r="H5963" s="6" t="str">
        <f t="shared" si="6"/>
        <v/>
      </c>
      <c r="I5963" s="2">
        <f t="shared" si="7"/>
        <v>1426.89</v>
      </c>
    </row>
    <row r="5964">
      <c r="A5964" s="10">
        <f t="shared" si="8"/>
        <v>43946.66667</v>
      </c>
      <c r="B5964" s="2" t="str">
        <f t="shared" si="2"/>
        <v/>
      </c>
      <c r="C5964" s="2" t="str">
        <f t="shared" si="3"/>
        <v>SP500</v>
      </c>
      <c r="D5964" s="2" t="str">
        <f t="shared" si="4"/>
        <v/>
      </c>
      <c r="E5964" s="2">
        <f t="shared" si="5"/>
        <v>8634.52</v>
      </c>
      <c r="G5964" s="10">
        <f t="shared" si="9"/>
        <v>43946.64583</v>
      </c>
      <c r="H5964" s="6" t="str">
        <f t="shared" si="6"/>
        <v/>
      </c>
      <c r="I5964" s="2">
        <f t="shared" si="7"/>
        <v>1426.89</v>
      </c>
    </row>
    <row r="5965">
      <c r="A5965" s="10">
        <f t="shared" si="8"/>
        <v>43947.66667</v>
      </c>
      <c r="B5965" s="2" t="str">
        <f t="shared" si="2"/>
        <v/>
      </c>
      <c r="C5965" s="2" t="str">
        <f t="shared" si="3"/>
        <v>SP500</v>
      </c>
      <c r="D5965" s="2" t="str">
        <f t="shared" si="4"/>
        <v/>
      </c>
      <c r="E5965" s="2">
        <f t="shared" si="5"/>
        <v>8634.52</v>
      </c>
      <c r="G5965" s="10">
        <f t="shared" si="9"/>
        <v>43947.64583</v>
      </c>
      <c r="H5965" s="6" t="str">
        <f t="shared" si="6"/>
        <v/>
      </c>
      <c r="I5965" s="2">
        <f t="shared" si="7"/>
        <v>1426.89</v>
      </c>
    </row>
    <row r="5966">
      <c r="A5966" s="10">
        <f t="shared" si="8"/>
        <v>43948.66667</v>
      </c>
      <c r="B5966" s="2" t="str">
        <f t="shared" si="2"/>
        <v/>
      </c>
      <c r="C5966" s="2" t="str">
        <f t="shared" si="3"/>
        <v>SP500</v>
      </c>
      <c r="D5966" s="2">
        <f t="shared" si="4"/>
        <v>8730.16</v>
      </c>
      <c r="E5966" s="2">
        <f t="shared" si="5"/>
        <v>8730.16</v>
      </c>
      <c r="G5966" s="10">
        <f t="shared" si="9"/>
        <v>43948.64583</v>
      </c>
      <c r="H5966" s="6" t="str">
        <f t="shared" si="6"/>
        <v/>
      </c>
      <c r="I5966" s="2">
        <f t="shared" si="7"/>
        <v>1426.89</v>
      </c>
    </row>
    <row r="5967">
      <c r="A5967" s="10">
        <f t="shared" si="8"/>
        <v>43949.66667</v>
      </c>
      <c r="B5967" s="2" t="str">
        <f t="shared" si="2"/>
        <v/>
      </c>
      <c r="C5967" s="2" t="str">
        <f t="shared" si="3"/>
        <v>SP500</v>
      </c>
      <c r="D5967" s="2">
        <f t="shared" si="4"/>
        <v>8607.73</v>
      </c>
      <c r="E5967" s="2">
        <f t="shared" si="5"/>
        <v>8607.73</v>
      </c>
      <c r="G5967" s="10">
        <f t="shared" si="9"/>
        <v>43949.64583</v>
      </c>
      <c r="H5967" s="6" t="str">
        <f t="shared" si="6"/>
        <v/>
      </c>
      <c r="I5967" s="2">
        <f t="shared" si="7"/>
        <v>1426.89</v>
      </c>
    </row>
    <row r="5968">
      <c r="A5968" s="10">
        <f t="shared" si="8"/>
        <v>43950.66667</v>
      </c>
      <c r="B5968" s="2" t="str">
        <f t="shared" si="2"/>
        <v/>
      </c>
      <c r="C5968" s="2" t="str">
        <f t="shared" si="3"/>
        <v>SP500</v>
      </c>
      <c r="D5968" s="2">
        <f t="shared" si="4"/>
        <v>8914.71</v>
      </c>
      <c r="E5968" s="2">
        <f t="shared" si="5"/>
        <v>8914.71</v>
      </c>
      <c r="G5968" s="10">
        <f t="shared" si="9"/>
        <v>43950.64583</v>
      </c>
      <c r="H5968" s="6" t="str">
        <f t="shared" si="6"/>
        <v/>
      </c>
      <c r="I5968" s="2">
        <f t="shared" si="7"/>
        <v>1426.89</v>
      </c>
    </row>
    <row r="5969">
      <c r="A5969" s="10">
        <f t="shared" si="8"/>
        <v>43951.66667</v>
      </c>
      <c r="B5969" s="2" t="str">
        <f t="shared" si="2"/>
        <v/>
      </c>
      <c r="C5969" s="2" t="str">
        <f t="shared" si="3"/>
        <v>SP500</v>
      </c>
      <c r="D5969" s="2">
        <f t="shared" si="4"/>
        <v>8889.55</v>
      </c>
      <c r="E5969" s="2">
        <f t="shared" si="5"/>
        <v>8889.55</v>
      </c>
      <c r="G5969" s="10">
        <f t="shared" si="9"/>
        <v>43951.64583</v>
      </c>
      <c r="H5969" s="6" t="str">
        <f t="shared" si="6"/>
        <v/>
      </c>
      <c r="I5969" s="2">
        <f t="shared" si="7"/>
        <v>1426.89</v>
      </c>
    </row>
    <row r="5970">
      <c r="A5970" s="10">
        <f t="shared" si="8"/>
        <v>43952.66667</v>
      </c>
      <c r="B5970" s="2" t="str">
        <f t="shared" si="2"/>
        <v/>
      </c>
      <c r="C5970" s="2" t="str">
        <f t="shared" si="3"/>
        <v>SP500</v>
      </c>
      <c r="D5970" s="2">
        <f t="shared" si="4"/>
        <v>8604.95</v>
      </c>
      <c r="E5970" s="2">
        <f t="shared" si="5"/>
        <v>8604.95</v>
      </c>
      <c r="G5970" s="10">
        <f t="shared" si="9"/>
        <v>43952.64583</v>
      </c>
      <c r="H5970" s="6" t="str">
        <f t="shared" si="6"/>
        <v/>
      </c>
      <c r="I5970" s="2">
        <f t="shared" si="7"/>
        <v>1426.89</v>
      </c>
    </row>
    <row r="5971">
      <c r="A5971" s="10">
        <f t="shared" si="8"/>
        <v>43953.66667</v>
      </c>
      <c r="B5971" s="2" t="str">
        <f t="shared" si="2"/>
        <v/>
      </c>
      <c r="C5971" s="2" t="str">
        <f t="shared" si="3"/>
        <v>SP500</v>
      </c>
      <c r="D5971" s="2" t="str">
        <f t="shared" si="4"/>
        <v/>
      </c>
      <c r="E5971" s="2">
        <f t="shared" si="5"/>
        <v>8604.95</v>
      </c>
      <c r="G5971" s="10">
        <f t="shared" si="9"/>
        <v>43953.64583</v>
      </c>
      <c r="H5971" s="6" t="str">
        <f t="shared" si="6"/>
        <v/>
      </c>
      <c r="I5971" s="2">
        <f t="shared" si="7"/>
        <v>1426.89</v>
      </c>
    </row>
    <row r="5972">
      <c r="A5972" s="10">
        <f t="shared" si="8"/>
        <v>43954.66667</v>
      </c>
      <c r="B5972" s="2" t="str">
        <f t="shared" si="2"/>
        <v/>
      </c>
      <c r="C5972" s="2" t="str">
        <f t="shared" si="3"/>
        <v>SP500</v>
      </c>
      <c r="D5972" s="2" t="str">
        <f t="shared" si="4"/>
        <v/>
      </c>
      <c r="E5972" s="2">
        <f t="shared" si="5"/>
        <v>8604.95</v>
      </c>
      <c r="G5972" s="10">
        <f t="shared" si="9"/>
        <v>43954.64583</v>
      </c>
      <c r="H5972" s="6" t="str">
        <f t="shared" si="6"/>
        <v/>
      </c>
      <c r="I5972" s="2">
        <f t="shared" si="7"/>
        <v>1426.89</v>
      </c>
    </row>
    <row r="5973">
      <c r="A5973" s="10">
        <f t="shared" si="8"/>
        <v>43955.66667</v>
      </c>
      <c r="B5973" s="2" t="str">
        <f t="shared" si="2"/>
        <v/>
      </c>
      <c r="C5973" s="2" t="str">
        <f t="shared" si="3"/>
        <v>SP500</v>
      </c>
      <c r="D5973" s="2">
        <f t="shared" si="4"/>
        <v>8710.72</v>
      </c>
      <c r="E5973" s="2">
        <f t="shared" si="5"/>
        <v>8710.72</v>
      </c>
      <c r="G5973" s="10">
        <f t="shared" si="9"/>
        <v>43955.64583</v>
      </c>
      <c r="H5973" s="6" t="str">
        <f t="shared" si="6"/>
        <v/>
      </c>
      <c r="I5973" s="2">
        <f t="shared" si="7"/>
        <v>1426.89</v>
      </c>
    </row>
    <row r="5974">
      <c r="A5974" s="10">
        <f t="shared" si="8"/>
        <v>43956.66667</v>
      </c>
      <c r="B5974" s="2" t="str">
        <f t="shared" si="2"/>
        <v/>
      </c>
      <c r="C5974" s="2" t="str">
        <f t="shared" si="3"/>
        <v>SP500</v>
      </c>
      <c r="D5974" s="2">
        <f t="shared" si="4"/>
        <v>8809.12</v>
      </c>
      <c r="E5974" s="2">
        <f t="shared" si="5"/>
        <v>8809.12</v>
      </c>
      <c r="G5974" s="10">
        <f t="shared" si="9"/>
        <v>43956.64583</v>
      </c>
      <c r="H5974" s="6" t="str">
        <f t="shared" si="6"/>
        <v/>
      </c>
      <c r="I5974" s="2">
        <f t="shared" si="7"/>
        <v>1426.89</v>
      </c>
    </row>
    <row r="5975">
      <c r="A5975" s="10">
        <f t="shared" si="8"/>
        <v>43957.66667</v>
      </c>
      <c r="B5975" s="2" t="str">
        <f t="shared" si="2"/>
        <v/>
      </c>
      <c r="C5975" s="2" t="str">
        <f t="shared" si="3"/>
        <v>SP500</v>
      </c>
      <c r="D5975" s="2">
        <f t="shared" si="4"/>
        <v>8854.39</v>
      </c>
      <c r="E5975" s="2">
        <f t="shared" si="5"/>
        <v>8854.39</v>
      </c>
      <c r="G5975" s="10">
        <f t="shared" si="9"/>
        <v>43957.64583</v>
      </c>
      <c r="H5975" s="6" t="str">
        <f t="shared" si="6"/>
        <v/>
      </c>
      <c r="I5975" s="2">
        <f t="shared" si="7"/>
        <v>1426.89</v>
      </c>
    </row>
    <row r="5976">
      <c r="A5976" s="10">
        <f t="shared" si="8"/>
        <v>43958.66667</v>
      </c>
      <c r="B5976" s="2" t="str">
        <f t="shared" si="2"/>
        <v/>
      </c>
      <c r="C5976" s="2" t="str">
        <f t="shared" si="3"/>
        <v>SP500</v>
      </c>
      <c r="D5976" s="2">
        <f t="shared" si="4"/>
        <v>8979.66</v>
      </c>
      <c r="E5976" s="2">
        <f t="shared" si="5"/>
        <v>8979.66</v>
      </c>
      <c r="G5976" s="10">
        <f t="shared" si="9"/>
        <v>43958.64583</v>
      </c>
      <c r="H5976" s="6" t="str">
        <f t="shared" si="6"/>
        <v/>
      </c>
      <c r="I5976" s="2">
        <f t="shared" si="7"/>
        <v>1426.89</v>
      </c>
    </row>
    <row r="5977">
      <c r="A5977" s="10">
        <f t="shared" si="8"/>
        <v>43959.66667</v>
      </c>
      <c r="B5977" s="2" t="str">
        <f t="shared" si="2"/>
        <v/>
      </c>
      <c r="C5977" s="2" t="str">
        <f t="shared" si="3"/>
        <v>SP500</v>
      </c>
      <c r="D5977" s="2">
        <f t="shared" si="4"/>
        <v>9121.32</v>
      </c>
      <c r="E5977" s="2">
        <f t="shared" si="5"/>
        <v>9121.32</v>
      </c>
      <c r="G5977" s="10">
        <f t="shared" si="9"/>
        <v>43959.64583</v>
      </c>
      <c r="H5977" s="6" t="str">
        <f t="shared" si="6"/>
        <v/>
      </c>
      <c r="I5977" s="2">
        <f t="shared" si="7"/>
        <v>1426.89</v>
      </c>
    </row>
    <row r="5978">
      <c r="A5978" s="10">
        <f t="shared" si="8"/>
        <v>43960.66667</v>
      </c>
      <c r="B5978" s="2" t="str">
        <f t="shared" si="2"/>
        <v/>
      </c>
      <c r="C5978" s="2" t="str">
        <f t="shared" si="3"/>
        <v>SP500</v>
      </c>
      <c r="D5978" s="2" t="str">
        <f t="shared" si="4"/>
        <v/>
      </c>
      <c r="E5978" s="2">
        <f t="shared" si="5"/>
        <v>9121.32</v>
      </c>
      <c r="G5978" s="10">
        <f t="shared" si="9"/>
        <v>43960.64583</v>
      </c>
      <c r="H5978" s="6" t="str">
        <f t="shared" si="6"/>
        <v/>
      </c>
      <c r="I5978" s="2">
        <f t="shared" si="7"/>
        <v>1426.89</v>
      </c>
    </row>
    <row r="5979">
      <c r="A5979" s="10">
        <f t="shared" si="8"/>
        <v>43961.66667</v>
      </c>
      <c r="B5979" s="2" t="str">
        <f t="shared" si="2"/>
        <v/>
      </c>
      <c r="C5979" s="2" t="str">
        <f t="shared" si="3"/>
        <v>SP500</v>
      </c>
      <c r="D5979" s="2" t="str">
        <f t="shared" si="4"/>
        <v/>
      </c>
      <c r="E5979" s="2">
        <f t="shared" si="5"/>
        <v>9121.32</v>
      </c>
      <c r="G5979" s="10">
        <f t="shared" si="9"/>
        <v>43961.64583</v>
      </c>
      <c r="H5979" s="6" t="str">
        <f t="shared" si="6"/>
        <v/>
      </c>
      <c r="I5979" s="2">
        <f t="shared" si="7"/>
        <v>1426.89</v>
      </c>
    </row>
    <row r="5980">
      <c r="A5980" s="10">
        <f t="shared" si="8"/>
        <v>43962.66667</v>
      </c>
      <c r="B5980" s="2" t="str">
        <f t="shared" si="2"/>
        <v/>
      </c>
      <c r="C5980" s="2" t="str">
        <f t="shared" si="3"/>
        <v>SP500</v>
      </c>
      <c r="D5980" s="2">
        <f t="shared" si="4"/>
        <v>9192.34</v>
      </c>
      <c r="E5980" s="2">
        <f t="shared" si="5"/>
        <v>9192.34</v>
      </c>
      <c r="G5980" s="10">
        <f t="shared" si="9"/>
        <v>43962.64583</v>
      </c>
      <c r="H5980" s="6" t="str">
        <f t="shared" si="6"/>
        <v/>
      </c>
      <c r="I5980" s="2">
        <f t="shared" si="7"/>
        <v>1426.89</v>
      </c>
    </row>
    <row r="5981">
      <c r="A5981" s="10">
        <f t="shared" si="8"/>
        <v>43963.66667</v>
      </c>
      <c r="B5981" s="2" t="str">
        <f t="shared" si="2"/>
        <v/>
      </c>
      <c r="C5981" s="2" t="str">
        <f t="shared" si="3"/>
        <v>SP500</v>
      </c>
      <c r="D5981" s="2">
        <f t="shared" si="4"/>
        <v>9002.55</v>
      </c>
      <c r="E5981" s="2">
        <f t="shared" si="5"/>
        <v>9002.55</v>
      </c>
      <c r="G5981" s="10">
        <f t="shared" si="9"/>
        <v>43963.64583</v>
      </c>
      <c r="H5981" s="6" t="str">
        <f t="shared" si="6"/>
        <v/>
      </c>
      <c r="I5981" s="2">
        <f t="shared" si="7"/>
        <v>1426.89</v>
      </c>
    </row>
    <row r="5982">
      <c r="A5982" s="10">
        <f t="shared" si="8"/>
        <v>43964.66667</v>
      </c>
      <c r="B5982" s="2" t="str">
        <f t="shared" si="2"/>
        <v/>
      </c>
      <c r="C5982" s="2" t="str">
        <f t="shared" si="3"/>
        <v>SP500</v>
      </c>
      <c r="D5982" s="2">
        <f t="shared" si="4"/>
        <v>8863.17</v>
      </c>
      <c r="E5982" s="2">
        <f t="shared" si="5"/>
        <v>8863.17</v>
      </c>
      <c r="G5982" s="10">
        <f t="shared" si="9"/>
        <v>43964.64583</v>
      </c>
      <c r="H5982" s="6" t="str">
        <f t="shared" si="6"/>
        <v/>
      </c>
      <c r="I5982" s="2">
        <f t="shared" si="7"/>
        <v>1426.89</v>
      </c>
    </row>
    <row r="5983">
      <c r="A5983" s="10">
        <f t="shared" si="8"/>
        <v>43965.66667</v>
      </c>
      <c r="B5983" s="2" t="str">
        <f t="shared" si="2"/>
        <v/>
      </c>
      <c r="C5983" s="2" t="str">
        <f t="shared" si="3"/>
        <v>SP500</v>
      </c>
      <c r="D5983" s="2">
        <f t="shared" si="4"/>
        <v>8943.72</v>
      </c>
      <c r="E5983" s="2">
        <f t="shared" si="5"/>
        <v>8943.72</v>
      </c>
      <c r="G5983" s="10">
        <f t="shared" si="9"/>
        <v>43965.64583</v>
      </c>
      <c r="H5983" s="6" t="str">
        <f t="shared" si="6"/>
        <v/>
      </c>
      <c r="I5983" s="2">
        <f t="shared" si="7"/>
        <v>1426.89</v>
      </c>
    </row>
    <row r="5984">
      <c r="A5984" s="10">
        <f t="shared" si="8"/>
        <v>43966.66667</v>
      </c>
      <c r="B5984" s="2" t="str">
        <f t="shared" si="2"/>
        <v/>
      </c>
      <c r="C5984" s="2" t="str">
        <f t="shared" si="3"/>
        <v>SP500</v>
      </c>
      <c r="D5984" s="2">
        <f t="shared" si="4"/>
        <v>9014.56</v>
      </c>
      <c r="E5984" s="2">
        <f t="shared" si="5"/>
        <v>9014.56</v>
      </c>
      <c r="G5984" s="10">
        <f t="shared" si="9"/>
        <v>43966.64583</v>
      </c>
      <c r="H5984" s="6" t="str">
        <f t="shared" si="6"/>
        <v/>
      </c>
      <c r="I5984" s="2">
        <f t="shared" si="7"/>
        <v>1426.89</v>
      </c>
    </row>
    <row r="5985">
      <c r="A5985" s="10">
        <f t="shared" si="8"/>
        <v>43967.66667</v>
      </c>
      <c r="B5985" s="2" t="str">
        <f t="shared" si="2"/>
        <v/>
      </c>
      <c r="C5985" s="2" t="str">
        <f t="shared" si="3"/>
        <v>SP500</v>
      </c>
      <c r="D5985" s="2" t="str">
        <f t="shared" si="4"/>
        <v/>
      </c>
      <c r="E5985" s="2">
        <f t="shared" si="5"/>
        <v>9014.56</v>
      </c>
      <c r="G5985" s="10">
        <f t="shared" si="9"/>
        <v>43967.64583</v>
      </c>
      <c r="H5985" s="6" t="str">
        <f t="shared" si="6"/>
        <v/>
      </c>
      <c r="I5985" s="2">
        <f t="shared" si="7"/>
        <v>1426.89</v>
      </c>
    </row>
    <row r="5986">
      <c r="A5986" s="10">
        <f t="shared" si="8"/>
        <v>43968.66667</v>
      </c>
      <c r="B5986" s="2" t="str">
        <f t="shared" si="2"/>
        <v/>
      </c>
      <c r="C5986" s="2" t="str">
        <f t="shared" si="3"/>
        <v>SP500</v>
      </c>
      <c r="D5986" s="2" t="str">
        <f t="shared" si="4"/>
        <v/>
      </c>
      <c r="E5986" s="2">
        <f t="shared" si="5"/>
        <v>9014.56</v>
      </c>
      <c r="G5986" s="10">
        <f t="shared" si="9"/>
        <v>43968.64583</v>
      </c>
      <c r="H5986" s="6" t="str">
        <f t="shared" si="6"/>
        <v/>
      </c>
      <c r="I5986" s="2">
        <f t="shared" si="7"/>
        <v>1426.89</v>
      </c>
    </row>
    <row r="5987">
      <c r="A5987" s="10">
        <f t="shared" si="8"/>
        <v>43969.66667</v>
      </c>
      <c r="B5987" s="2" t="str">
        <f t="shared" si="2"/>
        <v/>
      </c>
      <c r="C5987" s="2" t="str">
        <f t="shared" si="3"/>
        <v>SP500</v>
      </c>
      <c r="D5987" s="2">
        <f t="shared" si="4"/>
        <v>9234.83</v>
      </c>
      <c r="E5987" s="2">
        <f t="shared" si="5"/>
        <v>9234.83</v>
      </c>
      <c r="G5987" s="10">
        <f t="shared" si="9"/>
        <v>43969.64583</v>
      </c>
      <c r="H5987" s="6" t="str">
        <f t="shared" si="6"/>
        <v/>
      </c>
      <c r="I5987" s="2">
        <f t="shared" si="7"/>
        <v>1426.89</v>
      </c>
    </row>
    <row r="5988">
      <c r="A5988" s="10">
        <f t="shared" si="8"/>
        <v>43970.66667</v>
      </c>
      <c r="B5988" s="2" t="str">
        <f t="shared" si="2"/>
        <v/>
      </c>
      <c r="C5988" s="2" t="str">
        <f t="shared" si="3"/>
        <v>SP500</v>
      </c>
      <c r="D5988" s="2">
        <f t="shared" si="4"/>
        <v>9185.1</v>
      </c>
      <c r="E5988" s="2">
        <f t="shared" si="5"/>
        <v>9185.1</v>
      </c>
      <c r="G5988" s="10">
        <f t="shared" si="9"/>
        <v>43970.64583</v>
      </c>
      <c r="H5988" s="6" t="str">
        <f t="shared" si="6"/>
        <v/>
      </c>
      <c r="I5988" s="2">
        <f t="shared" si="7"/>
        <v>1426.89</v>
      </c>
    </row>
    <row r="5989">
      <c r="A5989" s="10">
        <f t="shared" si="8"/>
        <v>43971.66667</v>
      </c>
      <c r="B5989" s="2" t="str">
        <f t="shared" si="2"/>
        <v/>
      </c>
      <c r="C5989" s="2" t="str">
        <f t="shared" si="3"/>
        <v>SP500</v>
      </c>
      <c r="D5989" s="2">
        <f t="shared" si="4"/>
        <v>9375.78</v>
      </c>
      <c r="E5989" s="2">
        <f t="shared" si="5"/>
        <v>9375.78</v>
      </c>
      <c r="G5989" s="10">
        <f t="shared" si="9"/>
        <v>43971.64583</v>
      </c>
      <c r="H5989" s="6" t="str">
        <f t="shared" si="6"/>
        <v/>
      </c>
      <c r="I5989" s="2">
        <f t="shared" si="7"/>
        <v>1426.89</v>
      </c>
    </row>
    <row r="5990">
      <c r="A5990" s="10">
        <f t="shared" si="8"/>
        <v>43972.66667</v>
      </c>
      <c r="B5990" s="2" t="str">
        <f t="shared" si="2"/>
        <v/>
      </c>
      <c r="C5990" s="2" t="str">
        <f t="shared" si="3"/>
        <v>SP500</v>
      </c>
      <c r="D5990" s="2">
        <f t="shared" si="4"/>
        <v>9284.88</v>
      </c>
      <c r="E5990" s="2">
        <f t="shared" si="5"/>
        <v>9284.88</v>
      </c>
      <c r="G5990" s="10">
        <f t="shared" si="9"/>
        <v>43972.64583</v>
      </c>
      <c r="H5990" s="6" t="str">
        <f t="shared" si="6"/>
        <v/>
      </c>
      <c r="I5990" s="2">
        <f t="shared" si="7"/>
        <v>1426.89</v>
      </c>
    </row>
    <row r="5991">
      <c r="A5991" s="10">
        <f t="shared" si="8"/>
        <v>43973.66667</v>
      </c>
      <c r="B5991" s="2" t="str">
        <f t="shared" si="2"/>
        <v/>
      </c>
      <c r="C5991" s="2" t="str">
        <f t="shared" si="3"/>
        <v>SP500</v>
      </c>
      <c r="D5991" s="2">
        <f t="shared" si="4"/>
        <v>9324.59</v>
      </c>
      <c r="E5991" s="2">
        <f t="shared" si="5"/>
        <v>9324.59</v>
      </c>
      <c r="G5991" s="10">
        <f t="shared" si="9"/>
        <v>43973.64583</v>
      </c>
      <c r="H5991" s="6" t="str">
        <f t="shared" si="6"/>
        <v/>
      </c>
      <c r="I5991" s="2">
        <f t="shared" si="7"/>
        <v>1426.89</v>
      </c>
    </row>
    <row r="5992">
      <c r="A5992" s="10">
        <f t="shared" si="8"/>
        <v>43974.66667</v>
      </c>
      <c r="B5992" s="2" t="str">
        <f t="shared" si="2"/>
        <v/>
      </c>
      <c r="C5992" s="2" t="str">
        <f t="shared" si="3"/>
        <v>SP500</v>
      </c>
      <c r="D5992" s="2" t="str">
        <f t="shared" si="4"/>
        <v/>
      </c>
      <c r="E5992" s="2">
        <f t="shared" si="5"/>
        <v>9324.59</v>
      </c>
      <c r="G5992" s="10">
        <f t="shared" si="9"/>
        <v>43974.64583</v>
      </c>
      <c r="H5992" s="6" t="str">
        <f t="shared" si="6"/>
        <v/>
      </c>
      <c r="I5992" s="2">
        <f t="shared" si="7"/>
        <v>1426.89</v>
      </c>
    </row>
    <row r="5993">
      <c r="A5993" s="10">
        <f t="shared" si="8"/>
        <v>43975.66667</v>
      </c>
      <c r="B5993" s="2" t="str">
        <f t="shared" si="2"/>
        <v/>
      </c>
      <c r="C5993" s="2" t="str">
        <f t="shared" si="3"/>
        <v>SP500</v>
      </c>
      <c r="D5993" s="2" t="str">
        <f t="shared" si="4"/>
        <v/>
      </c>
      <c r="E5993" s="2">
        <f t="shared" si="5"/>
        <v>9324.59</v>
      </c>
      <c r="G5993" s="10">
        <f t="shared" si="9"/>
        <v>43975.64583</v>
      </c>
      <c r="H5993" s="6" t="str">
        <f t="shared" si="6"/>
        <v/>
      </c>
      <c r="I5993" s="2">
        <f t="shared" si="7"/>
        <v>1426.89</v>
      </c>
    </row>
    <row r="5994">
      <c r="A5994" s="10">
        <f t="shared" si="8"/>
        <v>43976.66667</v>
      </c>
      <c r="B5994" s="2" t="str">
        <f t="shared" si="2"/>
        <v/>
      </c>
      <c r="C5994" s="2" t="str">
        <f t="shared" si="3"/>
        <v>SP500</v>
      </c>
      <c r="D5994" s="2" t="str">
        <f t="shared" si="4"/>
        <v/>
      </c>
      <c r="E5994" s="2">
        <f t="shared" si="5"/>
        <v>9324.59</v>
      </c>
      <c r="G5994" s="10">
        <f t="shared" si="9"/>
        <v>43976.64583</v>
      </c>
      <c r="H5994" s="6" t="str">
        <f t="shared" si="6"/>
        <v/>
      </c>
      <c r="I5994" s="2">
        <f t="shared" si="7"/>
        <v>1426.89</v>
      </c>
    </row>
    <row r="5995">
      <c r="A5995" s="10">
        <f t="shared" si="8"/>
        <v>43977.66667</v>
      </c>
      <c r="B5995" s="2" t="str">
        <f t="shared" si="2"/>
        <v/>
      </c>
      <c r="C5995" s="2" t="str">
        <f t="shared" si="3"/>
        <v>SP500</v>
      </c>
      <c r="D5995" s="2">
        <f t="shared" si="4"/>
        <v>9340.22</v>
      </c>
      <c r="E5995" s="2">
        <f t="shared" si="5"/>
        <v>9340.22</v>
      </c>
      <c r="G5995" s="10">
        <f t="shared" si="9"/>
        <v>43977.64583</v>
      </c>
      <c r="H5995" s="6" t="str">
        <f t="shared" si="6"/>
        <v/>
      </c>
      <c r="I5995" s="2">
        <f t="shared" si="7"/>
        <v>1426.89</v>
      </c>
    </row>
    <row r="5996">
      <c r="A5996" s="10">
        <f t="shared" si="8"/>
        <v>43978.66667</v>
      </c>
      <c r="B5996" s="2" t="str">
        <f t="shared" si="2"/>
        <v/>
      </c>
      <c r="C5996" s="2" t="str">
        <f t="shared" si="3"/>
        <v>SP500</v>
      </c>
      <c r="D5996" s="2">
        <f t="shared" si="4"/>
        <v>9412.36</v>
      </c>
      <c r="E5996" s="2">
        <f t="shared" si="5"/>
        <v>9412.36</v>
      </c>
      <c r="G5996" s="10">
        <f t="shared" si="9"/>
        <v>43978.64583</v>
      </c>
      <c r="H5996" s="6" t="str">
        <f t="shared" si="6"/>
        <v/>
      </c>
      <c r="I5996" s="2">
        <f t="shared" si="7"/>
        <v>1426.89</v>
      </c>
    </row>
    <row r="5997">
      <c r="A5997" s="10">
        <f t="shared" si="8"/>
        <v>43979.66667</v>
      </c>
      <c r="B5997" s="2" t="str">
        <f t="shared" si="2"/>
        <v/>
      </c>
      <c r="C5997" s="2" t="str">
        <f t="shared" si="3"/>
        <v>SP500</v>
      </c>
      <c r="D5997" s="2">
        <f t="shared" si="4"/>
        <v>9368.99</v>
      </c>
      <c r="E5997" s="2">
        <f t="shared" si="5"/>
        <v>9368.99</v>
      </c>
      <c r="G5997" s="10">
        <f t="shared" si="9"/>
        <v>43979.64583</v>
      </c>
      <c r="H5997" s="6" t="str">
        <f t="shared" si="6"/>
        <v/>
      </c>
      <c r="I5997" s="2">
        <f t="shared" si="7"/>
        <v>1426.89</v>
      </c>
    </row>
    <row r="5998">
      <c r="A5998" s="10">
        <f t="shared" si="8"/>
        <v>43980.66667</v>
      </c>
      <c r="B5998" s="2" t="str">
        <f t="shared" si="2"/>
        <v/>
      </c>
      <c r="C5998" s="2" t="str">
        <f t="shared" si="3"/>
        <v>SP500</v>
      </c>
      <c r="D5998" s="2">
        <f t="shared" si="4"/>
        <v>9489.87</v>
      </c>
      <c r="E5998" s="2">
        <f t="shared" si="5"/>
        <v>9489.87</v>
      </c>
      <c r="G5998" s="10">
        <f t="shared" si="9"/>
        <v>43980.64583</v>
      </c>
      <c r="H5998" s="6" t="str">
        <f t="shared" si="6"/>
        <v/>
      </c>
      <c r="I5998" s="2">
        <f t="shared" si="7"/>
        <v>1426.89</v>
      </c>
    </row>
    <row r="5999">
      <c r="A5999" s="10">
        <f t="shared" si="8"/>
        <v>43981.66667</v>
      </c>
      <c r="B5999" s="2" t="str">
        <f t="shared" si="2"/>
        <v/>
      </c>
      <c r="C5999" s="2" t="str">
        <f t="shared" si="3"/>
        <v>SP500</v>
      </c>
      <c r="D5999" s="2" t="str">
        <f t="shared" si="4"/>
        <v/>
      </c>
      <c r="E5999" s="2">
        <f t="shared" si="5"/>
        <v>9489.87</v>
      </c>
      <c r="G5999" s="10">
        <f t="shared" si="9"/>
        <v>43981.64583</v>
      </c>
      <c r="H5999" s="6" t="str">
        <f t="shared" si="6"/>
        <v/>
      </c>
      <c r="I5999" s="2">
        <f t="shared" si="7"/>
        <v>1426.89</v>
      </c>
    </row>
    <row r="6000">
      <c r="A6000" s="10">
        <f t="shared" si="8"/>
        <v>43982.66667</v>
      </c>
      <c r="B6000" s="2" t="str">
        <f t="shared" si="2"/>
        <v/>
      </c>
      <c r="C6000" s="2" t="str">
        <f t="shared" si="3"/>
        <v>SP500</v>
      </c>
      <c r="D6000" s="2" t="str">
        <f t="shared" si="4"/>
        <v/>
      </c>
      <c r="E6000" s="2">
        <f t="shared" si="5"/>
        <v>9489.87</v>
      </c>
      <c r="G6000" s="10">
        <f t="shared" si="9"/>
        <v>43982.64583</v>
      </c>
      <c r="H6000" s="6" t="str">
        <f t="shared" si="6"/>
        <v/>
      </c>
      <c r="I6000" s="2">
        <f t="shared" si="7"/>
        <v>1426.89</v>
      </c>
    </row>
    <row r="6001">
      <c r="A6001" s="10">
        <f t="shared" si="8"/>
        <v>43983.66667</v>
      </c>
      <c r="B6001" s="2" t="str">
        <f t="shared" si="2"/>
        <v/>
      </c>
      <c r="C6001" s="2" t="str">
        <f t="shared" si="3"/>
        <v>SP500</v>
      </c>
      <c r="D6001" s="2">
        <f t="shared" si="4"/>
        <v>9552.05</v>
      </c>
      <c r="E6001" s="2">
        <f t="shared" si="5"/>
        <v>9552.05</v>
      </c>
      <c r="G6001" s="10">
        <f t="shared" si="9"/>
        <v>43983.64583</v>
      </c>
      <c r="H6001" s="6" t="str">
        <f t="shared" si="6"/>
        <v/>
      </c>
      <c r="I6001" s="2">
        <f t="shared" si="7"/>
        <v>1426.89</v>
      </c>
    </row>
    <row r="6002">
      <c r="A6002" s="10">
        <f t="shared" si="8"/>
        <v>43984.66667</v>
      </c>
      <c r="B6002" s="2" t="str">
        <f t="shared" si="2"/>
        <v/>
      </c>
      <c r="C6002" s="2" t="str">
        <f t="shared" si="3"/>
        <v>SP500</v>
      </c>
      <c r="D6002" s="2">
        <f t="shared" si="4"/>
        <v>9608.38</v>
      </c>
      <c r="E6002" s="2">
        <f t="shared" si="5"/>
        <v>9608.38</v>
      </c>
      <c r="G6002" s="10">
        <f t="shared" si="9"/>
        <v>43984.64583</v>
      </c>
      <c r="H6002" s="6" t="str">
        <f t="shared" si="6"/>
        <v/>
      </c>
      <c r="I6002" s="2">
        <f t="shared" si="7"/>
        <v>1426.89</v>
      </c>
    </row>
    <row r="6003">
      <c r="A6003" s="10">
        <f t="shared" si="8"/>
        <v>43985.66667</v>
      </c>
      <c r="B6003" s="2" t="str">
        <f t="shared" si="2"/>
        <v/>
      </c>
      <c r="C6003" s="2" t="str">
        <f t="shared" si="3"/>
        <v>SP500</v>
      </c>
      <c r="D6003" s="2">
        <f t="shared" si="4"/>
        <v>9682.91</v>
      </c>
      <c r="E6003" s="2">
        <f t="shared" si="5"/>
        <v>9682.91</v>
      </c>
      <c r="G6003" s="10">
        <f t="shared" si="9"/>
        <v>43985.64583</v>
      </c>
      <c r="H6003" s="6" t="str">
        <f t="shared" si="6"/>
        <v/>
      </c>
      <c r="I6003" s="2">
        <f t="shared" si="7"/>
        <v>1426.89</v>
      </c>
    </row>
    <row r="6004">
      <c r="A6004" s="10">
        <f t="shared" si="8"/>
        <v>43986.66667</v>
      </c>
      <c r="B6004" s="2" t="str">
        <f t="shared" si="2"/>
        <v/>
      </c>
      <c r="C6004" s="2" t="str">
        <f t="shared" si="3"/>
        <v>SP500</v>
      </c>
      <c r="D6004" s="2">
        <f t="shared" si="4"/>
        <v>9615.81</v>
      </c>
      <c r="E6004" s="2">
        <f t="shared" si="5"/>
        <v>9615.81</v>
      </c>
      <c r="G6004" s="10">
        <f t="shared" si="9"/>
        <v>43986.64583</v>
      </c>
      <c r="H6004" s="6" t="str">
        <f t="shared" si="6"/>
        <v/>
      </c>
      <c r="I6004" s="2">
        <f t="shared" si="7"/>
        <v>1426.89</v>
      </c>
    </row>
    <row r="6005">
      <c r="A6005" s="10">
        <f t="shared" si="8"/>
        <v>43987.66667</v>
      </c>
      <c r="B6005" s="2" t="str">
        <f t="shared" si="2"/>
        <v/>
      </c>
      <c r="C6005" s="2" t="str">
        <f t="shared" si="3"/>
        <v>SP500</v>
      </c>
      <c r="D6005" s="2">
        <f t="shared" si="4"/>
        <v>9814.08</v>
      </c>
      <c r="E6005" s="2">
        <f t="shared" si="5"/>
        <v>9814.08</v>
      </c>
      <c r="G6005" s="10">
        <f t="shared" si="9"/>
        <v>43987.64583</v>
      </c>
      <c r="H6005" s="6" t="str">
        <f t="shared" si="6"/>
        <v/>
      </c>
      <c r="I6005" s="2">
        <f t="shared" si="7"/>
        <v>1426.89</v>
      </c>
    </row>
    <row r="6006">
      <c r="A6006" s="10">
        <f t="shared" si="8"/>
        <v>43988.66667</v>
      </c>
      <c r="B6006" s="2" t="str">
        <f t="shared" si="2"/>
        <v/>
      </c>
      <c r="C6006" s="2" t="str">
        <f t="shared" si="3"/>
        <v>SP500</v>
      </c>
      <c r="D6006" s="2" t="str">
        <f t="shared" si="4"/>
        <v/>
      </c>
      <c r="E6006" s="2">
        <f t="shared" si="5"/>
        <v>9814.08</v>
      </c>
      <c r="G6006" s="10">
        <f t="shared" si="9"/>
        <v>43988.64583</v>
      </c>
      <c r="H6006" s="6" t="str">
        <f t="shared" si="6"/>
        <v/>
      </c>
      <c r="I6006" s="2">
        <f t="shared" si="7"/>
        <v>1426.89</v>
      </c>
    </row>
    <row r="6007">
      <c r="A6007" s="10">
        <f t="shared" si="8"/>
        <v>43989.66667</v>
      </c>
      <c r="B6007" s="2" t="str">
        <f t="shared" si="2"/>
        <v/>
      </c>
      <c r="C6007" s="2" t="str">
        <f t="shared" si="3"/>
        <v>SP500</v>
      </c>
      <c r="D6007" s="2" t="str">
        <f t="shared" si="4"/>
        <v/>
      </c>
      <c r="E6007" s="2">
        <f t="shared" si="5"/>
        <v>9814.08</v>
      </c>
      <c r="G6007" s="10">
        <f t="shared" si="9"/>
        <v>43989.64583</v>
      </c>
      <c r="H6007" s="6" t="str">
        <f t="shared" si="6"/>
        <v/>
      </c>
      <c r="I6007" s="2">
        <f t="shared" si="7"/>
        <v>1426.89</v>
      </c>
    </row>
    <row r="6008">
      <c r="A6008" s="10">
        <f t="shared" si="8"/>
        <v>43990.66667</v>
      </c>
      <c r="B6008" s="2" t="str">
        <f t="shared" si="2"/>
        <v/>
      </c>
      <c r="C6008" s="2" t="str">
        <f t="shared" si="3"/>
        <v>SP500</v>
      </c>
      <c r="D6008" s="2">
        <f t="shared" si="4"/>
        <v>9924.75</v>
      </c>
      <c r="E6008" s="2">
        <f t="shared" si="5"/>
        <v>9924.75</v>
      </c>
      <c r="G6008" s="10">
        <f t="shared" si="9"/>
        <v>43990.64583</v>
      </c>
      <c r="H6008" s="6" t="str">
        <f t="shared" si="6"/>
        <v/>
      </c>
      <c r="I6008" s="2">
        <f t="shared" si="7"/>
        <v>1426.89</v>
      </c>
    </row>
    <row r="6009">
      <c r="A6009" s="10">
        <f t="shared" si="8"/>
        <v>43991.66667</v>
      </c>
      <c r="B6009" s="2" t="str">
        <f t="shared" si="2"/>
        <v/>
      </c>
      <c r="C6009" s="2" t="str">
        <f t="shared" si="3"/>
        <v>SP500</v>
      </c>
      <c r="D6009" s="2">
        <f t="shared" si="4"/>
        <v>9953.75</v>
      </c>
      <c r="E6009" s="2">
        <f t="shared" si="5"/>
        <v>9953.75</v>
      </c>
      <c r="G6009" s="10">
        <f t="shared" si="9"/>
        <v>43991.64583</v>
      </c>
      <c r="H6009" s="6" t="str">
        <f t="shared" si="6"/>
        <v/>
      </c>
      <c r="I6009" s="2">
        <f t="shared" si="7"/>
        <v>1426.89</v>
      </c>
    </row>
    <row r="6010">
      <c r="A6010" s="10">
        <f t="shared" si="8"/>
        <v>43992.66667</v>
      </c>
      <c r="B6010" s="2" t="str">
        <f t="shared" si="2"/>
        <v/>
      </c>
      <c r="C6010" s="2" t="str">
        <f t="shared" si="3"/>
        <v>SP500</v>
      </c>
      <c r="D6010" s="2">
        <f t="shared" si="4"/>
        <v>10020.35</v>
      </c>
      <c r="E6010" s="2">
        <f t="shared" si="5"/>
        <v>10020.35</v>
      </c>
      <c r="G6010" s="10">
        <f t="shared" si="9"/>
        <v>43992.64583</v>
      </c>
      <c r="H6010" s="6" t="str">
        <f t="shared" si="6"/>
        <v/>
      </c>
      <c r="I6010" s="2">
        <f t="shared" si="7"/>
        <v>1426.89</v>
      </c>
    </row>
    <row r="6011">
      <c r="A6011" s="10">
        <f t="shared" si="8"/>
        <v>43993.66667</v>
      </c>
      <c r="B6011" s="2" t="str">
        <f t="shared" si="2"/>
        <v/>
      </c>
      <c r="C6011" s="2" t="str">
        <f t="shared" si="3"/>
        <v>SP500</v>
      </c>
      <c r="D6011" s="2">
        <f t="shared" si="4"/>
        <v>9492.73</v>
      </c>
      <c r="E6011" s="2">
        <f t="shared" si="5"/>
        <v>9492.73</v>
      </c>
      <c r="G6011" s="10">
        <f t="shared" si="9"/>
        <v>43993.64583</v>
      </c>
      <c r="H6011" s="6" t="str">
        <f t="shared" si="6"/>
        <v/>
      </c>
      <c r="I6011" s="2">
        <f t="shared" si="7"/>
        <v>1426.89</v>
      </c>
    </row>
    <row r="6012">
      <c r="A6012" s="10">
        <f t="shared" si="8"/>
        <v>43994.66667</v>
      </c>
      <c r="B6012" s="2" t="str">
        <f t="shared" si="2"/>
        <v/>
      </c>
      <c r="C6012" s="2" t="str">
        <f t="shared" si="3"/>
        <v>SP500</v>
      </c>
      <c r="D6012" s="2">
        <f t="shared" si="4"/>
        <v>9588.81</v>
      </c>
      <c r="E6012" s="2">
        <f t="shared" si="5"/>
        <v>9588.81</v>
      </c>
      <c r="G6012" s="10">
        <f t="shared" si="9"/>
        <v>43994.64583</v>
      </c>
      <c r="H6012" s="6" t="str">
        <f t="shared" si="6"/>
        <v/>
      </c>
      <c r="I6012" s="2">
        <f t="shared" si="7"/>
        <v>1426.89</v>
      </c>
    </row>
    <row r="6013">
      <c r="A6013" s="10">
        <f t="shared" si="8"/>
        <v>43995.66667</v>
      </c>
      <c r="B6013" s="2" t="str">
        <f t="shared" si="2"/>
        <v/>
      </c>
      <c r="C6013" s="2" t="str">
        <f t="shared" si="3"/>
        <v>SP500</v>
      </c>
      <c r="D6013" s="2" t="str">
        <f t="shared" si="4"/>
        <v/>
      </c>
      <c r="E6013" s="2">
        <f t="shared" si="5"/>
        <v>9588.81</v>
      </c>
      <c r="G6013" s="10">
        <f t="shared" si="9"/>
        <v>43995.64583</v>
      </c>
      <c r="H6013" s="6" t="str">
        <f t="shared" si="6"/>
        <v/>
      </c>
      <c r="I6013" s="2">
        <f t="shared" si="7"/>
        <v>1426.89</v>
      </c>
    </row>
    <row r="6014">
      <c r="A6014" s="10">
        <f t="shared" si="8"/>
        <v>43996.66667</v>
      </c>
      <c r="B6014" s="2" t="str">
        <f t="shared" si="2"/>
        <v/>
      </c>
      <c r="C6014" s="2" t="str">
        <f t="shared" si="3"/>
        <v>SP500</v>
      </c>
      <c r="D6014" s="2" t="str">
        <f t="shared" si="4"/>
        <v/>
      </c>
      <c r="E6014" s="2">
        <f t="shared" si="5"/>
        <v>9588.81</v>
      </c>
      <c r="G6014" s="10">
        <f t="shared" si="9"/>
        <v>43996.64583</v>
      </c>
      <c r="H6014" s="6" t="str">
        <f t="shared" si="6"/>
        <v/>
      </c>
      <c r="I6014" s="2">
        <f t="shared" si="7"/>
        <v>1426.89</v>
      </c>
    </row>
    <row r="6015">
      <c r="A6015" s="10">
        <f t="shared" si="8"/>
        <v>43997.66667</v>
      </c>
      <c r="B6015" s="2" t="str">
        <f t="shared" si="2"/>
        <v/>
      </c>
      <c r="C6015" s="2" t="str">
        <f t="shared" si="3"/>
        <v>SP500</v>
      </c>
      <c r="D6015" s="2">
        <f t="shared" si="4"/>
        <v>9726.02</v>
      </c>
      <c r="E6015" s="2">
        <f t="shared" si="5"/>
        <v>9726.02</v>
      </c>
      <c r="G6015" s="10">
        <f t="shared" si="9"/>
        <v>43997.64583</v>
      </c>
      <c r="H6015" s="6" t="str">
        <f t="shared" si="6"/>
        <v/>
      </c>
      <c r="I6015" s="2">
        <f t="shared" si="7"/>
        <v>1426.89</v>
      </c>
    </row>
    <row r="6016">
      <c r="A6016" s="10">
        <f t="shared" si="8"/>
        <v>43998.66667</v>
      </c>
      <c r="B6016" s="2" t="str">
        <f t="shared" si="2"/>
        <v/>
      </c>
      <c r="C6016" s="2" t="str">
        <f t="shared" si="3"/>
        <v>SP500</v>
      </c>
      <c r="D6016" s="2">
        <f t="shared" si="4"/>
        <v>9895.87</v>
      </c>
      <c r="E6016" s="2">
        <f t="shared" si="5"/>
        <v>9895.87</v>
      </c>
      <c r="G6016" s="10">
        <f t="shared" si="9"/>
        <v>43998.64583</v>
      </c>
      <c r="H6016" s="6" t="str">
        <f t="shared" si="6"/>
        <v/>
      </c>
      <c r="I6016" s="2">
        <f t="shared" si="7"/>
        <v>1426.89</v>
      </c>
    </row>
    <row r="6017">
      <c r="A6017" s="10">
        <f t="shared" si="8"/>
        <v>43999.66667</v>
      </c>
      <c r="B6017" s="2" t="str">
        <f t="shared" si="2"/>
        <v/>
      </c>
      <c r="C6017" s="2" t="str">
        <f t="shared" si="3"/>
        <v>SP500</v>
      </c>
      <c r="D6017" s="2">
        <f t="shared" si="4"/>
        <v>9910.53</v>
      </c>
      <c r="E6017" s="2">
        <f t="shared" si="5"/>
        <v>9910.53</v>
      </c>
      <c r="G6017" s="10">
        <f t="shared" si="9"/>
        <v>43999.64583</v>
      </c>
      <c r="H6017" s="6" t="str">
        <f t="shared" si="6"/>
        <v/>
      </c>
      <c r="I6017" s="2">
        <f t="shared" si="7"/>
        <v>1426.89</v>
      </c>
    </row>
    <row r="6018">
      <c r="A6018" s="10">
        <f t="shared" si="8"/>
        <v>44000.66667</v>
      </c>
      <c r="B6018" s="2" t="str">
        <f t="shared" si="2"/>
        <v/>
      </c>
      <c r="C6018" s="2" t="str">
        <f t="shared" si="3"/>
        <v>SP500</v>
      </c>
      <c r="D6018" s="2">
        <f t="shared" si="4"/>
        <v>9943.05</v>
      </c>
      <c r="E6018" s="2">
        <f t="shared" si="5"/>
        <v>9943.05</v>
      </c>
      <c r="G6018" s="10">
        <f t="shared" si="9"/>
        <v>44000.64583</v>
      </c>
      <c r="H6018" s="6" t="str">
        <f t="shared" si="6"/>
        <v/>
      </c>
      <c r="I6018" s="2">
        <f t="shared" si="7"/>
        <v>1426.89</v>
      </c>
    </row>
    <row r="6019">
      <c r="A6019" s="10">
        <f t="shared" si="8"/>
        <v>44001.66667</v>
      </c>
      <c r="B6019" s="2" t="str">
        <f t="shared" si="2"/>
        <v/>
      </c>
      <c r="C6019" s="2" t="str">
        <f t="shared" si="3"/>
        <v>SP500</v>
      </c>
      <c r="D6019" s="2">
        <f t="shared" si="4"/>
        <v>9946.12</v>
      </c>
      <c r="E6019" s="2">
        <f t="shared" si="5"/>
        <v>9946.12</v>
      </c>
      <c r="G6019" s="10">
        <f t="shared" si="9"/>
        <v>44001.64583</v>
      </c>
      <c r="H6019" s="6" t="str">
        <f t="shared" si="6"/>
        <v/>
      </c>
      <c r="I6019" s="2">
        <f t="shared" si="7"/>
        <v>1426.89</v>
      </c>
    </row>
    <row r="6020">
      <c r="A6020" s="10">
        <f t="shared" si="8"/>
        <v>44002.66667</v>
      </c>
      <c r="B6020" s="2" t="str">
        <f t="shared" si="2"/>
        <v/>
      </c>
      <c r="C6020" s="2" t="str">
        <f t="shared" si="3"/>
        <v>SP500</v>
      </c>
      <c r="D6020" s="2" t="str">
        <f t="shared" si="4"/>
        <v/>
      </c>
      <c r="E6020" s="2">
        <f t="shared" si="5"/>
        <v>9946.12</v>
      </c>
      <c r="G6020" s="10">
        <f t="shared" si="9"/>
        <v>44002.64583</v>
      </c>
      <c r="H6020" s="6" t="str">
        <f t="shared" si="6"/>
        <v/>
      </c>
      <c r="I6020" s="2">
        <f t="shared" si="7"/>
        <v>1426.89</v>
      </c>
    </row>
    <row r="6021">
      <c r="A6021" s="10">
        <f t="shared" si="8"/>
        <v>44003.66667</v>
      </c>
      <c r="B6021" s="2" t="str">
        <f t="shared" si="2"/>
        <v/>
      </c>
      <c r="C6021" s="2" t="str">
        <f t="shared" si="3"/>
        <v>SP500</v>
      </c>
      <c r="D6021" s="2" t="str">
        <f t="shared" si="4"/>
        <v/>
      </c>
      <c r="E6021" s="2">
        <f t="shared" si="5"/>
        <v>9946.12</v>
      </c>
      <c r="G6021" s="10">
        <f t="shared" si="9"/>
        <v>44003.64583</v>
      </c>
      <c r="H6021" s="6" t="str">
        <f t="shared" si="6"/>
        <v/>
      </c>
      <c r="I6021" s="2">
        <f t="shared" si="7"/>
        <v>1426.89</v>
      </c>
    </row>
    <row r="6022">
      <c r="A6022" s="10">
        <f t="shared" si="8"/>
        <v>44004.66667</v>
      </c>
      <c r="B6022" s="2" t="str">
        <f t="shared" si="2"/>
        <v/>
      </c>
      <c r="C6022" s="2" t="str">
        <f t="shared" si="3"/>
        <v>SP500</v>
      </c>
      <c r="D6022" s="2">
        <f t="shared" si="4"/>
        <v>10056.48</v>
      </c>
      <c r="E6022" s="2">
        <f t="shared" si="5"/>
        <v>10056.48</v>
      </c>
      <c r="G6022" s="10">
        <f t="shared" si="9"/>
        <v>44004.64583</v>
      </c>
      <c r="H6022" s="6" t="str">
        <f t="shared" si="6"/>
        <v/>
      </c>
      <c r="I6022" s="2">
        <f t="shared" si="7"/>
        <v>1426.89</v>
      </c>
    </row>
    <row r="6023">
      <c r="A6023" s="10">
        <f t="shared" si="8"/>
        <v>44005.66667</v>
      </c>
      <c r="B6023" s="2" t="str">
        <f t="shared" si="2"/>
        <v/>
      </c>
      <c r="C6023" s="2" t="str">
        <f t="shared" si="3"/>
        <v>SP500</v>
      </c>
      <c r="D6023" s="2">
        <f t="shared" si="4"/>
        <v>10131.37</v>
      </c>
      <c r="E6023" s="2">
        <f t="shared" si="5"/>
        <v>10131.37</v>
      </c>
      <c r="G6023" s="10">
        <f t="shared" si="9"/>
        <v>44005.64583</v>
      </c>
      <c r="H6023" s="6" t="str">
        <f t="shared" si="6"/>
        <v/>
      </c>
      <c r="I6023" s="2">
        <f t="shared" si="7"/>
        <v>1426.89</v>
      </c>
    </row>
    <row r="6024">
      <c r="A6024" s="10">
        <f t="shared" si="8"/>
        <v>44006.66667</v>
      </c>
      <c r="B6024" s="2" t="str">
        <f t="shared" si="2"/>
        <v/>
      </c>
      <c r="C6024" s="2" t="str">
        <f t="shared" si="3"/>
        <v>SP500</v>
      </c>
      <c r="D6024" s="2">
        <f t="shared" si="4"/>
        <v>9909.17</v>
      </c>
      <c r="E6024" s="2">
        <f t="shared" si="5"/>
        <v>9909.17</v>
      </c>
      <c r="G6024" s="10">
        <f t="shared" si="9"/>
        <v>44006.64583</v>
      </c>
      <c r="H6024" s="6" t="str">
        <f t="shared" si="6"/>
        <v/>
      </c>
      <c r="I6024" s="2">
        <f t="shared" si="7"/>
        <v>1426.89</v>
      </c>
    </row>
    <row r="6025">
      <c r="A6025" s="10">
        <f t="shared" si="8"/>
        <v>44007.66667</v>
      </c>
      <c r="B6025" s="2" t="str">
        <f t="shared" si="2"/>
        <v/>
      </c>
      <c r="C6025" s="2" t="str">
        <f t="shared" si="3"/>
        <v>SP500</v>
      </c>
      <c r="D6025" s="2">
        <f t="shared" si="4"/>
        <v>10017</v>
      </c>
      <c r="E6025" s="2">
        <f t="shared" si="5"/>
        <v>10017</v>
      </c>
      <c r="G6025" s="10">
        <f t="shared" si="9"/>
        <v>44007.64583</v>
      </c>
      <c r="H6025" s="6" t="str">
        <f t="shared" si="6"/>
        <v/>
      </c>
      <c r="I6025" s="2">
        <f t="shared" si="7"/>
        <v>1426.89</v>
      </c>
    </row>
    <row r="6026">
      <c r="A6026" s="10">
        <f t="shared" si="8"/>
        <v>44008.66667</v>
      </c>
      <c r="B6026" s="2" t="str">
        <f t="shared" si="2"/>
        <v/>
      </c>
      <c r="C6026" s="2" t="str">
        <f t="shared" si="3"/>
        <v>SP500</v>
      </c>
      <c r="D6026" s="2">
        <f t="shared" si="4"/>
        <v>9757.22</v>
      </c>
      <c r="E6026" s="2">
        <f t="shared" si="5"/>
        <v>9757.22</v>
      </c>
      <c r="G6026" s="10">
        <f t="shared" si="9"/>
        <v>44008.64583</v>
      </c>
      <c r="H6026" s="6" t="str">
        <f t="shared" si="6"/>
        <v/>
      </c>
      <c r="I6026" s="2">
        <f t="shared" si="7"/>
        <v>1426.89</v>
      </c>
    </row>
    <row r="6027">
      <c r="A6027" s="10">
        <f t="shared" si="8"/>
        <v>44009.66667</v>
      </c>
      <c r="B6027" s="2" t="str">
        <f t="shared" si="2"/>
        <v/>
      </c>
      <c r="C6027" s="2" t="str">
        <f t="shared" si="3"/>
        <v>SP500</v>
      </c>
      <c r="D6027" s="2" t="str">
        <f t="shared" si="4"/>
        <v/>
      </c>
      <c r="E6027" s="2">
        <f t="shared" si="5"/>
        <v>9757.22</v>
      </c>
      <c r="G6027" s="10">
        <f t="shared" si="9"/>
        <v>44009.64583</v>
      </c>
      <c r="H6027" s="6" t="str">
        <f t="shared" si="6"/>
        <v/>
      </c>
      <c r="I6027" s="2">
        <f t="shared" si="7"/>
        <v>1426.89</v>
      </c>
    </row>
    <row r="6028">
      <c r="A6028" s="10">
        <f t="shared" si="8"/>
        <v>44010.66667</v>
      </c>
      <c r="B6028" s="2" t="str">
        <f t="shared" si="2"/>
        <v/>
      </c>
      <c r="C6028" s="2" t="str">
        <f t="shared" si="3"/>
        <v>SP500</v>
      </c>
      <c r="D6028" s="2" t="str">
        <f t="shared" si="4"/>
        <v/>
      </c>
      <c r="E6028" s="2">
        <f t="shared" si="5"/>
        <v>9757.22</v>
      </c>
      <c r="G6028" s="10">
        <f t="shared" si="9"/>
        <v>44010.64583</v>
      </c>
      <c r="H6028" s="6" t="str">
        <f t="shared" si="6"/>
        <v/>
      </c>
      <c r="I6028" s="2">
        <f t="shared" si="7"/>
        <v>1426.89</v>
      </c>
    </row>
    <row r="6029">
      <c r="A6029" s="10">
        <f t="shared" si="8"/>
        <v>44011.66667</v>
      </c>
      <c r="B6029" s="2" t="str">
        <f t="shared" si="2"/>
        <v/>
      </c>
      <c r="C6029" s="2" t="str">
        <f t="shared" si="3"/>
        <v>SP500</v>
      </c>
      <c r="D6029" s="2">
        <f t="shared" si="4"/>
        <v>9874.15</v>
      </c>
      <c r="E6029" s="2">
        <f t="shared" si="5"/>
        <v>9874.15</v>
      </c>
      <c r="G6029" s="10">
        <f t="shared" si="9"/>
        <v>44011.64583</v>
      </c>
      <c r="H6029" s="6" t="str">
        <f t="shared" si="6"/>
        <v/>
      </c>
      <c r="I6029" s="2">
        <f t="shared" si="7"/>
        <v>1426.89</v>
      </c>
    </row>
    <row r="6030">
      <c r="A6030" s="10">
        <f t="shared" si="8"/>
        <v>44012.66667</v>
      </c>
      <c r="B6030" s="2" t="str">
        <f t="shared" si="2"/>
        <v/>
      </c>
      <c r="C6030" s="2" t="str">
        <f t="shared" si="3"/>
        <v>SP500</v>
      </c>
      <c r="D6030" s="2">
        <f t="shared" si="4"/>
        <v>10058.77</v>
      </c>
      <c r="E6030" s="2">
        <f t="shared" si="5"/>
        <v>10058.77</v>
      </c>
      <c r="G6030" s="10">
        <f t="shared" si="9"/>
        <v>44012.64583</v>
      </c>
      <c r="H6030" s="6" t="str">
        <f t="shared" si="6"/>
        <v/>
      </c>
      <c r="I6030" s="2">
        <f t="shared" si="7"/>
        <v>1426.89</v>
      </c>
    </row>
    <row r="6031">
      <c r="A6031" s="10">
        <f t="shared" si="8"/>
        <v>44013.66667</v>
      </c>
      <c r="B6031" s="2" t="str">
        <f t="shared" si="2"/>
        <v/>
      </c>
      <c r="C6031" s="2" t="str">
        <f t="shared" si="3"/>
        <v>SP500</v>
      </c>
      <c r="D6031" s="2">
        <f t="shared" si="4"/>
        <v>10154.63</v>
      </c>
      <c r="E6031" s="2">
        <f t="shared" si="5"/>
        <v>10154.63</v>
      </c>
      <c r="G6031" s="10">
        <f t="shared" si="9"/>
        <v>44013.64583</v>
      </c>
      <c r="H6031" s="6" t="str">
        <f t="shared" si="6"/>
        <v/>
      </c>
      <c r="I6031" s="2">
        <f t="shared" si="7"/>
        <v>1426.89</v>
      </c>
    </row>
    <row r="6032">
      <c r="A6032" s="10">
        <f t="shared" si="8"/>
        <v>44014.66667</v>
      </c>
      <c r="B6032" s="2" t="str">
        <f t="shared" si="2"/>
        <v/>
      </c>
      <c r="C6032" s="2" t="str">
        <f t="shared" si="3"/>
        <v>SP500</v>
      </c>
      <c r="D6032" s="2">
        <f t="shared" si="4"/>
        <v>10207.63</v>
      </c>
      <c r="E6032" s="2">
        <f t="shared" si="5"/>
        <v>10207.63</v>
      </c>
      <c r="G6032" s="10">
        <f t="shared" si="9"/>
        <v>44014.64583</v>
      </c>
      <c r="H6032" s="6" t="str">
        <f t="shared" si="6"/>
        <v/>
      </c>
      <c r="I6032" s="2">
        <f t="shared" si="7"/>
        <v>1426.89</v>
      </c>
    </row>
    <row r="6033">
      <c r="A6033" s="10">
        <f t="shared" si="8"/>
        <v>44015.66667</v>
      </c>
      <c r="B6033" s="2" t="str">
        <f t="shared" si="2"/>
        <v/>
      </c>
      <c r="C6033" s="2" t="str">
        <f t="shared" si="3"/>
        <v>SP500</v>
      </c>
      <c r="D6033" s="2" t="str">
        <f t="shared" si="4"/>
        <v/>
      </c>
      <c r="E6033" s="2">
        <f t="shared" si="5"/>
        <v>10207.63</v>
      </c>
      <c r="G6033" s="10">
        <f t="shared" si="9"/>
        <v>44015.64583</v>
      </c>
      <c r="H6033" s="6" t="str">
        <f t="shared" si="6"/>
        <v/>
      </c>
      <c r="I6033" s="2">
        <f t="shared" si="7"/>
        <v>1426.89</v>
      </c>
    </row>
    <row r="6034">
      <c r="A6034" s="10">
        <f t="shared" si="8"/>
        <v>44016.66667</v>
      </c>
      <c r="B6034" s="2" t="str">
        <f t="shared" si="2"/>
        <v/>
      </c>
      <c r="C6034" s="2" t="str">
        <f t="shared" si="3"/>
        <v>SP500</v>
      </c>
      <c r="D6034" s="2" t="str">
        <f t="shared" si="4"/>
        <v/>
      </c>
      <c r="E6034" s="2">
        <f t="shared" si="5"/>
        <v>10207.63</v>
      </c>
      <c r="G6034" s="10">
        <f t="shared" si="9"/>
        <v>44016.64583</v>
      </c>
      <c r="H6034" s="6" t="str">
        <f t="shared" si="6"/>
        <v/>
      </c>
      <c r="I6034" s="2">
        <f t="shared" si="7"/>
        <v>1426.89</v>
      </c>
    </row>
    <row r="6035">
      <c r="A6035" s="10">
        <f t="shared" si="8"/>
        <v>44017.66667</v>
      </c>
      <c r="B6035" s="2" t="str">
        <f t="shared" si="2"/>
        <v/>
      </c>
      <c r="C6035" s="2" t="str">
        <f t="shared" si="3"/>
        <v>SP500</v>
      </c>
      <c r="D6035" s="2" t="str">
        <f t="shared" si="4"/>
        <v/>
      </c>
      <c r="E6035" s="2">
        <f t="shared" si="5"/>
        <v>10207.63</v>
      </c>
      <c r="G6035" s="10">
        <f t="shared" si="9"/>
        <v>44017.64583</v>
      </c>
      <c r="H6035" s="6" t="str">
        <f t="shared" si="6"/>
        <v/>
      </c>
      <c r="I6035" s="2">
        <f t="shared" si="7"/>
        <v>1426.89</v>
      </c>
    </row>
    <row r="6036">
      <c r="A6036" s="10">
        <f t="shared" si="8"/>
        <v>44018.66667</v>
      </c>
      <c r="B6036" s="2" t="str">
        <f t="shared" si="2"/>
        <v/>
      </c>
      <c r="C6036" s="2" t="str">
        <f t="shared" si="3"/>
        <v>SP500</v>
      </c>
      <c r="D6036" s="2">
        <f t="shared" si="4"/>
        <v>10433.65</v>
      </c>
      <c r="E6036" s="2">
        <f t="shared" si="5"/>
        <v>10433.65</v>
      </c>
      <c r="G6036" s="10">
        <f t="shared" si="9"/>
        <v>44018.64583</v>
      </c>
      <c r="H6036" s="6" t="str">
        <f t="shared" si="6"/>
        <v/>
      </c>
      <c r="I6036" s="2">
        <f t="shared" si="7"/>
        <v>1426.89</v>
      </c>
    </row>
    <row r="6037">
      <c r="A6037" s="10">
        <f t="shared" si="8"/>
        <v>44019.66667</v>
      </c>
      <c r="B6037" s="2" t="str">
        <f t="shared" si="2"/>
        <v/>
      </c>
      <c r="C6037" s="2" t="str">
        <f t="shared" si="3"/>
        <v>SP500</v>
      </c>
      <c r="D6037" s="2">
        <f t="shared" si="4"/>
        <v>10343.89</v>
      </c>
      <c r="E6037" s="2">
        <f t="shared" si="5"/>
        <v>10343.89</v>
      </c>
      <c r="G6037" s="10">
        <f t="shared" si="9"/>
        <v>44019.64583</v>
      </c>
      <c r="H6037" s="6" t="str">
        <f t="shared" si="6"/>
        <v/>
      </c>
      <c r="I6037" s="2">
        <f t="shared" si="7"/>
        <v>1426.89</v>
      </c>
    </row>
    <row r="6038">
      <c r="A6038" s="10">
        <f t="shared" si="8"/>
        <v>44020.66667</v>
      </c>
      <c r="B6038" s="2" t="str">
        <f t="shared" si="2"/>
        <v/>
      </c>
      <c r="C6038" s="2" t="str">
        <f t="shared" si="3"/>
        <v>SP500</v>
      </c>
      <c r="D6038" s="2">
        <f t="shared" si="4"/>
        <v>10492.5</v>
      </c>
      <c r="E6038" s="2">
        <f t="shared" si="5"/>
        <v>10492.5</v>
      </c>
      <c r="G6038" s="10">
        <f t="shared" si="9"/>
        <v>44020.64583</v>
      </c>
      <c r="H6038" s="6" t="str">
        <f t="shared" si="6"/>
        <v/>
      </c>
      <c r="I6038" s="2">
        <f t="shared" si="7"/>
        <v>1426.89</v>
      </c>
    </row>
    <row r="6039">
      <c r="A6039" s="10">
        <f t="shared" si="8"/>
        <v>44021.66667</v>
      </c>
      <c r="B6039" s="2" t="str">
        <f t="shared" si="2"/>
        <v/>
      </c>
      <c r="C6039" s="2" t="str">
        <f t="shared" si="3"/>
        <v>SP500</v>
      </c>
      <c r="D6039" s="2">
        <f t="shared" si="4"/>
        <v>10547.75</v>
      </c>
      <c r="E6039" s="2">
        <f t="shared" si="5"/>
        <v>10547.75</v>
      </c>
      <c r="G6039" s="10">
        <f t="shared" si="9"/>
        <v>44021.64583</v>
      </c>
      <c r="H6039" s="6" t="str">
        <f t="shared" si="6"/>
        <v/>
      </c>
      <c r="I6039" s="2">
        <f t="shared" si="7"/>
        <v>1426.89</v>
      </c>
    </row>
    <row r="6040">
      <c r="A6040" s="10">
        <f t="shared" si="8"/>
        <v>44022.66667</v>
      </c>
      <c r="B6040" s="2" t="str">
        <f t="shared" si="2"/>
        <v/>
      </c>
      <c r="C6040" s="2" t="str">
        <f t="shared" si="3"/>
        <v>SP500</v>
      </c>
      <c r="D6040" s="2">
        <f t="shared" si="4"/>
        <v>10617.44</v>
      </c>
      <c r="E6040" s="2">
        <f t="shared" si="5"/>
        <v>10617.44</v>
      </c>
      <c r="G6040" s="10">
        <f t="shared" si="9"/>
        <v>44022.64583</v>
      </c>
      <c r="H6040" s="6" t="str">
        <f t="shared" si="6"/>
        <v/>
      </c>
      <c r="I6040" s="2">
        <f t="shared" si="7"/>
        <v>1426.89</v>
      </c>
    </row>
    <row r="6041">
      <c r="A6041" s="10">
        <f t="shared" si="8"/>
        <v>44023.66667</v>
      </c>
      <c r="B6041" s="2" t="str">
        <f t="shared" si="2"/>
        <v/>
      </c>
      <c r="C6041" s="2" t="str">
        <f t="shared" si="3"/>
        <v>SP500</v>
      </c>
      <c r="D6041" s="2" t="str">
        <f t="shared" si="4"/>
        <v/>
      </c>
      <c r="E6041" s="2">
        <f t="shared" si="5"/>
        <v>10617.44</v>
      </c>
      <c r="G6041" s="10">
        <f t="shared" si="9"/>
        <v>44023.64583</v>
      </c>
      <c r="H6041" s="6" t="str">
        <f t="shared" si="6"/>
        <v/>
      </c>
      <c r="I6041" s="2">
        <f t="shared" si="7"/>
        <v>1426.89</v>
      </c>
    </row>
    <row r="6042">
      <c r="A6042" s="10">
        <f t="shared" si="8"/>
        <v>44024.66667</v>
      </c>
      <c r="B6042" s="2" t="str">
        <f t="shared" si="2"/>
        <v/>
      </c>
      <c r="C6042" s="2" t="str">
        <f t="shared" si="3"/>
        <v>SP500</v>
      </c>
      <c r="D6042" s="2" t="str">
        <f t="shared" si="4"/>
        <v/>
      </c>
      <c r="E6042" s="2">
        <f t="shared" si="5"/>
        <v>10617.44</v>
      </c>
      <c r="G6042" s="10">
        <f t="shared" si="9"/>
        <v>44024.64583</v>
      </c>
      <c r="H6042" s="6" t="str">
        <f t="shared" si="6"/>
        <v/>
      </c>
      <c r="I6042" s="2">
        <f t="shared" si="7"/>
        <v>1426.89</v>
      </c>
    </row>
    <row r="6043">
      <c r="A6043" s="10">
        <f t="shared" si="8"/>
        <v>44025.66667</v>
      </c>
      <c r="B6043" s="2" t="str">
        <f t="shared" si="2"/>
        <v/>
      </c>
      <c r="C6043" s="2" t="str">
        <f t="shared" si="3"/>
        <v>SP500</v>
      </c>
      <c r="D6043" s="2">
        <f t="shared" si="4"/>
        <v>10390.84</v>
      </c>
      <c r="E6043" s="2">
        <f t="shared" si="5"/>
        <v>10390.84</v>
      </c>
      <c r="G6043" s="10">
        <f t="shared" si="9"/>
        <v>44025.64583</v>
      </c>
      <c r="H6043" s="6" t="str">
        <f t="shared" si="6"/>
        <v/>
      </c>
      <c r="I6043" s="2">
        <f t="shared" si="7"/>
        <v>1426.89</v>
      </c>
    </row>
    <row r="6044">
      <c r="A6044" s="10">
        <f t="shared" si="8"/>
        <v>44026.66667</v>
      </c>
      <c r="B6044" s="2" t="str">
        <f t="shared" si="2"/>
        <v/>
      </c>
      <c r="C6044" s="2" t="str">
        <f t="shared" si="3"/>
        <v>SP500</v>
      </c>
      <c r="D6044" s="2">
        <f t="shared" si="4"/>
        <v>10488.58</v>
      </c>
      <c r="E6044" s="2">
        <f t="shared" si="5"/>
        <v>10488.58</v>
      </c>
      <c r="G6044" s="10">
        <f t="shared" si="9"/>
        <v>44026.64583</v>
      </c>
      <c r="H6044" s="6" t="str">
        <f t="shared" si="6"/>
        <v/>
      </c>
      <c r="I6044" s="2">
        <f t="shared" si="7"/>
        <v>1426.89</v>
      </c>
    </row>
    <row r="6045">
      <c r="A6045" s="10">
        <f t="shared" si="8"/>
        <v>44027.66667</v>
      </c>
      <c r="B6045" s="2" t="str">
        <f t="shared" si="2"/>
        <v/>
      </c>
      <c r="C6045" s="2" t="str">
        <f t="shared" si="3"/>
        <v>SP500</v>
      </c>
      <c r="D6045" s="2">
        <f t="shared" si="4"/>
        <v>10550.49</v>
      </c>
      <c r="E6045" s="2">
        <f t="shared" si="5"/>
        <v>10550.49</v>
      </c>
      <c r="G6045" s="10">
        <f t="shared" si="9"/>
        <v>44027.64583</v>
      </c>
      <c r="H6045" s="6" t="str">
        <f t="shared" si="6"/>
        <v/>
      </c>
      <c r="I6045" s="2">
        <f t="shared" si="7"/>
        <v>1426.89</v>
      </c>
    </row>
    <row r="6046">
      <c r="A6046" s="10">
        <f t="shared" si="8"/>
        <v>44028.66667</v>
      </c>
      <c r="B6046" s="2" t="str">
        <f t="shared" si="2"/>
        <v/>
      </c>
      <c r="C6046" s="2" t="str">
        <f t="shared" si="3"/>
        <v>SP500</v>
      </c>
      <c r="D6046" s="2">
        <f t="shared" si="4"/>
        <v>10473.83</v>
      </c>
      <c r="E6046" s="2">
        <f t="shared" si="5"/>
        <v>10473.83</v>
      </c>
      <c r="G6046" s="10">
        <f t="shared" si="9"/>
        <v>44028.64583</v>
      </c>
      <c r="H6046" s="6" t="str">
        <f t="shared" si="6"/>
        <v/>
      </c>
      <c r="I6046" s="2">
        <f t="shared" si="7"/>
        <v>1426.89</v>
      </c>
    </row>
    <row r="6047">
      <c r="A6047" s="10">
        <f t="shared" si="8"/>
        <v>44029.66667</v>
      </c>
      <c r="B6047" s="2" t="str">
        <f t="shared" si="2"/>
        <v/>
      </c>
      <c r="C6047" s="2" t="str">
        <f t="shared" si="3"/>
        <v>SP500</v>
      </c>
      <c r="D6047" s="2">
        <f t="shared" si="4"/>
        <v>10503.19</v>
      </c>
      <c r="E6047" s="2">
        <f t="shared" si="5"/>
        <v>10503.19</v>
      </c>
      <c r="G6047" s="10">
        <f t="shared" si="9"/>
        <v>44029.64583</v>
      </c>
      <c r="H6047" s="6" t="str">
        <f t="shared" si="6"/>
        <v/>
      </c>
      <c r="I6047" s="2">
        <f t="shared" si="7"/>
        <v>1426.89</v>
      </c>
    </row>
    <row r="6048">
      <c r="A6048" s="10">
        <f t="shared" si="8"/>
        <v>44030.66667</v>
      </c>
      <c r="B6048" s="2" t="str">
        <f t="shared" si="2"/>
        <v/>
      </c>
      <c r="C6048" s="2" t="str">
        <f t="shared" si="3"/>
        <v>SP500</v>
      </c>
      <c r="D6048" s="2" t="str">
        <f t="shared" si="4"/>
        <v/>
      </c>
      <c r="E6048" s="2">
        <f t="shared" si="5"/>
        <v>10503.19</v>
      </c>
      <c r="G6048" s="10">
        <f t="shared" si="9"/>
        <v>44030.64583</v>
      </c>
      <c r="H6048" s="6" t="str">
        <f t="shared" si="6"/>
        <v/>
      </c>
      <c r="I6048" s="2">
        <f t="shared" si="7"/>
        <v>1426.89</v>
      </c>
    </row>
    <row r="6049">
      <c r="A6049" s="10">
        <f t="shared" si="8"/>
        <v>44031.66667</v>
      </c>
      <c r="B6049" s="2" t="str">
        <f t="shared" si="2"/>
        <v/>
      </c>
      <c r="C6049" s="2" t="str">
        <f t="shared" si="3"/>
        <v>SP500</v>
      </c>
      <c r="D6049" s="2" t="str">
        <f t="shared" si="4"/>
        <v/>
      </c>
      <c r="E6049" s="2">
        <f t="shared" si="5"/>
        <v>10503.19</v>
      </c>
      <c r="G6049" s="10">
        <f t="shared" si="9"/>
        <v>44031.64583</v>
      </c>
      <c r="H6049" s="6" t="str">
        <f t="shared" si="6"/>
        <v/>
      </c>
      <c r="I6049" s="2">
        <f t="shared" si="7"/>
        <v>1426.89</v>
      </c>
    </row>
    <row r="6050">
      <c r="A6050" s="10">
        <f t="shared" si="8"/>
        <v>44032.66667</v>
      </c>
      <c r="B6050" s="2" t="str">
        <f t="shared" si="2"/>
        <v/>
      </c>
      <c r="C6050" s="2" t="str">
        <f t="shared" si="3"/>
        <v>SP500</v>
      </c>
      <c r="D6050" s="2">
        <f t="shared" si="4"/>
        <v>10767.09</v>
      </c>
      <c r="E6050" s="2">
        <f t="shared" si="5"/>
        <v>10767.09</v>
      </c>
      <c r="G6050" s="10">
        <f t="shared" si="9"/>
        <v>44032.64583</v>
      </c>
      <c r="H6050" s="6" t="str">
        <f t="shared" si="6"/>
        <v/>
      </c>
      <c r="I6050" s="2">
        <f t="shared" si="7"/>
        <v>1426.89</v>
      </c>
    </row>
    <row r="6051">
      <c r="A6051" s="10">
        <f t="shared" si="8"/>
        <v>44033.66667</v>
      </c>
      <c r="B6051" s="2" t="str">
        <f t="shared" si="2"/>
        <v/>
      </c>
      <c r="C6051" s="2" t="str">
        <f t="shared" si="3"/>
        <v>SP500</v>
      </c>
      <c r="D6051" s="2">
        <f t="shared" si="4"/>
        <v>10680.36</v>
      </c>
      <c r="E6051" s="2">
        <f t="shared" si="5"/>
        <v>10680.36</v>
      </c>
      <c r="G6051" s="10">
        <f t="shared" si="9"/>
        <v>44033.64583</v>
      </c>
      <c r="H6051" s="6" t="str">
        <f t="shared" si="6"/>
        <v/>
      </c>
      <c r="I6051" s="2">
        <f t="shared" si="7"/>
        <v>1426.89</v>
      </c>
    </row>
    <row r="6052">
      <c r="A6052" s="10">
        <f t="shared" si="8"/>
        <v>44034.66667</v>
      </c>
      <c r="B6052" s="2" t="str">
        <f t="shared" si="2"/>
        <v/>
      </c>
      <c r="C6052" s="2" t="str">
        <f t="shared" si="3"/>
        <v>SP500</v>
      </c>
      <c r="D6052" s="2">
        <f t="shared" si="4"/>
        <v>10706.13</v>
      </c>
      <c r="E6052" s="2">
        <f t="shared" si="5"/>
        <v>10706.13</v>
      </c>
      <c r="G6052" s="10">
        <f t="shared" si="9"/>
        <v>44034.64583</v>
      </c>
      <c r="H6052" s="6" t="str">
        <f t="shared" si="6"/>
        <v/>
      </c>
      <c r="I6052" s="2">
        <f t="shared" si="7"/>
        <v>1426.89</v>
      </c>
    </row>
    <row r="6053">
      <c r="A6053" s="10">
        <f t="shared" si="8"/>
        <v>44035.66667</v>
      </c>
      <c r="B6053" s="2" t="str">
        <f t="shared" si="2"/>
        <v/>
      </c>
      <c r="C6053" s="2" t="str">
        <f t="shared" si="3"/>
        <v>SP500</v>
      </c>
      <c r="D6053" s="2">
        <f t="shared" si="4"/>
        <v>10461.42</v>
      </c>
      <c r="E6053" s="2">
        <f t="shared" si="5"/>
        <v>10461.42</v>
      </c>
      <c r="G6053" s="10">
        <f t="shared" si="9"/>
        <v>44035.64583</v>
      </c>
      <c r="H6053" s="6" t="str">
        <f t="shared" si="6"/>
        <v/>
      </c>
      <c r="I6053" s="2">
        <f t="shared" si="7"/>
        <v>1426.89</v>
      </c>
    </row>
    <row r="6054">
      <c r="A6054" s="10">
        <f t="shared" si="8"/>
        <v>44036.66667</v>
      </c>
      <c r="B6054" s="2" t="str">
        <f t="shared" si="2"/>
        <v/>
      </c>
      <c r="C6054" s="2" t="str">
        <f t="shared" si="3"/>
        <v>SP500</v>
      </c>
      <c r="D6054" s="2">
        <f t="shared" si="4"/>
        <v>10363.18</v>
      </c>
      <c r="E6054" s="2">
        <f t="shared" si="5"/>
        <v>10363.18</v>
      </c>
      <c r="G6054" s="10">
        <f t="shared" si="9"/>
        <v>44036.64583</v>
      </c>
      <c r="H6054" s="6" t="str">
        <f t="shared" si="6"/>
        <v/>
      </c>
      <c r="I6054" s="2">
        <f t="shared" si="7"/>
        <v>1426.89</v>
      </c>
    </row>
    <row r="6055">
      <c r="A6055" s="10">
        <f t="shared" si="8"/>
        <v>44037.66667</v>
      </c>
      <c r="B6055" s="2" t="str">
        <f t="shared" si="2"/>
        <v/>
      </c>
      <c r="C6055" s="2" t="str">
        <f t="shared" si="3"/>
        <v>SP500</v>
      </c>
      <c r="D6055" s="2" t="str">
        <f t="shared" si="4"/>
        <v/>
      </c>
      <c r="E6055" s="2">
        <f t="shared" si="5"/>
        <v>10363.18</v>
      </c>
      <c r="G6055" s="10">
        <f t="shared" si="9"/>
        <v>44037.64583</v>
      </c>
      <c r="H6055" s="6" t="str">
        <f t="shared" si="6"/>
        <v/>
      </c>
      <c r="I6055" s="2">
        <f t="shared" si="7"/>
        <v>1426.89</v>
      </c>
    </row>
    <row r="6056">
      <c r="A6056" s="10">
        <f t="shared" si="8"/>
        <v>44038.66667</v>
      </c>
      <c r="B6056" s="2" t="str">
        <f t="shared" si="2"/>
        <v/>
      </c>
      <c r="C6056" s="2" t="str">
        <f t="shared" si="3"/>
        <v>SP500</v>
      </c>
      <c r="D6056" s="2" t="str">
        <f t="shared" si="4"/>
        <v/>
      </c>
      <c r="E6056" s="2">
        <f t="shared" si="5"/>
        <v>10363.18</v>
      </c>
      <c r="G6056" s="10">
        <f t="shared" si="9"/>
        <v>44038.64583</v>
      </c>
      <c r="H6056" s="6" t="str">
        <f t="shared" si="6"/>
        <v/>
      </c>
      <c r="I6056" s="2">
        <f t="shared" si="7"/>
        <v>1426.89</v>
      </c>
    </row>
    <row r="6057">
      <c r="A6057" s="10">
        <f t="shared" si="8"/>
        <v>44039.66667</v>
      </c>
      <c r="B6057" s="2" t="str">
        <f t="shared" si="2"/>
        <v/>
      </c>
      <c r="C6057" s="2" t="str">
        <f t="shared" si="3"/>
        <v>SP500</v>
      </c>
      <c r="D6057" s="2">
        <f t="shared" si="4"/>
        <v>10536.27</v>
      </c>
      <c r="E6057" s="2">
        <f t="shared" si="5"/>
        <v>10536.27</v>
      </c>
      <c r="G6057" s="10">
        <f t="shared" si="9"/>
        <v>44039.64583</v>
      </c>
      <c r="H6057" s="6" t="str">
        <f t="shared" si="6"/>
        <v/>
      </c>
      <c r="I6057" s="2">
        <f t="shared" si="7"/>
        <v>1426.89</v>
      </c>
    </row>
    <row r="6058">
      <c r="A6058" s="10">
        <f t="shared" si="8"/>
        <v>44040.66667</v>
      </c>
      <c r="B6058" s="2" t="str">
        <f t="shared" si="2"/>
        <v/>
      </c>
      <c r="C6058" s="2" t="str">
        <f t="shared" si="3"/>
        <v>SP500</v>
      </c>
      <c r="D6058" s="2">
        <f t="shared" si="4"/>
        <v>10402.09</v>
      </c>
      <c r="E6058" s="2">
        <f t="shared" si="5"/>
        <v>10402.09</v>
      </c>
      <c r="G6058" s="10">
        <f t="shared" si="9"/>
        <v>44040.64583</v>
      </c>
      <c r="H6058" s="6" t="str">
        <f t="shared" si="6"/>
        <v/>
      </c>
      <c r="I6058" s="2">
        <f t="shared" si="7"/>
        <v>1426.89</v>
      </c>
    </row>
    <row r="6059">
      <c r="A6059" s="10">
        <f t="shared" si="8"/>
        <v>44041.66667</v>
      </c>
      <c r="B6059" s="2" t="str">
        <f t="shared" si="2"/>
        <v/>
      </c>
      <c r="C6059" s="2" t="str">
        <f t="shared" si="3"/>
        <v>SP500</v>
      </c>
      <c r="D6059" s="2">
        <f t="shared" si="4"/>
        <v>10542.94</v>
      </c>
      <c r="E6059" s="2">
        <f t="shared" si="5"/>
        <v>10542.94</v>
      </c>
      <c r="G6059" s="10">
        <f t="shared" si="9"/>
        <v>44041.64583</v>
      </c>
      <c r="H6059" s="6" t="str">
        <f t="shared" si="6"/>
        <v/>
      </c>
      <c r="I6059" s="2">
        <f t="shared" si="7"/>
        <v>1426.89</v>
      </c>
    </row>
    <row r="6060">
      <c r="A6060" s="10">
        <f t="shared" si="8"/>
        <v>44042.66667</v>
      </c>
      <c r="B6060" s="2" t="str">
        <f t="shared" si="2"/>
        <v/>
      </c>
      <c r="C6060" s="2" t="str">
        <f t="shared" si="3"/>
        <v>SP500</v>
      </c>
      <c r="D6060" s="2">
        <f t="shared" si="4"/>
        <v>10587.81</v>
      </c>
      <c r="E6060" s="2">
        <f t="shared" si="5"/>
        <v>10587.81</v>
      </c>
      <c r="G6060" s="10">
        <f t="shared" si="9"/>
        <v>44042.64583</v>
      </c>
      <c r="H6060" s="6" t="str">
        <f t="shared" si="6"/>
        <v/>
      </c>
      <c r="I6060" s="2">
        <f t="shared" si="7"/>
        <v>1426.89</v>
      </c>
    </row>
    <row r="6061">
      <c r="A6061" s="10">
        <f t="shared" si="8"/>
        <v>44043.66667</v>
      </c>
      <c r="B6061" s="2" t="str">
        <f t="shared" si="2"/>
        <v/>
      </c>
      <c r="C6061" s="2" t="str">
        <f t="shared" si="3"/>
        <v>SP500</v>
      </c>
      <c r="D6061" s="2">
        <f t="shared" si="4"/>
        <v>10745.28</v>
      </c>
      <c r="E6061" s="2">
        <f t="shared" si="5"/>
        <v>10745.28</v>
      </c>
      <c r="G6061" s="10">
        <f t="shared" si="9"/>
        <v>44043.64583</v>
      </c>
      <c r="H6061" s="6" t="str">
        <f t="shared" si="6"/>
        <v/>
      </c>
      <c r="I6061" s="2">
        <f t="shared" si="7"/>
        <v>1426.89</v>
      </c>
    </row>
    <row r="6062">
      <c r="A6062" s="10">
        <f t="shared" si="8"/>
        <v>44044.66667</v>
      </c>
      <c r="B6062" s="2" t="str">
        <f t="shared" si="2"/>
        <v/>
      </c>
      <c r="C6062" s="2" t="str">
        <f t="shared" si="3"/>
        <v>SP500</v>
      </c>
      <c r="D6062" s="2" t="str">
        <f t="shared" si="4"/>
        <v/>
      </c>
      <c r="E6062" s="2">
        <f t="shared" si="5"/>
        <v>10745.28</v>
      </c>
      <c r="G6062" s="10">
        <f t="shared" si="9"/>
        <v>44044.64583</v>
      </c>
      <c r="H6062" s="6" t="str">
        <f t="shared" si="6"/>
        <v/>
      </c>
      <c r="I6062" s="2">
        <f t="shared" si="7"/>
        <v>1426.89</v>
      </c>
    </row>
    <row r="6063">
      <c r="A6063" s="10">
        <f t="shared" si="8"/>
        <v>44045.66667</v>
      </c>
      <c r="B6063" s="2" t="str">
        <f t="shared" si="2"/>
        <v/>
      </c>
      <c r="C6063" s="2" t="str">
        <f t="shared" si="3"/>
        <v>SP500</v>
      </c>
      <c r="D6063" s="2" t="str">
        <f t="shared" si="4"/>
        <v/>
      </c>
      <c r="E6063" s="2">
        <f t="shared" si="5"/>
        <v>10745.28</v>
      </c>
      <c r="G6063" s="10">
        <f t="shared" si="9"/>
        <v>44045.64583</v>
      </c>
      <c r="H6063" s="6" t="str">
        <f t="shared" si="6"/>
        <v/>
      </c>
      <c r="I6063" s="2">
        <f t="shared" si="7"/>
        <v>1426.89</v>
      </c>
    </row>
    <row r="6064">
      <c r="A6064" s="10">
        <f t="shared" si="8"/>
        <v>44046.66667</v>
      </c>
      <c r="B6064" s="2" t="str">
        <f t="shared" si="2"/>
        <v/>
      </c>
      <c r="C6064" s="2" t="str">
        <f t="shared" si="3"/>
        <v>SP500</v>
      </c>
      <c r="D6064" s="2">
        <f t="shared" si="4"/>
        <v>10902.8</v>
      </c>
      <c r="E6064" s="2">
        <f t="shared" si="5"/>
        <v>10902.8</v>
      </c>
      <c r="G6064" s="10">
        <f t="shared" si="9"/>
        <v>44046.64583</v>
      </c>
      <c r="H6064" s="6" t="str">
        <f t="shared" si="6"/>
        <v/>
      </c>
      <c r="I6064" s="2">
        <f t="shared" si="7"/>
        <v>1426.89</v>
      </c>
    </row>
    <row r="6065">
      <c r="A6065" s="10">
        <f t="shared" si="8"/>
        <v>44047.66667</v>
      </c>
      <c r="B6065" s="2" t="str">
        <f t="shared" si="2"/>
        <v/>
      </c>
      <c r="C6065" s="2" t="str">
        <f t="shared" si="3"/>
        <v>SP500</v>
      </c>
      <c r="D6065" s="2">
        <f t="shared" si="4"/>
        <v>10941.17</v>
      </c>
      <c r="E6065" s="2">
        <f t="shared" si="5"/>
        <v>10941.17</v>
      </c>
      <c r="G6065" s="10">
        <f t="shared" si="9"/>
        <v>44047.64583</v>
      </c>
      <c r="H6065" s="6" t="str">
        <f t="shared" si="6"/>
        <v/>
      </c>
      <c r="I6065" s="2">
        <f t="shared" si="7"/>
        <v>1426.89</v>
      </c>
    </row>
    <row r="6066">
      <c r="A6066" s="10">
        <f t="shared" si="8"/>
        <v>44048.66667</v>
      </c>
      <c r="B6066" s="2" t="str">
        <f t="shared" si="2"/>
        <v/>
      </c>
      <c r="C6066" s="2" t="str">
        <f t="shared" si="3"/>
        <v>SP500</v>
      </c>
      <c r="D6066" s="2">
        <f t="shared" si="4"/>
        <v>10998.4</v>
      </c>
      <c r="E6066" s="2">
        <f t="shared" si="5"/>
        <v>10998.4</v>
      </c>
      <c r="G6066" s="10">
        <f t="shared" si="9"/>
        <v>44048.64583</v>
      </c>
      <c r="H6066" s="6" t="str">
        <f t="shared" si="6"/>
        <v/>
      </c>
      <c r="I6066" s="2">
        <f t="shared" si="7"/>
        <v>1426.89</v>
      </c>
    </row>
    <row r="6067">
      <c r="A6067" s="10">
        <f t="shared" si="8"/>
        <v>44049.66667</v>
      </c>
      <c r="B6067" s="2" t="str">
        <f t="shared" si="2"/>
        <v/>
      </c>
      <c r="C6067" s="2" t="str">
        <f t="shared" si="3"/>
        <v>SP500</v>
      </c>
      <c r="D6067" s="2">
        <f t="shared" si="4"/>
        <v>11108.07</v>
      </c>
      <c r="E6067" s="2">
        <f t="shared" si="5"/>
        <v>11108.07</v>
      </c>
      <c r="G6067" s="10">
        <f t="shared" si="9"/>
        <v>44049.64583</v>
      </c>
      <c r="H6067" s="6" t="str">
        <f t="shared" si="6"/>
        <v/>
      </c>
      <c r="I6067" s="2">
        <f t="shared" si="7"/>
        <v>1426.89</v>
      </c>
    </row>
    <row r="6068">
      <c r="A6068" s="10">
        <f t="shared" si="8"/>
        <v>44050.66667</v>
      </c>
      <c r="B6068" s="2" t="str">
        <f t="shared" si="2"/>
        <v/>
      </c>
      <c r="C6068" s="2" t="str">
        <f t="shared" si="3"/>
        <v>SP500</v>
      </c>
      <c r="D6068" s="2">
        <f t="shared" si="4"/>
        <v>11010.98</v>
      </c>
      <c r="E6068" s="2">
        <f t="shared" si="5"/>
        <v>11010.98</v>
      </c>
      <c r="G6068" s="10">
        <f t="shared" si="9"/>
        <v>44050.64583</v>
      </c>
      <c r="H6068" s="6" t="str">
        <f t="shared" si="6"/>
        <v/>
      </c>
      <c r="I6068" s="2">
        <f t="shared" si="7"/>
        <v>1426.89</v>
      </c>
    </row>
    <row r="6069">
      <c r="A6069" s="10">
        <f t="shared" si="8"/>
        <v>44051.66667</v>
      </c>
      <c r="B6069" s="2" t="str">
        <f t="shared" si="2"/>
        <v/>
      </c>
      <c r="C6069" s="2" t="str">
        <f t="shared" si="3"/>
        <v>SP500</v>
      </c>
      <c r="D6069" s="2" t="str">
        <f t="shared" si="4"/>
        <v/>
      </c>
      <c r="E6069" s="2">
        <f t="shared" si="5"/>
        <v>11010.98</v>
      </c>
      <c r="G6069" s="10">
        <f t="shared" si="9"/>
        <v>44051.64583</v>
      </c>
      <c r="H6069" s="6" t="str">
        <f t="shared" si="6"/>
        <v/>
      </c>
      <c r="I6069" s="2">
        <f t="shared" si="7"/>
        <v>1426.89</v>
      </c>
    </row>
    <row r="6070">
      <c r="A6070" s="10">
        <f t="shared" si="8"/>
        <v>44052.66667</v>
      </c>
      <c r="B6070" s="2" t="str">
        <f t="shared" si="2"/>
        <v/>
      </c>
      <c r="C6070" s="2" t="str">
        <f t="shared" si="3"/>
        <v>SP500</v>
      </c>
      <c r="D6070" s="2" t="str">
        <f t="shared" si="4"/>
        <v/>
      </c>
      <c r="E6070" s="2">
        <f t="shared" si="5"/>
        <v>11010.98</v>
      </c>
      <c r="G6070" s="10">
        <f t="shared" si="9"/>
        <v>44052.64583</v>
      </c>
      <c r="H6070" s="6" t="str">
        <f t="shared" si="6"/>
        <v/>
      </c>
      <c r="I6070" s="2">
        <f t="shared" si="7"/>
        <v>1426.89</v>
      </c>
    </row>
    <row r="6071">
      <c r="A6071" s="10">
        <f t="shared" si="8"/>
        <v>44053.66667</v>
      </c>
      <c r="B6071" s="2" t="str">
        <f t="shared" si="2"/>
        <v/>
      </c>
      <c r="C6071" s="2" t="str">
        <f t="shared" si="3"/>
        <v>SP500</v>
      </c>
      <c r="D6071" s="2">
        <f t="shared" si="4"/>
        <v>10968.36</v>
      </c>
      <c r="E6071" s="2">
        <f t="shared" si="5"/>
        <v>10968.36</v>
      </c>
      <c r="G6071" s="10">
        <f t="shared" si="9"/>
        <v>44053.64583</v>
      </c>
      <c r="H6071" s="6" t="str">
        <f t="shared" si="6"/>
        <v/>
      </c>
      <c r="I6071" s="2">
        <f t="shared" si="7"/>
        <v>1426.89</v>
      </c>
    </row>
    <row r="6072">
      <c r="A6072" s="10">
        <f t="shared" si="8"/>
        <v>44054.66667</v>
      </c>
      <c r="B6072" s="2" t="str">
        <f t="shared" si="2"/>
        <v/>
      </c>
      <c r="C6072" s="2" t="str">
        <f t="shared" si="3"/>
        <v>SP500</v>
      </c>
      <c r="D6072" s="2">
        <f t="shared" si="4"/>
        <v>10782.82</v>
      </c>
      <c r="E6072" s="2">
        <f t="shared" si="5"/>
        <v>10782.82</v>
      </c>
      <c r="G6072" s="10">
        <f t="shared" si="9"/>
        <v>44054.64583</v>
      </c>
      <c r="H6072" s="6" t="str">
        <f t="shared" si="6"/>
        <v/>
      </c>
      <c r="I6072" s="2">
        <f t="shared" si="7"/>
        <v>1426.89</v>
      </c>
    </row>
    <row r="6073">
      <c r="A6073" s="10">
        <f t="shared" si="8"/>
        <v>44055.66667</v>
      </c>
      <c r="B6073" s="2" t="str">
        <f t="shared" si="2"/>
        <v/>
      </c>
      <c r="C6073" s="2" t="str">
        <f t="shared" si="3"/>
        <v>SP500</v>
      </c>
      <c r="D6073" s="2">
        <f t="shared" si="4"/>
        <v>11012.24</v>
      </c>
      <c r="E6073" s="2">
        <f t="shared" si="5"/>
        <v>11012.24</v>
      </c>
      <c r="G6073" s="10">
        <f t="shared" si="9"/>
        <v>44055.64583</v>
      </c>
      <c r="H6073" s="6" t="str">
        <f t="shared" si="6"/>
        <v/>
      </c>
      <c r="I6073" s="2">
        <f t="shared" si="7"/>
        <v>1426.89</v>
      </c>
    </row>
    <row r="6074">
      <c r="A6074" s="10">
        <f t="shared" si="8"/>
        <v>44056.66667</v>
      </c>
      <c r="B6074" s="2" t="str">
        <f t="shared" si="2"/>
        <v/>
      </c>
      <c r="C6074" s="2" t="str">
        <f t="shared" si="3"/>
        <v>SP500</v>
      </c>
      <c r="D6074" s="2">
        <f t="shared" si="4"/>
        <v>11042.5</v>
      </c>
      <c r="E6074" s="2">
        <f t="shared" si="5"/>
        <v>11042.5</v>
      </c>
      <c r="G6074" s="10">
        <f t="shared" si="9"/>
        <v>44056.64583</v>
      </c>
      <c r="H6074" s="6" t="str">
        <f t="shared" si="6"/>
        <v/>
      </c>
      <c r="I6074" s="2">
        <f t="shared" si="7"/>
        <v>1426.89</v>
      </c>
    </row>
    <row r="6075">
      <c r="A6075" s="10">
        <f t="shared" si="8"/>
        <v>44057.66667</v>
      </c>
      <c r="B6075" s="2" t="str">
        <f t="shared" si="2"/>
        <v/>
      </c>
      <c r="C6075" s="2" t="str">
        <f t="shared" si="3"/>
        <v>SP500</v>
      </c>
      <c r="D6075" s="2">
        <f t="shared" si="4"/>
        <v>11019.3</v>
      </c>
      <c r="E6075" s="2">
        <f t="shared" si="5"/>
        <v>11019.3</v>
      </c>
      <c r="G6075" s="10">
        <f t="shared" si="9"/>
        <v>44057.64583</v>
      </c>
      <c r="H6075" s="6" t="str">
        <f t="shared" si="6"/>
        <v/>
      </c>
      <c r="I6075" s="2">
        <f t="shared" si="7"/>
        <v>1426.89</v>
      </c>
    </row>
    <row r="6076">
      <c r="A6076" s="10">
        <f t="shared" si="8"/>
        <v>44058.66667</v>
      </c>
      <c r="B6076" s="2" t="str">
        <f t="shared" si="2"/>
        <v/>
      </c>
      <c r="C6076" s="2" t="str">
        <f t="shared" si="3"/>
        <v>SP500</v>
      </c>
      <c r="D6076" s="2" t="str">
        <f t="shared" si="4"/>
        <v/>
      </c>
      <c r="E6076" s="2">
        <f t="shared" si="5"/>
        <v>11019.3</v>
      </c>
      <c r="G6076" s="10">
        <f t="shared" si="9"/>
        <v>44058.64583</v>
      </c>
      <c r="H6076" s="6" t="str">
        <f t="shared" si="6"/>
        <v/>
      </c>
      <c r="I6076" s="2">
        <f t="shared" si="7"/>
        <v>1426.89</v>
      </c>
    </row>
    <row r="6077">
      <c r="A6077" s="10">
        <f t="shared" si="8"/>
        <v>44059.66667</v>
      </c>
      <c r="B6077" s="2" t="str">
        <f t="shared" si="2"/>
        <v/>
      </c>
      <c r="C6077" s="2" t="str">
        <f t="shared" si="3"/>
        <v>SP500</v>
      </c>
      <c r="D6077" s="2" t="str">
        <f t="shared" si="4"/>
        <v/>
      </c>
      <c r="E6077" s="2">
        <f t="shared" si="5"/>
        <v>11019.3</v>
      </c>
      <c r="G6077" s="10">
        <f t="shared" si="9"/>
        <v>44059.64583</v>
      </c>
      <c r="H6077" s="6" t="str">
        <f t="shared" si="6"/>
        <v/>
      </c>
      <c r="I6077" s="2">
        <f t="shared" si="7"/>
        <v>1426.89</v>
      </c>
    </row>
    <row r="6078">
      <c r="A6078" s="10">
        <f t="shared" si="8"/>
        <v>44060.66667</v>
      </c>
      <c r="B6078" s="2" t="str">
        <f t="shared" si="2"/>
        <v/>
      </c>
      <c r="C6078" s="2" t="str">
        <f t="shared" si="3"/>
        <v>SP500</v>
      </c>
      <c r="D6078" s="2">
        <f t="shared" si="4"/>
        <v>11129.73</v>
      </c>
      <c r="E6078" s="2">
        <f t="shared" si="5"/>
        <v>11129.73</v>
      </c>
      <c r="G6078" s="10">
        <f t="shared" si="9"/>
        <v>44060.64583</v>
      </c>
      <c r="H6078" s="6" t="str">
        <f t="shared" si="6"/>
        <v/>
      </c>
      <c r="I6078" s="2">
        <f t="shared" si="7"/>
        <v>1426.89</v>
      </c>
    </row>
    <row r="6079">
      <c r="A6079" s="10">
        <f t="shared" si="8"/>
        <v>44061.66667</v>
      </c>
      <c r="B6079" s="2" t="str">
        <f t="shared" si="2"/>
        <v/>
      </c>
      <c r="C6079" s="2" t="str">
        <f t="shared" si="3"/>
        <v>SP500</v>
      </c>
      <c r="D6079" s="2">
        <f t="shared" si="4"/>
        <v>11210.84</v>
      </c>
      <c r="E6079" s="2">
        <f t="shared" si="5"/>
        <v>11210.84</v>
      </c>
      <c r="G6079" s="10">
        <f t="shared" si="9"/>
        <v>44061.64583</v>
      </c>
      <c r="H6079" s="6" t="str">
        <f t="shared" si="6"/>
        <v/>
      </c>
      <c r="I6079" s="2">
        <f t="shared" si="7"/>
        <v>1426.89</v>
      </c>
    </row>
    <row r="6080">
      <c r="A6080" s="10">
        <f t="shared" si="8"/>
        <v>44062.66667</v>
      </c>
      <c r="B6080" s="2" t="str">
        <f t="shared" si="2"/>
        <v/>
      </c>
      <c r="C6080" s="2" t="str">
        <f t="shared" si="3"/>
        <v>SP500</v>
      </c>
      <c r="D6080" s="2">
        <f t="shared" si="4"/>
        <v>11146.46</v>
      </c>
      <c r="E6080" s="2">
        <f t="shared" si="5"/>
        <v>11146.46</v>
      </c>
      <c r="G6080" s="10">
        <f t="shared" si="9"/>
        <v>44062.64583</v>
      </c>
      <c r="H6080" s="6" t="str">
        <f t="shared" si="6"/>
        <v/>
      </c>
      <c r="I6080" s="2">
        <f t="shared" si="7"/>
        <v>1426.89</v>
      </c>
    </row>
    <row r="6081">
      <c r="A6081" s="10">
        <f t="shared" si="8"/>
        <v>44063.66667</v>
      </c>
      <c r="B6081" s="2" t="str">
        <f t="shared" si="2"/>
        <v/>
      </c>
      <c r="C6081" s="2" t="str">
        <f t="shared" si="3"/>
        <v>SP500</v>
      </c>
      <c r="D6081" s="2">
        <f t="shared" si="4"/>
        <v>11264.95</v>
      </c>
      <c r="E6081" s="2">
        <f t="shared" si="5"/>
        <v>11264.95</v>
      </c>
      <c r="G6081" s="10">
        <f t="shared" si="9"/>
        <v>44063.64583</v>
      </c>
      <c r="H6081" s="6" t="str">
        <f t="shared" si="6"/>
        <v/>
      </c>
      <c r="I6081" s="2">
        <f t="shared" si="7"/>
        <v>1426.89</v>
      </c>
    </row>
    <row r="6082">
      <c r="A6082" s="10">
        <f t="shared" si="8"/>
        <v>44064.66667</v>
      </c>
      <c r="B6082" s="2" t="str">
        <f t="shared" si="2"/>
        <v/>
      </c>
      <c r="C6082" s="2" t="str">
        <f t="shared" si="3"/>
        <v>SP500</v>
      </c>
      <c r="D6082" s="2">
        <f t="shared" si="4"/>
        <v>11311.8</v>
      </c>
      <c r="E6082" s="2">
        <f t="shared" si="5"/>
        <v>11311.8</v>
      </c>
      <c r="G6082" s="10">
        <f t="shared" si="9"/>
        <v>44064.64583</v>
      </c>
      <c r="H6082" s="6" t="str">
        <f t="shared" si="6"/>
        <v/>
      </c>
      <c r="I6082" s="2">
        <f t="shared" si="7"/>
        <v>1426.89</v>
      </c>
    </row>
    <row r="6083">
      <c r="A6083" s="10">
        <f t="shared" si="8"/>
        <v>44065.66667</v>
      </c>
      <c r="B6083" s="2" t="str">
        <f t="shared" si="2"/>
        <v/>
      </c>
      <c r="C6083" s="2" t="str">
        <f t="shared" si="3"/>
        <v>SP500</v>
      </c>
      <c r="D6083" s="2" t="str">
        <f t="shared" si="4"/>
        <v/>
      </c>
      <c r="E6083" s="2">
        <f t="shared" si="5"/>
        <v>11311.8</v>
      </c>
      <c r="G6083" s="10">
        <f t="shared" si="9"/>
        <v>44065.64583</v>
      </c>
      <c r="H6083" s="6" t="str">
        <f t="shared" si="6"/>
        <v/>
      </c>
      <c r="I6083" s="2">
        <f t="shared" si="7"/>
        <v>1426.89</v>
      </c>
    </row>
    <row r="6084">
      <c r="A6084" s="10">
        <f t="shared" si="8"/>
        <v>44066.66667</v>
      </c>
      <c r="B6084" s="2" t="str">
        <f t="shared" si="2"/>
        <v/>
      </c>
      <c r="C6084" s="2" t="str">
        <f t="shared" si="3"/>
        <v>SP500</v>
      </c>
      <c r="D6084" s="2" t="str">
        <f t="shared" si="4"/>
        <v/>
      </c>
      <c r="E6084" s="2">
        <f t="shared" si="5"/>
        <v>11311.8</v>
      </c>
      <c r="G6084" s="10">
        <f t="shared" si="9"/>
        <v>44066.64583</v>
      </c>
      <c r="H6084" s="6" t="str">
        <f t="shared" si="6"/>
        <v/>
      </c>
      <c r="I6084" s="2">
        <f t="shared" si="7"/>
        <v>1426.89</v>
      </c>
    </row>
    <row r="6085">
      <c r="A6085" s="10">
        <f t="shared" si="8"/>
        <v>44067.66667</v>
      </c>
      <c r="B6085" s="2" t="str">
        <f t="shared" si="2"/>
        <v/>
      </c>
      <c r="C6085" s="2" t="str">
        <f t="shared" si="3"/>
        <v>SP500</v>
      </c>
      <c r="D6085" s="2">
        <f t="shared" si="4"/>
        <v>11379.72</v>
      </c>
      <c r="E6085" s="2">
        <f t="shared" si="5"/>
        <v>11379.72</v>
      </c>
      <c r="G6085" s="10">
        <f t="shared" si="9"/>
        <v>44067.64583</v>
      </c>
      <c r="H6085" s="6" t="str">
        <f t="shared" si="6"/>
        <v/>
      </c>
      <c r="I6085" s="2">
        <f t="shared" si="7"/>
        <v>1426.89</v>
      </c>
    </row>
    <row r="6086">
      <c r="A6086" s="10">
        <f t="shared" si="8"/>
        <v>44068.66667</v>
      </c>
      <c r="B6086" s="2" t="str">
        <f t="shared" si="2"/>
        <v/>
      </c>
      <c r="C6086" s="2" t="str">
        <f t="shared" si="3"/>
        <v>SP500</v>
      </c>
      <c r="D6086" s="2">
        <f t="shared" si="4"/>
        <v>11466.47</v>
      </c>
      <c r="E6086" s="2">
        <f t="shared" si="5"/>
        <v>11466.47</v>
      </c>
      <c r="G6086" s="10">
        <f t="shared" si="9"/>
        <v>44068.64583</v>
      </c>
      <c r="H6086" s="6" t="str">
        <f t="shared" si="6"/>
        <v/>
      </c>
      <c r="I6086" s="2">
        <f t="shared" si="7"/>
        <v>1426.89</v>
      </c>
    </row>
    <row r="6087">
      <c r="A6087" s="10">
        <f t="shared" si="8"/>
        <v>44069.66667</v>
      </c>
      <c r="B6087" s="2" t="str">
        <f t="shared" si="2"/>
        <v/>
      </c>
      <c r="C6087" s="2" t="str">
        <f t="shared" si="3"/>
        <v>SP500</v>
      </c>
      <c r="D6087" s="2">
        <f t="shared" si="4"/>
        <v>11665.06</v>
      </c>
      <c r="E6087" s="2">
        <f t="shared" si="5"/>
        <v>11665.06</v>
      </c>
      <c r="G6087" s="10">
        <f t="shared" si="9"/>
        <v>44069.64583</v>
      </c>
      <c r="H6087" s="6" t="str">
        <f t="shared" si="6"/>
        <v/>
      </c>
      <c r="I6087" s="2">
        <f t="shared" si="7"/>
        <v>1426.89</v>
      </c>
    </row>
    <row r="6088">
      <c r="A6088" s="10">
        <f t="shared" si="8"/>
        <v>44070.66667</v>
      </c>
      <c r="B6088" s="2" t="str">
        <f t="shared" si="2"/>
        <v/>
      </c>
      <c r="C6088" s="2" t="str">
        <f t="shared" si="3"/>
        <v>SP500</v>
      </c>
      <c r="D6088" s="2">
        <f t="shared" si="4"/>
        <v>11625.34</v>
      </c>
      <c r="E6088" s="2">
        <f t="shared" si="5"/>
        <v>11625.34</v>
      </c>
      <c r="G6088" s="10">
        <f t="shared" si="9"/>
        <v>44070.64583</v>
      </c>
      <c r="H6088" s="6" t="str">
        <f t="shared" si="6"/>
        <v/>
      </c>
      <c r="I6088" s="2">
        <f t="shared" si="7"/>
        <v>1426.89</v>
      </c>
    </row>
    <row r="6089">
      <c r="A6089" s="10">
        <f t="shared" si="8"/>
        <v>44071.66667</v>
      </c>
      <c r="B6089" s="2" t="str">
        <f t="shared" si="2"/>
        <v/>
      </c>
      <c r="C6089" s="2" t="str">
        <f t="shared" si="3"/>
        <v>SP500</v>
      </c>
      <c r="D6089" s="2">
        <f t="shared" si="4"/>
        <v>11695.63</v>
      </c>
      <c r="E6089" s="2">
        <f t="shared" si="5"/>
        <v>11695.63</v>
      </c>
      <c r="G6089" s="10">
        <f t="shared" si="9"/>
        <v>44071.64583</v>
      </c>
      <c r="H6089" s="6" t="str">
        <f t="shared" si="6"/>
        <v/>
      </c>
      <c r="I6089" s="2">
        <f t="shared" si="7"/>
        <v>1426.89</v>
      </c>
    </row>
    <row r="6090">
      <c r="A6090" s="10">
        <f t="shared" si="8"/>
        <v>44072.66667</v>
      </c>
      <c r="B6090" s="2" t="str">
        <f t="shared" si="2"/>
        <v/>
      </c>
      <c r="C6090" s="2" t="str">
        <f t="shared" si="3"/>
        <v>SP500</v>
      </c>
      <c r="D6090" s="2" t="str">
        <f t="shared" si="4"/>
        <v/>
      </c>
      <c r="E6090" s="2">
        <f t="shared" si="5"/>
        <v>11695.63</v>
      </c>
      <c r="G6090" s="10">
        <f t="shared" si="9"/>
        <v>44072.64583</v>
      </c>
      <c r="H6090" s="6" t="str">
        <f t="shared" si="6"/>
        <v/>
      </c>
      <c r="I6090" s="2">
        <f t="shared" si="7"/>
        <v>1426.89</v>
      </c>
    </row>
    <row r="6091">
      <c r="A6091" s="10">
        <f t="shared" si="8"/>
        <v>44073.66667</v>
      </c>
      <c r="B6091" s="2" t="str">
        <f t="shared" si="2"/>
        <v/>
      </c>
      <c r="C6091" s="2" t="str">
        <f t="shared" si="3"/>
        <v>SP500</v>
      </c>
      <c r="D6091" s="2" t="str">
        <f t="shared" si="4"/>
        <v/>
      </c>
      <c r="E6091" s="2">
        <f t="shared" si="5"/>
        <v>11695.63</v>
      </c>
      <c r="G6091" s="10">
        <f t="shared" si="9"/>
        <v>44073.64583</v>
      </c>
      <c r="H6091" s="6" t="str">
        <f t="shared" si="6"/>
        <v/>
      </c>
      <c r="I6091" s="2">
        <f t="shared" si="7"/>
        <v>1426.89</v>
      </c>
    </row>
    <row r="6092">
      <c r="A6092" s="10">
        <f t="shared" si="8"/>
        <v>44074.66667</v>
      </c>
      <c r="B6092" s="2" t="str">
        <f t="shared" si="2"/>
        <v/>
      </c>
      <c r="C6092" s="2" t="str">
        <f t="shared" si="3"/>
        <v>SP500</v>
      </c>
      <c r="D6092" s="2">
        <f t="shared" si="4"/>
        <v>11775.46</v>
      </c>
      <c r="E6092" s="2">
        <f t="shared" si="5"/>
        <v>11775.46</v>
      </c>
      <c r="G6092" s="10">
        <f t="shared" si="9"/>
        <v>44074.64583</v>
      </c>
      <c r="H6092" s="6" t="str">
        <f t="shared" si="6"/>
        <v/>
      </c>
      <c r="I6092" s="2">
        <f t="shared" si="7"/>
        <v>1426.89</v>
      </c>
    </row>
    <row r="6093">
      <c r="A6093" s="10">
        <f t="shared" si="8"/>
        <v>44075.66667</v>
      </c>
      <c r="B6093" s="2" t="str">
        <f t="shared" si="2"/>
        <v/>
      </c>
      <c r="C6093" s="2" t="str">
        <f t="shared" si="3"/>
        <v>SP500</v>
      </c>
      <c r="D6093" s="2">
        <f t="shared" si="4"/>
        <v>11939.67</v>
      </c>
      <c r="E6093" s="2">
        <f t="shared" si="5"/>
        <v>11939.67</v>
      </c>
      <c r="G6093" s="10">
        <f t="shared" si="9"/>
        <v>44075.64583</v>
      </c>
      <c r="H6093" s="6" t="str">
        <f t="shared" si="6"/>
        <v/>
      </c>
      <c r="I6093" s="2">
        <f t="shared" si="7"/>
        <v>1426.89</v>
      </c>
    </row>
    <row r="6094">
      <c r="A6094" s="10">
        <f t="shared" si="8"/>
        <v>44076.66667</v>
      </c>
      <c r="B6094" s="2" t="str">
        <f t="shared" si="2"/>
        <v/>
      </c>
      <c r="C6094" s="2" t="str">
        <f t="shared" si="3"/>
        <v>SP500</v>
      </c>
      <c r="D6094" s="2">
        <f t="shared" si="4"/>
        <v>12056.44</v>
      </c>
      <c r="E6094" s="2">
        <f t="shared" si="5"/>
        <v>12056.44</v>
      </c>
      <c r="G6094" s="10">
        <f t="shared" si="9"/>
        <v>44076.64583</v>
      </c>
      <c r="H6094" s="6" t="str">
        <f t="shared" si="6"/>
        <v/>
      </c>
      <c r="I6094" s="2">
        <f t="shared" si="7"/>
        <v>1426.89</v>
      </c>
    </row>
    <row r="6095">
      <c r="A6095" s="10">
        <f t="shared" si="8"/>
        <v>44077.66667</v>
      </c>
      <c r="B6095" s="2" t="str">
        <f t="shared" si="2"/>
        <v/>
      </c>
      <c r="C6095" s="2" t="str">
        <f t="shared" si="3"/>
        <v>SP500</v>
      </c>
      <c r="D6095" s="2">
        <f t="shared" si="4"/>
        <v>11458.1</v>
      </c>
      <c r="E6095" s="2">
        <f t="shared" si="5"/>
        <v>11458.1</v>
      </c>
      <c r="G6095" s="10">
        <f t="shared" si="9"/>
        <v>44077.64583</v>
      </c>
      <c r="H6095" s="6" t="str">
        <f t="shared" si="6"/>
        <v/>
      </c>
      <c r="I6095" s="2">
        <f t="shared" si="7"/>
        <v>1426.89</v>
      </c>
    </row>
    <row r="6096">
      <c r="A6096" s="10">
        <f t="shared" si="8"/>
        <v>44078.66667</v>
      </c>
      <c r="B6096" s="2" t="str">
        <f t="shared" si="2"/>
        <v/>
      </c>
      <c r="C6096" s="2" t="str">
        <f t="shared" si="3"/>
        <v>SP500</v>
      </c>
      <c r="D6096" s="2">
        <f t="shared" si="4"/>
        <v>11313.13</v>
      </c>
      <c r="E6096" s="2">
        <f t="shared" si="5"/>
        <v>11313.13</v>
      </c>
      <c r="G6096" s="10">
        <f t="shared" si="9"/>
        <v>44078.64583</v>
      </c>
      <c r="H6096" s="6" t="str">
        <f t="shared" si="6"/>
        <v/>
      </c>
      <c r="I6096" s="2">
        <f t="shared" si="7"/>
        <v>1426.89</v>
      </c>
    </row>
    <row r="6097">
      <c r="A6097" s="10">
        <f t="shared" si="8"/>
        <v>44079.66667</v>
      </c>
      <c r="B6097" s="2" t="str">
        <f t="shared" si="2"/>
        <v/>
      </c>
      <c r="C6097" s="2" t="str">
        <f t="shared" si="3"/>
        <v>SP500</v>
      </c>
      <c r="D6097" s="2" t="str">
        <f t="shared" si="4"/>
        <v/>
      </c>
      <c r="E6097" s="2">
        <f t="shared" si="5"/>
        <v>11313.13</v>
      </c>
      <c r="G6097" s="10">
        <f t="shared" si="9"/>
        <v>44079.64583</v>
      </c>
      <c r="H6097" s="6" t="str">
        <f t="shared" si="6"/>
        <v/>
      </c>
      <c r="I6097" s="2">
        <f t="shared" si="7"/>
        <v>1426.89</v>
      </c>
    </row>
    <row r="6098">
      <c r="A6098" s="10">
        <f t="shared" si="8"/>
        <v>44080.66667</v>
      </c>
      <c r="B6098" s="2" t="str">
        <f t="shared" si="2"/>
        <v/>
      </c>
      <c r="C6098" s="2" t="str">
        <f t="shared" si="3"/>
        <v>SP500</v>
      </c>
      <c r="D6098" s="2" t="str">
        <f t="shared" si="4"/>
        <v/>
      </c>
      <c r="E6098" s="2">
        <f t="shared" si="5"/>
        <v>11313.13</v>
      </c>
      <c r="G6098" s="10">
        <f t="shared" si="9"/>
        <v>44080.64583</v>
      </c>
      <c r="H6098" s="6" t="str">
        <f t="shared" si="6"/>
        <v/>
      </c>
      <c r="I6098" s="2">
        <f t="shared" si="7"/>
        <v>1426.89</v>
      </c>
    </row>
    <row r="6099">
      <c r="A6099" s="10">
        <f t="shared" si="8"/>
        <v>44081.66667</v>
      </c>
      <c r="B6099" s="2" t="str">
        <f t="shared" si="2"/>
        <v/>
      </c>
      <c r="C6099" s="2" t="str">
        <f t="shared" si="3"/>
        <v>SP500</v>
      </c>
      <c r="D6099" s="2" t="str">
        <f t="shared" si="4"/>
        <v/>
      </c>
      <c r="E6099" s="2">
        <f t="shared" si="5"/>
        <v>11313.13</v>
      </c>
      <c r="G6099" s="10">
        <f t="shared" si="9"/>
        <v>44081.64583</v>
      </c>
      <c r="H6099" s="6" t="str">
        <f t="shared" si="6"/>
        <v/>
      </c>
      <c r="I6099" s="2">
        <f t="shared" si="7"/>
        <v>1426.89</v>
      </c>
    </row>
    <row r="6100">
      <c r="A6100" s="10">
        <f t="shared" si="8"/>
        <v>44082.66667</v>
      </c>
      <c r="B6100" s="2" t="str">
        <f t="shared" si="2"/>
        <v/>
      </c>
      <c r="C6100" s="2" t="str">
        <f t="shared" si="3"/>
        <v>SP500</v>
      </c>
      <c r="D6100" s="2">
        <f t="shared" si="4"/>
        <v>10847.69</v>
      </c>
      <c r="E6100" s="2">
        <f t="shared" si="5"/>
        <v>10847.69</v>
      </c>
      <c r="G6100" s="10">
        <f t="shared" si="9"/>
        <v>44082.64583</v>
      </c>
      <c r="H6100" s="6" t="str">
        <f t="shared" si="6"/>
        <v/>
      </c>
      <c r="I6100" s="2">
        <f t="shared" si="7"/>
        <v>1426.89</v>
      </c>
    </row>
    <row r="6101">
      <c r="A6101" s="10">
        <f t="shared" si="8"/>
        <v>44083.66667</v>
      </c>
      <c r="B6101" s="2" t="str">
        <f t="shared" si="2"/>
        <v/>
      </c>
      <c r="C6101" s="2" t="str">
        <f t="shared" si="3"/>
        <v>SP500</v>
      </c>
      <c r="D6101" s="2">
        <f t="shared" si="4"/>
        <v>11141.56</v>
      </c>
      <c r="E6101" s="2">
        <f t="shared" si="5"/>
        <v>11141.56</v>
      </c>
      <c r="G6101" s="10">
        <f t="shared" si="9"/>
        <v>44083.64583</v>
      </c>
      <c r="H6101" s="6" t="str">
        <f t="shared" si="6"/>
        <v/>
      </c>
      <c r="I6101" s="2">
        <f t="shared" si="7"/>
        <v>1426.89</v>
      </c>
    </row>
    <row r="6102">
      <c r="A6102" s="10">
        <f t="shared" si="8"/>
        <v>44084.66667</v>
      </c>
      <c r="B6102" s="2" t="str">
        <f t="shared" si="2"/>
        <v/>
      </c>
      <c r="C6102" s="2" t="str">
        <f t="shared" si="3"/>
        <v>SP500</v>
      </c>
      <c r="D6102" s="2">
        <f t="shared" si="4"/>
        <v>10919.59</v>
      </c>
      <c r="E6102" s="2">
        <f t="shared" si="5"/>
        <v>10919.59</v>
      </c>
      <c r="G6102" s="10">
        <f t="shared" si="9"/>
        <v>44084.64583</v>
      </c>
      <c r="H6102" s="6" t="str">
        <f t="shared" si="6"/>
        <v/>
      </c>
      <c r="I6102" s="2">
        <f t="shared" si="7"/>
        <v>1426.89</v>
      </c>
    </row>
    <row r="6103">
      <c r="A6103" s="10">
        <f t="shared" si="8"/>
        <v>44085.66667</v>
      </c>
      <c r="B6103" s="2" t="str">
        <f t="shared" si="2"/>
        <v/>
      </c>
      <c r="C6103" s="2" t="str">
        <f t="shared" si="3"/>
        <v>SP500</v>
      </c>
      <c r="D6103" s="2">
        <f t="shared" si="4"/>
        <v>10853.55</v>
      </c>
      <c r="E6103" s="2">
        <f t="shared" si="5"/>
        <v>10853.55</v>
      </c>
      <c r="G6103" s="10">
        <f t="shared" si="9"/>
        <v>44085.64583</v>
      </c>
      <c r="H6103" s="6" t="str">
        <f t="shared" si="6"/>
        <v/>
      </c>
      <c r="I6103" s="2">
        <f t="shared" si="7"/>
        <v>1426.89</v>
      </c>
    </row>
    <row r="6104">
      <c r="A6104" s="10">
        <f t="shared" si="8"/>
        <v>44086.66667</v>
      </c>
      <c r="B6104" s="2" t="str">
        <f t="shared" si="2"/>
        <v/>
      </c>
      <c r="C6104" s="2" t="str">
        <f t="shared" si="3"/>
        <v>SP500</v>
      </c>
      <c r="D6104" s="2" t="str">
        <f t="shared" si="4"/>
        <v/>
      </c>
      <c r="E6104" s="2">
        <f t="shared" si="5"/>
        <v>10853.55</v>
      </c>
      <c r="G6104" s="10">
        <f t="shared" si="9"/>
        <v>44086.64583</v>
      </c>
      <c r="H6104" s="6" t="str">
        <f t="shared" si="6"/>
        <v/>
      </c>
      <c r="I6104" s="2">
        <f t="shared" si="7"/>
        <v>1426.89</v>
      </c>
    </row>
    <row r="6105">
      <c r="A6105" s="10">
        <f t="shared" si="8"/>
        <v>44087.66667</v>
      </c>
      <c r="B6105" s="2" t="str">
        <f t="shared" si="2"/>
        <v/>
      </c>
      <c r="C6105" s="2" t="str">
        <f t="shared" si="3"/>
        <v>SP500</v>
      </c>
      <c r="D6105" s="2" t="str">
        <f t="shared" si="4"/>
        <v/>
      </c>
      <c r="E6105" s="2">
        <f t="shared" si="5"/>
        <v>10853.55</v>
      </c>
      <c r="G6105" s="10">
        <f t="shared" si="9"/>
        <v>44087.64583</v>
      </c>
      <c r="H6105" s="6" t="str">
        <f t="shared" si="6"/>
        <v/>
      </c>
      <c r="I6105" s="2">
        <f t="shared" si="7"/>
        <v>1426.89</v>
      </c>
    </row>
    <row r="6106">
      <c r="A6106" s="10">
        <f t="shared" si="8"/>
        <v>44088.66667</v>
      </c>
      <c r="B6106" s="2" t="str">
        <f t="shared" si="2"/>
        <v/>
      </c>
      <c r="C6106" s="2" t="str">
        <f t="shared" si="3"/>
        <v>SP500</v>
      </c>
      <c r="D6106" s="2">
        <f t="shared" si="4"/>
        <v>11056.65</v>
      </c>
      <c r="E6106" s="2">
        <f t="shared" si="5"/>
        <v>11056.65</v>
      </c>
      <c r="G6106" s="10">
        <f t="shared" si="9"/>
        <v>44088.64583</v>
      </c>
      <c r="H6106" s="6" t="str">
        <f t="shared" si="6"/>
        <v/>
      </c>
      <c r="I6106" s="2">
        <f t="shared" si="7"/>
        <v>1426.89</v>
      </c>
    </row>
    <row r="6107">
      <c r="A6107" s="10">
        <f t="shared" si="8"/>
        <v>44089.66667</v>
      </c>
      <c r="B6107" s="2" t="str">
        <f t="shared" si="2"/>
        <v/>
      </c>
      <c r="C6107" s="2" t="str">
        <f t="shared" si="3"/>
        <v>SP500</v>
      </c>
      <c r="D6107" s="2">
        <f t="shared" si="4"/>
        <v>11190.32</v>
      </c>
      <c r="E6107" s="2">
        <f t="shared" si="5"/>
        <v>11190.32</v>
      </c>
      <c r="G6107" s="10">
        <f t="shared" si="9"/>
        <v>44089.64583</v>
      </c>
      <c r="H6107" s="6" t="str">
        <f t="shared" si="6"/>
        <v/>
      </c>
      <c r="I6107" s="2">
        <f t="shared" si="7"/>
        <v>1426.89</v>
      </c>
    </row>
    <row r="6108">
      <c r="A6108" s="10">
        <f t="shared" si="8"/>
        <v>44090.66667</v>
      </c>
      <c r="B6108" s="2" t="str">
        <f t="shared" si="2"/>
        <v/>
      </c>
      <c r="C6108" s="2" t="str">
        <f t="shared" si="3"/>
        <v>SP500</v>
      </c>
      <c r="D6108" s="2">
        <f t="shared" si="4"/>
        <v>11050.47</v>
      </c>
      <c r="E6108" s="2">
        <f t="shared" si="5"/>
        <v>11050.47</v>
      </c>
      <c r="G6108" s="10">
        <f t="shared" si="9"/>
        <v>44090.64583</v>
      </c>
      <c r="H6108" s="6" t="str">
        <f t="shared" si="6"/>
        <v/>
      </c>
      <c r="I6108" s="2">
        <f t="shared" si="7"/>
        <v>1426.89</v>
      </c>
    </row>
    <row r="6109">
      <c r="A6109" s="10">
        <f t="shared" si="8"/>
        <v>44091.66667</v>
      </c>
      <c r="B6109" s="2" t="str">
        <f t="shared" si="2"/>
        <v/>
      </c>
      <c r="C6109" s="2" t="str">
        <f t="shared" si="3"/>
        <v>SP500</v>
      </c>
      <c r="D6109" s="2">
        <f t="shared" si="4"/>
        <v>10910.28</v>
      </c>
      <c r="E6109" s="2">
        <f t="shared" si="5"/>
        <v>10910.28</v>
      </c>
      <c r="G6109" s="10">
        <f t="shared" si="9"/>
        <v>44091.64583</v>
      </c>
      <c r="H6109" s="6" t="str">
        <f t="shared" si="6"/>
        <v/>
      </c>
      <c r="I6109" s="2">
        <f t="shared" si="7"/>
        <v>1426.89</v>
      </c>
    </row>
    <row r="6110">
      <c r="A6110" s="10">
        <f t="shared" si="8"/>
        <v>44092.66667</v>
      </c>
      <c r="B6110" s="2" t="str">
        <f t="shared" si="2"/>
        <v/>
      </c>
      <c r="C6110" s="2" t="str">
        <f t="shared" si="3"/>
        <v>SP500</v>
      </c>
      <c r="D6110" s="2">
        <f t="shared" si="4"/>
        <v>10793.28</v>
      </c>
      <c r="E6110" s="2">
        <f t="shared" si="5"/>
        <v>10793.28</v>
      </c>
      <c r="G6110" s="10">
        <f t="shared" si="9"/>
        <v>44092.64583</v>
      </c>
      <c r="H6110" s="6" t="str">
        <f t="shared" si="6"/>
        <v/>
      </c>
      <c r="I6110" s="2">
        <f t="shared" si="7"/>
        <v>1426.89</v>
      </c>
    </row>
    <row r="6111">
      <c r="A6111" s="10">
        <f t="shared" si="8"/>
        <v>44093.66667</v>
      </c>
      <c r="B6111" s="2" t="str">
        <f t="shared" si="2"/>
        <v/>
      </c>
      <c r="C6111" s="2" t="str">
        <f t="shared" si="3"/>
        <v>SP500</v>
      </c>
      <c r="D6111" s="2" t="str">
        <f t="shared" si="4"/>
        <v/>
      </c>
      <c r="E6111" s="2">
        <f t="shared" si="5"/>
        <v>10793.28</v>
      </c>
      <c r="G6111" s="10">
        <f t="shared" si="9"/>
        <v>44093.64583</v>
      </c>
      <c r="H6111" s="6" t="str">
        <f t="shared" si="6"/>
        <v/>
      </c>
      <c r="I6111" s="2">
        <f t="shared" si="7"/>
        <v>1426.89</v>
      </c>
    </row>
    <row r="6112">
      <c r="A6112" s="10">
        <f t="shared" si="8"/>
        <v>44094.66667</v>
      </c>
      <c r="B6112" s="2" t="str">
        <f t="shared" si="2"/>
        <v/>
      </c>
      <c r="C6112" s="2" t="str">
        <f t="shared" si="3"/>
        <v>SP500</v>
      </c>
      <c r="D6112" s="2" t="str">
        <f t="shared" si="4"/>
        <v/>
      </c>
      <c r="E6112" s="2">
        <f t="shared" si="5"/>
        <v>10793.28</v>
      </c>
      <c r="G6112" s="10">
        <f t="shared" si="9"/>
        <v>44094.64583</v>
      </c>
      <c r="H6112" s="6" t="str">
        <f t="shared" si="6"/>
        <v/>
      </c>
      <c r="I6112" s="2">
        <f t="shared" si="7"/>
        <v>1426.89</v>
      </c>
    </row>
    <row r="6113">
      <c r="A6113" s="10">
        <f t="shared" si="8"/>
        <v>44095.66667</v>
      </c>
      <c r="B6113" s="2" t="str">
        <f t="shared" si="2"/>
        <v/>
      </c>
      <c r="C6113" s="2" t="str">
        <f t="shared" si="3"/>
        <v>SP500</v>
      </c>
      <c r="D6113" s="2">
        <f t="shared" si="4"/>
        <v>10778.8</v>
      </c>
      <c r="E6113" s="2">
        <f t="shared" si="5"/>
        <v>10778.8</v>
      </c>
      <c r="G6113" s="10">
        <f t="shared" si="9"/>
        <v>44095.64583</v>
      </c>
      <c r="H6113" s="6" t="str">
        <f t="shared" si="6"/>
        <v/>
      </c>
      <c r="I6113" s="2">
        <f t="shared" si="7"/>
        <v>1426.89</v>
      </c>
    </row>
    <row r="6114">
      <c r="A6114" s="10">
        <f t="shared" si="8"/>
        <v>44096.66667</v>
      </c>
      <c r="B6114" s="2" t="str">
        <f t="shared" si="2"/>
        <v/>
      </c>
      <c r="C6114" s="2" t="str">
        <f t="shared" si="3"/>
        <v>SP500</v>
      </c>
      <c r="D6114" s="2">
        <f t="shared" si="4"/>
        <v>10963.64</v>
      </c>
      <c r="E6114" s="2">
        <f t="shared" si="5"/>
        <v>10963.64</v>
      </c>
      <c r="G6114" s="10">
        <f t="shared" si="9"/>
        <v>44096.64583</v>
      </c>
      <c r="H6114" s="6" t="str">
        <f t="shared" si="6"/>
        <v/>
      </c>
      <c r="I6114" s="2">
        <f t="shared" si="7"/>
        <v>1426.89</v>
      </c>
    </row>
    <row r="6115">
      <c r="A6115" s="10">
        <f t="shared" si="8"/>
        <v>44097.66667</v>
      </c>
      <c r="B6115" s="2" t="str">
        <f t="shared" si="2"/>
        <v/>
      </c>
      <c r="C6115" s="2" t="str">
        <f t="shared" si="3"/>
        <v>SP500</v>
      </c>
      <c r="D6115" s="2">
        <f t="shared" si="4"/>
        <v>10632.99</v>
      </c>
      <c r="E6115" s="2">
        <f t="shared" si="5"/>
        <v>10632.99</v>
      </c>
      <c r="G6115" s="10">
        <f t="shared" si="9"/>
        <v>44097.64583</v>
      </c>
      <c r="H6115" s="6" t="str">
        <f t="shared" si="6"/>
        <v/>
      </c>
      <c r="I6115" s="2">
        <f t="shared" si="7"/>
        <v>1426.89</v>
      </c>
    </row>
    <row r="6116">
      <c r="A6116" s="10">
        <f t="shared" si="8"/>
        <v>44098.66667</v>
      </c>
      <c r="B6116" s="2" t="str">
        <f t="shared" si="2"/>
        <v/>
      </c>
      <c r="C6116" s="2" t="str">
        <f t="shared" si="3"/>
        <v>SP500</v>
      </c>
      <c r="D6116" s="2">
        <f t="shared" si="4"/>
        <v>10672.27</v>
      </c>
      <c r="E6116" s="2">
        <f t="shared" si="5"/>
        <v>10672.27</v>
      </c>
      <c r="G6116" s="10">
        <f t="shared" si="9"/>
        <v>44098.64583</v>
      </c>
      <c r="H6116" s="6" t="str">
        <f t="shared" si="6"/>
        <v/>
      </c>
      <c r="I6116" s="2">
        <f t="shared" si="7"/>
        <v>1426.89</v>
      </c>
    </row>
    <row r="6117">
      <c r="A6117" s="10">
        <f t="shared" si="8"/>
        <v>44099.66667</v>
      </c>
      <c r="B6117" s="2" t="str">
        <f t="shared" si="2"/>
        <v/>
      </c>
      <c r="C6117" s="2" t="str">
        <f t="shared" si="3"/>
        <v>SP500</v>
      </c>
      <c r="D6117" s="2">
        <f t="shared" si="4"/>
        <v>10913.56</v>
      </c>
      <c r="E6117" s="2">
        <f t="shared" si="5"/>
        <v>10913.56</v>
      </c>
      <c r="G6117" s="10">
        <f t="shared" si="9"/>
        <v>44099.64583</v>
      </c>
      <c r="H6117" s="6" t="str">
        <f t="shared" si="6"/>
        <v/>
      </c>
      <c r="I6117" s="2">
        <f t="shared" si="7"/>
        <v>1426.89</v>
      </c>
    </row>
    <row r="6118">
      <c r="A6118" s="10">
        <f t="shared" si="8"/>
        <v>44100.66667</v>
      </c>
      <c r="B6118" s="2" t="str">
        <f t="shared" si="2"/>
        <v/>
      </c>
      <c r="C6118" s="2" t="str">
        <f t="shared" si="3"/>
        <v>SP500</v>
      </c>
      <c r="D6118" s="2" t="str">
        <f t="shared" si="4"/>
        <v/>
      </c>
      <c r="E6118" s="2">
        <f t="shared" si="5"/>
        <v>10913.56</v>
      </c>
      <c r="G6118" s="10">
        <f t="shared" si="9"/>
        <v>44100.64583</v>
      </c>
      <c r="H6118" s="6" t="str">
        <f t="shared" si="6"/>
        <v/>
      </c>
      <c r="I6118" s="2">
        <f t="shared" si="7"/>
        <v>1426.89</v>
      </c>
    </row>
    <row r="6119">
      <c r="A6119" s="10">
        <f t="shared" si="8"/>
        <v>44101.66667</v>
      </c>
      <c r="B6119" s="2" t="str">
        <f t="shared" si="2"/>
        <v/>
      </c>
      <c r="C6119" s="2" t="str">
        <f t="shared" si="3"/>
        <v>SP500</v>
      </c>
      <c r="D6119" s="2" t="str">
        <f t="shared" si="4"/>
        <v/>
      </c>
      <c r="E6119" s="2">
        <f t="shared" si="5"/>
        <v>10913.56</v>
      </c>
      <c r="G6119" s="10">
        <f t="shared" si="9"/>
        <v>44101.64583</v>
      </c>
      <c r="H6119" s="6" t="str">
        <f t="shared" si="6"/>
        <v/>
      </c>
      <c r="I6119" s="2">
        <f t="shared" si="7"/>
        <v>1426.89</v>
      </c>
    </row>
    <row r="6120">
      <c r="A6120" s="10">
        <f t="shared" si="8"/>
        <v>44102.66667</v>
      </c>
      <c r="B6120" s="2" t="str">
        <f t="shared" si="2"/>
        <v/>
      </c>
      <c r="C6120" s="2" t="str">
        <f t="shared" si="3"/>
        <v>SP500</v>
      </c>
      <c r="D6120" s="2">
        <f t="shared" si="4"/>
        <v>11117.53</v>
      </c>
      <c r="E6120" s="2">
        <f t="shared" si="5"/>
        <v>11117.53</v>
      </c>
      <c r="G6120" s="10">
        <f t="shared" si="9"/>
        <v>44102.64583</v>
      </c>
      <c r="H6120" s="6" t="str">
        <f t="shared" si="6"/>
        <v/>
      </c>
      <c r="I6120" s="2">
        <f t="shared" si="7"/>
        <v>1426.89</v>
      </c>
    </row>
    <row r="6121">
      <c r="A6121" s="10">
        <f t="shared" si="8"/>
        <v>44103.66667</v>
      </c>
      <c r="B6121" s="2" t="str">
        <f t="shared" si="2"/>
        <v/>
      </c>
      <c r="C6121" s="2" t="str">
        <f t="shared" si="3"/>
        <v>SP500</v>
      </c>
      <c r="D6121" s="2">
        <f t="shared" si="4"/>
        <v>11085.25</v>
      </c>
      <c r="E6121" s="2">
        <f t="shared" si="5"/>
        <v>11085.25</v>
      </c>
      <c r="G6121" s="10">
        <f t="shared" si="9"/>
        <v>44103.64583</v>
      </c>
      <c r="H6121" s="6" t="str">
        <f t="shared" si="6"/>
        <v/>
      </c>
      <c r="I6121" s="2">
        <f t="shared" si="7"/>
        <v>1426.89</v>
      </c>
    </row>
    <row r="6122">
      <c r="A6122" s="10">
        <f t="shared" si="8"/>
        <v>44104.66667</v>
      </c>
      <c r="B6122" s="2" t="str">
        <f t="shared" si="2"/>
        <v/>
      </c>
      <c r="C6122" s="2" t="str">
        <f t="shared" si="3"/>
        <v>SP500</v>
      </c>
      <c r="D6122" s="2">
        <f t="shared" si="4"/>
        <v>11167.51</v>
      </c>
      <c r="E6122" s="2">
        <f t="shared" si="5"/>
        <v>11167.51</v>
      </c>
      <c r="G6122" s="10">
        <f t="shared" si="9"/>
        <v>44104.64583</v>
      </c>
      <c r="H6122" s="6" t="str">
        <f t="shared" si="6"/>
        <v/>
      </c>
      <c r="I6122" s="2">
        <f t="shared" si="7"/>
        <v>1426.89</v>
      </c>
    </row>
    <row r="6123">
      <c r="A6123" s="10">
        <f t="shared" si="8"/>
        <v>44105.66667</v>
      </c>
      <c r="B6123" s="2" t="str">
        <f t="shared" si="2"/>
        <v/>
      </c>
      <c r="C6123" s="2" t="str">
        <f t="shared" si="3"/>
        <v>SP500</v>
      </c>
      <c r="D6123" s="2">
        <f t="shared" si="4"/>
        <v>11326.51</v>
      </c>
      <c r="E6123" s="2">
        <f t="shared" si="5"/>
        <v>11326.51</v>
      </c>
      <c r="G6123" s="10">
        <f t="shared" si="9"/>
        <v>44105.64583</v>
      </c>
      <c r="H6123" s="6" t="str">
        <f t="shared" si="6"/>
        <v/>
      </c>
      <c r="I6123" s="2">
        <f t="shared" si="7"/>
        <v>1426.89</v>
      </c>
    </row>
    <row r="6124">
      <c r="A6124" s="10">
        <f t="shared" si="8"/>
        <v>44106.66667</v>
      </c>
      <c r="B6124" s="2" t="str">
        <f t="shared" si="2"/>
        <v/>
      </c>
      <c r="C6124" s="2" t="str">
        <f t="shared" si="3"/>
        <v>SP500</v>
      </c>
      <c r="D6124" s="2">
        <f t="shared" si="4"/>
        <v>11075.02</v>
      </c>
      <c r="E6124" s="2">
        <f t="shared" si="5"/>
        <v>11075.02</v>
      </c>
      <c r="G6124" s="10">
        <f t="shared" si="9"/>
        <v>44106.64583</v>
      </c>
      <c r="H6124" s="6" t="str">
        <f t="shared" si="6"/>
        <v/>
      </c>
      <c r="I6124" s="2">
        <f t="shared" si="7"/>
        <v>1426.89</v>
      </c>
    </row>
    <row r="6125">
      <c r="A6125" s="10">
        <f t="shared" si="8"/>
        <v>44107.66667</v>
      </c>
      <c r="B6125" s="2" t="str">
        <f t="shared" si="2"/>
        <v/>
      </c>
      <c r="C6125" s="2" t="str">
        <f t="shared" si="3"/>
        <v>SP500</v>
      </c>
      <c r="D6125" s="2" t="str">
        <f t="shared" si="4"/>
        <v/>
      </c>
      <c r="E6125" s="2">
        <f t="shared" si="5"/>
        <v>11075.02</v>
      </c>
      <c r="G6125" s="10">
        <f t="shared" si="9"/>
        <v>44107.64583</v>
      </c>
      <c r="H6125" s="6" t="str">
        <f t="shared" si="6"/>
        <v/>
      </c>
      <c r="I6125" s="2">
        <f t="shared" si="7"/>
        <v>1426.89</v>
      </c>
    </row>
    <row r="6126">
      <c r="A6126" s="10">
        <f t="shared" si="8"/>
        <v>44108.66667</v>
      </c>
      <c r="B6126" s="2" t="str">
        <f t="shared" si="2"/>
        <v/>
      </c>
      <c r="C6126" s="2" t="str">
        <f t="shared" si="3"/>
        <v>SP500</v>
      </c>
      <c r="D6126" s="2" t="str">
        <f t="shared" si="4"/>
        <v/>
      </c>
      <c r="E6126" s="2">
        <f t="shared" si="5"/>
        <v>11075.02</v>
      </c>
      <c r="G6126" s="10">
        <f t="shared" si="9"/>
        <v>44108.64583</v>
      </c>
      <c r="H6126" s="6" t="str">
        <f t="shared" si="6"/>
        <v/>
      </c>
      <c r="I6126" s="2">
        <f t="shared" si="7"/>
        <v>1426.89</v>
      </c>
    </row>
    <row r="6127">
      <c r="A6127" s="10">
        <f t="shared" si="8"/>
        <v>44109.66667</v>
      </c>
      <c r="B6127" s="2" t="str">
        <f t="shared" si="2"/>
        <v/>
      </c>
      <c r="C6127" s="2" t="str">
        <f t="shared" si="3"/>
        <v>SP500</v>
      </c>
      <c r="D6127" s="2">
        <f t="shared" si="4"/>
        <v>11332.49</v>
      </c>
      <c r="E6127" s="2">
        <f t="shared" si="5"/>
        <v>11332.49</v>
      </c>
      <c r="G6127" s="10">
        <f t="shared" si="9"/>
        <v>44109.64583</v>
      </c>
      <c r="H6127" s="6" t="str">
        <f t="shared" si="6"/>
        <v/>
      </c>
      <c r="I6127" s="2">
        <f t="shared" si="7"/>
        <v>1426.89</v>
      </c>
    </row>
    <row r="6128">
      <c r="A6128" s="10">
        <f t="shared" si="8"/>
        <v>44110.66667</v>
      </c>
      <c r="B6128" s="2" t="str">
        <f t="shared" si="2"/>
        <v/>
      </c>
      <c r="C6128" s="2" t="str">
        <f t="shared" si="3"/>
        <v>SP500</v>
      </c>
      <c r="D6128" s="2">
        <f t="shared" si="4"/>
        <v>11154.6</v>
      </c>
      <c r="E6128" s="2">
        <f t="shared" si="5"/>
        <v>11154.6</v>
      </c>
      <c r="G6128" s="10">
        <f t="shared" si="9"/>
        <v>44110.64583</v>
      </c>
      <c r="H6128" s="6" t="str">
        <f t="shared" si="6"/>
        <v/>
      </c>
      <c r="I6128" s="2">
        <f t="shared" si="7"/>
        <v>1426.89</v>
      </c>
    </row>
    <row r="6129">
      <c r="A6129" s="10">
        <f t="shared" si="8"/>
        <v>44111.66667</v>
      </c>
      <c r="B6129" s="2" t="str">
        <f t="shared" si="2"/>
        <v/>
      </c>
      <c r="C6129" s="2" t="str">
        <f t="shared" si="3"/>
        <v>SP500</v>
      </c>
      <c r="D6129" s="2">
        <f t="shared" si="4"/>
        <v>11364.6</v>
      </c>
      <c r="E6129" s="2">
        <f t="shared" si="5"/>
        <v>11364.6</v>
      </c>
      <c r="G6129" s="10">
        <f t="shared" si="9"/>
        <v>44111.64583</v>
      </c>
      <c r="H6129" s="6" t="str">
        <f t="shared" si="6"/>
        <v/>
      </c>
      <c r="I6129" s="2">
        <f t="shared" si="7"/>
        <v>1426.89</v>
      </c>
    </row>
    <row r="6130">
      <c r="A6130" s="10">
        <f t="shared" si="8"/>
        <v>44112.66667</v>
      </c>
      <c r="B6130" s="2" t="str">
        <f t="shared" si="2"/>
        <v/>
      </c>
      <c r="C6130" s="2" t="str">
        <f t="shared" si="3"/>
        <v>SP500</v>
      </c>
      <c r="D6130" s="2">
        <f t="shared" si="4"/>
        <v>11420.98</v>
      </c>
      <c r="E6130" s="2">
        <f t="shared" si="5"/>
        <v>11420.98</v>
      </c>
      <c r="G6130" s="10">
        <f t="shared" si="9"/>
        <v>44112.64583</v>
      </c>
      <c r="H6130" s="6" t="str">
        <f t="shared" si="6"/>
        <v/>
      </c>
      <c r="I6130" s="2">
        <f t="shared" si="7"/>
        <v>1426.89</v>
      </c>
    </row>
    <row r="6131">
      <c r="A6131" s="10">
        <f t="shared" si="8"/>
        <v>44113.66667</v>
      </c>
      <c r="B6131" s="2" t="str">
        <f t="shared" si="2"/>
        <v/>
      </c>
      <c r="C6131" s="2" t="str">
        <f t="shared" si="3"/>
        <v>SP500</v>
      </c>
      <c r="D6131" s="2">
        <f t="shared" si="4"/>
        <v>11579.94</v>
      </c>
      <c r="E6131" s="2">
        <f t="shared" si="5"/>
        <v>11579.94</v>
      </c>
      <c r="G6131" s="10">
        <f t="shared" si="9"/>
        <v>44113.64583</v>
      </c>
      <c r="H6131" s="6" t="str">
        <f t="shared" si="6"/>
        <v/>
      </c>
      <c r="I6131" s="2">
        <f t="shared" si="7"/>
        <v>1426.89</v>
      </c>
    </row>
    <row r="6132">
      <c r="A6132" s="10">
        <f t="shared" si="8"/>
        <v>44114.66667</v>
      </c>
      <c r="B6132" s="2" t="str">
        <f t="shared" si="2"/>
        <v/>
      </c>
      <c r="C6132" s="2" t="str">
        <f t="shared" si="3"/>
        <v>SP500</v>
      </c>
      <c r="D6132" s="2" t="str">
        <f t="shared" si="4"/>
        <v/>
      </c>
      <c r="E6132" s="2">
        <f t="shared" si="5"/>
        <v>11579.94</v>
      </c>
      <c r="G6132" s="10">
        <f t="shared" si="9"/>
        <v>44114.64583</v>
      </c>
      <c r="H6132" s="6" t="str">
        <f t="shared" si="6"/>
        <v/>
      </c>
      <c r="I6132" s="2">
        <f t="shared" si="7"/>
        <v>1426.89</v>
      </c>
    </row>
    <row r="6133">
      <c r="A6133" s="10">
        <f t="shared" si="8"/>
        <v>44115.66667</v>
      </c>
      <c r="B6133" s="2" t="str">
        <f t="shared" si="2"/>
        <v/>
      </c>
      <c r="C6133" s="2" t="str">
        <f t="shared" si="3"/>
        <v>SP500</v>
      </c>
      <c r="D6133" s="2" t="str">
        <f t="shared" si="4"/>
        <v/>
      </c>
      <c r="E6133" s="2">
        <f t="shared" si="5"/>
        <v>11579.94</v>
      </c>
      <c r="G6133" s="10">
        <f t="shared" si="9"/>
        <v>44115.64583</v>
      </c>
      <c r="H6133" s="6" t="str">
        <f t="shared" si="6"/>
        <v/>
      </c>
      <c r="I6133" s="2">
        <f t="shared" si="7"/>
        <v>1426.89</v>
      </c>
    </row>
    <row r="6134">
      <c r="A6134" s="10">
        <f t="shared" si="8"/>
        <v>44116.66667</v>
      </c>
      <c r="B6134" s="2" t="str">
        <f t="shared" si="2"/>
        <v/>
      </c>
      <c r="C6134" s="2" t="str">
        <f t="shared" si="3"/>
        <v>SP500</v>
      </c>
      <c r="D6134" s="2">
        <f t="shared" si="4"/>
        <v>11876.26</v>
      </c>
      <c r="E6134" s="2">
        <f t="shared" si="5"/>
        <v>11876.26</v>
      </c>
      <c r="G6134" s="10">
        <f t="shared" si="9"/>
        <v>44116.64583</v>
      </c>
      <c r="H6134" s="6" t="str">
        <f t="shared" si="6"/>
        <v/>
      </c>
      <c r="I6134" s="2">
        <f t="shared" si="7"/>
        <v>1426.89</v>
      </c>
    </row>
    <row r="6135">
      <c r="A6135" s="10">
        <f t="shared" si="8"/>
        <v>44117.66667</v>
      </c>
      <c r="B6135" s="2" t="str">
        <f t="shared" si="2"/>
        <v/>
      </c>
      <c r="C6135" s="2" t="str">
        <f t="shared" si="3"/>
        <v>SP500</v>
      </c>
      <c r="D6135" s="2">
        <f t="shared" si="4"/>
        <v>11863.9</v>
      </c>
      <c r="E6135" s="2">
        <f t="shared" si="5"/>
        <v>11863.9</v>
      </c>
      <c r="G6135" s="10">
        <f t="shared" si="9"/>
        <v>44117.64583</v>
      </c>
      <c r="H6135" s="6" t="str">
        <f t="shared" si="6"/>
        <v/>
      </c>
      <c r="I6135" s="2">
        <f t="shared" si="7"/>
        <v>1426.89</v>
      </c>
    </row>
    <row r="6136">
      <c r="A6136" s="10">
        <f t="shared" si="8"/>
        <v>44118.66667</v>
      </c>
      <c r="B6136" s="2" t="str">
        <f t="shared" si="2"/>
        <v/>
      </c>
      <c r="C6136" s="2" t="str">
        <f t="shared" si="3"/>
        <v>SP500</v>
      </c>
      <c r="D6136" s="2">
        <f t="shared" si="4"/>
        <v>11768.73</v>
      </c>
      <c r="E6136" s="2">
        <f t="shared" si="5"/>
        <v>11768.73</v>
      </c>
      <c r="G6136" s="10">
        <f t="shared" si="9"/>
        <v>44118.64583</v>
      </c>
      <c r="H6136" s="6" t="str">
        <f t="shared" si="6"/>
        <v/>
      </c>
      <c r="I6136" s="2">
        <f t="shared" si="7"/>
        <v>1426.89</v>
      </c>
    </row>
    <row r="6137">
      <c r="A6137" s="10">
        <f t="shared" si="8"/>
        <v>44119.66667</v>
      </c>
      <c r="B6137" s="2" t="str">
        <f t="shared" si="2"/>
        <v/>
      </c>
      <c r="C6137" s="2" t="str">
        <f t="shared" si="3"/>
        <v>SP500</v>
      </c>
      <c r="D6137" s="2">
        <f t="shared" si="4"/>
        <v>11713.87</v>
      </c>
      <c r="E6137" s="2">
        <f t="shared" si="5"/>
        <v>11713.87</v>
      </c>
      <c r="G6137" s="10">
        <f t="shared" si="9"/>
        <v>44119.64583</v>
      </c>
      <c r="H6137" s="6" t="str">
        <f t="shared" si="6"/>
        <v/>
      </c>
      <c r="I6137" s="2">
        <f t="shared" si="7"/>
        <v>1426.89</v>
      </c>
    </row>
    <row r="6138">
      <c r="A6138" s="10">
        <f t="shared" si="8"/>
        <v>44120.66667</v>
      </c>
      <c r="B6138" s="2" t="str">
        <f t="shared" si="2"/>
        <v/>
      </c>
      <c r="C6138" s="2" t="str">
        <f t="shared" si="3"/>
        <v>SP500</v>
      </c>
      <c r="D6138" s="2">
        <f t="shared" si="4"/>
        <v>11671.56</v>
      </c>
      <c r="E6138" s="2">
        <f t="shared" si="5"/>
        <v>11671.56</v>
      </c>
      <c r="G6138" s="10">
        <f t="shared" si="9"/>
        <v>44120.64583</v>
      </c>
      <c r="H6138" s="6" t="str">
        <f t="shared" si="6"/>
        <v/>
      </c>
      <c r="I6138" s="2">
        <f t="shared" si="7"/>
        <v>1426.89</v>
      </c>
    </row>
    <row r="6139">
      <c r="A6139" s="10">
        <f t="shared" si="8"/>
        <v>44121.66667</v>
      </c>
      <c r="B6139" s="2" t="str">
        <f t="shared" si="2"/>
        <v/>
      </c>
      <c r="C6139" s="2" t="str">
        <f t="shared" si="3"/>
        <v>SP500</v>
      </c>
      <c r="D6139" s="2" t="str">
        <f t="shared" si="4"/>
        <v/>
      </c>
      <c r="E6139" s="2">
        <f t="shared" si="5"/>
        <v>11671.56</v>
      </c>
      <c r="G6139" s="10">
        <f t="shared" si="9"/>
        <v>44121.64583</v>
      </c>
      <c r="H6139" s="6" t="str">
        <f t="shared" si="6"/>
        <v/>
      </c>
      <c r="I6139" s="2">
        <f t="shared" si="7"/>
        <v>1426.89</v>
      </c>
    </row>
    <row r="6140">
      <c r="A6140" s="10">
        <f t="shared" si="8"/>
        <v>44122.66667</v>
      </c>
      <c r="B6140" s="2" t="str">
        <f t="shared" si="2"/>
        <v/>
      </c>
      <c r="C6140" s="2" t="str">
        <f t="shared" si="3"/>
        <v>SP500</v>
      </c>
      <c r="D6140" s="2" t="str">
        <f t="shared" si="4"/>
        <v/>
      </c>
      <c r="E6140" s="2">
        <f t="shared" si="5"/>
        <v>11671.56</v>
      </c>
      <c r="G6140" s="10">
        <f t="shared" si="9"/>
        <v>44122.64583</v>
      </c>
      <c r="H6140" s="6" t="str">
        <f t="shared" si="6"/>
        <v/>
      </c>
      <c r="I6140" s="2">
        <f t="shared" si="7"/>
        <v>1426.89</v>
      </c>
    </row>
    <row r="6141">
      <c r="A6141" s="10">
        <f t="shared" si="8"/>
        <v>44123.66667</v>
      </c>
      <c r="B6141" s="2" t="str">
        <f t="shared" si="2"/>
        <v/>
      </c>
      <c r="C6141" s="2" t="str">
        <f t="shared" si="3"/>
        <v>SP500</v>
      </c>
      <c r="D6141" s="2">
        <f t="shared" si="4"/>
        <v>11478.88</v>
      </c>
      <c r="E6141" s="2">
        <f t="shared" si="5"/>
        <v>11478.88</v>
      </c>
      <c r="G6141" s="10">
        <f t="shared" si="9"/>
        <v>44123.64583</v>
      </c>
      <c r="H6141" s="6" t="str">
        <f t="shared" si="6"/>
        <v/>
      </c>
      <c r="I6141" s="2">
        <f t="shared" si="7"/>
        <v>1426.89</v>
      </c>
    </row>
    <row r="6142">
      <c r="A6142" s="10">
        <f t="shared" si="8"/>
        <v>44124.66667</v>
      </c>
      <c r="B6142" s="2" t="str">
        <f t="shared" si="2"/>
        <v/>
      </c>
      <c r="C6142" s="2" t="str">
        <f t="shared" si="3"/>
        <v>SP500</v>
      </c>
      <c r="D6142" s="2">
        <f t="shared" si="4"/>
        <v>11516.49</v>
      </c>
      <c r="E6142" s="2">
        <f t="shared" si="5"/>
        <v>11516.49</v>
      </c>
      <c r="G6142" s="10">
        <f t="shared" si="9"/>
        <v>44124.64583</v>
      </c>
      <c r="H6142" s="6" t="str">
        <f t="shared" si="6"/>
        <v/>
      </c>
      <c r="I6142" s="2">
        <f t="shared" si="7"/>
        <v>1426.89</v>
      </c>
    </row>
    <row r="6143">
      <c r="A6143" s="10">
        <f t="shared" si="8"/>
        <v>44125.66667</v>
      </c>
      <c r="B6143" s="2" t="str">
        <f t="shared" si="2"/>
        <v/>
      </c>
      <c r="C6143" s="2" t="str">
        <f t="shared" si="3"/>
        <v>SP500</v>
      </c>
      <c r="D6143" s="2">
        <f t="shared" si="4"/>
        <v>11484.69</v>
      </c>
      <c r="E6143" s="2">
        <f t="shared" si="5"/>
        <v>11484.69</v>
      </c>
      <c r="G6143" s="10">
        <f t="shared" si="9"/>
        <v>44125.64583</v>
      </c>
      <c r="H6143" s="6" t="str">
        <f t="shared" si="6"/>
        <v/>
      </c>
      <c r="I6143" s="2">
        <f t="shared" si="7"/>
        <v>1426.89</v>
      </c>
    </row>
    <row r="6144">
      <c r="A6144" s="10">
        <f t="shared" si="8"/>
        <v>44126.66667</v>
      </c>
      <c r="B6144" s="2" t="str">
        <f t="shared" si="2"/>
        <v/>
      </c>
      <c r="C6144" s="2" t="str">
        <f t="shared" si="3"/>
        <v>SP500</v>
      </c>
      <c r="D6144" s="2">
        <f t="shared" si="4"/>
        <v>11506.01</v>
      </c>
      <c r="E6144" s="2">
        <f t="shared" si="5"/>
        <v>11506.01</v>
      </c>
      <c r="G6144" s="10">
        <f t="shared" si="9"/>
        <v>44126.64583</v>
      </c>
      <c r="H6144" s="6" t="str">
        <f t="shared" si="6"/>
        <v/>
      </c>
      <c r="I6144" s="2">
        <f t="shared" si="7"/>
        <v>1426.89</v>
      </c>
    </row>
    <row r="6145">
      <c r="A6145" s="10">
        <f t="shared" si="8"/>
        <v>44127.66667</v>
      </c>
      <c r="B6145" s="2" t="str">
        <f t="shared" si="2"/>
        <v/>
      </c>
      <c r="C6145" s="2" t="str">
        <f t="shared" si="3"/>
        <v>SP500</v>
      </c>
      <c r="D6145" s="2">
        <f t="shared" si="4"/>
        <v>11548.28</v>
      </c>
      <c r="E6145" s="2">
        <f t="shared" si="5"/>
        <v>11548.28</v>
      </c>
      <c r="G6145" s="10">
        <f t="shared" si="9"/>
        <v>44127.64583</v>
      </c>
      <c r="H6145" s="6" t="str">
        <f t="shared" si="6"/>
        <v/>
      </c>
      <c r="I6145" s="2">
        <f t="shared" si="7"/>
        <v>1426.89</v>
      </c>
    </row>
    <row r="6146">
      <c r="A6146" s="10">
        <f t="shared" si="8"/>
        <v>44128.66667</v>
      </c>
      <c r="B6146" s="2" t="str">
        <f t="shared" si="2"/>
        <v/>
      </c>
      <c r="C6146" s="2" t="str">
        <f t="shared" si="3"/>
        <v>SP500</v>
      </c>
      <c r="D6146" s="2" t="str">
        <f t="shared" si="4"/>
        <v/>
      </c>
      <c r="E6146" s="2">
        <f t="shared" si="5"/>
        <v>11548.28</v>
      </c>
      <c r="G6146" s="10">
        <f t="shared" si="9"/>
        <v>44128.64583</v>
      </c>
      <c r="H6146" s="6" t="str">
        <f t="shared" si="6"/>
        <v/>
      </c>
      <c r="I6146" s="2">
        <f t="shared" si="7"/>
        <v>1426.89</v>
      </c>
    </row>
    <row r="6147">
      <c r="A6147" s="10">
        <f t="shared" si="8"/>
        <v>44129.66667</v>
      </c>
      <c r="B6147" s="2" t="str">
        <f t="shared" si="2"/>
        <v/>
      </c>
      <c r="C6147" s="2" t="str">
        <f t="shared" si="3"/>
        <v>SP500</v>
      </c>
      <c r="D6147" s="2" t="str">
        <f t="shared" si="4"/>
        <v/>
      </c>
      <c r="E6147" s="2">
        <f t="shared" si="5"/>
        <v>11548.28</v>
      </c>
      <c r="G6147" s="10">
        <f t="shared" si="9"/>
        <v>44129.64583</v>
      </c>
      <c r="H6147" s="6" t="str">
        <f t="shared" si="6"/>
        <v/>
      </c>
      <c r="I6147" s="2">
        <f t="shared" si="7"/>
        <v>1426.89</v>
      </c>
    </row>
    <row r="6148">
      <c r="A6148" s="10">
        <f t="shared" si="8"/>
        <v>44130.66667</v>
      </c>
      <c r="B6148" s="2" t="str">
        <f t="shared" si="2"/>
        <v/>
      </c>
      <c r="C6148" s="2" t="str">
        <f t="shared" si="3"/>
        <v>SP500</v>
      </c>
      <c r="D6148" s="2">
        <f t="shared" si="4"/>
        <v>11358.94</v>
      </c>
      <c r="E6148" s="2">
        <f t="shared" si="5"/>
        <v>11358.94</v>
      </c>
      <c r="G6148" s="10">
        <f t="shared" si="9"/>
        <v>44130.64583</v>
      </c>
      <c r="H6148" s="6" t="str">
        <f t="shared" si="6"/>
        <v/>
      </c>
      <c r="I6148" s="2">
        <f t="shared" si="7"/>
        <v>1426.89</v>
      </c>
    </row>
    <row r="6149">
      <c r="A6149" s="10">
        <f t="shared" si="8"/>
        <v>44131.66667</v>
      </c>
      <c r="B6149" s="2" t="str">
        <f t="shared" si="2"/>
        <v/>
      </c>
      <c r="C6149" s="2" t="str">
        <f t="shared" si="3"/>
        <v>SP500</v>
      </c>
      <c r="D6149" s="2">
        <f t="shared" si="4"/>
        <v>11431.35</v>
      </c>
      <c r="E6149" s="2">
        <f t="shared" si="5"/>
        <v>11431.35</v>
      </c>
      <c r="G6149" s="10">
        <f t="shared" si="9"/>
        <v>44131.64583</v>
      </c>
      <c r="H6149" s="6" t="str">
        <f t="shared" si="6"/>
        <v/>
      </c>
      <c r="I6149" s="2">
        <f t="shared" si="7"/>
        <v>1426.89</v>
      </c>
    </row>
    <row r="6150">
      <c r="A6150" s="10">
        <f t="shared" si="8"/>
        <v>44132.66667</v>
      </c>
      <c r="B6150" s="2" t="str">
        <f t="shared" si="2"/>
        <v/>
      </c>
      <c r="C6150" s="2" t="str">
        <f t="shared" si="3"/>
        <v>SP500</v>
      </c>
      <c r="D6150" s="2">
        <f t="shared" si="4"/>
        <v>11004.87</v>
      </c>
      <c r="E6150" s="2">
        <f t="shared" si="5"/>
        <v>11004.87</v>
      </c>
      <c r="G6150" s="10">
        <f t="shared" si="9"/>
        <v>44132.64583</v>
      </c>
      <c r="H6150" s="6" t="str">
        <f t="shared" si="6"/>
        <v/>
      </c>
      <c r="I6150" s="2">
        <f t="shared" si="7"/>
        <v>1426.89</v>
      </c>
    </row>
    <row r="6151">
      <c r="A6151" s="10">
        <f t="shared" si="8"/>
        <v>44133.66667</v>
      </c>
      <c r="B6151" s="2" t="str">
        <f t="shared" si="2"/>
        <v/>
      </c>
      <c r="C6151" s="2" t="str">
        <f t="shared" si="3"/>
        <v>SP500</v>
      </c>
      <c r="D6151" s="2">
        <f t="shared" si="4"/>
        <v>11185.59</v>
      </c>
      <c r="E6151" s="2">
        <f t="shared" si="5"/>
        <v>11185.59</v>
      </c>
      <c r="G6151" s="10">
        <f t="shared" si="9"/>
        <v>44133.64583</v>
      </c>
      <c r="H6151" s="6" t="str">
        <f t="shared" si="6"/>
        <v/>
      </c>
      <c r="I6151" s="2">
        <f t="shared" si="7"/>
        <v>1426.89</v>
      </c>
    </row>
    <row r="6152">
      <c r="A6152" s="10">
        <f t="shared" si="8"/>
        <v>44134.66667</v>
      </c>
      <c r="B6152" s="2" t="str">
        <f t="shared" si="2"/>
        <v/>
      </c>
      <c r="C6152" s="2" t="str">
        <f t="shared" si="3"/>
        <v>SP500</v>
      </c>
      <c r="D6152" s="2">
        <f t="shared" si="4"/>
        <v>10911.59</v>
      </c>
      <c r="E6152" s="2">
        <f t="shared" si="5"/>
        <v>10911.59</v>
      </c>
      <c r="G6152" s="10">
        <f t="shared" si="9"/>
        <v>44134.64583</v>
      </c>
      <c r="H6152" s="6" t="str">
        <f t="shared" si="6"/>
        <v/>
      </c>
      <c r="I6152" s="2">
        <f t="shared" si="7"/>
        <v>1426.89</v>
      </c>
    </row>
    <row r="6153">
      <c r="A6153" s="10">
        <f t="shared" si="8"/>
        <v>44135.66667</v>
      </c>
      <c r="B6153" s="2" t="str">
        <f t="shared" si="2"/>
        <v/>
      </c>
      <c r="C6153" s="2" t="str">
        <f t="shared" si="3"/>
        <v>SP500</v>
      </c>
      <c r="D6153" s="2" t="str">
        <f t="shared" si="4"/>
        <v/>
      </c>
      <c r="E6153" s="2">
        <f t="shared" si="5"/>
        <v>10911.59</v>
      </c>
      <c r="G6153" s="10">
        <f t="shared" si="9"/>
        <v>44135.64583</v>
      </c>
      <c r="H6153" s="6" t="str">
        <f t="shared" si="6"/>
        <v/>
      </c>
      <c r="I6153" s="2">
        <f t="shared" si="7"/>
        <v>1426.89</v>
      </c>
    </row>
    <row r="6154">
      <c r="A6154" s="10">
        <f t="shared" si="8"/>
        <v>44136.66667</v>
      </c>
      <c r="B6154" s="2" t="str">
        <f t="shared" si="2"/>
        <v/>
      </c>
      <c r="C6154" s="2" t="str">
        <f t="shared" si="3"/>
        <v>SP500</v>
      </c>
      <c r="D6154" s="2" t="str">
        <f t="shared" si="4"/>
        <v/>
      </c>
      <c r="E6154" s="2">
        <f t="shared" si="5"/>
        <v>10911.59</v>
      </c>
      <c r="G6154" s="10">
        <f t="shared" si="9"/>
        <v>44136.64583</v>
      </c>
      <c r="H6154" s="6" t="str">
        <f t="shared" si="6"/>
        <v/>
      </c>
      <c r="I6154" s="2">
        <f t="shared" si="7"/>
        <v>1426.89</v>
      </c>
    </row>
    <row r="6155">
      <c r="A6155" s="10">
        <f t="shared" si="8"/>
        <v>44137.66667</v>
      </c>
      <c r="B6155" s="2" t="str">
        <f t="shared" si="2"/>
        <v/>
      </c>
      <c r="C6155" s="2" t="str">
        <f t="shared" si="3"/>
        <v>SP500</v>
      </c>
      <c r="D6155" s="2">
        <f t="shared" si="4"/>
        <v>10957.61</v>
      </c>
      <c r="E6155" s="2">
        <f t="shared" si="5"/>
        <v>10957.61</v>
      </c>
      <c r="G6155" s="10">
        <f t="shared" si="9"/>
        <v>44137.64583</v>
      </c>
      <c r="H6155" s="6" t="str">
        <f t="shared" si="6"/>
        <v/>
      </c>
      <c r="I6155" s="2">
        <f t="shared" si="7"/>
        <v>1426.89</v>
      </c>
    </row>
    <row r="6156">
      <c r="A6156" s="10">
        <f t="shared" si="8"/>
        <v>44138.66667</v>
      </c>
      <c r="B6156" s="2" t="str">
        <f t="shared" si="2"/>
        <v/>
      </c>
      <c r="C6156" s="2" t="str">
        <f t="shared" si="3"/>
        <v>SP500</v>
      </c>
      <c r="D6156" s="2">
        <f t="shared" si="4"/>
        <v>11160.57</v>
      </c>
      <c r="E6156" s="2">
        <f t="shared" si="5"/>
        <v>11160.57</v>
      </c>
      <c r="G6156" s="10">
        <f t="shared" si="9"/>
        <v>44138.64583</v>
      </c>
      <c r="H6156" s="6" t="str">
        <f t="shared" si="6"/>
        <v/>
      </c>
      <c r="I6156" s="2">
        <f t="shared" si="7"/>
        <v>1426.89</v>
      </c>
    </row>
    <row r="6157">
      <c r="A6157" s="10">
        <f t="shared" si="8"/>
        <v>44139.66667</v>
      </c>
      <c r="B6157" s="2" t="str">
        <f t="shared" si="2"/>
        <v/>
      </c>
      <c r="C6157" s="2" t="str">
        <f t="shared" si="3"/>
        <v>SP500</v>
      </c>
      <c r="D6157" s="2">
        <f t="shared" si="4"/>
        <v>11590.78</v>
      </c>
      <c r="E6157" s="2">
        <f t="shared" si="5"/>
        <v>11590.78</v>
      </c>
      <c r="G6157" s="10">
        <f t="shared" si="9"/>
        <v>44139.64583</v>
      </c>
      <c r="H6157" s="6" t="str">
        <f t="shared" si="6"/>
        <v/>
      </c>
      <c r="I6157" s="2">
        <f t="shared" si="7"/>
        <v>1426.89</v>
      </c>
    </row>
    <row r="6158">
      <c r="A6158" s="10">
        <f t="shared" si="8"/>
        <v>44140.66667</v>
      </c>
      <c r="B6158" s="2" t="str">
        <f t="shared" si="2"/>
        <v/>
      </c>
      <c r="C6158" s="2" t="str">
        <f t="shared" si="3"/>
        <v>SP500</v>
      </c>
      <c r="D6158" s="2">
        <f t="shared" si="4"/>
        <v>11890.93</v>
      </c>
      <c r="E6158" s="2">
        <f t="shared" si="5"/>
        <v>11890.93</v>
      </c>
      <c r="G6158" s="10">
        <f t="shared" si="9"/>
        <v>44140.64583</v>
      </c>
      <c r="H6158" s="6" t="str">
        <f t="shared" si="6"/>
        <v/>
      </c>
      <c r="I6158" s="2">
        <f t="shared" si="7"/>
        <v>1426.89</v>
      </c>
    </row>
    <row r="6159">
      <c r="A6159" s="10">
        <f t="shared" si="8"/>
        <v>44141.66667</v>
      </c>
      <c r="B6159" s="2" t="str">
        <f t="shared" si="2"/>
        <v/>
      </c>
      <c r="C6159" s="2" t="str">
        <f t="shared" si="3"/>
        <v>SP500</v>
      </c>
      <c r="D6159" s="2">
        <f t="shared" si="4"/>
        <v>11895.23</v>
      </c>
      <c r="E6159" s="2">
        <f t="shared" si="5"/>
        <v>11895.23</v>
      </c>
      <c r="G6159" s="10">
        <f t="shared" si="9"/>
        <v>44141.64583</v>
      </c>
      <c r="H6159" s="6" t="str">
        <f t="shared" si="6"/>
        <v/>
      </c>
      <c r="I6159" s="2">
        <f t="shared" si="7"/>
        <v>1426.89</v>
      </c>
    </row>
    <row r="6160">
      <c r="A6160" s="10">
        <f t="shared" si="8"/>
        <v>44142.66667</v>
      </c>
      <c r="B6160" s="2" t="str">
        <f t="shared" si="2"/>
        <v/>
      </c>
      <c r="C6160" s="2" t="str">
        <f t="shared" si="3"/>
        <v>SP500</v>
      </c>
      <c r="D6160" s="2" t="str">
        <f t="shared" si="4"/>
        <v/>
      </c>
      <c r="E6160" s="2">
        <f t="shared" si="5"/>
        <v>11895.23</v>
      </c>
      <c r="G6160" s="10">
        <f t="shared" si="9"/>
        <v>44142.64583</v>
      </c>
      <c r="H6160" s="6" t="str">
        <f t="shared" si="6"/>
        <v/>
      </c>
      <c r="I6160" s="2">
        <f t="shared" si="7"/>
        <v>1426.89</v>
      </c>
    </row>
    <row r="6161">
      <c r="A6161" s="10">
        <f t="shared" si="8"/>
        <v>44143.66667</v>
      </c>
      <c r="B6161" s="2" t="str">
        <f t="shared" si="2"/>
        <v/>
      </c>
      <c r="C6161" s="2" t="str">
        <f t="shared" si="3"/>
        <v>SP500</v>
      </c>
      <c r="D6161" s="2" t="str">
        <f t="shared" si="4"/>
        <v/>
      </c>
      <c r="E6161" s="2">
        <f t="shared" si="5"/>
        <v>11895.23</v>
      </c>
      <c r="G6161" s="10">
        <f t="shared" si="9"/>
        <v>44143.64583</v>
      </c>
      <c r="H6161" s="6" t="str">
        <f t="shared" si="6"/>
        <v/>
      </c>
      <c r="I6161" s="2">
        <f t="shared" si="7"/>
        <v>1426.89</v>
      </c>
    </row>
    <row r="6162">
      <c r="A6162" s="10">
        <f t="shared" si="8"/>
        <v>44144.66667</v>
      </c>
      <c r="B6162" s="2" t="str">
        <f t="shared" si="2"/>
        <v/>
      </c>
      <c r="C6162" s="2" t="str">
        <f t="shared" si="3"/>
        <v>SP500</v>
      </c>
      <c r="D6162" s="2">
        <f t="shared" si="4"/>
        <v>11713.78</v>
      </c>
      <c r="E6162" s="2">
        <f t="shared" si="5"/>
        <v>11713.78</v>
      </c>
      <c r="G6162" s="10">
        <f t="shared" si="9"/>
        <v>44144.64583</v>
      </c>
      <c r="H6162" s="6" t="str">
        <f t="shared" si="6"/>
        <v/>
      </c>
      <c r="I6162" s="2">
        <f t="shared" si="7"/>
        <v>1426.89</v>
      </c>
    </row>
    <row r="6163">
      <c r="A6163" s="10">
        <f t="shared" si="8"/>
        <v>44145.66667</v>
      </c>
      <c r="B6163" s="2" t="str">
        <f t="shared" si="2"/>
        <v/>
      </c>
      <c r="C6163" s="2" t="str">
        <f t="shared" si="3"/>
        <v>SP500</v>
      </c>
      <c r="D6163" s="2">
        <f t="shared" si="4"/>
        <v>11553.86</v>
      </c>
      <c r="E6163" s="2">
        <f t="shared" si="5"/>
        <v>11553.86</v>
      </c>
      <c r="G6163" s="10">
        <f t="shared" si="9"/>
        <v>44145.64583</v>
      </c>
      <c r="H6163" s="6" t="str">
        <f t="shared" si="6"/>
        <v/>
      </c>
      <c r="I6163" s="2">
        <f t="shared" si="7"/>
        <v>1426.89</v>
      </c>
    </row>
    <row r="6164">
      <c r="A6164" s="10">
        <f t="shared" si="8"/>
        <v>44146.66667</v>
      </c>
      <c r="B6164" s="2" t="str">
        <f t="shared" si="2"/>
        <v/>
      </c>
      <c r="C6164" s="2" t="str">
        <f t="shared" si="3"/>
        <v>SP500</v>
      </c>
      <c r="D6164" s="2">
        <f t="shared" si="4"/>
        <v>11786.43</v>
      </c>
      <c r="E6164" s="2">
        <f t="shared" si="5"/>
        <v>11786.43</v>
      </c>
      <c r="G6164" s="10">
        <f t="shared" si="9"/>
        <v>44146.64583</v>
      </c>
      <c r="H6164" s="6" t="str">
        <f t="shared" si="6"/>
        <v/>
      </c>
      <c r="I6164" s="2">
        <f t="shared" si="7"/>
        <v>1426.89</v>
      </c>
    </row>
    <row r="6165">
      <c r="A6165" s="10">
        <f t="shared" si="8"/>
        <v>44147.66667</v>
      </c>
      <c r="B6165" s="2" t="str">
        <f t="shared" si="2"/>
        <v/>
      </c>
      <c r="C6165" s="2" t="str">
        <f t="shared" si="3"/>
        <v>SP500</v>
      </c>
      <c r="D6165" s="2">
        <f t="shared" si="4"/>
        <v>11709.59</v>
      </c>
      <c r="E6165" s="2">
        <f t="shared" si="5"/>
        <v>11709.59</v>
      </c>
      <c r="G6165" s="10">
        <f t="shared" si="9"/>
        <v>44147.64583</v>
      </c>
      <c r="H6165" s="6" t="str">
        <f t="shared" si="6"/>
        <v/>
      </c>
      <c r="I6165" s="2">
        <f t="shared" si="7"/>
        <v>1426.89</v>
      </c>
    </row>
    <row r="6166">
      <c r="A6166" s="10">
        <f t="shared" si="8"/>
        <v>44148.66667</v>
      </c>
      <c r="B6166" s="2" t="str">
        <f t="shared" si="2"/>
        <v/>
      </c>
      <c r="C6166" s="2" t="str">
        <f t="shared" si="3"/>
        <v>SP500</v>
      </c>
      <c r="D6166" s="2">
        <f t="shared" si="4"/>
        <v>11829.29</v>
      </c>
      <c r="E6166" s="2">
        <f t="shared" si="5"/>
        <v>11829.29</v>
      </c>
      <c r="G6166" s="10">
        <f t="shared" si="9"/>
        <v>44148.64583</v>
      </c>
      <c r="H6166" s="6" t="str">
        <f t="shared" si="6"/>
        <v/>
      </c>
      <c r="I6166" s="2">
        <f t="shared" si="7"/>
        <v>1426.89</v>
      </c>
    </row>
    <row r="6167">
      <c r="A6167" s="10">
        <f t="shared" si="8"/>
        <v>44149.66667</v>
      </c>
      <c r="B6167" s="2" t="str">
        <f t="shared" si="2"/>
        <v/>
      </c>
      <c r="C6167" s="2" t="str">
        <f t="shared" si="3"/>
        <v>SP500</v>
      </c>
      <c r="D6167" s="2" t="str">
        <f t="shared" si="4"/>
        <v/>
      </c>
      <c r="E6167" s="2">
        <f t="shared" si="5"/>
        <v>11829.29</v>
      </c>
      <c r="G6167" s="10">
        <f t="shared" si="9"/>
        <v>44149.64583</v>
      </c>
      <c r="H6167" s="6" t="str">
        <f t="shared" si="6"/>
        <v/>
      </c>
      <c r="I6167" s="2">
        <f t="shared" si="7"/>
        <v>1426.89</v>
      </c>
    </row>
    <row r="6168">
      <c r="A6168" s="10">
        <f t="shared" si="8"/>
        <v>44150.66667</v>
      </c>
      <c r="B6168" s="2" t="str">
        <f t="shared" si="2"/>
        <v/>
      </c>
      <c r="C6168" s="2" t="str">
        <f t="shared" si="3"/>
        <v>SP500</v>
      </c>
      <c r="D6168" s="2" t="str">
        <f t="shared" si="4"/>
        <v/>
      </c>
      <c r="E6168" s="2">
        <f t="shared" si="5"/>
        <v>11829.29</v>
      </c>
      <c r="G6168" s="10">
        <f t="shared" si="9"/>
        <v>44150.64583</v>
      </c>
      <c r="H6168" s="6" t="str">
        <f t="shared" si="6"/>
        <v/>
      </c>
      <c r="I6168" s="2">
        <f t="shared" si="7"/>
        <v>1426.89</v>
      </c>
    </row>
    <row r="6169">
      <c r="A6169" s="10">
        <f t="shared" si="8"/>
        <v>44151.66667</v>
      </c>
      <c r="B6169" s="2" t="str">
        <f t="shared" si="2"/>
        <v/>
      </c>
      <c r="C6169" s="2" t="str">
        <f t="shared" si="3"/>
        <v>SP500</v>
      </c>
      <c r="D6169" s="2">
        <f t="shared" si="4"/>
        <v>11924.13</v>
      </c>
      <c r="E6169" s="2">
        <f t="shared" si="5"/>
        <v>11924.13</v>
      </c>
      <c r="G6169" s="10">
        <f t="shared" si="9"/>
        <v>44151.64583</v>
      </c>
      <c r="H6169" s="6" t="str">
        <f t="shared" si="6"/>
        <v/>
      </c>
      <c r="I6169" s="2">
        <f t="shared" si="7"/>
        <v>1426.89</v>
      </c>
    </row>
    <row r="6170">
      <c r="A6170" s="10">
        <f t="shared" si="8"/>
        <v>44152.66667</v>
      </c>
      <c r="B6170" s="2" t="str">
        <f t="shared" si="2"/>
        <v/>
      </c>
      <c r="C6170" s="2" t="str">
        <f t="shared" si="3"/>
        <v>SP500</v>
      </c>
      <c r="D6170" s="2">
        <f t="shared" si="4"/>
        <v>11899.34</v>
      </c>
      <c r="E6170" s="2">
        <f t="shared" si="5"/>
        <v>11899.34</v>
      </c>
      <c r="G6170" s="10">
        <f t="shared" si="9"/>
        <v>44152.64583</v>
      </c>
      <c r="H6170" s="6" t="str">
        <f t="shared" si="6"/>
        <v/>
      </c>
      <c r="I6170" s="2">
        <f t="shared" si="7"/>
        <v>1426.89</v>
      </c>
    </row>
    <row r="6171">
      <c r="A6171" s="10">
        <f t="shared" si="8"/>
        <v>44153.66667</v>
      </c>
      <c r="B6171" s="2" t="str">
        <f t="shared" si="2"/>
        <v/>
      </c>
      <c r="C6171" s="2" t="str">
        <f t="shared" si="3"/>
        <v>SP500</v>
      </c>
      <c r="D6171" s="2">
        <f t="shared" si="4"/>
        <v>11801.6</v>
      </c>
      <c r="E6171" s="2">
        <f t="shared" si="5"/>
        <v>11801.6</v>
      </c>
      <c r="G6171" s="10">
        <f t="shared" si="9"/>
        <v>44153.64583</v>
      </c>
      <c r="H6171" s="6" t="str">
        <f t="shared" si="6"/>
        <v/>
      </c>
      <c r="I6171" s="2">
        <f t="shared" si="7"/>
        <v>1426.89</v>
      </c>
    </row>
    <row r="6172">
      <c r="A6172" s="10">
        <f t="shared" si="8"/>
        <v>44154.66667</v>
      </c>
      <c r="B6172" s="2" t="str">
        <f t="shared" si="2"/>
        <v/>
      </c>
      <c r="C6172" s="2" t="str">
        <f t="shared" si="3"/>
        <v>SP500</v>
      </c>
      <c r="D6172" s="2">
        <f t="shared" si="4"/>
        <v>11904.71</v>
      </c>
      <c r="E6172" s="2">
        <f t="shared" si="5"/>
        <v>11904.71</v>
      </c>
      <c r="G6172" s="10">
        <f t="shared" si="9"/>
        <v>44154.64583</v>
      </c>
      <c r="H6172" s="6" t="str">
        <f t="shared" si="6"/>
        <v/>
      </c>
      <c r="I6172" s="2">
        <f t="shared" si="7"/>
        <v>1426.89</v>
      </c>
    </row>
    <row r="6173">
      <c r="A6173" s="10">
        <f t="shared" si="8"/>
        <v>44155.66667</v>
      </c>
      <c r="B6173" s="2" t="str">
        <f t="shared" si="2"/>
        <v/>
      </c>
      <c r="C6173" s="2" t="str">
        <f t="shared" si="3"/>
        <v>SP500</v>
      </c>
      <c r="D6173" s="2">
        <f t="shared" si="4"/>
        <v>11854.97</v>
      </c>
      <c r="E6173" s="2">
        <f t="shared" si="5"/>
        <v>11854.97</v>
      </c>
      <c r="G6173" s="10">
        <f t="shared" si="9"/>
        <v>44155.64583</v>
      </c>
      <c r="H6173" s="6" t="str">
        <f t="shared" si="6"/>
        <v/>
      </c>
      <c r="I6173" s="2">
        <f t="shared" si="7"/>
        <v>1426.89</v>
      </c>
    </row>
    <row r="6174">
      <c r="A6174" s="10">
        <f t="shared" si="8"/>
        <v>44156.66667</v>
      </c>
      <c r="B6174" s="2" t="str">
        <f t="shared" si="2"/>
        <v/>
      </c>
      <c r="C6174" s="2" t="str">
        <f t="shared" si="3"/>
        <v>SP500</v>
      </c>
      <c r="D6174" s="2" t="str">
        <f t="shared" si="4"/>
        <v/>
      </c>
      <c r="E6174" s="2">
        <f t="shared" si="5"/>
        <v>11854.97</v>
      </c>
      <c r="G6174" s="10">
        <f t="shared" si="9"/>
        <v>44156.64583</v>
      </c>
      <c r="H6174" s="6" t="str">
        <f t="shared" si="6"/>
        <v/>
      </c>
      <c r="I6174" s="2">
        <f t="shared" si="7"/>
        <v>1426.89</v>
      </c>
    </row>
    <row r="6175">
      <c r="A6175" s="10">
        <f t="shared" si="8"/>
        <v>44157.66667</v>
      </c>
      <c r="B6175" s="2" t="str">
        <f t="shared" si="2"/>
        <v/>
      </c>
      <c r="C6175" s="2" t="str">
        <f t="shared" si="3"/>
        <v>SP500</v>
      </c>
      <c r="D6175" s="2" t="str">
        <f t="shared" si="4"/>
        <v/>
      </c>
      <c r="E6175" s="2">
        <f t="shared" si="5"/>
        <v>11854.97</v>
      </c>
      <c r="G6175" s="10">
        <f t="shared" si="9"/>
        <v>44157.64583</v>
      </c>
      <c r="H6175" s="6" t="str">
        <f t="shared" si="6"/>
        <v/>
      </c>
      <c r="I6175" s="2">
        <f t="shared" si="7"/>
        <v>1426.89</v>
      </c>
    </row>
    <row r="6176">
      <c r="A6176" s="10">
        <f t="shared" si="8"/>
        <v>44158.66667</v>
      </c>
      <c r="B6176" s="2" t="str">
        <f t="shared" si="2"/>
        <v/>
      </c>
      <c r="C6176" s="2" t="str">
        <f t="shared" si="3"/>
        <v>SP500</v>
      </c>
      <c r="D6176" s="2">
        <f t="shared" si="4"/>
        <v>11880.63</v>
      </c>
      <c r="E6176" s="2">
        <f t="shared" si="5"/>
        <v>11880.63</v>
      </c>
      <c r="G6176" s="10">
        <f t="shared" si="9"/>
        <v>44158.64583</v>
      </c>
      <c r="H6176" s="6" t="str">
        <f t="shared" si="6"/>
        <v/>
      </c>
      <c r="I6176" s="2">
        <f t="shared" si="7"/>
        <v>1426.89</v>
      </c>
    </row>
    <row r="6177">
      <c r="A6177" s="10">
        <f t="shared" si="8"/>
        <v>44159.66667</v>
      </c>
      <c r="B6177" s="2" t="str">
        <f t="shared" si="2"/>
        <v/>
      </c>
      <c r="C6177" s="2" t="str">
        <f t="shared" si="3"/>
        <v>SP500</v>
      </c>
      <c r="D6177" s="2">
        <f t="shared" si="4"/>
        <v>12036.79</v>
      </c>
      <c r="E6177" s="2">
        <f t="shared" si="5"/>
        <v>12036.79</v>
      </c>
      <c r="G6177" s="10">
        <f t="shared" si="9"/>
        <v>44159.64583</v>
      </c>
      <c r="H6177" s="6" t="str">
        <f t="shared" si="6"/>
        <v/>
      </c>
      <c r="I6177" s="2">
        <f t="shared" si="7"/>
        <v>1426.89</v>
      </c>
    </row>
    <row r="6178">
      <c r="A6178" s="10">
        <f t="shared" si="8"/>
        <v>44160.66667</v>
      </c>
      <c r="B6178" s="2" t="str">
        <f t="shared" si="2"/>
        <v/>
      </c>
      <c r="C6178" s="2" t="str">
        <f t="shared" si="3"/>
        <v>SP500</v>
      </c>
      <c r="D6178" s="2">
        <f t="shared" si="4"/>
        <v>12094.4</v>
      </c>
      <c r="E6178" s="2">
        <f t="shared" si="5"/>
        <v>12094.4</v>
      </c>
      <c r="G6178" s="10">
        <f t="shared" si="9"/>
        <v>44160.64583</v>
      </c>
      <c r="H6178" s="6" t="str">
        <f t="shared" si="6"/>
        <v/>
      </c>
      <c r="I6178" s="2">
        <f t="shared" si="7"/>
        <v>1426.89</v>
      </c>
    </row>
    <row r="6179">
      <c r="A6179" s="10">
        <f t="shared" si="8"/>
        <v>44161.66667</v>
      </c>
      <c r="B6179" s="2" t="str">
        <f t="shared" si="2"/>
        <v/>
      </c>
      <c r="C6179" s="2" t="str">
        <f t="shared" si="3"/>
        <v>SP500</v>
      </c>
      <c r="D6179" s="2" t="str">
        <f t="shared" si="4"/>
        <v/>
      </c>
      <c r="E6179" s="2">
        <f t="shared" si="5"/>
        <v>12094.4</v>
      </c>
      <c r="G6179" s="10">
        <f t="shared" si="9"/>
        <v>44161.64583</v>
      </c>
      <c r="H6179" s="6" t="str">
        <f t="shared" si="6"/>
        <v/>
      </c>
      <c r="I6179" s="2">
        <f t="shared" si="7"/>
        <v>1426.89</v>
      </c>
    </row>
    <row r="6180">
      <c r="A6180" s="10">
        <f t="shared" si="8"/>
        <v>44162.66667</v>
      </c>
      <c r="B6180" s="2" t="str">
        <f t="shared" si="2"/>
        <v/>
      </c>
      <c r="C6180" s="2" t="str">
        <f t="shared" si="3"/>
        <v>SP500</v>
      </c>
      <c r="D6180" s="2" t="str">
        <f t="shared" si="4"/>
        <v/>
      </c>
      <c r="E6180" s="2">
        <f t="shared" si="5"/>
        <v>12094.4</v>
      </c>
      <c r="G6180" s="10">
        <f t="shared" si="9"/>
        <v>44162.64583</v>
      </c>
      <c r="H6180" s="6" t="str">
        <f t="shared" si="6"/>
        <v/>
      </c>
      <c r="I6180" s="2">
        <f t="shared" si="7"/>
        <v>1426.89</v>
      </c>
    </row>
    <row r="6181">
      <c r="A6181" s="10">
        <f t="shared" si="8"/>
        <v>44163.66667</v>
      </c>
      <c r="B6181" s="2" t="str">
        <f t="shared" si="2"/>
        <v/>
      </c>
      <c r="C6181" s="2" t="str">
        <f t="shared" si="3"/>
        <v>SP500</v>
      </c>
      <c r="D6181" s="2" t="str">
        <f t="shared" si="4"/>
        <v/>
      </c>
      <c r="E6181" s="2">
        <f t="shared" si="5"/>
        <v>12094.4</v>
      </c>
      <c r="G6181" s="10">
        <f t="shared" si="9"/>
        <v>44163.64583</v>
      </c>
      <c r="H6181" s="6" t="str">
        <f t="shared" si="6"/>
        <v/>
      </c>
      <c r="I6181" s="2">
        <f t="shared" si="7"/>
        <v>1426.89</v>
      </c>
    </row>
    <row r="6182">
      <c r="A6182" s="10">
        <f t="shared" si="8"/>
        <v>44164.66667</v>
      </c>
      <c r="B6182" s="2" t="str">
        <f t="shared" si="2"/>
        <v/>
      </c>
      <c r="C6182" s="2" t="str">
        <f t="shared" si="3"/>
        <v>SP500</v>
      </c>
      <c r="D6182" s="2" t="str">
        <f t="shared" si="4"/>
        <v/>
      </c>
      <c r="E6182" s="2">
        <f t="shared" si="5"/>
        <v>12094.4</v>
      </c>
      <c r="G6182" s="10">
        <f t="shared" si="9"/>
        <v>44164.64583</v>
      </c>
      <c r="H6182" s="6" t="str">
        <f t="shared" si="6"/>
        <v/>
      </c>
      <c r="I6182" s="2">
        <f t="shared" si="7"/>
        <v>1426.89</v>
      </c>
    </row>
    <row r="6183">
      <c r="A6183" s="10">
        <f t="shared" si="8"/>
        <v>44165.66667</v>
      </c>
      <c r="B6183" s="2" t="str">
        <f t="shared" si="2"/>
        <v/>
      </c>
      <c r="C6183" s="2" t="str">
        <f t="shared" si="3"/>
        <v>SP500</v>
      </c>
      <c r="D6183" s="2">
        <f t="shared" si="4"/>
        <v>12198.74</v>
      </c>
      <c r="E6183" s="2">
        <f t="shared" si="5"/>
        <v>12198.74</v>
      </c>
      <c r="G6183" s="10">
        <f t="shared" si="9"/>
        <v>44165.64583</v>
      </c>
      <c r="H6183" s="6" t="str">
        <f t="shared" si="6"/>
        <v/>
      </c>
      <c r="I6183" s="2">
        <f t="shared" si="7"/>
        <v>1426.89</v>
      </c>
    </row>
    <row r="6184">
      <c r="A6184" s="10">
        <f t="shared" si="8"/>
        <v>44166.66667</v>
      </c>
      <c r="B6184" s="2" t="str">
        <f t="shared" si="2"/>
        <v/>
      </c>
      <c r="C6184" s="2" t="str">
        <f t="shared" si="3"/>
        <v>SP500</v>
      </c>
      <c r="D6184" s="2">
        <f t="shared" si="4"/>
        <v>12355.11</v>
      </c>
      <c r="E6184" s="2">
        <f t="shared" si="5"/>
        <v>12355.11</v>
      </c>
      <c r="G6184" s="10">
        <f t="shared" si="9"/>
        <v>44166.64583</v>
      </c>
      <c r="H6184" s="6" t="str">
        <f t="shared" si="6"/>
        <v/>
      </c>
      <c r="I6184" s="2">
        <f t="shared" si="7"/>
        <v>1426.89</v>
      </c>
    </row>
    <row r="6185">
      <c r="A6185" s="10">
        <f t="shared" si="8"/>
        <v>44167.66667</v>
      </c>
      <c r="B6185" s="2" t="str">
        <f t="shared" si="2"/>
        <v/>
      </c>
      <c r="C6185" s="2" t="str">
        <f t="shared" si="3"/>
        <v>SP500</v>
      </c>
      <c r="D6185" s="2">
        <f t="shared" si="4"/>
        <v>12349.37</v>
      </c>
      <c r="E6185" s="2">
        <f t="shared" si="5"/>
        <v>12349.37</v>
      </c>
      <c r="G6185" s="10">
        <f t="shared" si="9"/>
        <v>44167.64583</v>
      </c>
      <c r="H6185" s="6" t="str">
        <f t="shared" si="6"/>
        <v/>
      </c>
      <c r="I6185" s="2">
        <f t="shared" si="7"/>
        <v>1426.89</v>
      </c>
    </row>
    <row r="6186">
      <c r="A6186" s="10">
        <f t="shared" si="8"/>
        <v>44168.66667</v>
      </c>
      <c r="B6186" s="2" t="str">
        <f t="shared" si="2"/>
        <v/>
      </c>
      <c r="C6186" s="2" t="str">
        <f t="shared" si="3"/>
        <v>SP500</v>
      </c>
      <c r="D6186" s="2">
        <f t="shared" si="4"/>
        <v>12377.18</v>
      </c>
      <c r="E6186" s="2">
        <f t="shared" si="5"/>
        <v>12377.18</v>
      </c>
      <c r="G6186" s="10">
        <f t="shared" si="9"/>
        <v>44168.64583</v>
      </c>
      <c r="H6186" s="6" t="str">
        <f t="shared" si="6"/>
        <v/>
      </c>
      <c r="I6186" s="2">
        <f t="shared" si="7"/>
        <v>1426.89</v>
      </c>
    </row>
    <row r="6187">
      <c r="A6187" s="10">
        <f t="shared" si="8"/>
        <v>44169.66667</v>
      </c>
      <c r="B6187" s="2" t="str">
        <f t="shared" si="2"/>
        <v/>
      </c>
      <c r="C6187" s="2" t="str">
        <f t="shared" si="3"/>
        <v>SP500</v>
      </c>
      <c r="D6187" s="2">
        <f t="shared" si="4"/>
        <v>12464.23</v>
      </c>
      <c r="E6187" s="2">
        <f t="shared" si="5"/>
        <v>12464.23</v>
      </c>
      <c r="G6187" s="10">
        <f t="shared" si="9"/>
        <v>44169.64583</v>
      </c>
      <c r="H6187" s="6" t="str">
        <f t="shared" si="6"/>
        <v/>
      </c>
      <c r="I6187" s="2">
        <f t="shared" si="7"/>
        <v>1426.89</v>
      </c>
    </row>
    <row r="6188">
      <c r="A6188" s="10">
        <f t="shared" si="8"/>
        <v>44170.66667</v>
      </c>
      <c r="B6188" s="2" t="str">
        <f t="shared" si="2"/>
        <v/>
      </c>
      <c r="C6188" s="2" t="str">
        <f t="shared" si="3"/>
        <v>SP500</v>
      </c>
      <c r="D6188" s="2" t="str">
        <f t="shared" si="4"/>
        <v/>
      </c>
      <c r="E6188" s="2">
        <f t="shared" si="5"/>
        <v>12464.23</v>
      </c>
      <c r="G6188" s="10">
        <f t="shared" si="9"/>
        <v>44170.64583</v>
      </c>
      <c r="H6188" s="6" t="str">
        <f t="shared" si="6"/>
        <v/>
      </c>
      <c r="I6188" s="2">
        <f t="shared" si="7"/>
        <v>1426.89</v>
      </c>
    </row>
    <row r="6189">
      <c r="A6189" s="10">
        <f t="shared" si="8"/>
        <v>44171.66667</v>
      </c>
      <c r="B6189" s="2" t="str">
        <f t="shared" si="2"/>
        <v/>
      </c>
      <c r="C6189" s="2" t="str">
        <f t="shared" si="3"/>
        <v>SP500</v>
      </c>
      <c r="D6189" s="2" t="str">
        <f t="shared" si="4"/>
        <v/>
      </c>
      <c r="E6189" s="2">
        <f t="shared" si="5"/>
        <v>12464.23</v>
      </c>
      <c r="G6189" s="10">
        <f t="shared" si="9"/>
        <v>44171.64583</v>
      </c>
      <c r="H6189" s="6" t="str">
        <f t="shared" si="6"/>
        <v/>
      </c>
      <c r="I6189" s="2">
        <f t="shared" si="7"/>
        <v>1426.89</v>
      </c>
    </row>
    <row r="6190">
      <c r="A6190" s="10">
        <f t="shared" si="8"/>
        <v>44172.66667</v>
      </c>
      <c r="B6190" s="2" t="str">
        <f t="shared" si="2"/>
        <v/>
      </c>
      <c r="C6190" s="2" t="str">
        <f t="shared" si="3"/>
        <v>SP500</v>
      </c>
      <c r="D6190" s="2">
        <f t="shared" si="4"/>
        <v>12519.95</v>
      </c>
      <c r="E6190" s="2">
        <f t="shared" si="5"/>
        <v>12519.95</v>
      </c>
      <c r="G6190" s="10">
        <f t="shared" si="9"/>
        <v>44172.64583</v>
      </c>
      <c r="H6190" s="6" t="str">
        <f t="shared" si="6"/>
        <v/>
      </c>
      <c r="I6190" s="2">
        <f t="shared" si="7"/>
        <v>1426.89</v>
      </c>
    </row>
    <row r="6191">
      <c r="A6191" s="10">
        <f t="shared" si="8"/>
        <v>44173.66667</v>
      </c>
      <c r="B6191" s="2" t="str">
        <f t="shared" si="2"/>
        <v/>
      </c>
      <c r="C6191" s="2" t="str">
        <f t="shared" si="3"/>
        <v>SP500</v>
      </c>
      <c r="D6191" s="2">
        <f t="shared" si="4"/>
        <v>12582.77</v>
      </c>
      <c r="E6191" s="2">
        <f t="shared" si="5"/>
        <v>12582.77</v>
      </c>
      <c r="G6191" s="10">
        <f t="shared" si="9"/>
        <v>44173.64583</v>
      </c>
      <c r="H6191" s="6" t="str">
        <f t="shared" si="6"/>
        <v/>
      </c>
      <c r="I6191" s="2">
        <f t="shared" si="7"/>
        <v>1426.89</v>
      </c>
    </row>
    <row r="6192">
      <c r="A6192" s="10">
        <f t="shared" si="8"/>
        <v>44174.66667</v>
      </c>
      <c r="B6192" s="2" t="str">
        <f t="shared" si="2"/>
        <v/>
      </c>
      <c r="C6192" s="2" t="str">
        <f t="shared" si="3"/>
        <v>SP500</v>
      </c>
      <c r="D6192" s="2">
        <f t="shared" si="4"/>
        <v>12338.95</v>
      </c>
      <c r="E6192" s="2">
        <f t="shared" si="5"/>
        <v>12338.95</v>
      </c>
      <c r="G6192" s="10">
        <f t="shared" si="9"/>
        <v>44174.64583</v>
      </c>
      <c r="H6192" s="6" t="str">
        <f t="shared" si="6"/>
        <v/>
      </c>
      <c r="I6192" s="2">
        <f t="shared" si="7"/>
        <v>1426.89</v>
      </c>
    </row>
    <row r="6193">
      <c r="A6193" s="10">
        <f t="shared" si="8"/>
        <v>44175.66667</v>
      </c>
      <c r="B6193" s="2" t="str">
        <f t="shared" si="2"/>
        <v/>
      </c>
      <c r="C6193" s="2" t="str">
        <f t="shared" si="3"/>
        <v>SP500</v>
      </c>
      <c r="D6193" s="2">
        <f t="shared" si="4"/>
        <v>12405.81</v>
      </c>
      <c r="E6193" s="2">
        <f t="shared" si="5"/>
        <v>12405.81</v>
      </c>
      <c r="G6193" s="10">
        <f t="shared" si="9"/>
        <v>44175.64583</v>
      </c>
      <c r="H6193" s="6" t="str">
        <f t="shared" si="6"/>
        <v/>
      </c>
      <c r="I6193" s="2">
        <f t="shared" si="7"/>
        <v>1426.89</v>
      </c>
    </row>
    <row r="6194">
      <c r="A6194" s="10">
        <f t="shared" si="8"/>
        <v>44176.66667</v>
      </c>
      <c r="B6194" s="2" t="str">
        <f t="shared" si="2"/>
        <v/>
      </c>
      <c r="C6194" s="2" t="str">
        <f t="shared" si="3"/>
        <v>SP500</v>
      </c>
      <c r="D6194" s="2">
        <f t="shared" si="4"/>
        <v>12377.87</v>
      </c>
      <c r="E6194" s="2">
        <f t="shared" si="5"/>
        <v>12377.87</v>
      </c>
      <c r="G6194" s="10">
        <f t="shared" si="9"/>
        <v>44176.64583</v>
      </c>
      <c r="H6194" s="6" t="str">
        <f t="shared" si="6"/>
        <v/>
      </c>
      <c r="I6194" s="2">
        <f t="shared" si="7"/>
        <v>1426.89</v>
      </c>
    </row>
    <row r="6195">
      <c r="A6195" s="10">
        <f t="shared" si="8"/>
        <v>44177.66667</v>
      </c>
      <c r="B6195" s="2" t="str">
        <f t="shared" si="2"/>
        <v/>
      </c>
      <c r="C6195" s="2" t="str">
        <f t="shared" si="3"/>
        <v>SP500</v>
      </c>
      <c r="D6195" s="2" t="str">
        <f t="shared" si="4"/>
        <v/>
      </c>
      <c r="E6195" s="2">
        <f t="shared" si="5"/>
        <v>12377.87</v>
      </c>
      <c r="G6195" s="10">
        <f t="shared" si="9"/>
        <v>44177.64583</v>
      </c>
      <c r="H6195" s="6" t="str">
        <f t="shared" si="6"/>
        <v/>
      </c>
      <c r="I6195" s="2">
        <f t="shared" si="7"/>
        <v>1426.89</v>
      </c>
    </row>
    <row r="6196">
      <c r="A6196" s="10">
        <f t="shared" si="8"/>
        <v>44178.66667</v>
      </c>
      <c r="B6196" s="2" t="str">
        <f t="shared" si="2"/>
        <v/>
      </c>
      <c r="C6196" s="2" t="str">
        <f t="shared" si="3"/>
        <v>SP500</v>
      </c>
      <c r="D6196" s="2" t="str">
        <f t="shared" si="4"/>
        <v/>
      </c>
      <c r="E6196" s="2">
        <f t="shared" si="5"/>
        <v>12377.87</v>
      </c>
      <c r="G6196" s="10">
        <f t="shared" si="9"/>
        <v>44178.64583</v>
      </c>
      <c r="H6196" s="6" t="str">
        <f t="shared" si="6"/>
        <v/>
      </c>
      <c r="I6196" s="2">
        <f t="shared" si="7"/>
        <v>1426.89</v>
      </c>
    </row>
    <row r="6197">
      <c r="A6197" s="10">
        <f t="shared" si="8"/>
        <v>44179.66667</v>
      </c>
      <c r="B6197" s="2" t="str">
        <f t="shared" si="2"/>
        <v/>
      </c>
      <c r="C6197" s="2" t="str">
        <f t="shared" si="3"/>
        <v>SP500</v>
      </c>
      <c r="D6197" s="2">
        <f t="shared" si="4"/>
        <v>12440.04</v>
      </c>
      <c r="E6197" s="2">
        <f t="shared" si="5"/>
        <v>12440.04</v>
      </c>
      <c r="G6197" s="10">
        <f t="shared" si="9"/>
        <v>44179.64583</v>
      </c>
      <c r="H6197" s="6" t="str">
        <f t="shared" si="6"/>
        <v/>
      </c>
      <c r="I6197" s="2">
        <f t="shared" si="7"/>
        <v>1426.89</v>
      </c>
    </row>
    <row r="6198">
      <c r="A6198" s="10">
        <f t="shared" si="8"/>
        <v>44180.66667</v>
      </c>
      <c r="B6198" s="2" t="str">
        <f t="shared" si="2"/>
        <v/>
      </c>
      <c r="C6198" s="2" t="str">
        <f t="shared" si="3"/>
        <v>SP500</v>
      </c>
      <c r="D6198" s="2">
        <f t="shared" si="4"/>
        <v>12595.06</v>
      </c>
      <c r="E6198" s="2">
        <f t="shared" si="5"/>
        <v>12595.06</v>
      </c>
      <c r="G6198" s="10">
        <f t="shared" si="9"/>
        <v>44180.64583</v>
      </c>
      <c r="H6198" s="6" t="str">
        <f t="shared" si="6"/>
        <v/>
      </c>
      <c r="I6198" s="2">
        <f t="shared" si="7"/>
        <v>1426.89</v>
      </c>
    </row>
    <row r="6199">
      <c r="A6199" s="10">
        <f t="shared" si="8"/>
        <v>44181.66667</v>
      </c>
      <c r="B6199" s="2" t="str">
        <f t="shared" si="2"/>
        <v/>
      </c>
      <c r="C6199" s="2" t="str">
        <f t="shared" si="3"/>
        <v>SP500</v>
      </c>
      <c r="D6199" s="2">
        <f t="shared" si="4"/>
        <v>12658.19</v>
      </c>
      <c r="E6199" s="2">
        <f t="shared" si="5"/>
        <v>12658.19</v>
      </c>
      <c r="G6199" s="10">
        <f t="shared" si="9"/>
        <v>44181.64583</v>
      </c>
      <c r="H6199" s="6" t="str">
        <f t="shared" si="6"/>
        <v/>
      </c>
      <c r="I6199" s="2">
        <f t="shared" si="7"/>
        <v>1426.89</v>
      </c>
    </row>
    <row r="6200">
      <c r="A6200" s="10">
        <f t="shared" si="8"/>
        <v>44182.66667</v>
      </c>
      <c r="B6200" s="2" t="str">
        <f t="shared" si="2"/>
        <v/>
      </c>
      <c r="C6200" s="2" t="str">
        <f t="shared" si="3"/>
        <v>SP500</v>
      </c>
      <c r="D6200" s="2">
        <f t="shared" si="4"/>
        <v>12764.75</v>
      </c>
      <c r="E6200" s="2">
        <f t="shared" si="5"/>
        <v>12764.75</v>
      </c>
      <c r="G6200" s="10">
        <f t="shared" si="9"/>
        <v>44182.64583</v>
      </c>
      <c r="H6200" s="6" t="str">
        <f t="shared" si="6"/>
        <v/>
      </c>
      <c r="I6200" s="2">
        <f t="shared" si="7"/>
        <v>1426.89</v>
      </c>
    </row>
    <row r="6201">
      <c r="A6201" s="10">
        <f t="shared" si="8"/>
        <v>44183.66667</v>
      </c>
      <c r="B6201" s="2" t="str">
        <f t="shared" si="2"/>
        <v/>
      </c>
      <c r="C6201" s="2" t="str">
        <f t="shared" si="3"/>
        <v>SP500</v>
      </c>
      <c r="D6201" s="2">
        <f t="shared" si="4"/>
        <v>12755.64</v>
      </c>
      <c r="E6201" s="2">
        <f t="shared" si="5"/>
        <v>12755.64</v>
      </c>
      <c r="G6201" s="10">
        <f t="shared" si="9"/>
        <v>44183.64583</v>
      </c>
      <c r="H6201" s="6" t="str">
        <f t="shared" si="6"/>
        <v/>
      </c>
      <c r="I6201" s="2">
        <f t="shared" si="7"/>
        <v>1426.89</v>
      </c>
    </row>
    <row r="6202">
      <c r="A6202" s="10">
        <f t="shared" si="8"/>
        <v>44184.66667</v>
      </c>
      <c r="B6202" s="2" t="str">
        <f t="shared" si="2"/>
        <v/>
      </c>
      <c r="C6202" s="2" t="str">
        <f t="shared" si="3"/>
        <v>SP500</v>
      </c>
      <c r="D6202" s="2" t="str">
        <f t="shared" si="4"/>
        <v/>
      </c>
      <c r="E6202" s="2">
        <f t="shared" si="5"/>
        <v>12755.64</v>
      </c>
      <c r="G6202" s="10">
        <f t="shared" si="9"/>
        <v>44184.64583</v>
      </c>
      <c r="H6202" s="6" t="str">
        <f t="shared" si="6"/>
        <v/>
      </c>
      <c r="I6202" s="2">
        <f t="shared" si="7"/>
        <v>1426.89</v>
      </c>
    </row>
    <row r="6203">
      <c r="A6203" s="10">
        <f t="shared" si="8"/>
        <v>44185.66667</v>
      </c>
      <c r="B6203" s="2" t="str">
        <f t="shared" si="2"/>
        <v/>
      </c>
      <c r="C6203" s="2" t="str">
        <f t="shared" si="3"/>
        <v>SP500</v>
      </c>
      <c r="D6203" s="2" t="str">
        <f t="shared" si="4"/>
        <v/>
      </c>
      <c r="E6203" s="2">
        <f t="shared" si="5"/>
        <v>12755.64</v>
      </c>
      <c r="G6203" s="10">
        <f t="shared" si="9"/>
        <v>44185.64583</v>
      </c>
      <c r="H6203" s="6" t="str">
        <f t="shared" si="6"/>
        <v/>
      </c>
      <c r="I6203" s="2">
        <f t="shared" si="7"/>
        <v>1426.89</v>
      </c>
    </row>
    <row r="6204">
      <c r="A6204" s="10">
        <f t="shared" si="8"/>
        <v>44186.66667</v>
      </c>
      <c r="B6204" s="2" t="str">
        <f t="shared" si="2"/>
        <v/>
      </c>
      <c r="C6204" s="2" t="str">
        <f t="shared" si="3"/>
        <v>SP500</v>
      </c>
      <c r="D6204" s="2">
        <f t="shared" si="4"/>
        <v>12742.52</v>
      </c>
      <c r="E6204" s="2">
        <f t="shared" si="5"/>
        <v>12742.52</v>
      </c>
      <c r="G6204" s="10">
        <f t="shared" si="9"/>
        <v>44186.64583</v>
      </c>
      <c r="H6204" s="6" t="str">
        <f t="shared" si="6"/>
        <v/>
      </c>
      <c r="I6204" s="2">
        <f t="shared" si="7"/>
        <v>1426.89</v>
      </c>
    </row>
    <row r="6205">
      <c r="A6205" s="10">
        <f t="shared" si="8"/>
        <v>44187.66667</v>
      </c>
      <c r="B6205" s="2" t="str">
        <f t="shared" si="2"/>
        <v/>
      </c>
      <c r="C6205" s="2" t="str">
        <f t="shared" si="3"/>
        <v>SP500</v>
      </c>
      <c r="D6205" s="2">
        <f t="shared" si="4"/>
        <v>12807.92</v>
      </c>
      <c r="E6205" s="2">
        <f t="shared" si="5"/>
        <v>12807.92</v>
      </c>
      <c r="G6205" s="10">
        <f t="shared" si="9"/>
        <v>44187.64583</v>
      </c>
      <c r="H6205" s="6" t="str">
        <f t="shared" si="6"/>
        <v/>
      </c>
      <c r="I6205" s="2">
        <f t="shared" si="7"/>
        <v>1426.89</v>
      </c>
    </row>
    <row r="6206">
      <c r="A6206" s="10">
        <f t="shared" si="8"/>
        <v>44188.66667</v>
      </c>
      <c r="B6206" s="2" t="str">
        <f t="shared" si="2"/>
        <v/>
      </c>
      <c r="C6206" s="2" t="str">
        <f t="shared" si="3"/>
        <v>SP500</v>
      </c>
      <c r="D6206" s="2">
        <f t="shared" si="4"/>
        <v>12771.11</v>
      </c>
      <c r="E6206" s="2">
        <f t="shared" si="5"/>
        <v>12771.11</v>
      </c>
      <c r="G6206" s="10">
        <f t="shared" si="9"/>
        <v>44188.64583</v>
      </c>
      <c r="H6206" s="6" t="str">
        <f t="shared" si="6"/>
        <v/>
      </c>
      <c r="I6206" s="2">
        <f t="shared" si="7"/>
        <v>1426.89</v>
      </c>
    </row>
    <row r="6207">
      <c r="A6207" s="10">
        <f t="shared" si="8"/>
        <v>44189.66667</v>
      </c>
      <c r="B6207" s="2" t="str">
        <f t="shared" si="2"/>
        <v/>
      </c>
      <c r="C6207" s="2" t="str">
        <f t="shared" si="3"/>
        <v>SP500</v>
      </c>
      <c r="D6207" s="2" t="str">
        <f t="shared" si="4"/>
        <v/>
      </c>
      <c r="E6207" s="2">
        <f t="shared" si="5"/>
        <v>12771.11</v>
      </c>
      <c r="G6207" s="10">
        <f t="shared" si="9"/>
        <v>44189.64583</v>
      </c>
      <c r="H6207" s="6" t="str">
        <f t="shared" si="6"/>
        <v/>
      </c>
      <c r="I6207" s="2">
        <f t="shared" si="7"/>
        <v>1426.89</v>
      </c>
    </row>
    <row r="6208">
      <c r="A6208" s="10">
        <f t="shared" si="8"/>
        <v>44190.66667</v>
      </c>
      <c r="B6208" s="2" t="str">
        <f t="shared" si="2"/>
        <v/>
      </c>
      <c r="C6208" s="2" t="str">
        <f t="shared" si="3"/>
        <v>SP500</v>
      </c>
      <c r="D6208" s="2" t="str">
        <f t="shared" si="4"/>
        <v/>
      </c>
      <c r="E6208" s="2">
        <f t="shared" si="5"/>
        <v>12771.11</v>
      </c>
      <c r="G6208" s="10">
        <f t="shared" si="9"/>
        <v>44190.64583</v>
      </c>
      <c r="H6208" s="6" t="str">
        <f t="shared" si="6"/>
        <v/>
      </c>
      <c r="I6208" s="2">
        <f t="shared" si="7"/>
        <v>1426.89</v>
      </c>
    </row>
    <row r="6209">
      <c r="A6209" s="10">
        <f t="shared" si="8"/>
        <v>44191.66667</v>
      </c>
      <c r="B6209" s="2" t="str">
        <f t="shared" si="2"/>
        <v/>
      </c>
      <c r="C6209" s="2" t="str">
        <f t="shared" si="3"/>
        <v>SP500</v>
      </c>
      <c r="D6209" s="2" t="str">
        <f t="shared" si="4"/>
        <v/>
      </c>
      <c r="E6209" s="2">
        <f t="shared" si="5"/>
        <v>12771.11</v>
      </c>
      <c r="G6209" s="10">
        <f t="shared" si="9"/>
        <v>44191.64583</v>
      </c>
      <c r="H6209" s="6" t="str">
        <f t="shared" si="6"/>
        <v/>
      </c>
      <c r="I6209" s="2">
        <f t="shared" si="7"/>
        <v>1426.89</v>
      </c>
    </row>
    <row r="6210">
      <c r="A6210" s="10">
        <f t="shared" si="8"/>
        <v>44192.66667</v>
      </c>
      <c r="B6210" s="2" t="str">
        <f t="shared" si="2"/>
        <v/>
      </c>
      <c r="C6210" s="2" t="str">
        <f t="shared" si="3"/>
        <v>SP500</v>
      </c>
      <c r="D6210" s="2" t="str">
        <f t="shared" si="4"/>
        <v/>
      </c>
      <c r="E6210" s="2">
        <f t="shared" si="5"/>
        <v>12771.11</v>
      </c>
      <c r="G6210" s="10">
        <f t="shared" si="9"/>
        <v>44192.64583</v>
      </c>
      <c r="H6210" s="6" t="str">
        <f t="shared" si="6"/>
        <v/>
      </c>
      <c r="I6210" s="2">
        <f t="shared" si="7"/>
        <v>1426.89</v>
      </c>
    </row>
    <row r="6211">
      <c r="A6211" s="10">
        <f t="shared" si="8"/>
        <v>44193.66667</v>
      </c>
      <c r="B6211" s="2" t="str">
        <f t="shared" si="2"/>
        <v/>
      </c>
      <c r="C6211" s="2" t="str">
        <f t="shared" si="3"/>
        <v>SP500</v>
      </c>
      <c r="D6211" s="2">
        <f t="shared" si="4"/>
        <v>12899.42</v>
      </c>
      <c r="E6211" s="2">
        <f t="shared" si="5"/>
        <v>12899.42</v>
      </c>
      <c r="G6211" s="10">
        <f t="shared" si="9"/>
        <v>44193.64583</v>
      </c>
      <c r="H6211" s="6" t="str">
        <f t="shared" si="6"/>
        <v/>
      </c>
      <c r="I6211" s="2">
        <f t="shared" si="7"/>
        <v>1426.89</v>
      </c>
    </row>
    <row r="6212">
      <c r="A6212" s="10">
        <f t="shared" si="8"/>
        <v>44194.66667</v>
      </c>
      <c r="B6212" s="2" t="str">
        <f t="shared" si="2"/>
        <v/>
      </c>
      <c r="C6212" s="2" t="str">
        <f t="shared" si="3"/>
        <v>SP500</v>
      </c>
      <c r="D6212" s="2">
        <f t="shared" si="4"/>
        <v>12850.22</v>
      </c>
      <c r="E6212" s="2">
        <f t="shared" si="5"/>
        <v>12850.22</v>
      </c>
      <c r="G6212" s="10">
        <f t="shared" si="9"/>
        <v>44194.64583</v>
      </c>
      <c r="H6212" s="6" t="str">
        <f t="shared" si="6"/>
        <v/>
      </c>
      <c r="I6212" s="2">
        <f t="shared" si="7"/>
        <v>1426.89</v>
      </c>
    </row>
    <row r="6213">
      <c r="A6213" s="10">
        <f t="shared" si="8"/>
        <v>44195.66667</v>
      </c>
      <c r="B6213" s="2" t="str">
        <f t="shared" si="2"/>
        <v/>
      </c>
      <c r="C6213" s="2" t="str">
        <f t="shared" si="3"/>
        <v>SP500</v>
      </c>
      <c r="D6213" s="2">
        <f t="shared" si="4"/>
        <v>12870</v>
      </c>
      <c r="E6213" s="2">
        <f t="shared" si="5"/>
        <v>12870</v>
      </c>
      <c r="G6213" s="10">
        <f t="shared" si="9"/>
        <v>44195.64583</v>
      </c>
      <c r="H6213" s="6" t="str">
        <f t="shared" si="6"/>
        <v/>
      </c>
      <c r="I6213" s="2">
        <f t="shared" si="7"/>
        <v>1426.89</v>
      </c>
    </row>
    <row r="6214">
      <c r="A6214" s="10">
        <f t="shared" si="8"/>
        <v>44196.66667</v>
      </c>
      <c r="B6214" s="2" t="str">
        <f t="shared" si="2"/>
        <v/>
      </c>
      <c r="C6214" s="2" t="str">
        <f t="shared" si="3"/>
        <v>SP500</v>
      </c>
      <c r="D6214" s="2">
        <f t="shared" si="4"/>
        <v>12888.28</v>
      </c>
      <c r="E6214" s="2">
        <f t="shared" si="5"/>
        <v>12888.28</v>
      </c>
      <c r="G6214" s="10">
        <f t="shared" si="9"/>
        <v>44196.64583</v>
      </c>
      <c r="H6214" s="6" t="str">
        <f t="shared" si="6"/>
        <v/>
      </c>
      <c r="I6214" s="2">
        <f t="shared" si="7"/>
        <v>1426.89</v>
      </c>
    </row>
    <row r="6215">
      <c r="A6215" s="10">
        <f t="shared" si="8"/>
        <v>44197.66667</v>
      </c>
      <c r="B6215" s="2" t="str">
        <f t="shared" si="2"/>
        <v/>
      </c>
      <c r="C6215" s="2" t="str">
        <f t="shared" si="3"/>
        <v>SP500</v>
      </c>
      <c r="D6215" s="2" t="str">
        <f t="shared" si="4"/>
        <v/>
      </c>
      <c r="E6215" s="2">
        <f t="shared" si="5"/>
        <v>12888.28</v>
      </c>
      <c r="G6215" s="10">
        <f t="shared" si="9"/>
        <v>44197.64583</v>
      </c>
      <c r="H6215" s="6" t="str">
        <f t="shared" si="6"/>
        <v/>
      </c>
      <c r="I6215" s="2">
        <f t="shared" si="7"/>
        <v>1426.89</v>
      </c>
    </row>
    <row r="6216">
      <c r="A6216" s="10">
        <f t="shared" si="8"/>
        <v>44198.66667</v>
      </c>
      <c r="B6216" s="2" t="str">
        <f t="shared" si="2"/>
        <v/>
      </c>
      <c r="C6216" s="2" t="str">
        <f t="shared" si="3"/>
        <v>SP500</v>
      </c>
      <c r="D6216" s="2" t="str">
        <f t="shared" si="4"/>
        <v/>
      </c>
      <c r="E6216" s="2">
        <f t="shared" si="5"/>
        <v>12888.28</v>
      </c>
      <c r="G6216" s="10">
        <f t="shared" si="9"/>
        <v>44198.64583</v>
      </c>
      <c r="H6216" s="6" t="str">
        <f t="shared" si="6"/>
        <v/>
      </c>
      <c r="I6216" s="2">
        <f t="shared" si="7"/>
        <v>1426.89</v>
      </c>
    </row>
    <row r="6217">
      <c r="A6217" s="10">
        <f t="shared" si="8"/>
        <v>44199.66667</v>
      </c>
      <c r="B6217" s="2" t="str">
        <f t="shared" si="2"/>
        <v/>
      </c>
      <c r="C6217" s="2" t="str">
        <f t="shared" si="3"/>
        <v>SP500</v>
      </c>
      <c r="D6217" s="2" t="str">
        <f t="shared" si="4"/>
        <v/>
      </c>
      <c r="E6217" s="2">
        <f t="shared" si="5"/>
        <v>12888.28</v>
      </c>
      <c r="G6217" s="10">
        <f t="shared" si="9"/>
        <v>44199.64583</v>
      </c>
      <c r="H6217" s="6" t="str">
        <f t="shared" si="6"/>
        <v/>
      </c>
      <c r="I6217" s="2">
        <f t="shared" si="7"/>
        <v>1426.89</v>
      </c>
    </row>
    <row r="6218">
      <c r="A6218" s="10">
        <f t="shared" si="8"/>
        <v>44200.66667</v>
      </c>
      <c r="B6218" s="2" t="str">
        <f t="shared" si="2"/>
        <v/>
      </c>
      <c r="C6218" s="2" t="str">
        <f t="shared" si="3"/>
        <v>SP500</v>
      </c>
      <c r="D6218" s="2">
        <f t="shared" si="4"/>
        <v>12698.45</v>
      </c>
      <c r="E6218" s="2">
        <f t="shared" si="5"/>
        <v>12698.45</v>
      </c>
      <c r="G6218" s="10">
        <f t="shared" si="9"/>
        <v>44200.64583</v>
      </c>
      <c r="H6218" s="6" t="str">
        <f t="shared" si="6"/>
        <v/>
      </c>
      <c r="I6218" s="2">
        <f t="shared" si="7"/>
        <v>1426.89</v>
      </c>
    </row>
    <row r="6219">
      <c r="A6219" s="10">
        <f t="shared" si="8"/>
        <v>44201.66667</v>
      </c>
      <c r="B6219" s="2" t="str">
        <f t="shared" si="2"/>
        <v/>
      </c>
      <c r="C6219" s="2" t="str">
        <f t="shared" si="3"/>
        <v>SP500</v>
      </c>
      <c r="D6219" s="2">
        <f t="shared" si="4"/>
        <v>12818.96</v>
      </c>
      <c r="E6219" s="2">
        <f t="shared" si="5"/>
        <v>12818.96</v>
      </c>
      <c r="G6219" s="10">
        <f t="shared" si="9"/>
        <v>44201.64583</v>
      </c>
      <c r="H6219" s="6" t="str">
        <f t="shared" si="6"/>
        <v/>
      </c>
      <c r="I6219" s="2">
        <f t="shared" si="7"/>
        <v>1426.89</v>
      </c>
    </row>
    <row r="6220">
      <c r="A6220" s="10">
        <f t="shared" si="8"/>
        <v>44202.66667</v>
      </c>
      <c r="B6220" s="2" t="str">
        <f t="shared" si="2"/>
        <v/>
      </c>
      <c r="C6220" s="2" t="str">
        <f t="shared" si="3"/>
        <v>SP500</v>
      </c>
      <c r="D6220" s="2">
        <f t="shared" si="4"/>
        <v>12740.79</v>
      </c>
      <c r="E6220" s="2">
        <f t="shared" si="5"/>
        <v>12740.79</v>
      </c>
      <c r="G6220" s="10">
        <f t="shared" si="9"/>
        <v>44202.64583</v>
      </c>
      <c r="H6220" s="6" t="str">
        <f t="shared" si="6"/>
        <v/>
      </c>
      <c r="I6220" s="2">
        <f t="shared" si="7"/>
        <v>1426.89</v>
      </c>
    </row>
    <row r="6221">
      <c r="A6221" s="10">
        <f t="shared" si="8"/>
        <v>44203.66667</v>
      </c>
      <c r="B6221" s="2" t="str">
        <f t="shared" si="2"/>
        <v/>
      </c>
      <c r="C6221" s="2" t="str">
        <f t="shared" si="3"/>
        <v>SP500</v>
      </c>
      <c r="D6221" s="2">
        <f t="shared" si="4"/>
        <v>13067.48</v>
      </c>
      <c r="E6221" s="2">
        <f t="shared" si="5"/>
        <v>13067.48</v>
      </c>
      <c r="G6221" s="10">
        <f t="shared" si="9"/>
        <v>44203.64583</v>
      </c>
      <c r="H6221" s="6" t="str">
        <f t="shared" si="6"/>
        <v/>
      </c>
      <c r="I6221" s="2">
        <f t="shared" si="7"/>
        <v>1426.89</v>
      </c>
    </row>
    <row r="6222">
      <c r="A6222" s="10">
        <f t="shared" si="8"/>
        <v>44204.66667</v>
      </c>
      <c r="B6222" s="2" t="str">
        <f t="shared" si="2"/>
        <v/>
      </c>
      <c r="C6222" s="2" t="str">
        <f t="shared" si="3"/>
        <v>SP500</v>
      </c>
      <c r="D6222" s="2">
        <f t="shared" si="4"/>
        <v>13201.98</v>
      </c>
      <c r="E6222" s="2">
        <f t="shared" si="5"/>
        <v>13201.98</v>
      </c>
      <c r="G6222" s="10">
        <f t="shared" si="9"/>
        <v>44204.64583</v>
      </c>
      <c r="H6222" s="6" t="str">
        <f t="shared" si="6"/>
        <v/>
      </c>
      <c r="I6222" s="2">
        <f t="shared" si="7"/>
        <v>1426.89</v>
      </c>
    </row>
    <row r="6223">
      <c r="A6223" s="10">
        <f t="shared" si="8"/>
        <v>44205.66667</v>
      </c>
      <c r="B6223" s="2" t="str">
        <f t="shared" si="2"/>
        <v/>
      </c>
      <c r="C6223" s="2" t="str">
        <f t="shared" si="3"/>
        <v>SP500</v>
      </c>
      <c r="D6223" s="2" t="str">
        <f t="shared" si="4"/>
        <v/>
      </c>
      <c r="E6223" s="2">
        <f t="shared" si="5"/>
        <v>13201.98</v>
      </c>
      <c r="G6223" s="10">
        <f t="shared" si="9"/>
        <v>44205.64583</v>
      </c>
      <c r="H6223" s="6" t="str">
        <f t="shared" si="6"/>
        <v/>
      </c>
      <c r="I6223" s="2">
        <f t="shared" si="7"/>
        <v>1426.89</v>
      </c>
    </row>
    <row r="6224">
      <c r="A6224" s="10">
        <f t="shared" si="8"/>
        <v>44206.66667</v>
      </c>
      <c r="B6224" s="2" t="str">
        <f t="shared" si="2"/>
        <v/>
      </c>
      <c r="C6224" s="2" t="str">
        <f t="shared" si="3"/>
        <v>SP500</v>
      </c>
      <c r="D6224" s="2" t="str">
        <f t="shared" si="4"/>
        <v/>
      </c>
      <c r="E6224" s="2">
        <f t="shared" si="5"/>
        <v>13201.98</v>
      </c>
      <c r="G6224" s="10">
        <f t="shared" si="9"/>
        <v>44206.64583</v>
      </c>
      <c r="H6224" s="6" t="str">
        <f t="shared" si="6"/>
        <v/>
      </c>
      <c r="I6224" s="2">
        <f t="shared" si="7"/>
        <v>1426.89</v>
      </c>
    </row>
    <row r="6225">
      <c r="A6225" s="10">
        <f t="shared" si="8"/>
        <v>44207.66667</v>
      </c>
      <c r="B6225" s="2" t="str">
        <f t="shared" si="2"/>
        <v/>
      </c>
      <c r="C6225" s="2" t="str">
        <f t="shared" si="3"/>
        <v>SP500</v>
      </c>
      <c r="D6225" s="2">
        <f t="shared" si="4"/>
        <v>13036.43</v>
      </c>
      <c r="E6225" s="2">
        <f t="shared" si="5"/>
        <v>13036.43</v>
      </c>
      <c r="G6225" s="10">
        <f t="shared" si="9"/>
        <v>44207.64583</v>
      </c>
      <c r="H6225" s="6" t="str">
        <f t="shared" si="6"/>
        <v/>
      </c>
      <c r="I6225" s="2">
        <f t="shared" si="7"/>
        <v>1426.89</v>
      </c>
    </row>
    <row r="6226">
      <c r="A6226" s="10">
        <f t="shared" si="8"/>
        <v>44208.66667</v>
      </c>
      <c r="B6226" s="2" t="str">
        <f t="shared" si="2"/>
        <v/>
      </c>
      <c r="C6226" s="2" t="str">
        <f t="shared" si="3"/>
        <v>SP500</v>
      </c>
      <c r="D6226" s="2">
        <f t="shared" si="4"/>
        <v>13072.43</v>
      </c>
      <c r="E6226" s="2">
        <f t="shared" si="5"/>
        <v>13072.43</v>
      </c>
      <c r="G6226" s="10">
        <f t="shared" si="9"/>
        <v>44208.64583</v>
      </c>
      <c r="H6226" s="6" t="str">
        <f t="shared" si="6"/>
        <v/>
      </c>
      <c r="I6226" s="2">
        <f t="shared" si="7"/>
        <v>1426.89</v>
      </c>
    </row>
    <row r="6227">
      <c r="A6227" s="10">
        <f t="shared" si="8"/>
        <v>44209.66667</v>
      </c>
      <c r="B6227" s="2" t="str">
        <f t="shared" si="2"/>
        <v/>
      </c>
      <c r="C6227" s="2" t="str">
        <f t="shared" si="3"/>
        <v>SP500</v>
      </c>
      <c r="D6227" s="2">
        <f t="shared" si="4"/>
        <v>13128.95</v>
      </c>
      <c r="E6227" s="2">
        <f t="shared" si="5"/>
        <v>13128.95</v>
      </c>
      <c r="G6227" s="10">
        <f t="shared" si="9"/>
        <v>44209.64583</v>
      </c>
      <c r="H6227" s="6" t="str">
        <f t="shared" si="6"/>
        <v/>
      </c>
      <c r="I6227" s="2">
        <f t="shared" si="7"/>
        <v>1426.89</v>
      </c>
    </row>
    <row r="6228">
      <c r="A6228" s="10">
        <f t="shared" si="8"/>
        <v>44210.66667</v>
      </c>
      <c r="B6228" s="2" t="str">
        <f t="shared" si="2"/>
        <v/>
      </c>
      <c r="C6228" s="2" t="str">
        <f t="shared" si="3"/>
        <v>SP500</v>
      </c>
      <c r="D6228" s="2">
        <f t="shared" si="4"/>
        <v>13112.64</v>
      </c>
      <c r="E6228" s="2">
        <f t="shared" si="5"/>
        <v>13112.64</v>
      </c>
      <c r="G6228" s="10">
        <f t="shared" si="9"/>
        <v>44210.64583</v>
      </c>
      <c r="H6228" s="6" t="str">
        <f t="shared" si="6"/>
        <v/>
      </c>
      <c r="I6228" s="2">
        <f t="shared" si="7"/>
        <v>1426.89</v>
      </c>
    </row>
    <row r="6229">
      <c r="A6229" s="10">
        <f t="shared" si="8"/>
        <v>44211.66667</v>
      </c>
      <c r="B6229" s="2" t="str">
        <f t="shared" si="2"/>
        <v/>
      </c>
      <c r="C6229" s="2" t="str">
        <f t="shared" si="3"/>
        <v>SP500</v>
      </c>
      <c r="D6229" s="2">
        <f t="shared" si="4"/>
        <v>12998.5</v>
      </c>
      <c r="E6229" s="2">
        <f t="shared" si="5"/>
        <v>12998.5</v>
      </c>
      <c r="G6229" s="10">
        <f t="shared" si="9"/>
        <v>44211.64583</v>
      </c>
      <c r="H6229" s="6" t="str">
        <f t="shared" si="6"/>
        <v/>
      </c>
      <c r="I6229" s="2">
        <f t="shared" si="7"/>
        <v>1426.89</v>
      </c>
    </row>
    <row r="6230">
      <c r="A6230" s="10">
        <f t="shared" si="8"/>
        <v>44212.66667</v>
      </c>
      <c r="B6230" s="2" t="str">
        <f t="shared" si="2"/>
        <v/>
      </c>
      <c r="C6230" s="2" t="str">
        <f t="shared" si="3"/>
        <v>SP500</v>
      </c>
      <c r="D6230" s="2" t="str">
        <f t="shared" si="4"/>
        <v/>
      </c>
      <c r="E6230" s="2">
        <f t="shared" si="5"/>
        <v>12998.5</v>
      </c>
      <c r="G6230" s="10">
        <f t="shared" si="9"/>
        <v>44212.64583</v>
      </c>
      <c r="H6230" s="6" t="str">
        <f t="shared" si="6"/>
        <v/>
      </c>
      <c r="I6230" s="2">
        <f t="shared" si="7"/>
        <v>1426.89</v>
      </c>
    </row>
    <row r="6231">
      <c r="A6231" s="10">
        <f t="shared" si="8"/>
        <v>44213.66667</v>
      </c>
      <c r="B6231" s="2" t="str">
        <f t="shared" si="2"/>
        <v/>
      </c>
      <c r="C6231" s="2" t="str">
        <f t="shared" si="3"/>
        <v>SP500</v>
      </c>
      <c r="D6231" s="2" t="str">
        <f t="shared" si="4"/>
        <v/>
      </c>
      <c r="E6231" s="2">
        <f t="shared" si="5"/>
        <v>12998.5</v>
      </c>
      <c r="G6231" s="10">
        <f t="shared" si="9"/>
        <v>44213.64583</v>
      </c>
      <c r="H6231" s="6" t="str">
        <f t="shared" si="6"/>
        <v/>
      </c>
      <c r="I6231" s="2">
        <f t="shared" si="7"/>
        <v>1426.89</v>
      </c>
    </row>
    <row r="6232">
      <c r="A6232" s="10">
        <f t="shared" si="8"/>
        <v>44214.66667</v>
      </c>
      <c r="B6232" s="2" t="str">
        <f t="shared" si="2"/>
        <v/>
      </c>
      <c r="C6232" s="2" t="str">
        <f t="shared" si="3"/>
        <v>SP500</v>
      </c>
      <c r="D6232" s="2" t="str">
        <f t="shared" si="4"/>
        <v/>
      </c>
      <c r="E6232" s="2">
        <f t="shared" si="5"/>
        <v>12998.5</v>
      </c>
      <c r="G6232" s="10">
        <f t="shared" si="9"/>
        <v>44214.64583</v>
      </c>
      <c r="H6232" s="6" t="str">
        <f t="shared" si="6"/>
        <v/>
      </c>
      <c r="I6232" s="2">
        <f t="shared" si="7"/>
        <v>1426.89</v>
      </c>
    </row>
    <row r="6233">
      <c r="A6233" s="10">
        <f t="shared" si="8"/>
        <v>44215.66667</v>
      </c>
      <c r="B6233" s="2" t="str">
        <f t="shared" si="2"/>
        <v/>
      </c>
      <c r="C6233" s="2" t="str">
        <f t="shared" si="3"/>
        <v>SP500</v>
      </c>
      <c r="D6233" s="2">
        <f t="shared" si="4"/>
        <v>13197.18</v>
      </c>
      <c r="E6233" s="2">
        <f t="shared" si="5"/>
        <v>13197.18</v>
      </c>
      <c r="G6233" s="10">
        <f t="shared" si="9"/>
        <v>44215.64583</v>
      </c>
      <c r="H6233" s="6" t="str">
        <f t="shared" si="6"/>
        <v/>
      </c>
      <c r="I6233" s="2">
        <f t="shared" si="7"/>
        <v>1426.89</v>
      </c>
    </row>
    <row r="6234">
      <c r="A6234" s="10">
        <f t="shared" si="8"/>
        <v>44216.66667</v>
      </c>
      <c r="B6234" s="2" t="str">
        <f t="shared" si="2"/>
        <v/>
      </c>
      <c r="C6234" s="2" t="str">
        <f t="shared" si="3"/>
        <v>SP500</v>
      </c>
      <c r="D6234" s="2">
        <f t="shared" si="4"/>
        <v>13457.25</v>
      </c>
      <c r="E6234" s="2">
        <f t="shared" si="5"/>
        <v>13457.25</v>
      </c>
      <c r="G6234" s="10">
        <f t="shared" si="9"/>
        <v>44216.64583</v>
      </c>
      <c r="H6234" s="6" t="str">
        <f t="shared" si="6"/>
        <v/>
      </c>
      <c r="I6234" s="2">
        <f t="shared" si="7"/>
        <v>1426.89</v>
      </c>
    </row>
    <row r="6235">
      <c r="A6235" s="10">
        <f t="shared" si="8"/>
        <v>44217.66667</v>
      </c>
      <c r="B6235" s="2" t="str">
        <f t="shared" si="2"/>
        <v/>
      </c>
      <c r="C6235" s="2" t="str">
        <f t="shared" si="3"/>
        <v>SP500</v>
      </c>
      <c r="D6235" s="2">
        <f t="shared" si="4"/>
        <v>13530.92</v>
      </c>
      <c r="E6235" s="2">
        <f t="shared" si="5"/>
        <v>13530.92</v>
      </c>
      <c r="G6235" s="10">
        <f t="shared" si="9"/>
        <v>44217.64583</v>
      </c>
      <c r="H6235" s="6" t="str">
        <f t="shared" si="6"/>
        <v/>
      </c>
      <c r="I6235" s="2">
        <f t="shared" si="7"/>
        <v>1426.89</v>
      </c>
    </row>
    <row r="6236">
      <c r="A6236" s="10">
        <f t="shared" si="8"/>
        <v>44218.66667</v>
      </c>
      <c r="B6236" s="2" t="str">
        <f t="shared" si="2"/>
        <v/>
      </c>
      <c r="C6236" s="2" t="str">
        <f t="shared" si="3"/>
        <v>SP500</v>
      </c>
      <c r="D6236" s="2">
        <f t="shared" si="4"/>
        <v>13543.06</v>
      </c>
      <c r="E6236" s="2">
        <f t="shared" si="5"/>
        <v>13543.06</v>
      </c>
      <c r="G6236" s="10">
        <f t="shared" si="9"/>
        <v>44218.64583</v>
      </c>
      <c r="H6236" s="6" t="str">
        <f t="shared" si="6"/>
        <v/>
      </c>
      <c r="I6236" s="2">
        <f t="shared" si="7"/>
        <v>1426.89</v>
      </c>
    </row>
    <row r="6237">
      <c r="A6237" s="10">
        <f t="shared" si="8"/>
        <v>44219.66667</v>
      </c>
      <c r="B6237" s="2" t="str">
        <f t="shared" si="2"/>
        <v/>
      </c>
      <c r="C6237" s="2" t="str">
        <f t="shared" si="3"/>
        <v>SP500</v>
      </c>
      <c r="D6237" s="2" t="str">
        <f t="shared" si="4"/>
        <v/>
      </c>
      <c r="E6237" s="2">
        <f t="shared" si="5"/>
        <v>13543.06</v>
      </c>
      <c r="G6237" s="10">
        <f t="shared" si="9"/>
        <v>44219.64583</v>
      </c>
      <c r="H6237" s="6" t="str">
        <f t="shared" si="6"/>
        <v/>
      </c>
      <c r="I6237" s="2">
        <f t="shared" si="7"/>
        <v>1426.89</v>
      </c>
    </row>
    <row r="6238">
      <c r="A6238" s="10">
        <f t="shared" si="8"/>
        <v>44220.66667</v>
      </c>
      <c r="B6238" s="2" t="str">
        <f t="shared" si="2"/>
        <v/>
      </c>
      <c r="C6238" s="2" t="str">
        <f t="shared" si="3"/>
        <v>SP500</v>
      </c>
      <c r="D6238" s="2" t="str">
        <f t="shared" si="4"/>
        <v/>
      </c>
      <c r="E6238" s="2">
        <f t="shared" si="5"/>
        <v>13543.06</v>
      </c>
      <c r="G6238" s="10">
        <f t="shared" si="9"/>
        <v>44220.64583</v>
      </c>
      <c r="H6238" s="6" t="str">
        <f t="shared" si="6"/>
        <v/>
      </c>
      <c r="I6238" s="2">
        <f t="shared" si="7"/>
        <v>1426.89</v>
      </c>
    </row>
    <row r="6239">
      <c r="A6239" s="10">
        <f t="shared" si="8"/>
        <v>44221.66667</v>
      </c>
      <c r="B6239" s="2" t="str">
        <f t="shared" si="2"/>
        <v/>
      </c>
      <c r="C6239" s="2" t="str">
        <f t="shared" si="3"/>
        <v>SP500</v>
      </c>
      <c r="D6239" s="2">
        <f t="shared" si="4"/>
        <v>13635.99</v>
      </c>
      <c r="E6239" s="2">
        <f t="shared" si="5"/>
        <v>13635.99</v>
      </c>
      <c r="G6239" s="10">
        <f t="shared" si="9"/>
        <v>44221.64583</v>
      </c>
      <c r="H6239" s="6" t="str">
        <f t="shared" si="6"/>
        <v/>
      </c>
      <c r="I6239" s="2">
        <f t="shared" si="7"/>
        <v>1426.89</v>
      </c>
    </row>
    <row r="6240">
      <c r="A6240" s="10">
        <f t="shared" si="8"/>
        <v>44222.66667</v>
      </c>
      <c r="B6240" s="2" t="str">
        <f t="shared" si="2"/>
        <v/>
      </c>
      <c r="C6240" s="2" t="str">
        <f t="shared" si="3"/>
        <v>SP500</v>
      </c>
      <c r="D6240" s="2">
        <f t="shared" si="4"/>
        <v>13626.07</v>
      </c>
      <c r="E6240" s="2">
        <f t="shared" si="5"/>
        <v>13626.07</v>
      </c>
      <c r="G6240" s="10">
        <f t="shared" si="9"/>
        <v>44222.64583</v>
      </c>
      <c r="H6240" s="6" t="str">
        <f t="shared" si="6"/>
        <v/>
      </c>
      <c r="I6240" s="2">
        <f t="shared" si="7"/>
        <v>1426.89</v>
      </c>
    </row>
    <row r="6241">
      <c r="A6241" s="10">
        <f t="shared" si="8"/>
        <v>44223.66667</v>
      </c>
      <c r="B6241" s="2" t="str">
        <f t="shared" si="2"/>
        <v/>
      </c>
      <c r="C6241" s="2" t="str">
        <f t="shared" si="3"/>
        <v>SP500</v>
      </c>
      <c r="D6241" s="2">
        <f t="shared" si="4"/>
        <v>13270.6</v>
      </c>
      <c r="E6241" s="2">
        <f t="shared" si="5"/>
        <v>13270.6</v>
      </c>
      <c r="G6241" s="10">
        <f t="shared" si="9"/>
        <v>44223.64583</v>
      </c>
      <c r="H6241" s="6" t="str">
        <f t="shared" si="6"/>
        <v/>
      </c>
      <c r="I6241" s="2">
        <f t="shared" si="7"/>
        <v>1426.89</v>
      </c>
    </row>
    <row r="6242">
      <c r="A6242" s="10">
        <f t="shared" si="8"/>
        <v>44224.66667</v>
      </c>
      <c r="B6242" s="2" t="str">
        <f t="shared" si="2"/>
        <v/>
      </c>
      <c r="C6242" s="2" t="str">
        <f t="shared" si="3"/>
        <v>SP500</v>
      </c>
      <c r="D6242" s="2">
        <f t="shared" si="4"/>
        <v>13337.16</v>
      </c>
      <c r="E6242" s="2">
        <f t="shared" si="5"/>
        <v>13337.16</v>
      </c>
      <c r="G6242" s="10">
        <f t="shared" si="9"/>
        <v>44224.64583</v>
      </c>
      <c r="H6242" s="6" t="str">
        <f t="shared" si="6"/>
        <v/>
      </c>
      <c r="I6242" s="2">
        <f t="shared" si="7"/>
        <v>1426.89</v>
      </c>
    </row>
    <row r="6243">
      <c r="A6243" s="10">
        <f t="shared" si="8"/>
        <v>44225.66667</v>
      </c>
      <c r="B6243" s="2" t="str">
        <f t="shared" si="2"/>
        <v/>
      </c>
      <c r="C6243" s="2" t="str">
        <f t="shared" si="3"/>
        <v>SP500</v>
      </c>
      <c r="D6243" s="2">
        <f t="shared" si="4"/>
        <v>13070.7</v>
      </c>
      <c r="E6243" s="2">
        <f t="shared" si="5"/>
        <v>13070.7</v>
      </c>
      <c r="G6243" s="10">
        <f t="shared" si="9"/>
        <v>44225.64583</v>
      </c>
      <c r="H6243" s="6" t="str">
        <f t="shared" si="6"/>
        <v/>
      </c>
      <c r="I6243" s="2">
        <f t="shared" si="7"/>
        <v>1426.89</v>
      </c>
    </row>
    <row r="6244">
      <c r="A6244" s="10">
        <f t="shared" si="8"/>
        <v>44226.66667</v>
      </c>
      <c r="B6244" s="2" t="str">
        <f t="shared" si="2"/>
        <v/>
      </c>
      <c r="C6244" s="2" t="str">
        <f t="shared" si="3"/>
        <v>SP500</v>
      </c>
      <c r="D6244" s="2" t="str">
        <f t="shared" si="4"/>
        <v/>
      </c>
      <c r="E6244" s="2">
        <f t="shared" si="5"/>
        <v>13070.7</v>
      </c>
      <c r="G6244" s="10">
        <f t="shared" si="9"/>
        <v>44226.64583</v>
      </c>
      <c r="H6244" s="6" t="str">
        <f t="shared" si="6"/>
        <v/>
      </c>
      <c r="I6244" s="2">
        <f t="shared" si="7"/>
        <v>1426.89</v>
      </c>
    </row>
    <row r="6245">
      <c r="A6245" s="10">
        <f t="shared" si="8"/>
        <v>44227.66667</v>
      </c>
      <c r="B6245" s="2" t="str">
        <f t="shared" si="2"/>
        <v/>
      </c>
      <c r="C6245" s="2" t="str">
        <f t="shared" si="3"/>
        <v>SP500</v>
      </c>
      <c r="D6245" s="2" t="str">
        <f t="shared" si="4"/>
        <v/>
      </c>
      <c r="E6245" s="2">
        <f t="shared" si="5"/>
        <v>13070.7</v>
      </c>
      <c r="G6245" s="10">
        <f t="shared" si="9"/>
        <v>44227.64583</v>
      </c>
      <c r="H6245" s="6" t="str">
        <f t="shared" si="6"/>
        <v/>
      </c>
      <c r="I6245" s="2">
        <f t="shared" si="7"/>
        <v>1426.89</v>
      </c>
    </row>
    <row r="6246">
      <c r="A6246" s="10">
        <f t="shared" si="8"/>
        <v>44228.66667</v>
      </c>
      <c r="B6246" s="2" t="str">
        <f t="shared" si="2"/>
        <v/>
      </c>
      <c r="C6246" s="2" t="str">
        <f t="shared" si="3"/>
        <v>SP500</v>
      </c>
      <c r="D6246" s="2">
        <f t="shared" si="4"/>
        <v>13403.39</v>
      </c>
      <c r="E6246" s="2">
        <f t="shared" si="5"/>
        <v>13403.39</v>
      </c>
      <c r="G6246" s="10">
        <f t="shared" si="9"/>
        <v>44228.64583</v>
      </c>
      <c r="H6246" s="6" t="str">
        <f t="shared" si="6"/>
        <v/>
      </c>
      <c r="I6246" s="2">
        <f t="shared" si="7"/>
        <v>1426.89</v>
      </c>
    </row>
    <row r="6247">
      <c r="A6247" s="10">
        <f t="shared" si="8"/>
        <v>44229.66667</v>
      </c>
      <c r="B6247" s="2" t="str">
        <f t="shared" si="2"/>
        <v/>
      </c>
      <c r="C6247" s="2" t="str">
        <f t="shared" si="3"/>
        <v>SP500</v>
      </c>
      <c r="D6247" s="2">
        <f t="shared" si="4"/>
        <v>13612.78</v>
      </c>
      <c r="E6247" s="2">
        <f t="shared" si="5"/>
        <v>13612.78</v>
      </c>
      <c r="G6247" s="10">
        <f t="shared" si="9"/>
        <v>44229.64583</v>
      </c>
      <c r="H6247" s="6" t="str">
        <f t="shared" si="6"/>
        <v/>
      </c>
      <c r="I6247" s="2">
        <f t="shared" si="7"/>
        <v>1426.89</v>
      </c>
    </row>
    <row r="6248">
      <c r="A6248" s="10">
        <f t="shared" si="8"/>
        <v>44230.66667</v>
      </c>
      <c r="B6248" s="2" t="str">
        <f t="shared" si="2"/>
        <v/>
      </c>
      <c r="C6248" s="2" t="str">
        <f t="shared" si="3"/>
        <v>SP500</v>
      </c>
      <c r="D6248" s="2">
        <f t="shared" si="4"/>
        <v>13610.54</v>
      </c>
      <c r="E6248" s="2">
        <f t="shared" si="5"/>
        <v>13610.54</v>
      </c>
      <c r="G6248" s="10">
        <f t="shared" si="9"/>
        <v>44230.64583</v>
      </c>
      <c r="H6248" s="6" t="str">
        <f t="shared" si="6"/>
        <v/>
      </c>
      <c r="I6248" s="2">
        <f t="shared" si="7"/>
        <v>1426.89</v>
      </c>
    </row>
    <row r="6249">
      <c r="A6249" s="10">
        <f t="shared" si="8"/>
        <v>44231.66667</v>
      </c>
      <c r="B6249" s="2" t="str">
        <f t="shared" si="2"/>
        <v/>
      </c>
      <c r="C6249" s="2" t="str">
        <f t="shared" si="3"/>
        <v>SP500</v>
      </c>
      <c r="D6249" s="2">
        <f t="shared" si="4"/>
        <v>13777.74</v>
      </c>
      <c r="E6249" s="2">
        <f t="shared" si="5"/>
        <v>13777.74</v>
      </c>
      <c r="G6249" s="10">
        <f t="shared" si="9"/>
        <v>44231.64583</v>
      </c>
      <c r="H6249" s="6" t="str">
        <f t="shared" si="6"/>
        <v/>
      </c>
      <c r="I6249" s="2">
        <f t="shared" si="7"/>
        <v>1426.89</v>
      </c>
    </row>
    <row r="6250">
      <c r="A6250" s="10">
        <f t="shared" si="8"/>
        <v>44232.66667</v>
      </c>
      <c r="B6250" s="2" t="str">
        <f t="shared" si="2"/>
        <v/>
      </c>
      <c r="C6250" s="2" t="str">
        <f t="shared" si="3"/>
        <v>SP500</v>
      </c>
      <c r="D6250" s="2">
        <f t="shared" si="4"/>
        <v>13856.3</v>
      </c>
      <c r="E6250" s="2">
        <f t="shared" si="5"/>
        <v>13856.3</v>
      </c>
      <c r="G6250" s="10">
        <f t="shared" si="9"/>
        <v>44232.64583</v>
      </c>
      <c r="H6250" s="6" t="str">
        <f t="shared" si="6"/>
        <v/>
      </c>
      <c r="I6250" s="2">
        <f t="shared" si="7"/>
        <v>1426.89</v>
      </c>
    </row>
    <row r="6251">
      <c r="A6251" s="10">
        <f t="shared" si="8"/>
        <v>44233.66667</v>
      </c>
      <c r="B6251" s="2" t="str">
        <f t="shared" si="2"/>
        <v/>
      </c>
      <c r="C6251" s="2" t="str">
        <f t="shared" si="3"/>
        <v>SP500</v>
      </c>
      <c r="D6251" s="2" t="str">
        <f t="shared" si="4"/>
        <v/>
      </c>
      <c r="E6251" s="2">
        <f t="shared" si="5"/>
        <v>13856.3</v>
      </c>
      <c r="G6251" s="10">
        <f t="shared" si="9"/>
        <v>44233.64583</v>
      </c>
      <c r="H6251" s="6" t="str">
        <f t="shared" si="6"/>
        <v/>
      </c>
      <c r="I6251" s="2">
        <f t="shared" si="7"/>
        <v>1426.89</v>
      </c>
    </row>
    <row r="6252">
      <c r="A6252" s="10">
        <f t="shared" si="8"/>
        <v>44234.66667</v>
      </c>
      <c r="B6252" s="2" t="str">
        <f t="shared" si="2"/>
        <v/>
      </c>
      <c r="C6252" s="2" t="str">
        <f t="shared" si="3"/>
        <v>SP500</v>
      </c>
      <c r="D6252" s="2" t="str">
        <f t="shared" si="4"/>
        <v/>
      </c>
      <c r="E6252" s="2">
        <f t="shared" si="5"/>
        <v>13856.3</v>
      </c>
      <c r="G6252" s="10">
        <f t="shared" si="9"/>
        <v>44234.64583</v>
      </c>
      <c r="H6252" s="6" t="str">
        <f t="shared" si="6"/>
        <v/>
      </c>
      <c r="I6252" s="2">
        <f t="shared" si="7"/>
        <v>1426.89</v>
      </c>
    </row>
    <row r="6253">
      <c r="A6253" s="10">
        <f t="shared" si="8"/>
        <v>44235.66667</v>
      </c>
      <c r="B6253" s="2" t="str">
        <f t="shared" si="2"/>
        <v/>
      </c>
      <c r="C6253" s="2" t="str">
        <f t="shared" si="3"/>
        <v>SP500</v>
      </c>
      <c r="D6253" s="2">
        <f t="shared" si="4"/>
        <v>13987.64</v>
      </c>
      <c r="E6253" s="2">
        <f t="shared" si="5"/>
        <v>13987.64</v>
      </c>
      <c r="G6253" s="10">
        <f t="shared" si="9"/>
        <v>44235.64583</v>
      </c>
      <c r="H6253" s="6" t="str">
        <f t="shared" si="6"/>
        <v/>
      </c>
      <c r="I6253" s="2">
        <f t="shared" si="7"/>
        <v>1426.89</v>
      </c>
    </row>
    <row r="6254">
      <c r="A6254" s="10">
        <f t="shared" si="8"/>
        <v>44236.66667</v>
      </c>
      <c r="B6254" s="2" t="str">
        <f t="shared" si="2"/>
        <v/>
      </c>
      <c r="C6254" s="2" t="str">
        <f t="shared" si="3"/>
        <v>SP500</v>
      </c>
      <c r="D6254" s="2">
        <f t="shared" si="4"/>
        <v>14007.7</v>
      </c>
      <c r="E6254" s="2">
        <f t="shared" si="5"/>
        <v>14007.7</v>
      </c>
      <c r="G6254" s="10">
        <f t="shared" si="9"/>
        <v>44236.64583</v>
      </c>
      <c r="H6254" s="6" t="str">
        <f t="shared" si="6"/>
        <v/>
      </c>
      <c r="I6254" s="2">
        <f t="shared" si="7"/>
        <v>1426.89</v>
      </c>
    </row>
    <row r="6255">
      <c r="A6255" s="10">
        <f t="shared" si="8"/>
        <v>44237.66667</v>
      </c>
      <c r="B6255" s="2" t="str">
        <f t="shared" si="2"/>
        <v/>
      </c>
      <c r="C6255" s="2" t="str">
        <f t="shared" si="3"/>
        <v>SP500</v>
      </c>
      <c r="D6255" s="2">
        <f t="shared" si="4"/>
        <v>13972.53</v>
      </c>
      <c r="E6255" s="2">
        <f t="shared" si="5"/>
        <v>13972.53</v>
      </c>
      <c r="G6255" s="10">
        <f t="shared" si="9"/>
        <v>44237.64583</v>
      </c>
      <c r="H6255" s="6" t="str">
        <f t="shared" si="6"/>
        <v/>
      </c>
      <c r="I6255" s="2">
        <f t="shared" si="7"/>
        <v>1426.89</v>
      </c>
    </row>
    <row r="6256">
      <c r="A6256" s="10">
        <f t="shared" si="8"/>
        <v>44238.66667</v>
      </c>
      <c r="B6256" s="2" t="str">
        <f t="shared" si="2"/>
        <v/>
      </c>
      <c r="C6256" s="2" t="str">
        <f t="shared" si="3"/>
        <v>SP500</v>
      </c>
      <c r="D6256" s="2">
        <f t="shared" si="4"/>
        <v>14025.77</v>
      </c>
      <c r="E6256" s="2">
        <f t="shared" si="5"/>
        <v>14025.77</v>
      </c>
      <c r="G6256" s="10">
        <f t="shared" si="9"/>
        <v>44238.64583</v>
      </c>
      <c r="H6256" s="6" t="str">
        <f t="shared" si="6"/>
        <v/>
      </c>
      <c r="I6256" s="2">
        <f t="shared" si="7"/>
        <v>1426.89</v>
      </c>
    </row>
    <row r="6257">
      <c r="A6257" s="10">
        <f t="shared" si="8"/>
        <v>44239.66667</v>
      </c>
      <c r="B6257" s="2" t="str">
        <f t="shared" si="2"/>
        <v/>
      </c>
      <c r="C6257" s="2" t="str">
        <f t="shared" si="3"/>
        <v>SP500</v>
      </c>
      <c r="D6257" s="2">
        <f t="shared" si="4"/>
        <v>14095.47</v>
      </c>
      <c r="E6257" s="2">
        <f t="shared" si="5"/>
        <v>14095.47</v>
      </c>
      <c r="G6257" s="10">
        <f t="shared" si="9"/>
        <v>44239.64583</v>
      </c>
      <c r="H6257" s="6" t="str">
        <f t="shared" si="6"/>
        <v/>
      </c>
      <c r="I6257" s="2">
        <f t="shared" si="7"/>
        <v>1426.89</v>
      </c>
    </row>
    <row r="6258">
      <c r="A6258" s="10">
        <f t="shared" si="8"/>
        <v>44240.66667</v>
      </c>
      <c r="B6258" s="2" t="str">
        <f t="shared" si="2"/>
        <v/>
      </c>
      <c r="C6258" s="2" t="str">
        <f t="shared" si="3"/>
        <v>SP500</v>
      </c>
      <c r="D6258" s="2" t="str">
        <f t="shared" si="4"/>
        <v/>
      </c>
      <c r="E6258" s="2">
        <f t="shared" si="5"/>
        <v>14095.47</v>
      </c>
      <c r="G6258" s="10">
        <f t="shared" si="9"/>
        <v>44240.64583</v>
      </c>
      <c r="H6258" s="6" t="str">
        <f t="shared" si="6"/>
        <v/>
      </c>
      <c r="I6258" s="2">
        <f t="shared" si="7"/>
        <v>1426.89</v>
      </c>
    </row>
    <row r="6259">
      <c r="A6259" s="10">
        <f t="shared" si="8"/>
        <v>44241.66667</v>
      </c>
      <c r="B6259" s="2" t="str">
        <f t="shared" si="2"/>
        <v/>
      </c>
      <c r="C6259" s="2" t="str">
        <f t="shared" si="3"/>
        <v>SP500</v>
      </c>
      <c r="D6259" s="2" t="str">
        <f t="shared" si="4"/>
        <v/>
      </c>
      <c r="E6259" s="2">
        <f t="shared" si="5"/>
        <v>14095.47</v>
      </c>
      <c r="G6259" s="10">
        <f t="shared" si="9"/>
        <v>44241.64583</v>
      </c>
      <c r="H6259" s="6" t="str">
        <f t="shared" si="6"/>
        <v/>
      </c>
      <c r="I6259" s="2">
        <f t="shared" si="7"/>
        <v>1426.89</v>
      </c>
    </row>
    <row r="6260">
      <c r="A6260" s="10">
        <f t="shared" si="8"/>
        <v>44242.66667</v>
      </c>
      <c r="B6260" s="2" t="str">
        <f t="shared" si="2"/>
        <v/>
      </c>
      <c r="C6260" s="2" t="str">
        <f t="shared" si="3"/>
        <v>SP500</v>
      </c>
      <c r="D6260" s="2" t="str">
        <f t="shared" si="4"/>
        <v/>
      </c>
      <c r="E6260" s="2">
        <f t="shared" si="5"/>
        <v>14095.47</v>
      </c>
      <c r="G6260" s="10">
        <f t="shared" si="9"/>
        <v>44242.64583</v>
      </c>
      <c r="H6260" s="6" t="str">
        <f t="shared" si="6"/>
        <v/>
      </c>
      <c r="I6260" s="2">
        <f t="shared" si="7"/>
        <v>1426.89</v>
      </c>
    </row>
    <row r="6261">
      <c r="A6261" s="10">
        <f t="shared" si="8"/>
        <v>44243.66667</v>
      </c>
      <c r="B6261" s="2" t="str">
        <f t="shared" si="2"/>
        <v/>
      </c>
      <c r="C6261" s="2" t="str">
        <f t="shared" si="3"/>
        <v>SP500</v>
      </c>
      <c r="D6261" s="2">
        <f t="shared" si="4"/>
        <v>14047.5</v>
      </c>
      <c r="E6261" s="2">
        <f t="shared" si="5"/>
        <v>14047.5</v>
      </c>
      <c r="G6261" s="10">
        <f t="shared" si="9"/>
        <v>44243.64583</v>
      </c>
      <c r="H6261" s="6" t="str">
        <f t="shared" si="6"/>
        <v/>
      </c>
      <c r="I6261" s="2">
        <f t="shared" si="7"/>
        <v>1426.89</v>
      </c>
    </row>
    <row r="6262">
      <c r="A6262" s="10">
        <f t="shared" si="8"/>
        <v>44244.66667</v>
      </c>
      <c r="B6262" s="2" t="str">
        <f t="shared" si="2"/>
        <v/>
      </c>
      <c r="C6262" s="2" t="str">
        <f t="shared" si="3"/>
        <v>SP500</v>
      </c>
      <c r="D6262" s="2">
        <f t="shared" si="4"/>
        <v>13965.5</v>
      </c>
      <c r="E6262" s="2">
        <f t="shared" si="5"/>
        <v>13965.5</v>
      </c>
      <c r="G6262" s="10">
        <f t="shared" si="9"/>
        <v>44244.64583</v>
      </c>
      <c r="H6262" s="6" t="str">
        <f t="shared" si="6"/>
        <v/>
      </c>
      <c r="I6262" s="2">
        <f t="shared" si="7"/>
        <v>1426.89</v>
      </c>
    </row>
    <row r="6263">
      <c r="A6263" s="10">
        <f t="shared" si="8"/>
        <v>44245.66667</v>
      </c>
      <c r="B6263" s="2" t="str">
        <f t="shared" si="2"/>
        <v/>
      </c>
      <c r="C6263" s="2" t="str">
        <f t="shared" si="3"/>
        <v>SP500</v>
      </c>
      <c r="D6263" s="2">
        <f t="shared" si="4"/>
        <v>13865.36</v>
      </c>
      <c r="E6263" s="2">
        <f t="shared" si="5"/>
        <v>13865.36</v>
      </c>
      <c r="G6263" s="10">
        <f t="shared" si="9"/>
        <v>44245.64583</v>
      </c>
      <c r="H6263" s="6" t="str">
        <f t="shared" si="6"/>
        <v/>
      </c>
      <c r="I6263" s="2">
        <f t="shared" si="7"/>
        <v>1426.89</v>
      </c>
    </row>
    <row r="6264">
      <c r="A6264" s="10">
        <f t="shared" si="8"/>
        <v>44246.66667</v>
      </c>
      <c r="B6264" s="2" t="str">
        <f t="shared" si="2"/>
        <v/>
      </c>
      <c r="C6264" s="2" t="str">
        <f t="shared" si="3"/>
        <v>SP500</v>
      </c>
      <c r="D6264" s="2">
        <f t="shared" si="4"/>
        <v>13874.46</v>
      </c>
      <c r="E6264" s="2">
        <f t="shared" si="5"/>
        <v>13874.46</v>
      </c>
      <c r="G6264" s="10">
        <f t="shared" si="9"/>
        <v>44246.64583</v>
      </c>
      <c r="H6264" s="6" t="str">
        <f t="shared" si="6"/>
        <v/>
      </c>
      <c r="I6264" s="2">
        <f t="shared" si="7"/>
        <v>1426.89</v>
      </c>
    </row>
    <row r="6265">
      <c r="A6265" s="10">
        <f t="shared" si="8"/>
        <v>44247.66667</v>
      </c>
      <c r="B6265" s="2" t="str">
        <f t="shared" si="2"/>
        <v/>
      </c>
      <c r="C6265" s="2" t="str">
        <f t="shared" si="3"/>
        <v>SP500</v>
      </c>
      <c r="D6265" s="2" t="str">
        <f t="shared" si="4"/>
        <v/>
      </c>
      <c r="E6265" s="2">
        <f t="shared" si="5"/>
        <v>13874.46</v>
      </c>
      <c r="G6265" s="10">
        <f t="shared" si="9"/>
        <v>44247.64583</v>
      </c>
      <c r="H6265" s="6" t="str">
        <f t="shared" si="6"/>
        <v/>
      </c>
      <c r="I6265" s="2">
        <f t="shared" si="7"/>
        <v>1426.89</v>
      </c>
    </row>
    <row r="6266">
      <c r="A6266" s="10">
        <f t="shared" si="8"/>
        <v>44248.66667</v>
      </c>
      <c r="B6266" s="2" t="str">
        <f t="shared" si="2"/>
        <v/>
      </c>
      <c r="C6266" s="2" t="str">
        <f t="shared" si="3"/>
        <v>SP500</v>
      </c>
      <c r="D6266" s="2" t="str">
        <f t="shared" si="4"/>
        <v/>
      </c>
      <c r="E6266" s="2">
        <f t="shared" si="5"/>
        <v>13874.46</v>
      </c>
      <c r="G6266" s="10">
        <f t="shared" si="9"/>
        <v>44248.64583</v>
      </c>
      <c r="H6266" s="6" t="str">
        <f t="shared" si="6"/>
        <v/>
      </c>
      <c r="I6266" s="2">
        <f t="shared" si="7"/>
        <v>1426.89</v>
      </c>
    </row>
    <row r="6267">
      <c r="A6267" s="10">
        <f t="shared" si="8"/>
        <v>44249.66667</v>
      </c>
      <c r="B6267" s="2" t="str">
        <f t="shared" si="2"/>
        <v/>
      </c>
      <c r="C6267" s="2" t="str">
        <f t="shared" si="3"/>
        <v>SP500</v>
      </c>
      <c r="D6267" s="2">
        <f t="shared" si="4"/>
        <v>13533.05</v>
      </c>
      <c r="E6267" s="2">
        <f t="shared" si="5"/>
        <v>13533.05</v>
      </c>
      <c r="G6267" s="10">
        <f t="shared" si="9"/>
        <v>44249.64583</v>
      </c>
      <c r="H6267" s="6" t="str">
        <f t="shared" si="6"/>
        <v/>
      </c>
      <c r="I6267" s="2">
        <f t="shared" si="7"/>
        <v>1426.89</v>
      </c>
    </row>
    <row r="6268">
      <c r="A6268" s="10">
        <f t="shared" si="8"/>
        <v>44250.66667</v>
      </c>
      <c r="B6268" s="2" t="str">
        <f t="shared" si="2"/>
        <v/>
      </c>
      <c r="C6268" s="2" t="str">
        <f t="shared" si="3"/>
        <v>SP500</v>
      </c>
      <c r="D6268" s="2">
        <f t="shared" si="4"/>
        <v>13465.2</v>
      </c>
      <c r="E6268" s="2">
        <f t="shared" si="5"/>
        <v>13465.2</v>
      </c>
      <c r="G6268" s="10">
        <f t="shared" si="9"/>
        <v>44250.64583</v>
      </c>
      <c r="H6268" s="6" t="str">
        <f t="shared" si="6"/>
        <v/>
      </c>
      <c r="I6268" s="2">
        <f t="shared" si="7"/>
        <v>1426.89</v>
      </c>
    </row>
    <row r="6269">
      <c r="A6269" s="10">
        <f t="shared" si="8"/>
        <v>44251.66667</v>
      </c>
      <c r="B6269" s="2" t="str">
        <f t="shared" si="2"/>
        <v/>
      </c>
      <c r="C6269" s="2" t="str">
        <f t="shared" si="3"/>
        <v>SP500</v>
      </c>
      <c r="D6269" s="2">
        <f t="shared" si="4"/>
        <v>13597.97</v>
      </c>
      <c r="E6269" s="2">
        <f t="shared" si="5"/>
        <v>13597.97</v>
      </c>
      <c r="G6269" s="10">
        <f t="shared" si="9"/>
        <v>44251.64583</v>
      </c>
      <c r="H6269" s="6" t="str">
        <f t="shared" si="6"/>
        <v/>
      </c>
      <c r="I6269" s="2">
        <f t="shared" si="7"/>
        <v>1426.89</v>
      </c>
    </row>
    <row r="6270">
      <c r="A6270" s="10">
        <f t="shared" si="8"/>
        <v>44252.66667</v>
      </c>
      <c r="B6270" s="2" t="str">
        <f t="shared" si="2"/>
        <v/>
      </c>
      <c r="C6270" s="2" t="str">
        <f t="shared" si="3"/>
        <v>SP500</v>
      </c>
      <c r="D6270" s="2">
        <f t="shared" si="4"/>
        <v>13119.43</v>
      </c>
      <c r="E6270" s="2">
        <f t="shared" si="5"/>
        <v>13119.43</v>
      </c>
      <c r="G6270" s="10">
        <f t="shared" si="9"/>
        <v>44252.64583</v>
      </c>
      <c r="H6270" s="6" t="str">
        <f t="shared" si="6"/>
        <v/>
      </c>
      <c r="I6270" s="2">
        <f t="shared" si="7"/>
        <v>1426.89</v>
      </c>
    </row>
    <row r="6271">
      <c r="A6271" s="10">
        <f t="shared" si="8"/>
        <v>44253.66667</v>
      </c>
      <c r="B6271" s="2" t="str">
        <f t="shared" si="2"/>
        <v/>
      </c>
      <c r="C6271" s="2" t="str">
        <f t="shared" si="3"/>
        <v>SP500</v>
      </c>
      <c r="D6271" s="2">
        <f t="shared" si="4"/>
        <v>13192.35</v>
      </c>
      <c r="E6271" s="2">
        <f t="shared" si="5"/>
        <v>13192.35</v>
      </c>
      <c r="G6271" s="10">
        <f t="shared" si="9"/>
        <v>44253.64583</v>
      </c>
      <c r="H6271" s="6" t="str">
        <f t="shared" si="6"/>
        <v/>
      </c>
      <c r="I6271" s="2">
        <f t="shared" si="7"/>
        <v>1426.89</v>
      </c>
    </row>
    <row r="6272">
      <c r="A6272" s="10">
        <f t="shared" si="8"/>
        <v>44254.66667</v>
      </c>
      <c r="B6272" s="2" t="str">
        <f t="shared" si="2"/>
        <v/>
      </c>
      <c r="C6272" s="2" t="str">
        <f t="shared" si="3"/>
        <v>SP500</v>
      </c>
      <c r="D6272" s="2" t="str">
        <f t="shared" si="4"/>
        <v/>
      </c>
      <c r="E6272" s="2">
        <f t="shared" si="5"/>
        <v>13192.35</v>
      </c>
      <c r="G6272" s="10">
        <f t="shared" si="9"/>
        <v>44254.64583</v>
      </c>
      <c r="H6272" s="6" t="str">
        <f t="shared" si="6"/>
        <v/>
      </c>
      <c r="I6272" s="2">
        <f t="shared" si="7"/>
        <v>1426.89</v>
      </c>
    </row>
    <row r="6273">
      <c r="A6273" s="10">
        <f t="shared" si="8"/>
        <v>44255.66667</v>
      </c>
      <c r="B6273" s="2" t="str">
        <f t="shared" si="2"/>
        <v/>
      </c>
      <c r="C6273" s="2" t="str">
        <f t="shared" si="3"/>
        <v>SP500</v>
      </c>
      <c r="D6273" s="2" t="str">
        <f t="shared" si="4"/>
        <v/>
      </c>
      <c r="E6273" s="2">
        <f t="shared" si="5"/>
        <v>13192.35</v>
      </c>
      <c r="G6273" s="10">
        <f t="shared" si="9"/>
        <v>44255.64583</v>
      </c>
      <c r="H6273" s="6" t="str">
        <f t="shared" si="6"/>
        <v/>
      </c>
      <c r="I6273" s="2">
        <f t="shared" si="7"/>
        <v>1426.89</v>
      </c>
    </row>
    <row r="6274">
      <c r="A6274" s="10">
        <f t="shared" si="8"/>
        <v>44256.66667</v>
      </c>
      <c r="B6274" s="2" t="str">
        <f t="shared" si="2"/>
        <v/>
      </c>
      <c r="C6274" s="2" t="str">
        <f t="shared" si="3"/>
        <v>SP500</v>
      </c>
      <c r="D6274" s="2">
        <f t="shared" si="4"/>
        <v>13588.83</v>
      </c>
      <c r="E6274" s="2">
        <f t="shared" si="5"/>
        <v>13588.83</v>
      </c>
      <c r="G6274" s="10">
        <f t="shared" si="9"/>
        <v>44256.64583</v>
      </c>
      <c r="H6274" s="6" t="str">
        <f t="shared" si="6"/>
        <v/>
      </c>
      <c r="I6274" s="2">
        <f t="shared" si="7"/>
        <v>1426.89</v>
      </c>
    </row>
    <row r="6275">
      <c r="A6275" s="10">
        <f t="shared" si="8"/>
        <v>44257.66667</v>
      </c>
      <c r="B6275" s="2" t="str">
        <f t="shared" si="2"/>
        <v/>
      </c>
      <c r="C6275" s="2" t="str">
        <f t="shared" si="3"/>
        <v>SP500</v>
      </c>
      <c r="D6275" s="2">
        <f t="shared" si="4"/>
        <v>13358.79</v>
      </c>
      <c r="E6275" s="2">
        <f t="shared" si="5"/>
        <v>13358.79</v>
      </c>
      <c r="G6275" s="10">
        <f t="shared" si="9"/>
        <v>44257.64583</v>
      </c>
      <c r="H6275" s="6" t="str">
        <f t="shared" si="6"/>
        <v/>
      </c>
      <c r="I6275" s="2">
        <f t="shared" si="7"/>
        <v>1426.89</v>
      </c>
    </row>
    <row r="6276">
      <c r="A6276" s="10">
        <f t="shared" si="8"/>
        <v>44258.66667</v>
      </c>
      <c r="B6276" s="2" t="str">
        <f t="shared" si="2"/>
        <v/>
      </c>
      <c r="C6276" s="2" t="str">
        <f t="shared" si="3"/>
        <v>SP500</v>
      </c>
      <c r="D6276" s="2">
        <f t="shared" si="4"/>
        <v>12997.75</v>
      </c>
      <c r="E6276" s="2">
        <f t="shared" si="5"/>
        <v>12997.75</v>
      </c>
      <c r="G6276" s="10">
        <f t="shared" si="9"/>
        <v>44258.64583</v>
      </c>
      <c r="H6276" s="6" t="str">
        <f t="shared" si="6"/>
        <v/>
      </c>
      <c r="I6276" s="2">
        <f t="shared" si="7"/>
        <v>1426.89</v>
      </c>
    </row>
    <row r="6277">
      <c r="A6277" s="10">
        <f t="shared" si="8"/>
        <v>44259.66667</v>
      </c>
      <c r="B6277" s="2" t="str">
        <f t="shared" si="2"/>
        <v/>
      </c>
      <c r="C6277" s="2" t="str">
        <f t="shared" si="3"/>
        <v>SP500</v>
      </c>
      <c r="D6277" s="2">
        <f t="shared" si="4"/>
        <v>12723.47</v>
      </c>
      <c r="E6277" s="2">
        <f t="shared" si="5"/>
        <v>12723.47</v>
      </c>
      <c r="G6277" s="10">
        <f t="shared" si="9"/>
        <v>44259.64583</v>
      </c>
      <c r="H6277" s="6" t="str">
        <f t="shared" si="6"/>
        <v/>
      </c>
      <c r="I6277" s="2">
        <f t="shared" si="7"/>
        <v>1426.89</v>
      </c>
    </row>
    <row r="6278">
      <c r="A6278" s="10">
        <f t="shared" si="8"/>
        <v>44260.66667</v>
      </c>
      <c r="B6278" s="2" t="str">
        <f t="shared" si="2"/>
        <v/>
      </c>
      <c r="C6278" s="2" t="str">
        <f t="shared" si="3"/>
        <v>SP500</v>
      </c>
      <c r="D6278" s="2">
        <f t="shared" si="4"/>
        <v>12920.15</v>
      </c>
      <c r="E6278" s="2">
        <f t="shared" si="5"/>
        <v>12920.15</v>
      </c>
      <c r="G6278" s="10">
        <f t="shared" si="9"/>
        <v>44260.64583</v>
      </c>
      <c r="H6278" s="6" t="str">
        <f t="shared" si="6"/>
        <v/>
      </c>
      <c r="I6278" s="2">
        <f t="shared" si="7"/>
        <v>1426.89</v>
      </c>
    </row>
    <row r="6279">
      <c r="A6279" s="10">
        <f t="shared" si="8"/>
        <v>44261.66667</v>
      </c>
      <c r="B6279" s="2" t="str">
        <f t="shared" si="2"/>
        <v/>
      </c>
      <c r="C6279" s="2" t="str">
        <f t="shared" si="3"/>
        <v>SP500</v>
      </c>
      <c r="D6279" s="2" t="str">
        <f t="shared" si="4"/>
        <v/>
      </c>
      <c r="E6279" s="2">
        <f t="shared" si="5"/>
        <v>12920.15</v>
      </c>
      <c r="G6279" s="10">
        <f t="shared" si="9"/>
        <v>44261.64583</v>
      </c>
      <c r="H6279" s="6" t="str">
        <f t="shared" si="6"/>
        <v/>
      </c>
      <c r="I6279" s="2">
        <f t="shared" si="7"/>
        <v>1426.89</v>
      </c>
    </row>
    <row r="6280">
      <c r="A6280" s="10">
        <f t="shared" si="8"/>
        <v>44262.66667</v>
      </c>
      <c r="B6280" s="2" t="str">
        <f t="shared" si="2"/>
        <v/>
      </c>
      <c r="C6280" s="2" t="str">
        <f t="shared" si="3"/>
        <v>SP500</v>
      </c>
      <c r="D6280" s="2" t="str">
        <f t="shared" si="4"/>
        <v/>
      </c>
      <c r="E6280" s="2">
        <f t="shared" si="5"/>
        <v>12920.15</v>
      </c>
      <c r="G6280" s="10">
        <f t="shared" si="9"/>
        <v>44262.64583</v>
      </c>
      <c r="H6280" s="6" t="str">
        <f t="shared" si="6"/>
        <v/>
      </c>
      <c r="I6280" s="2">
        <f t="shared" si="7"/>
        <v>1426.89</v>
      </c>
    </row>
    <row r="6281">
      <c r="A6281" s="10">
        <f t="shared" si="8"/>
        <v>44263.66667</v>
      </c>
      <c r="B6281" s="2" t="str">
        <f t="shared" si="2"/>
        <v/>
      </c>
      <c r="C6281" s="2" t="str">
        <f t="shared" si="3"/>
        <v>SP500</v>
      </c>
      <c r="D6281" s="2">
        <f t="shared" si="4"/>
        <v>12609.16</v>
      </c>
      <c r="E6281" s="2">
        <f t="shared" si="5"/>
        <v>12609.16</v>
      </c>
      <c r="G6281" s="10">
        <f t="shared" si="9"/>
        <v>44263.64583</v>
      </c>
      <c r="H6281" s="6" t="str">
        <f t="shared" si="6"/>
        <v/>
      </c>
      <c r="I6281" s="2">
        <f t="shared" si="7"/>
        <v>1426.89</v>
      </c>
    </row>
    <row r="6282">
      <c r="A6282" s="10">
        <f t="shared" si="8"/>
        <v>44264.66667</v>
      </c>
      <c r="B6282" s="2" t="str">
        <f t="shared" si="2"/>
        <v/>
      </c>
      <c r="C6282" s="2" t="str">
        <f t="shared" si="3"/>
        <v>SP500</v>
      </c>
      <c r="D6282" s="2">
        <f t="shared" si="4"/>
        <v>13073.83</v>
      </c>
      <c r="E6282" s="2">
        <f t="shared" si="5"/>
        <v>13073.83</v>
      </c>
      <c r="G6282" s="10">
        <f t="shared" si="9"/>
        <v>44264.64583</v>
      </c>
      <c r="H6282" s="6" t="str">
        <f t="shared" si="6"/>
        <v/>
      </c>
      <c r="I6282" s="2">
        <f t="shared" si="7"/>
        <v>1426.89</v>
      </c>
    </row>
    <row r="6283">
      <c r="A6283" s="10">
        <f t="shared" si="8"/>
        <v>44265.66667</v>
      </c>
      <c r="B6283" s="2" t="str">
        <f t="shared" si="2"/>
        <v/>
      </c>
      <c r="C6283" s="2" t="str">
        <f t="shared" si="3"/>
        <v>SP500</v>
      </c>
      <c r="D6283" s="2">
        <f t="shared" si="4"/>
        <v>13068.83</v>
      </c>
      <c r="E6283" s="2">
        <f t="shared" si="5"/>
        <v>13068.83</v>
      </c>
      <c r="G6283" s="10">
        <f t="shared" si="9"/>
        <v>44265.64583</v>
      </c>
      <c r="H6283" s="6" t="str">
        <f t="shared" si="6"/>
        <v/>
      </c>
      <c r="I6283" s="2">
        <f t="shared" si="7"/>
        <v>1426.89</v>
      </c>
    </row>
    <row r="6284">
      <c r="A6284" s="10">
        <f t="shared" si="8"/>
        <v>44266.66667</v>
      </c>
      <c r="B6284" s="2" t="str">
        <f t="shared" si="2"/>
        <v/>
      </c>
      <c r="C6284" s="2" t="str">
        <f t="shared" si="3"/>
        <v>SP500</v>
      </c>
      <c r="D6284" s="2">
        <f t="shared" si="4"/>
        <v>13398.67</v>
      </c>
      <c r="E6284" s="2">
        <f t="shared" si="5"/>
        <v>13398.67</v>
      </c>
      <c r="G6284" s="10">
        <f t="shared" si="9"/>
        <v>44266.64583</v>
      </c>
      <c r="H6284" s="6" t="str">
        <f t="shared" si="6"/>
        <v/>
      </c>
      <c r="I6284" s="2">
        <f t="shared" si="7"/>
        <v>1426.89</v>
      </c>
    </row>
    <row r="6285">
      <c r="A6285" s="10">
        <f t="shared" si="8"/>
        <v>44267.66667</v>
      </c>
      <c r="B6285" s="2" t="str">
        <f t="shared" si="2"/>
        <v/>
      </c>
      <c r="C6285" s="2" t="str">
        <f t="shared" si="3"/>
        <v>SP500</v>
      </c>
      <c r="D6285" s="2">
        <f t="shared" si="4"/>
        <v>13319.87</v>
      </c>
      <c r="E6285" s="2">
        <f t="shared" si="5"/>
        <v>13319.87</v>
      </c>
      <c r="G6285" s="10">
        <f t="shared" si="9"/>
        <v>44267.64583</v>
      </c>
      <c r="H6285" s="6" t="str">
        <f t="shared" si="6"/>
        <v/>
      </c>
      <c r="I6285" s="2">
        <f t="shared" si="7"/>
        <v>1426.89</v>
      </c>
    </row>
    <row r="6286">
      <c r="A6286" s="10">
        <f t="shared" si="8"/>
        <v>44268.66667</v>
      </c>
      <c r="B6286" s="2" t="str">
        <f t="shared" si="2"/>
        <v/>
      </c>
      <c r="C6286" s="2" t="str">
        <f t="shared" si="3"/>
        <v>SP500</v>
      </c>
      <c r="D6286" s="2" t="str">
        <f t="shared" si="4"/>
        <v/>
      </c>
      <c r="E6286" s="2">
        <f t="shared" si="5"/>
        <v>13319.87</v>
      </c>
      <c r="G6286" s="10">
        <f t="shared" si="9"/>
        <v>44268.64583</v>
      </c>
      <c r="H6286" s="6" t="str">
        <f t="shared" si="6"/>
        <v/>
      </c>
      <c r="I6286" s="2">
        <f t="shared" si="7"/>
        <v>1426.89</v>
      </c>
    </row>
    <row r="6287">
      <c r="A6287" s="10">
        <f t="shared" si="8"/>
        <v>44269.66667</v>
      </c>
      <c r="B6287" s="2" t="str">
        <f t="shared" si="2"/>
        <v/>
      </c>
      <c r="C6287" s="2" t="str">
        <f t="shared" si="3"/>
        <v>SP500</v>
      </c>
      <c r="D6287" s="2" t="str">
        <f t="shared" si="4"/>
        <v/>
      </c>
      <c r="E6287" s="2">
        <f t="shared" si="5"/>
        <v>13319.87</v>
      </c>
      <c r="G6287" s="10">
        <f t="shared" si="9"/>
        <v>44269.64583</v>
      </c>
      <c r="H6287" s="6" t="str">
        <f t="shared" si="6"/>
        <v/>
      </c>
      <c r="I6287" s="2">
        <f t="shared" si="7"/>
        <v>1426.89</v>
      </c>
    </row>
    <row r="6288">
      <c r="A6288" s="10">
        <f t="shared" si="8"/>
        <v>44270.66667</v>
      </c>
      <c r="B6288" s="2" t="str">
        <f t="shared" si="2"/>
        <v/>
      </c>
      <c r="C6288" s="2" t="str">
        <f t="shared" si="3"/>
        <v>SP500</v>
      </c>
      <c r="D6288" s="2">
        <f t="shared" si="4"/>
        <v>13459.71</v>
      </c>
      <c r="E6288" s="2">
        <f t="shared" si="5"/>
        <v>13459.71</v>
      </c>
      <c r="G6288" s="10">
        <f t="shared" si="9"/>
        <v>44270.64583</v>
      </c>
      <c r="H6288" s="6" t="str">
        <f t="shared" si="6"/>
        <v/>
      </c>
      <c r="I6288" s="2">
        <f t="shared" si="7"/>
        <v>1426.89</v>
      </c>
    </row>
    <row r="6289">
      <c r="A6289" s="10">
        <f t="shared" si="8"/>
        <v>44271.66667</v>
      </c>
      <c r="B6289" s="2" t="str">
        <f t="shared" si="2"/>
        <v/>
      </c>
      <c r="C6289" s="2" t="str">
        <f t="shared" si="3"/>
        <v>SP500</v>
      </c>
      <c r="D6289" s="2">
        <f t="shared" si="4"/>
        <v>13471.57</v>
      </c>
      <c r="E6289" s="2">
        <f t="shared" si="5"/>
        <v>13471.57</v>
      </c>
      <c r="G6289" s="10">
        <f t="shared" si="9"/>
        <v>44271.64583</v>
      </c>
      <c r="H6289" s="6" t="str">
        <f t="shared" si="6"/>
        <v/>
      </c>
      <c r="I6289" s="2">
        <f t="shared" si="7"/>
        <v>1426.89</v>
      </c>
    </row>
    <row r="6290">
      <c r="A6290" s="10">
        <f t="shared" si="8"/>
        <v>44272.66667</v>
      </c>
      <c r="B6290" s="2" t="str">
        <f t="shared" si="2"/>
        <v/>
      </c>
      <c r="C6290" s="2" t="str">
        <f t="shared" si="3"/>
        <v>SP500</v>
      </c>
      <c r="D6290" s="2">
        <f t="shared" si="4"/>
        <v>13525.2</v>
      </c>
      <c r="E6290" s="2">
        <f t="shared" si="5"/>
        <v>13525.2</v>
      </c>
      <c r="G6290" s="10">
        <f t="shared" si="9"/>
        <v>44272.64583</v>
      </c>
      <c r="H6290" s="6" t="str">
        <f t="shared" si="6"/>
        <v/>
      </c>
      <c r="I6290" s="2">
        <f t="shared" si="7"/>
        <v>1426.89</v>
      </c>
    </row>
    <row r="6291">
      <c r="A6291" s="10">
        <f t="shared" si="8"/>
        <v>44273.66667</v>
      </c>
      <c r="B6291" s="2" t="str">
        <f t="shared" si="2"/>
        <v/>
      </c>
      <c r="C6291" s="2" t="str">
        <f t="shared" si="3"/>
        <v>SP500</v>
      </c>
      <c r="D6291" s="2">
        <f t="shared" si="4"/>
        <v>13116.17</v>
      </c>
      <c r="E6291" s="2">
        <f t="shared" si="5"/>
        <v>13116.17</v>
      </c>
      <c r="G6291" s="10">
        <f t="shared" si="9"/>
        <v>44273.64583</v>
      </c>
      <c r="H6291" s="6" t="str">
        <f t="shared" si="6"/>
        <v/>
      </c>
      <c r="I6291" s="2">
        <f t="shared" si="7"/>
        <v>1426.89</v>
      </c>
    </row>
    <row r="6292">
      <c r="A6292" s="10">
        <f t="shared" si="8"/>
        <v>44274.66667</v>
      </c>
      <c r="B6292" s="2" t="str">
        <f t="shared" si="2"/>
        <v/>
      </c>
      <c r="C6292" s="2" t="str">
        <f t="shared" si="3"/>
        <v>SP500</v>
      </c>
      <c r="D6292" s="2">
        <f t="shared" si="4"/>
        <v>13215.24</v>
      </c>
      <c r="E6292" s="2">
        <f t="shared" si="5"/>
        <v>13215.24</v>
      </c>
      <c r="G6292" s="10">
        <f t="shared" si="9"/>
        <v>44274.64583</v>
      </c>
      <c r="H6292" s="6" t="str">
        <f t="shared" si="6"/>
        <v/>
      </c>
      <c r="I6292" s="2">
        <f t="shared" si="7"/>
        <v>1426.89</v>
      </c>
    </row>
    <row r="6293">
      <c r="A6293" s="10">
        <f t="shared" si="8"/>
        <v>44275.66667</v>
      </c>
      <c r="B6293" s="2" t="str">
        <f t="shared" si="2"/>
        <v/>
      </c>
      <c r="C6293" s="2" t="str">
        <f t="shared" si="3"/>
        <v>SP500</v>
      </c>
      <c r="D6293" s="2" t="str">
        <f t="shared" si="4"/>
        <v/>
      </c>
      <c r="E6293" s="2">
        <f t="shared" si="5"/>
        <v>13215.24</v>
      </c>
      <c r="G6293" s="10">
        <f t="shared" si="9"/>
        <v>44275.64583</v>
      </c>
      <c r="H6293" s="6" t="str">
        <f t="shared" si="6"/>
        <v/>
      </c>
      <c r="I6293" s="2">
        <f t="shared" si="7"/>
        <v>1426.89</v>
      </c>
    </row>
    <row r="6294">
      <c r="A6294" s="10">
        <f t="shared" si="8"/>
        <v>44276.66667</v>
      </c>
      <c r="B6294" s="2" t="str">
        <f t="shared" si="2"/>
        <v/>
      </c>
      <c r="C6294" s="2" t="str">
        <f t="shared" si="3"/>
        <v>SP500</v>
      </c>
      <c r="D6294" s="2" t="str">
        <f t="shared" si="4"/>
        <v/>
      </c>
      <c r="E6294" s="2">
        <f t="shared" si="5"/>
        <v>13215.24</v>
      </c>
      <c r="G6294" s="10">
        <f t="shared" si="9"/>
        <v>44276.64583</v>
      </c>
      <c r="H6294" s="6" t="str">
        <f t="shared" si="6"/>
        <v/>
      </c>
      <c r="I6294" s="2">
        <f t="shared" si="7"/>
        <v>1426.89</v>
      </c>
    </row>
    <row r="6295">
      <c r="A6295" s="10">
        <f t="shared" si="8"/>
        <v>44277.66667</v>
      </c>
      <c r="B6295" s="2" t="str">
        <f t="shared" si="2"/>
        <v/>
      </c>
      <c r="C6295" s="2" t="str">
        <f t="shared" si="3"/>
        <v>SP500</v>
      </c>
      <c r="D6295" s="2">
        <f t="shared" si="4"/>
        <v>13377.54</v>
      </c>
      <c r="E6295" s="2">
        <f t="shared" si="5"/>
        <v>13377.54</v>
      </c>
      <c r="G6295" s="10">
        <f t="shared" si="9"/>
        <v>44277.64583</v>
      </c>
      <c r="H6295" s="6" t="str">
        <f t="shared" si="6"/>
        <v/>
      </c>
      <c r="I6295" s="2">
        <f t="shared" si="7"/>
        <v>1426.89</v>
      </c>
    </row>
    <row r="6296">
      <c r="A6296" s="10">
        <f t="shared" si="8"/>
        <v>44278.66667</v>
      </c>
      <c r="B6296" s="2" t="str">
        <f t="shared" si="2"/>
        <v/>
      </c>
      <c r="C6296" s="2" t="str">
        <f t="shared" si="3"/>
        <v>SP500</v>
      </c>
      <c r="D6296" s="2">
        <f t="shared" si="4"/>
        <v>13227.7</v>
      </c>
      <c r="E6296" s="2">
        <f t="shared" si="5"/>
        <v>13227.7</v>
      </c>
      <c r="G6296" s="10">
        <f t="shared" si="9"/>
        <v>44278.64583</v>
      </c>
      <c r="H6296" s="6" t="str">
        <f t="shared" si="6"/>
        <v/>
      </c>
      <c r="I6296" s="2">
        <f t="shared" si="7"/>
        <v>1426.89</v>
      </c>
    </row>
    <row r="6297">
      <c r="A6297" s="10">
        <f t="shared" si="8"/>
        <v>44279.66667</v>
      </c>
      <c r="B6297" s="2" t="str">
        <f t="shared" si="2"/>
        <v/>
      </c>
      <c r="C6297" s="2" t="str">
        <f t="shared" si="3"/>
        <v>SP500</v>
      </c>
      <c r="D6297" s="2">
        <f t="shared" si="4"/>
        <v>12961.89</v>
      </c>
      <c r="E6297" s="2">
        <f t="shared" si="5"/>
        <v>12961.89</v>
      </c>
      <c r="G6297" s="10">
        <f t="shared" si="9"/>
        <v>44279.64583</v>
      </c>
      <c r="H6297" s="6" t="str">
        <f t="shared" si="6"/>
        <v/>
      </c>
      <c r="I6297" s="2">
        <f t="shared" si="7"/>
        <v>1426.89</v>
      </c>
    </row>
    <row r="6298">
      <c r="A6298" s="10">
        <f t="shared" si="8"/>
        <v>44280.66667</v>
      </c>
      <c r="B6298" s="2" t="str">
        <f t="shared" si="2"/>
        <v/>
      </c>
      <c r="C6298" s="2" t="str">
        <f t="shared" si="3"/>
        <v>SP500</v>
      </c>
      <c r="D6298" s="2">
        <f t="shared" si="4"/>
        <v>12977.68</v>
      </c>
      <c r="E6298" s="2">
        <f t="shared" si="5"/>
        <v>12977.68</v>
      </c>
      <c r="G6298" s="10">
        <f t="shared" si="9"/>
        <v>44280.64583</v>
      </c>
      <c r="H6298" s="6" t="str">
        <f t="shared" si="6"/>
        <v/>
      </c>
      <c r="I6298" s="2">
        <f t="shared" si="7"/>
        <v>1426.89</v>
      </c>
    </row>
    <row r="6299">
      <c r="A6299" s="10">
        <f t="shared" si="8"/>
        <v>44281.66667</v>
      </c>
      <c r="B6299" s="2" t="str">
        <f t="shared" si="2"/>
        <v/>
      </c>
      <c r="C6299" s="2" t="str">
        <f t="shared" si="3"/>
        <v>SP500</v>
      </c>
      <c r="D6299" s="2">
        <f t="shared" si="4"/>
        <v>13138.73</v>
      </c>
      <c r="E6299" s="2">
        <f t="shared" si="5"/>
        <v>13138.73</v>
      </c>
      <c r="G6299" s="10">
        <f t="shared" si="9"/>
        <v>44281.64583</v>
      </c>
      <c r="H6299" s="6" t="str">
        <f t="shared" si="6"/>
        <v/>
      </c>
      <c r="I6299" s="2">
        <f t="shared" si="7"/>
        <v>1426.89</v>
      </c>
    </row>
    <row r="6300">
      <c r="A6300" s="10">
        <f t="shared" si="8"/>
        <v>44282.66667</v>
      </c>
      <c r="B6300" s="2" t="str">
        <f t="shared" si="2"/>
        <v/>
      </c>
      <c r="C6300" s="2" t="str">
        <f t="shared" si="3"/>
        <v>SP500</v>
      </c>
      <c r="D6300" s="2" t="str">
        <f t="shared" si="4"/>
        <v/>
      </c>
      <c r="E6300" s="2">
        <f t="shared" si="5"/>
        <v>13138.73</v>
      </c>
      <c r="G6300" s="10">
        <f t="shared" si="9"/>
        <v>44282.64583</v>
      </c>
      <c r="H6300" s="6" t="str">
        <f t="shared" si="6"/>
        <v/>
      </c>
      <c r="I6300" s="2">
        <f t="shared" si="7"/>
        <v>1426.89</v>
      </c>
    </row>
    <row r="6301">
      <c r="A6301" s="10">
        <f t="shared" si="8"/>
        <v>44283.66667</v>
      </c>
      <c r="B6301" s="2" t="str">
        <f t="shared" si="2"/>
        <v/>
      </c>
      <c r="C6301" s="2" t="str">
        <f t="shared" si="3"/>
        <v>SP500</v>
      </c>
      <c r="D6301" s="2" t="str">
        <f t="shared" si="4"/>
        <v/>
      </c>
      <c r="E6301" s="2">
        <f t="shared" si="5"/>
        <v>13138.73</v>
      </c>
      <c r="G6301" s="10">
        <f t="shared" si="9"/>
        <v>44283.64583</v>
      </c>
      <c r="H6301" s="6" t="str">
        <f t="shared" si="6"/>
        <v/>
      </c>
      <c r="I6301" s="2">
        <f t="shared" si="7"/>
        <v>1426.89</v>
      </c>
    </row>
    <row r="6302">
      <c r="A6302" s="10">
        <f t="shared" si="8"/>
        <v>44284.66667</v>
      </c>
      <c r="B6302" s="2" t="str">
        <f t="shared" si="2"/>
        <v/>
      </c>
      <c r="C6302" s="2" t="str">
        <f t="shared" si="3"/>
        <v>SP500</v>
      </c>
      <c r="D6302" s="2">
        <f t="shared" si="4"/>
        <v>13059.65</v>
      </c>
      <c r="E6302" s="2">
        <f t="shared" si="5"/>
        <v>13059.65</v>
      </c>
      <c r="G6302" s="10">
        <f t="shared" si="9"/>
        <v>44284.64583</v>
      </c>
      <c r="H6302" s="6" t="str">
        <f t="shared" si="6"/>
        <v/>
      </c>
      <c r="I6302" s="2">
        <f t="shared" si="7"/>
        <v>1426.89</v>
      </c>
    </row>
    <row r="6303">
      <c r="A6303" s="10">
        <f t="shared" si="8"/>
        <v>44285.66667</v>
      </c>
      <c r="B6303" s="2" t="str">
        <f t="shared" si="2"/>
        <v/>
      </c>
      <c r="C6303" s="2" t="str">
        <f t="shared" si="3"/>
        <v>SP500</v>
      </c>
      <c r="D6303" s="2">
        <f t="shared" si="4"/>
        <v>13045.39</v>
      </c>
      <c r="E6303" s="2">
        <f t="shared" si="5"/>
        <v>13045.39</v>
      </c>
      <c r="G6303" s="10">
        <f t="shared" si="9"/>
        <v>44285.64583</v>
      </c>
      <c r="H6303" s="6" t="str">
        <f t="shared" si="6"/>
        <v/>
      </c>
      <c r="I6303" s="2">
        <f t="shared" si="7"/>
        <v>1426.89</v>
      </c>
    </row>
    <row r="6304">
      <c r="A6304" s="10">
        <f t="shared" si="8"/>
        <v>44286.66667</v>
      </c>
      <c r="B6304" s="2" t="str">
        <f t="shared" si="2"/>
        <v/>
      </c>
      <c r="C6304" s="2" t="str">
        <f t="shared" si="3"/>
        <v>SP500</v>
      </c>
      <c r="D6304" s="2">
        <f t="shared" si="4"/>
        <v>13246.87</v>
      </c>
      <c r="E6304" s="2">
        <f t="shared" si="5"/>
        <v>13246.87</v>
      </c>
      <c r="G6304" s="10">
        <f t="shared" si="9"/>
        <v>44286.64583</v>
      </c>
      <c r="H6304" s="6" t="str">
        <f t="shared" si="6"/>
        <v/>
      </c>
      <c r="I6304" s="2">
        <f t="shared" si="7"/>
        <v>1426.89</v>
      </c>
    </row>
    <row r="6305">
      <c r="A6305" s="10">
        <f t="shared" si="8"/>
        <v>44287.66667</v>
      </c>
      <c r="B6305" s="2" t="str">
        <f t="shared" si="2"/>
        <v/>
      </c>
      <c r="C6305" s="2" t="str">
        <f t="shared" si="3"/>
        <v>SP500</v>
      </c>
      <c r="D6305" s="2">
        <f t="shared" si="4"/>
        <v>13480.11</v>
      </c>
      <c r="E6305" s="2">
        <f t="shared" si="5"/>
        <v>13480.11</v>
      </c>
      <c r="G6305" s="10">
        <f t="shared" si="9"/>
        <v>44287.64583</v>
      </c>
      <c r="H6305" s="6" t="str">
        <f t="shared" si="6"/>
        <v/>
      </c>
      <c r="I6305" s="2">
        <f t="shared" si="7"/>
        <v>1426.89</v>
      </c>
    </row>
    <row r="6306">
      <c r="A6306" s="10">
        <f t="shared" si="8"/>
        <v>44288.66667</v>
      </c>
      <c r="B6306" s="2" t="str">
        <f t="shared" si="2"/>
        <v/>
      </c>
      <c r="C6306" s="2" t="str">
        <f t="shared" si="3"/>
        <v>SP500</v>
      </c>
      <c r="D6306" s="2" t="str">
        <f t="shared" si="4"/>
        <v/>
      </c>
      <c r="E6306" s="2">
        <f t="shared" si="5"/>
        <v>13480.11</v>
      </c>
      <c r="G6306" s="10">
        <f t="shared" si="9"/>
        <v>44288.64583</v>
      </c>
      <c r="H6306" s="6" t="str">
        <f t="shared" si="6"/>
        <v/>
      </c>
      <c r="I6306" s="2">
        <f t="shared" si="7"/>
        <v>1426.89</v>
      </c>
    </row>
    <row r="6307">
      <c r="A6307" s="10">
        <f t="shared" si="8"/>
        <v>44289.66667</v>
      </c>
      <c r="B6307" s="2" t="str">
        <f t="shared" si="2"/>
        <v/>
      </c>
      <c r="C6307" s="2" t="str">
        <f t="shared" si="3"/>
        <v>SP500</v>
      </c>
      <c r="D6307" s="2" t="str">
        <f t="shared" si="4"/>
        <v/>
      </c>
      <c r="E6307" s="2">
        <f t="shared" si="5"/>
        <v>13480.11</v>
      </c>
      <c r="G6307" s="10">
        <f t="shared" si="9"/>
        <v>44289.64583</v>
      </c>
      <c r="H6307" s="6" t="str">
        <f t="shared" si="6"/>
        <v/>
      </c>
      <c r="I6307" s="2">
        <f t="shared" si="7"/>
        <v>1426.89</v>
      </c>
    </row>
    <row r="6308">
      <c r="A6308" s="10">
        <f t="shared" si="8"/>
        <v>44290.66667</v>
      </c>
      <c r="B6308" s="2" t="str">
        <f t="shared" si="2"/>
        <v/>
      </c>
      <c r="C6308" s="2" t="str">
        <f t="shared" si="3"/>
        <v>SP500</v>
      </c>
      <c r="D6308" s="2" t="str">
        <f t="shared" si="4"/>
        <v/>
      </c>
      <c r="E6308" s="2">
        <f t="shared" si="5"/>
        <v>13480.11</v>
      </c>
      <c r="G6308" s="10">
        <f t="shared" si="9"/>
        <v>44290.64583</v>
      </c>
      <c r="H6308" s="6" t="str">
        <f t="shared" si="6"/>
        <v/>
      </c>
      <c r="I6308" s="2">
        <f t="shared" si="7"/>
        <v>1426.89</v>
      </c>
    </row>
    <row r="6309">
      <c r="A6309" s="10">
        <f t="shared" si="8"/>
        <v>44291.66667</v>
      </c>
      <c r="B6309" s="2" t="str">
        <f t="shared" si="2"/>
        <v/>
      </c>
      <c r="C6309" s="2" t="str">
        <f t="shared" si="3"/>
        <v>SP500</v>
      </c>
      <c r="D6309" s="2">
        <f t="shared" si="4"/>
        <v>13705.59</v>
      </c>
      <c r="E6309" s="2">
        <f t="shared" si="5"/>
        <v>13705.59</v>
      </c>
      <c r="G6309" s="10">
        <f t="shared" si="9"/>
        <v>44291.64583</v>
      </c>
      <c r="H6309" s="6" t="str">
        <f t="shared" si="6"/>
        <v/>
      </c>
      <c r="I6309" s="2">
        <f t="shared" si="7"/>
        <v>1426.89</v>
      </c>
    </row>
    <row r="6310">
      <c r="A6310" s="10">
        <f t="shared" si="8"/>
        <v>44292.66667</v>
      </c>
      <c r="B6310" s="2" t="str">
        <f t="shared" si="2"/>
        <v/>
      </c>
      <c r="C6310" s="2" t="str">
        <f t="shared" si="3"/>
        <v>SP500</v>
      </c>
      <c r="D6310" s="2">
        <f t="shared" si="4"/>
        <v>13698.38</v>
      </c>
      <c r="E6310" s="2">
        <f t="shared" si="5"/>
        <v>13698.38</v>
      </c>
      <c r="G6310" s="10">
        <f t="shared" si="9"/>
        <v>44292.64583</v>
      </c>
      <c r="H6310" s="6" t="str">
        <f t="shared" si="6"/>
        <v/>
      </c>
      <c r="I6310" s="2">
        <f t="shared" si="7"/>
        <v>1426.89</v>
      </c>
    </row>
    <row r="6311">
      <c r="A6311" s="10">
        <f t="shared" si="8"/>
        <v>44293.66667</v>
      </c>
      <c r="B6311" s="2" t="str">
        <f t="shared" si="2"/>
        <v/>
      </c>
      <c r="C6311" s="2" t="str">
        <f t="shared" si="3"/>
        <v>SP500</v>
      </c>
      <c r="D6311" s="2">
        <f t="shared" si="4"/>
        <v>13688.84</v>
      </c>
      <c r="E6311" s="2">
        <f t="shared" si="5"/>
        <v>13688.84</v>
      </c>
      <c r="G6311" s="10">
        <f t="shared" si="9"/>
        <v>44293.64583</v>
      </c>
      <c r="H6311" s="6" t="str">
        <f t="shared" si="6"/>
        <v/>
      </c>
      <c r="I6311" s="2">
        <f t="shared" si="7"/>
        <v>1426.89</v>
      </c>
    </row>
    <row r="6312">
      <c r="A6312" s="10">
        <f t="shared" si="8"/>
        <v>44294.66667</v>
      </c>
      <c r="B6312" s="2" t="str">
        <f t="shared" si="2"/>
        <v/>
      </c>
      <c r="C6312" s="2" t="str">
        <f t="shared" si="3"/>
        <v>SP500</v>
      </c>
      <c r="D6312" s="2">
        <f t="shared" si="4"/>
        <v>13829.31</v>
      </c>
      <c r="E6312" s="2">
        <f t="shared" si="5"/>
        <v>13829.31</v>
      </c>
      <c r="G6312" s="10">
        <f t="shared" si="9"/>
        <v>44294.64583</v>
      </c>
      <c r="H6312" s="6" t="str">
        <f t="shared" si="6"/>
        <v/>
      </c>
      <c r="I6312" s="2">
        <f t="shared" si="7"/>
        <v>1426.89</v>
      </c>
    </row>
    <row r="6313">
      <c r="A6313" s="10">
        <f t="shared" si="8"/>
        <v>44295.66667</v>
      </c>
      <c r="B6313" s="2" t="str">
        <f t="shared" si="2"/>
        <v/>
      </c>
      <c r="C6313" s="2" t="str">
        <f t="shared" si="3"/>
        <v>SP500</v>
      </c>
      <c r="D6313" s="2">
        <f t="shared" si="4"/>
        <v>13900.19</v>
      </c>
      <c r="E6313" s="2">
        <f t="shared" si="5"/>
        <v>13900.19</v>
      </c>
      <c r="G6313" s="10">
        <f t="shared" si="9"/>
        <v>44295.64583</v>
      </c>
      <c r="H6313" s="6" t="str">
        <f t="shared" si="6"/>
        <v/>
      </c>
      <c r="I6313" s="2">
        <f t="shared" si="7"/>
        <v>1426.89</v>
      </c>
    </row>
    <row r="6314">
      <c r="A6314" s="10">
        <f t="shared" si="8"/>
        <v>44296.66667</v>
      </c>
      <c r="B6314" s="2" t="str">
        <f t="shared" si="2"/>
        <v/>
      </c>
      <c r="C6314" s="2" t="str">
        <f t="shared" si="3"/>
        <v>SP500</v>
      </c>
      <c r="D6314" s="2" t="str">
        <f t="shared" si="4"/>
        <v/>
      </c>
      <c r="E6314" s="2">
        <f t="shared" si="5"/>
        <v>13900.19</v>
      </c>
      <c r="G6314" s="10">
        <f t="shared" si="9"/>
        <v>44296.64583</v>
      </c>
      <c r="H6314" s="6" t="str">
        <f t="shared" si="6"/>
        <v/>
      </c>
      <c r="I6314" s="2">
        <f t="shared" si="7"/>
        <v>1426.89</v>
      </c>
    </row>
    <row r="6315">
      <c r="A6315" s="10">
        <f t="shared" si="8"/>
        <v>44297.66667</v>
      </c>
      <c r="B6315" s="2" t="str">
        <f t="shared" si="2"/>
        <v/>
      </c>
      <c r="C6315" s="2" t="str">
        <f t="shared" si="3"/>
        <v>SP500</v>
      </c>
      <c r="D6315" s="2" t="str">
        <f t="shared" si="4"/>
        <v/>
      </c>
      <c r="E6315" s="2">
        <f t="shared" si="5"/>
        <v>13900.19</v>
      </c>
      <c r="G6315" s="10">
        <f t="shared" si="9"/>
        <v>44297.64583</v>
      </c>
      <c r="H6315" s="6" t="str">
        <f t="shared" si="6"/>
        <v/>
      </c>
      <c r="I6315" s="2">
        <f t="shared" si="7"/>
        <v>1426.89</v>
      </c>
    </row>
    <row r="6316">
      <c r="A6316" s="10">
        <f t="shared" si="8"/>
        <v>44298.66667</v>
      </c>
      <c r="B6316" s="2" t="str">
        <f t="shared" si="2"/>
        <v/>
      </c>
      <c r="C6316" s="2" t="str">
        <f t="shared" si="3"/>
        <v>SP500</v>
      </c>
      <c r="D6316" s="2">
        <f t="shared" si="4"/>
        <v>13850</v>
      </c>
      <c r="E6316" s="2">
        <f t="shared" si="5"/>
        <v>13850</v>
      </c>
      <c r="G6316" s="10">
        <f t="shared" si="9"/>
        <v>44298.64583</v>
      </c>
      <c r="H6316" s="6" t="str">
        <f t="shared" si="6"/>
        <v/>
      </c>
      <c r="I6316" s="2">
        <f t="shared" si="7"/>
        <v>1426.89</v>
      </c>
    </row>
    <row r="6317">
      <c r="A6317" s="10">
        <f t="shared" si="8"/>
        <v>44299.66667</v>
      </c>
      <c r="B6317" s="2" t="str">
        <f t="shared" si="2"/>
        <v/>
      </c>
      <c r="C6317" s="2" t="str">
        <f t="shared" si="3"/>
        <v>SP500</v>
      </c>
      <c r="D6317" s="2">
        <f t="shared" si="4"/>
        <v>13996.1</v>
      </c>
      <c r="E6317" s="2">
        <f t="shared" si="5"/>
        <v>13996.1</v>
      </c>
      <c r="G6317" s="10">
        <f t="shared" si="9"/>
        <v>44299.64583</v>
      </c>
      <c r="H6317" s="6" t="str">
        <f t="shared" si="6"/>
        <v/>
      </c>
      <c r="I6317" s="2">
        <f t="shared" si="7"/>
        <v>1426.89</v>
      </c>
    </row>
    <row r="6318">
      <c r="A6318" s="10">
        <f t="shared" si="8"/>
        <v>44300.66667</v>
      </c>
      <c r="B6318" s="2" t="str">
        <f t="shared" si="2"/>
        <v/>
      </c>
      <c r="C6318" s="2" t="str">
        <f t="shared" si="3"/>
        <v>SP500</v>
      </c>
      <c r="D6318" s="2">
        <f t="shared" si="4"/>
        <v>13857.84</v>
      </c>
      <c r="E6318" s="2">
        <f t="shared" si="5"/>
        <v>13857.84</v>
      </c>
      <c r="G6318" s="10">
        <f t="shared" si="9"/>
        <v>44300.64583</v>
      </c>
      <c r="H6318" s="6" t="str">
        <f t="shared" si="6"/>
        <v/>
      </c>
      <c r="I6318" s="2">
        <f t="shared" si="7"/>
        <v>1426.89</v>
      </c>
    </row>
    <row r="6319">
      <c r="A6319" s="10">
        <f t="shared" si="8"/>
        <v>44301.66667</v>
      </c>
      <c r="B6319" s="2" t="str">
        <f t="shared" si="2"/>
        <v/>
      </c>
      <c r="C6319" s="2" t="str">
        <f t="shared" si="3"/>
        <v>SP500</v>
      </c>
      <c r="D6319" s="2">
        <f t="shared" si="4"/>
        <v>14038.76</v>
      </c>
      <c r="E6319" s="2">
        <f t="shared" si="5"/>
        <v>14038.76</v>
      </c>
      <c r="G6319" s="10">
        <f t="shared" si="9"/>
        <v>44301.64583</v>
      </c>
      <c r="H6319" s="6" t="str">
        <f t="shared" si="6"/>
        <v/>
      </c>
      <c r="I6319" s="2">
        <f t="shared" si="7"/>
        <v>1426.89</v>
      </c>
    </row>
    <row r="6320">
      <c r="A6320" s="10">
        <f t="shared" si="8"/>
        <v>44302.66667</v>
      </c>
      <c r="B6320" s="2" t="str">
        <f t="shared" si="2"/>
        <v/>
      </c>
      <c r="C6320" s="2" t="str">
        <f t="shared" si="3"/>
        <v>SP500</v>
      </c>
      <c r="D6320" s="2">
        <f t="shared" si="4"/>
        <v>14052.34</v>
      </c>
      <c r="E6320" s="2">
        <f t="shared" si="5"/>
        <v>14052.34</v>
      </c>
      <c r="G6320" s="10">
        <f t="shared" si="9"/>
        <v>44302.64583</v>
      </c>
      <c r="H6320" s="6" t="str">
        <f t="shared" si="6"/>
        <v/>
      </c>
      <c r="I6320" s="2">
        <f t="shared" si="7"/>
        <v>1426.89</v>
      </c>
    </row>
    <row r="6321">
      <c r="A6321" s="10">
        <f t="shared" si="8"/>
        <v>44303.66667</v>
      </c>
      <c r="B6321" s="2" t="str">
        <f t="shared" si="2"/>
        <v/>
      </c>
      <c r="C6321" s="2" t="str">
        <f t="shared" si="3"/>
        <v>SP500</v>
      </c>
      <c r="D6321" s="2" t="str">
        <f t="shared" si="4"/>
        <v/>
      </c>
      <c r="E6321" s="2">
        <f t="shared" si="5"/>
        <v>14052.34</v>
      </c>
      <c r="G6321" s="10">
        <f t="shared" si="9"/>
        <v>44303.64583</v>
      </c>
      <c r="H6321" s="6" t="str">
        <f t="shared" si="6"/>
        <v/>
      </c>
      <c r="I6321" s="2">
        <f t="shared" si="7"/>
        <v>1426.89</v>
      </c>
    </row>
    <row r="6322">
      <c r="A6322" s="10">
        <f t="shared" si="8"/>
        <v>44304.66667</v>
      </c>
      <c r="B6322" s="2" t="str">
        <f t="shared" si="2"/>
        <v/>
      </c>
      <c r="C6322" s="2" t="str">
        <f t="shared" si="3"/>
        <v>SP500</v>
      </c>
      <c r="D6322" s="2" t="str">
        <f t="shared" si="4"/>
        <v/>
      </c>
      <c r="E6322" s="2">
        <f t="shared" si="5"/>
        <v>14052.34</v>
      </c>
      <c r="G6322" s="10">
        <f t="shared" si="9"/>
        <v>44304.64583</v>
      </c>
      <c r="H6322" s="6" t="str">
        <f t="shared" si="6"/>
        <v/>
      </c>
      <c r="I6322" s="2">
        <f t="shared" si="7"/>
        <v>1426.89</v>
      </c>
    </row>
    <row r="6323">
      <c r="A6323" s="10">
        <f t="shared" si="8"/>
        <v>44305.66667</v>
      </c>
      <c r="B6323" s="2" t="str">
        <f t="shared" si="2"/>
        <v/>
      </c>
      <c r="C6323" s="2" t="str">
        <f t="shared" si="3"/>
        <v>SP500</v>
      </c>
      <c r="D6323" s="2">
        <f t="shared" si="4"/>
        <v>13914.77</v>
      </c>
      <c r="E6323" s="2">
        <f t="shared" si="5"/>
        <v>13914.77</v>
      </c>
      <c r="G6323" s="10">
        <f t="shared" si="9"/>
        <v>44305.64583</v>
      </c>
      <c r="H6323" s="6" t="str">
        <f t="shared" si="6"/>
        <v/>
      </c>
      <c r="I6323" s="2">
        <f t="shared" si="7"/>
        <v>1426.89</v>
      </c>
    </row>
    <row r="6324">
      <c r="A6324" s="10">
        <f t="shared" si="8"/>
        <v>44306.66667</v>
      </c>
      <c r="B6324" s="2" t="str">
        <f t="shared" si="2"/>
        <v/>
      </c>
      <c r="C6324" s="2" t="str">
        <f t="shared" si="3"/>
        <v>SP500</v>
      </c>
      <c r="D6324" s="2">
        <f t="shared" si="4"/>
        <v>13786.27</v>
      </c>
      <c r="E6324" s="2">
        <f t="shared" si="5"/>
        <v>13786.27</v>
      </c>
      <c r="G6324" s="10">
        <f t="shared" si="9"/>
        <v>44306.64583</v>
      </c>
      <c r="H6324" s="6" t="str">
        <f t="shared" si="6"/>
        <v/>
      </c>
      <c r="I6324" s="2">
        <f t="shared" si="7"/>
        <v>1426.89</v>
      </c>
    </row>
    <row r="6325">
      <c r="A6325" s="10">
        <f t="shared" si="8"/>
        <v>44307.66667</v>
      </c>
      <c r="B6325" s="2" t="str">
        <f t="shared" si="2"/>
        <v/>
      </c>
      <c r="C6325" s="2" t="str">
        <f t="shared" si="3"/>
        <v>SP500</v>
      </c>
      <c r="D6325" s="2">
        <f t="shared" si="4"/>
        <v>13950.22</v>
      </c>
      <c r="E6325" s="2">
        <f t="shared" si="5"/>
        <v>13950.22</v>
      </c>
      <c r="G6325" s="10">
        <f t="shared" si="9"/>
        <v>44307.64583</v>
      </c>
      <c r="H6325" s="6" t="str">
        <f t="shared" si="6"/>
        <v/>
      </c>
      <c r="I6325" s="2">
        <f t="shared" si="7"/>
        <v>1426.89</v>
      </c>
    </row>
    <row r="6326">
      <c r="A6326" s="10">
        <f t="shared" si="8"/>
        <v>44308.66667</v>
      </c>
      <c r="B6326" s="2" t="str">
        <f t="shared" si="2"/>
        <v/>
      </c>
      <c r="C6326" s="2" t="str">
        <f t="shared" si="3"/>
        <v>SP500</v>
      </c>
      <c r="D6326" s="2">
        <f t="shared" si="4"/>
        <v>13818.41</v>
      </c>
      <c r="E6326" s="2">
        <f t="shared" si="5"/>
        <v>13818.41</v>
      </c>
      <c r="G6326" s="10">
        <f t="shared" si="9"/>
        <v>44308.64583</v>
      </c>
      <c r="H6326" s="6" t="str">
        <f t="shared" si="6"/>
        <v/>
      </c>
      <c r="I6326" s="2">
        <f t="shared" si="7"/>
        <v>1426.89</v>
      </c>
    </row>
    <row r="6327">
      <c r="A6327" s="10">
        <f t="shared" si="8"/>
        <v>44309.66667</v>
      </c>
      <c r="B6327" s="2" t="str">
        <f t="shared" si="2"/>
        <v/>
      </c>
      <c r="C6327" s="2" t="str">
        <f t="shared" si="3"/>
        <v>SP500</v>
      </c>
      <c r="D6327" s="2">
        <f t="shared" si="4"/>
        <v>14016.81</v>
      </c>
      <c r="E6327" s="2">
        <f t="shared" si="5"/>
        <v>14016.81</v>
      </c>
      <c r="G6327" s="10">
        <f t="shared" si="9"/>
        <v>44309.64583</v>
      </c>
      <c r="H6327" s="6" t="str">
        <f t="shared" si="6"/>
        <v/>
      </c>
      <c r="I6327" s="2">
        <f t="shared" si="7"/>
        <v>1426.89</v>
      </c>
    </row>
    <row r="6328">
      <c r="A6328" s="10">
        <f t="shared" si="8"/>
        <v>44310.66667</v>
      </c>
      <c r="B6328" s="2" t="str">
        <f t="shared" si="2"/>
        <v/>
      </c>
      <c r="C6328" s="2" t="str">
        <f t="shared" si="3"/>
        <v>SP500</v>
      </c>
      <c r="D6328" s="2" t="str">
        <f t="shared" si="4"/>
        <v/>
      </c>
      <c r="E6328" s="2">
        <f t="shared" si="5"/>
        <v>14016.81</v>
      </c>
      <c r="G6328" s="10">
        <f t="shared" si="9"/>
        <v>44310.64583</v>
      </c>
      <c r="H6328" s="6" t="str">
        <f t="shared" si="6"/>
        <v/>
      </c>
      <c r="I6328" s="2">
        <f t="shared" si="7"/>
        <v>1426.89</v>
      </c>
    </row>
    <row r="6329">
      <c r="A6329" s="10">
        <f t="shared" si="8"/>
        <v>44311.66667</v>
      </c>
      <c r="B6329" s="2" t="str">
        <f t="shared" si="2"/>
        <v/>
      </c>
      <c r="C6329" s="2" t="str">
        <f t="shared" si="3"/>
        <v>SP500</v>
      </c>
      <c r="D6329" s="2" t="str">
        <f t="shared" si="4"/>
        <v/>
      </c>
      <c r="E6329" s="2">
        <f t="shared" si="5"/>
        <v>14016.81</v>
      </c>
      <c r="G6329" s="10">
        <f t="shared" si="9"/>
        <v>44311.64583</v>
      </c>
      <c r="H6329" s="6" t="str">
        <f t="shared" si="6"/>
        <v/>
      </c>
      <c r="I6329" s="2">
        <f t="shared" si="7"/>
        <v>1426.89</v>
      </c>
    </row>
    <row r="6330">
      <c r="A6330" s="10">
        <f t="shared" si="8"/>
        <v>44312.66667</v>
      </c>
      <c r="B6330" s="2" t="str">
        <f t="shared" si="2"/>
        <v/>
      </c>
      <c r="C6330" s="2" t="str">
        <f t="shared" si="3"/>
        <v>SP500</v>
      </c>
      <c r="D6330" s="2">
        <f t="shared" si="4"/>
        <v>14138.78</v>
      </c>
      <c r="E6330" s="2">
        <f t="shared" si="5"/>
        <v>14138.78</v>
      </c>
      <c r="G6330" s="10">
        <f t="shared" si="9"/>
        <v>44312.64583</v>
      </c>
      <c r="H6330" s="6" t="str">
        <f t="shared" si="6"/>
        <v/>
      </c>
      <c r="I6330" s="2">
        <f t="shared" si="7"/>
        <v>1426.89</v>
      </c>
    </row>
    <row r="6331">
      <c r="A6331" s="10">
        <f t="shared" si="8"/>
        <v>44313.66667</v>
      </c>
      <c r="B6331" s="2" t="str">
        <f t="shared" si="2"/>
        <v/>
      </c>
      <c r="C6331" s="2" t="str">
        <f t="shared" si="3"/>
        <v>SP500</v>
      </c>
      <c r="D6331" s="2">
        <f t="shared" si="4"/>
        <v>14090.22</v>
      </c>
      <c r="E6331" s="2">
        <f t="shared" si="5"/>
        <v>14090.22</v>
      </c>
      <c r="G6331" s="10">
        <f t="shared" si="9"/>
        <v>44313.64583</v>
      </c>
      <c r="H6331" s="6" t="str">
        <f t="shared" si="6"/>
        <v/>
      </c>
      <c r="I6331" s="2">
        <f t="shared" si="7"/>
        <v>1426.89</v>
      </c>
    </row>
    <row r="6332">
      <c r="A6332" s="10">
        <f t="shared" si="8"/>
        <v>44314.66667</v>
      </c>
      <c r="B6332" s="2" t="str">
        <f t="shared" si="2"/>
        <v/>
      </c>
      <c r="C6332" s="2" t="str">
        <f t="shared" si="3"/>
        <v>SP500</v>
      </c>
      <c r="D6332" s="2">
        <f t="shared" si="4"/>
        <v>14051.03</v>
      </c>
      <c r="E6332" s="2">
        <f t="shared" si="5"/>
        <v>14051.03</v>
      </c>
      <c r="G6332" s="10">
        <f t="shared" si="9"/>
        <v>44314.64583</v>
      </c>
      <c r="H6332" s="6" t="str">
        <f t="shared" si="6"/>
        <v/>
      </c>
      <c r="I6332" s="2">
        <f t="shared" si="7"/>
        <v>1426.89</v>
      </c>
    </row>
    <row r="6333">
      <c r="A6333" s="10">
        <f t="shared" si="8"/>
        <v>44315.66667</v>
      </c>
      <c r="B6333" s="2" t="str">
        <f t="shared" si="2"/>
        <v/>
      </c>
      <c r="C6333" s="2" t="str">
        <f t="shared" si="3"/>
        <v>SP500</v>
      </c>
      <c r="D6333" s="2">
        <f t="shared" si="4"/>
        <v>14082.55</v>
      </c>
      <c r="E6333" s="2">
        <f t="shared" si="5"/>
        <v>14082.55</v>
      </c>
      <c r="G6333" s="10">
        <f t="shared" si="9"/>
        <v>44315.64583</v>
      </c>
      <c r="H6333" s="6" t="str">
        <f t="shared" si="6"/>
        <v/>
      </c>
      <c r="I6333" s="2">
        <f t="shared" si="7"/>
        <v>1426.89</v>
      </c>
    </row>
    <row r="6334">
      <c r="A6334" s="10">
        <f t="shared" si="8"/>
        <v>44316.66667</v>
      </c>
      <c r="B6334" s="2" t="str">
        <f t="shared" si="2"/>
        <v/>
      </c>
      <c r="C6334" s="2" t="str">
        <f t="shared" si="3"/>
        <v>SP500</v>
      </c>
      <c r="D6334" s="2">
        <f t="shared" si="4"/>
        <v>13962.68</v>
      </c>
      <c r="E6334" s="2">
        <f t="shared" si="5"/>
        <v>13962.68</v>
      </c>
      <c r="G6334" s="10">
        <f t="shared" si="9"/>
        <v>44316.64583</v>
      </c>
      <c r="H6334" s="6" t="str">
        <f t="shared" si="6"/>
        <v/>
      </c>
      <c r="I6334" s="2">
        <f t="shared" si="7"/>
        <v>1426.89</v>
      </c>
    </row>
    <row r="6335">
      <c r="A6335" s="10">
        <f t="shared" si="8"/>
        <v>44317.66667</v>
      </c>
      <c r="B6335" s="2" t="str">
        <f t="shared" si="2"/>
        <v/>
      </c>
      <c r="C6335" s="2" t="str">
        <f t="shared" si="3"/>
        <v>SP500</v>
      </c>
      <c r="D6335" s="2" t="str">
        <f t="shared" si="4"/>
        <v/>
      </c>
      <c r="E6335" s="2">
        <f t="shared" si="5"/>
        <v>13962.68</v>
      </c>
      <c r="G6335" s="10">
        <f t="shared" si="9"/>
        <v>44317.64583</v>
      </c>
      <c r="H6335" s="6" t="str">
        <f t="shared" si="6"/>
        <v/>
      </c>
      <c r="I6335" s="2">
        <f t="shared" si="7"/>
        <v>1426.89</v>
      </c>
    </row>
    <row r="6336">
      <c r="A6336" s="10">
        <f t="shared" si="8"/>
        <v>44318.66667</v>
      </c>
      <c r="B6336" s="2" t="str">
        <f t="shared" si="2"/>
        <v/>
      </c>
      <c r="C6336" s="2" t="str">
        <f t="shared" si="3"/>
        <v>SP500</v>
      </c>
      <c r="D6336" s="2" t="str">
        <f t="shared" si="4"/>
        <v/>
      </c>
      <c r="E6336" s="2">
        <f t="shared" si="5"/>
        <v>13962.68</v>
      </c>
      <c r="G6336" s="10">
        <f t="shared" si="9"/>
        <v>44318.64583</v>
      </c>
      <c r="H6336" s="6" t="str">
        <f t="shared" si="6"/>
        <v/>
      </c>
      <c r="I6336" s="2">
        <f t="shared" si="7"/>
        <v>1426.89</v>
      </c>
    </row>
    <row r="6337">
      <c r="A6337" s="10">
        <f t="shared" si="8"/>
        <v>44319.66667</v>
      </c>
      <c r="B6337" s="2" t="str">
        <f t="shared" si="2"/>
        <v/>
      </c>
      <c r="C6337" s="2" t="str">
        <f t="shared" si="3"/>
        <v>SP500</v>
      </c>
      <c r="D6337" s="2">
        <f t="shared" si="4"/>
        <v>13895.12</v>
      </c>
      <c r="E6337" s="2">
        <f t="shared" si="5"/>
        <v>13895.12</v>
      </c>
      <c r="G6337" s="10">
        <f t="shared" si="9"/>
        <v>44319.64583</v>
      </c>
      <c r="H6337" s="6" t="str">
        <f t="shared" si="6"/>
        <v/>
      </c>
      <c r="I6337" s="2">
        <f t="shared" si="7"/>
        <v>1426.89</v>
      </c>
    </row>
    <row r="6338">
      <c r="A6338" s="10">
        <f t="shared" si="8"/>
        <v>44320.66667</v>
      </c>
      <c r="B6338" s="2" t="str">
        <f t="shared" si="2"/>
        <v/>
      </c>
      <c r="C6338" s="2" t="str">
        <f t="shared" si="3"/>
        <v>SP500</v>
      </c>
      <c r="D6338" s="2">
        <f t="shared" si="4"/>
        <v>13633.5</v>
      </c>
      <c r="E6338" s="2">
        <f t="shared" si="5"/>
        <v>13633.5</v>
      </c>
      <c r="G6338" s="10">
        <f t="shared" si="9"/>
        <v>44320.64583</v>
      </c>
      <c r="H6338" s="6" t="str">
        <f t="shared" si="6"/>
        <v/>
      </c>
      <c r="I6338" s="2">
        <f t="shared" si="7"/>
        <v>1426.89</v>
      </c>
    </row>
    <row r="6339">
      <c r="A6339" s="10">
        <f t="shared" si="8"/>
        <v>44321.66667</v>
      </c>
      <c r="B6339" s="2" t="str">
        <f t="shared" si="2"/>
        <v/>
      </c>
      <c r="C6339" s="2" t="str">
        <f t="shared" si="3"/>
        <v>SP500</v>
      </c>
      <c r="D6339" s="2">
        <f t="shared" si="4"/>
        <v>13582.43</v>
      </c>
      <c r="E6339" s="2">
        <f t="shared" si="5"/>
        <v>13582.43</v>
      </c>
      <c r="G6339" s="10">
        <f t="shared" si="9"/>
        <v>44321.64583</v>
      </c>
      <c r="H6339" s="6" t="str">
        <f t="shared" si="6"/>
        <v/>
      </c>
      <c r="I6339" s="2">
        <f t="shared" si="7"/>
        <v>1426.89</v>
      </c>
    </row>
    <row r="6340">
      <c r="A6340" s="10">
        <f t="shared" si="8"/>
        <v>44322.66667</v>
      </c>
      <c r="B6340" s="2" t="str">
        <f t="shared" si="2"/>
        <v/>
      </c>
      <c r="C6340" s="2" t="str">
        <f t="shared" si="3"/>
        <v>SP500</v>
      </c>
      <c r="D6340" s="2">
        <f t="shared" si="4"/>
        <v>13632.84</v>
      </c>
      <c r="E6340" s="2">
        <f t="shared" si="5"/>
        <v>13632.84</v>
      </c>
      <c r="G6340" s="10">
        <f t="shared" si="9"/>
        <v>44322.64583</v>
      </c>
      <c r="H6340" s="6" t="str">
        <f t="shared" si="6"/>
        <v/>
      </c>
      <c r="I6340" s="2">
        <f t="shared" si="7"/>
        <v>1426.89</v>
      </c>
    </row>
    <row r="6341">
      <c r="A6341" s="10">
        <f t="shared" si="8"/>
        <v>44323.66667</v>
      </c>
      <c r="B6341" s="2" t="str">
        <f t="shared" si="2"/>
        <v/>
      </c>
      <c r="C6341" s="2" t="str">
        <f t="shared" si="3"/>
        <v>SP500</v>
      </c>
      <c r="D6341" s="2">
        <f t="shared" si="4"/>
        <v>13752.24</v>
      </c>
      <c r="E6341" s="2">
        <f t="shared" si="5"/>
        <v>13752.24</v>
      </c>
      <c r="G6341" s="10">
        <f t="shared" si="9"/>
        <v>44323.64583</v>
      </c>
      <c r="H6341" s="6" t="str">
        <f t="shared" si="6"/>
        <v/>
      </c>
      <c r="I6341" s="2">
        <f t="shared" si="7"/>
        <v>1426.89</v>
      </c>
    </row>
    <row r="6342">
      <c r="A6342" s="10">
        <f t="shared" si="8"/>
        <v>44324.66667</v>
      </c>
      <c r="B6342" s="2" t="str">
        <f t="shared" si="2"/>
        <v/>
      </c>
      <c r="C6342" s="2" t="str">
        <f t="shared" si="3"/>
        <v>SP500</v>
      </c>
      <c r="D6342" s="2" t="str">
        <f t="shared" si="4"/>
        <v/>
      </c>
      <c r="E6342" s="2">
        <f t="shared" si="5"/>
        <v>13752.24</v>
      </c>
      <c r="G6342" s="10">
        <f t="shared" si="9"/>
        <v>44324.64583</v>
      </c>
      <c r="H6342" s="6" t="str">
        <f t="shared" si="6"/>
        <v/>
      </c>
      <c r="I6342" s="2">
        <f t="shared" si="7"/>
        <v>1426.89</v>
      </c>
    </row>
    <row r="6343">
      <c r="A6343" s="10">
        <f t="shared" si="8"/>
        <v>44325.66667</v>
      </c>
      <c r="B6343" s="2" t="str">
        <f t="shared" si="2"/>
        <v/>
      </c>
      <c r="C6343" s="2" t="str">
        <f t="shared" si="3"/>
        <v>SP500</v>
      </c>
      <c r="D6343" s="2" t="str">
        <f t="shared" si="4"/>
        <v/>
      </c>
      <c r="E6343" s="2">
        <f t="shared" si="5"/>
        <v>13752.24</v>
      </c>
      <c r="G6343" s="10">
        <f t="shared" si="9"/>
        <v>44325.64583</v>
      </c>
      <c r="H6343" s="6" t="str">
        <f t="shared" si="6"/>
        <v/>
      </c>
      <c r="I6343" s="2">
        <f t="shared" si="7"/>
        <v>1426.89</v>
      </c>
    </row>
    <row r="6344">
      <c r="A6344" s="10">
        <f t="shared" si="8"/>
        <v>44326.66667</v>
      </c>
      <c r="B6344" s="2" t="str">
        <f t="shared" si="2"/>
        <v/>
      </c>
      <c r="C6344" s="2" t="str">
        <f t="shared" si="3"/>
        <v>SP500</v>
      </c>
      <c r="D6344" s="2">
        <f t="shared" si="4"/>
        <v>13401.86</v>
      </c>
      <c r="E6344" s="2">
        <f t="shared" si="5"/>
        <v>13401.86</v>
      </c>
      <c r="G6344" s="10">
        <f t="shared" si="9"/>
        <v>44326.64583</v>
      </c>
      <c r="H6344" s="6" t="str">
        <f t="shared" si="6"/>
        <v/>
      </c>
      <c r="I6344" s="2">
        <f t="shared" si="7"/>
        <v>1426.89</v>
      </c>
    </row>
    <row r="6345">
      <c r="A6345" s="10">
        <f t="shared" si="8"/>
        <v>44327.66667</v>
      </c>
      <c r="B6345" s="2" t="str">
        <f t="shared" si="2"/>
        <v/>
      </c>
      <c r="C6345" s="2" t="str">
        <f t="shared" si="3"/>
        <v>SP500</v>
      </c>
      <c r="D6345" s="2">
        <f t="shared" si="4"/>
        <v>13389.43</v>
      </c>
      <c r="E6345" s="2">
        <f t="shared" si="5"/>
        <v>13389.43</v>
      </c>
      <c r="G6345" s="10">
        <f t="shared" si="9"/>
        <v>44327.64583</v>
      </c>
      <c r="H6345" s="6" t="str">
        <f t="shared" si="6"/>
        <v/>
      </c>
      <c r="I6345" s="2">
        <f t="shared" si="7"/>
        <v>1426.89</v>
      </c>
    </row>
    <row r="6346">
      <c r="A6346" s="10">
        <f t="shared" si="8"/>
        <v>44328.66667</v>
      </c>
      <c r="B6346" s="2" t="str">
        <f t="shared" si="2"/>
        <v/>
      </c>
      <c r="C6346" s="2" t="str">
        <f t="shared" si="3"/>
        <v>SP500</v>
      </c>
      <c r="D6346" s="2">
        <f t="shared" si="4"/>
        <v>13031.68</v>
      </c>
      <c r="E6346" s="2">
        <f t="shared" si="5"/>
        <v>13031.68</v>
      </c>
      <c r="G6346" s="10">
        <f t="shared" si="9"/>
        <v>44328.64583</v>
      </c>
      <c r="H6346" s="6" t="str">
        <f t="shared" si="6"/>
        <v/>
      </c>
      <c r="I6346" s="2">
        <f t="shared" si="7"/>
        <v>1426.89</v>
      </c>
    </row>
    <row r="6347">
      <c r="A6347" s="10">
        <f t="shared" si="8"/>
        <v>44329.66667</v>
      </c>
      <c r="B6347" s="2" t="str">
        <f t="shared" si="2"/>
        <v/>
      </c>
      <c r="C6347" s="2" t="str">
        <f t="shared" si="3"/>
        <v>SP500</v>
      </c>
      <c r="D6347" s="2">
        <f t="shared" si="4"/>
        <v>13124.99</v>
      </c>
      <c r="E6347" s="2">
        <f t="shared" si="5"/>
        <v>13124.99</v>
      </c>
      <c r="G6347" s="10">
        <f t="shared" si="9"/>
        <v>44329.64583</v>
      </c>
      <c r="H6347" s="6" t="str">
        <f t="shared" si="6"/>
        <v/>
      </c>
      <c r="I6347" s="2">
        <f t="shared" si="7"/>
        <v>1426.89</v>
      </c>
    </row>
    <row r="6348">
      <c r="A6348" s="10">
        <f t="shared" si="8"/>
        <v>44330.66667</v>
      </c>
      <c r="B6348" s="2" t="str">
        <f t="shared" si="2"/>
        <v/>
      </c>
      <c r="C6348" s="2" t="str">
        <f t="shared" si="3"/>
        <v>SP500</v>
      </c>
      <c r="D6348" s="2">
        <f t="shared" si="4"/>
        <v>13429.98</v>
      </c>
      <c r="E6348" s="2">
        <f t="shared" si="5"/>
        <v>13429.98</v>
      </c>
      <c r="G6348" s="10">
        <f t="shared" si="9"/>
        <v>44330.64583</v>
      </c>
      <c r="H6348" s="6" t="str">
        <f t="shared" si="6"/>
        <v/>
      </c>
      <c r="I6348" s="2">
        <f t="shared" si="7"/>
        <v>1426.89</v>
      </c>
    </row>
    <row r="6349">
      <c r="A6349" s="10">
        <f t="shared" si="8"/>
        <v>44331.66667</v>
      </c>
      <c r="B6349" s="2" t="str">
        <f t="shared" si="2"/>
        <v/>
      </c>
      <c r="C6349" s="2" t="str">
        <f t="shared" si="3"/>
        <v>SP500</v>
      </c>
      <c r="D6349" s="2" t="str">
        <f t="shared" si="4"/>
        <v/>
      </c>
      <c r="E6349" s="2">
        <f t="shared" si="5"/>
        <v>13429.98</v>
      </c>
      <c r="G6349" s="10">
        <f t="shared" si="9"/>
        <v>44331.64583</v>
      </c>
      <c r="H6349" s="6" t="str">
        <f t="shared" si="6"/>
        <v/>
      </c>
      <c r="I6349" s="2">
        <f t="shared" si="7"/>
        <v>1426.89</v>
      </c>
    </row>
    <row r="6350">
      <c r="A6350" s="10">
        <f t="shared" si="8"/>
        <v>44332.66667</v>
      </c>
      <c r="B6350" s="2" t="str">
        <f t="shared" si="2"/>
        <v/>
      </c>
      <c r="C6350" s="2" t="str">
        <f t="shared" si="3"/>
        <v>SP500</v>
      </c>
      <c r="D6350" s="2" t="str">
        <f t="shared" si="4"/>
        <v/>
      </c>
      <c r="E6350" s="2">
        <f t="shared" si="5"/>
        <v>13429.98</v>
      </c>
      <c r="G6350" s="10">
        <f t="shared" si="9"/>
        <v>44332.64583</v>
      </c>
      <c r="H6350" s="6" t="str">
        <f t="shared" si="6"/>
        <v/>
      </c>
      <c r="I6350" s="2">
        <f t="shared" si="7"/>
        <v>1426.89</v>
      </c>
    </row>
    <row r="6351">
      <c r="A6351" s="10">
        <f t="shared" si="8"/>
        <v>44333.66667</v>
      </c>
      <c r="B6351" s="2" t="str">
        <f t="shared" si="2"/>
        <v/>
      </c>
      <c r="C6351" s="2" t="str">
        <f t="shared" si="3"/>
        <v>SP500</v>
      </c>
      <c r="D6351" s="2">
        <f t="shared" si="4"/>
        <v>13379.05</v>
      </c>
      <c r="E6351" s="2">
        <f t="shared" si="5"/>
        <v>13379.05</v>
      </c>
      <c r="G6351" s="10">
        <f t="shared" si="9"/>
        <v>44333.64583</v>
      </c>
      <c r="H6351" s="6" t="str">
        <f t="shared" si="6"/>
        <v/>
      </c>
      <c r="I6351" s="2">
        <f t="shared" si="7"/>
        <v>1426.89</v>
      </c>
    </row>
    <row r="6352">
      <c r="A6352" s="10">
        <f t="shared" si="8"/>
        <v>44334.66667</v>
      </c>
      <c r="B6352" s="2" t="str">
        <f t="shared" si="2"/>
        <v/>
      </c>
      <c r="C6352" s="2" t="str">
        <f t="shared" si="3"/>
        <v>SP500</v>
      </c>
      <c r="D6352" s="2">
        <f t="shared" si="4"/>
        <v>13303.64</v>
      </c>
      <c r="E6352" s="2">
        <f t="shared" si="5"/>
        <v>13303.64</v>
      </c>
      <c r="G6352" s="10">
        <f t="shared" si="9"/>
        <v>44334.64583</v>
      </c>
      <c r="H6352" s="6" t="str">
        <f t="shared" si="6"/>
        <v/>
      </c>
      <c r="I6352" s="2">
        <f t="shared" si="7"/>
        <v>1426.89</v>
      </c>
    </row>
    <row r="6353">
      <c r="A6353" s="10">
        <f t="shared" si="8"/>
        <v>44335.66667</v>
      </c>
      <c r="B6353" s="2" t="str">
        <f t="shared" si="2"/>
        <v/>
      </c>
      <c r="C6353" s="2" t="str">
        <f t="shared" si="3"/>
        <v>SP500</v>
      </c>
      <c r="D6353" s="2">
        <f t="shared" si="4"/>
        <v>13299.74</v>
      </c>
      <c r="E6353" s="2">
        <f t="shared" si="5"/>
        <v>13299.74</v>
      </c>
      <c r="G6353" s="10">
        <f t="shared" si="9"/>
        <v>44335.64583</v>
      </c>
      <c r="H6353" s="6" t="str">
        <f t="shared" si="6"/>
        <v/>
      </c>
      <c r="I6353" s="2">
        <f t="shared" si="7"/>
        <v>1426.89</v>
      </c>
    </row>
    <row r="6354">
      <c r="A6354" s="10">
        <f t="shared" si="8"/>
        <v>44336.66667</v>
      </c>
      <c r="B6354" s="2" t="str">
        <f t="shared" si="2"/>
        <v/>
      </c>
      <c r="C6354" s="2" t="str">
        <f t="shared" si="3"/>
        <v>SP500</v>
      </c>
      <c r="D6354" s="2">
        <f t="shared" si="4"/>
        <v>13535.74</v>
      </c>
      <c r="E6354" s="2">
        <f t="shared" si="5"/>
        <v>13535.74</v>
      </c>
      <c r="G6354" s="10">
        <f t="shared" si="9"/>
        <v>44336.64583</v>
      </c>
      <c r="H6354" s="6" t="str">
        <f t="shared" si="6"/>
        <v/>
      </c>
      <c r="I6354" s="2">
        <f t="shared" si="7"/>
        <v>1426.89</v>
      </c>
    </row>
    <row r="6355">
      <c r="A6355" s="10">
        <f t="shared" si="8"/>
        <v>44337.66667</v>
      </c>
      <c r="B6355" s="2" t="str">
        <f t="shared" si="2"/>
        <v/>
      </c>
      <c r="C6355" s="2" t="str">
        <f t="shared" si="3"/>
        <v>SP500</v>
      </c>
      <c r="D6355" s="2">
        <f t="shared" si="4"/>
        <v>13470.99</v>
      </c>
      <c r="E6355" s="2">
        <f t="shared" si="5"/>
        <v>13470.99</v>
      </c>
      <c r="G6355" s="10">
        <f t="shared" si="9"/>
        <v>44337.64583</v>
      </c>
      <c r="H6355" s="6" t="str">
        <f t="shared" si="6"/>
        <v/>
      </c>
      <c r="I6355" s="2">
        <f t="shared" si="7"/>
        <v>1426.89</v>
      </c>
    </row>
    <row r="6356">
      <c r="A6356" s="10">
        <f t="shared" si="8"/>
        <v>44338.66667</v>
      </c>
      <c r="B6356" s="2" t="str">
        <f t="shared" si="2"/>
        <v/>
      </c>
      <c r="C6356" s="2" t="str">
        <f t="shared" si="3"/>
        <v>SP500</v>
      </c>
      <c r="D6356" s="2" t="str">
        <f t="shared" si="4"/>
        <v/>
      </c>
      <c r="E6356" s="2">
        <f t="shared" si="5"/>
        <v>13470.99</v>
      </c>
      <c r="G6356" s="10">
        <f t="shared" si="9"/>
        <v>44338.64583</v>
      </c>
      <c r="H6356" s="6" t="str">
        <f t="shared" si="6"/>
        <v/>
      </c>
      <c r="I6356" s="2">
        <f t="shared" si="7"/>
        <v>1426.89</v>
      </c>
    </row>
    <row r="6357">
      <c r="A6357" s="10">
        <f t="shared" si="8"/>
        <v>44339.66667</v>
      </c>
      <c r="B6357" s="2" t="str">
        <f t="shared" si="2"/>
        <v/>
      </c>
      <c r="C6357" s="2" t="str">
        <f t="shared" si="3"/>
        <v>SP500</v>
      </c>
      <c r="D6357" s="2" t="str">
        <f t="shared" si="4"/>
        <v/>
      </c>
      <c r="E6357" s="2">
        <f t="shared" si="5"/>
        <v>13470.99</v>
      </c>
      <c r="G6357" s="10">
        <f t="shared" si="9"/>
        <v>44339.64583</v>
      </c>
      <c r="H6357" s="6" t="str">
        <f t="shared" si="6"/>
        <v/>
      </c>
      <c r="I6357" s="2">
        <f t="shared" si="7"/>
        <v>1426.89</v>
      </c>
    </row>
    <row r="6358">
      <c r="A6358" s="10">
        <f t="shared" si="8"/>
        <v>44340.66667</v>
      </c>
      <c r="B6358" s="2" t="str">
        <f t="shared" si="2"/>
        <v/>
      </c>
      <c r="C6358" s="2" t="str">
        <f t="shared" si="3"/>
        <v>SP500</v>
      </c>
      <c r="D6358" s="2">
        <f t="shared" si="4"/>
        <v>13661.17</v>
      </c>
      <c r="E6358" s="2">
        <f t="shared" si="5"/>
        <v>13661.17</v>
      </c>
      <c r="G6358" s="10">
        <f t="shared" si="9"/>
        <v>44340.64583</v>
      </c>
      <c r="H6358" s="6" t="str">
        <f t="shared" si="6"/>
        <v/>
      </c>
      <c r="I6358" s="2">
        <f t="shared" si="7"/>
        <v>1426.89</v>
      </c>
    </row>
    <row r="6359">
      <c r="A6359" s="10">
        <f t="shared" si="8"/>
        <v>44341.66667</v>
      </c>
      <c r="B6359" s="2" t="str">
        <f t="shared" si="2"/>
        <v/>
      </c>
      <c r="C6359" s="2" t="str">
        <f t="shared" si="3"/>
        <v>SP500</v>
      </c>
      <c r="D6359" s="2">
        <f t="shared" si="4"/>
        <v>13657.17</v>
      </c>
      <c r="E6359" s="2">
        <f t="shared" si="5"/>
        <v>13657.17</v>
      </c>
      <c r="G6359" s="10">
        <f t="shared" si="9"/>
        <v>44341.64583</v>
      </c>
      <c r="H6359" s="6" t="str">
        <f t="shared" si="6"/>
        <v/>
      </c>
      <c r="I6359" s="2">
        <f t="shared" si="7"/>
        <v>1426.89</v>
      </c>
    </row>
    <row r="6360">
      <c r="A6360" s="10">
        <f t="shared" si="8"/>
        <v>44342.66667</v>
      </c>
      <c r="B6360" s="2" t="str">
        <f t="shared" si="2"/>
        <v/>
      </c>
      <c r="C6360" s="2" t="str">
        <f t="shared" si="3"/>
        <v>SP500</v>
      </c>
      <c r="D6360" s="2">
        <f t="shared" si="4"/>
        <v>13738</v>
      </c>
      <c r="E6360" s="2">
        <f t="shared" si="5"/>
        <v>13738</v>
      </c>
      <c r="G6360" s="10">
        <f t="shared" si="9"/>
        <v>44342.64583</v>
      </c>
      <c r="H6360" s="6" t="str">
        <f t="shared" si="6"/>
        <v/>
      </c>
      <c r="I6360" s="2">
        <f t="shared" si="7"/>
        <v>1426.89</v>
      </c>
    </row>
    <row r="6361">
      <c r="A6361" s="10">
        <f t="shared" si="8"/>
        <v>44343.66667</v>
      </c>
      <c r="B6361" s="2" t="str">
        <f t="shared" si="2"/>
        <v/>
      </c>
      <c r="C6361" s="2" t="str">
        <f t="shared" si="3"/>
        <v>SP500</v>
      </c>
      <c r="D6361" s="2">
        <f t="shared" si="4"/>
        <v>13736.28</v>
      </c>
      <c r="E6361" s="2">
        <f t="shared" si="5"/>
        <v>13736.28</v>
      </c>
      <c r="G6361" s="10">
        <f t="shared" si="9"/>
        <v>44343.64583</v>
      </c>
      <c r="H6361" s="6" t="str">
        <f t="shared" si="6"/>
        <v/>
      </c>
      <c r="I6361" s="2">
        <f t="shared" si="7"/>
        <v>1426.89</v>
      </c>
    </row>
    <row r="6362">
      <c r="A6362" s="10">
        <f t="shared" si="8"/>
        <v>44344.66667</v>
      </c>
      <c r="B6362" s="2" t="str">
        <f t="shared" si="2"/>
        <v/>
      </c>
      <c r="C6362" s="2" t="str">
        <f t="shared" si="3"/>
        <v>SP500</v>
      </c>
      <c r="D6362" s="2">
        <f t="shared" si="4"/>
        <v>13748.74</v>
      </c>
      <c r="E6362" s="2">
        <f t="shared" si="5"/>
        <v>13748.74</v>
      </c>
      <c r="G6362" s="10">
        <f t="shared" si="9"/>
        <v>44344.64583</v>
      </c>
      <c r="H6362" s="6" t="str">
        <f t="shared" si="6"/>
        <v/>
      </c>
      <c r="I6362" s="2">
        <f t="shared" si="7"/>
        <v>1426.89</v>
      </c>
    </row>
    <row r="6363">
      <c r="A6363" s="10">
        <f t="shared" si="8"/>
        <v>44345.66667</v>
      </c>
      <c r="B6363" s="2" t="str">
        <f t="shared" si="2"/>
        <v/>
      </c>
      <c r="C6363" s="2" t="str">
        <f t="shared" si="3"/>
        <v>SP500</v>
      </c>
      <c r="D6363" s="2" t="str">
        <f t="shared" si="4"/>
        <v/>
      </c>
      <c r="E6363" s="2">
        <f t="shared" si="5"/>
        <v>13748.74</v>
      </c>
      <c r="G6363" s="10">
        <f t="shared" si="9"/>
        <v>44345.64583</v>
      </c>
      <c r="H6363" s="6" t="str">
        <f t="shared" si="6"/>
        <v/>
      </c>
      <c r="I6363" s="2">
        <f t="shared" si="7"/>
        <v>1426.89</v>
      </c>
    </row>
    <row r="6364">
      <c r="A6364" s="10">
        <f t="shared" si="8"/>
        <v>44346.66667</v>
      </c>
      <c r="B6364" s="2" t="str">
        <f t="shared" si="2"/>
        <v/>
      </c>
      <c r="C6364" s="2" t="str">
        <f t="shared" si="3"/>
        <v>SP500</v>
      </c>
      <c r="D6364" s="2" t="str">
        <f t="shared" si="4"/>
        <v/>
      </c>
      <c r="E6364" s="2">
        <f t="shared" si="5"/>
        <v>13748.74</v>
      </c>
      <c r="G6364" s="10">
        <f t="shared" si="9"/>
        <v>44346.64583</v>
      </c>
      <c r="H6364" s="6" t="str">
        <f t="shared" si="6"/>
        <v/>
      </c>
      <c r="I6364" s="2">
        <f t="shared" si="7"/>
        <v>1426.89</v>
      </c>
    </row>
    <row r="6365">
      <c r="A6365" s="10">
        <f t="shared" si="8"/>
        <v>44347.66667</v>
      </c>
      <c r="B6365" s="2" t="str">
        <f t="shared" si="2"/>
        <v/>
      </c>
      <c r="C6365" s="2" t="str">
        <f t="shared" si="3"/>
        <v>SP500</v>
      </c>
      <c r="D6365" s="2" t="str">
        <f t="shared" si="4"/>
        <v/>
      </c>
      <c r="E6365" s="2">
        <f t="shared" si="5"/>
        <v>13748.74</v>
      </c>
      <c r="G6365" s="10">
        <f t="shared" si="9"/>
        <v>44347.64583</v>
      </c>
      <c r="H6365" s="6" t="str">
        <f t="shared" si="6"/>
        <v/>
      </c>
      <c r="I6365" s="2">
        <f t="shared" si="7"/>
        <v>1426.89</v>
      </c>
    </row>
    <row r="6366">
      <c r="A6366" s="10">
        <f t="shared" si="8"/>
        <v>44348.66667</v>
      </c>
      <c r="B6366" s="2" t="str">
        <f t="shared" si="2"/>
        <v/>
      </c>
      <c r="C6366" s="2" t="str">
        <f t="shared" si="3"/>
        <v>SP500</v>
      </c>
      <c r="D6366" s="2">
        <f t="shared" si="4"/>
        <v>13736.48</v>
      </c>
      <c r="E6366" s="2">
        <f t="shared" si="5"/>
        <v>13736.48</v>
      </c>
      <c r="G6366" s="10">
        <f t="shared" si="9"/>
        <v>44348.64583</v>
      </c>
      <c r="H6366" s="6" t="str">
        <f t="shared" si="6"/>
        <v/>
      </c>
      <c r="I6366" s="2">
        <f t="shared" si="7"/>
        <v>1426.89</v>
      </c>
    </row>
    <row r="6367">
      <c r="A6367" s="10">
        <f t="shared" si="8"/>
        <v>44349.66667</v>
      </c>
      <c r="B6367" s="2" t="str">
        <f t="shared" si="2"/>
        <v/>
      </c>
      <c r="C6367" s="2" t="str">
        <f t="shared" si="3"/>
        <v>SP500</v>
      </c>
      <c r="D6367" s="2">
        <f t="shared" si="4"/>
        <v>13756.33</v>
      </c>
      <c r="E6367" s="2">
        <f t="shared" si="5"/>
        <v>13756.33</v>
      </c>
      <c r="G6367" s="10">
        <f t="shared" si="9"/>
        <v>44349.64583</v>
      </c>
      <c r="H6367" s="6" t="str">
        <f t="shared" si="6"/>
        <v/>
      </c>
      <c r="I6367" s="2">
        <f t="shared" si="7"/>
        <v>1426.89</v>
      </c>
    </row>
    <row r="6368">
      <c r="A6368" s="10">
        <f t="shared" si="8"/>
        <v>44350.66667</v>
      </c>
      <c r="B6368" s="2" t="str">
        <f t="shared" si="2"/>
        <v/>
      </c>
      <c r="C6368" s="2" t="str">
        <f t="shared" si="3"/>
        <v>SP500</v>
      </c>
      <c r="D6368" s="2">
        <f t="shared" si="4"/>
        <v>13614.51</v>
      </c>
      <c r="E6368" s="2">
        <f t="shared" si="5"/>
        <v>13614.51</v>
      </c>
      <c r="G6368" s="10">
        <f t="shared" si="9"/>
        <v>44350.64583</v>
      </c>
      <c r="H6368" s="6" t="str">
        <f t="shared" si="6"/>
        <v/>
      </c>
      <c r="I6368" s="2">
        <f t="shared" si="7"/>
        <v>1426.89</v>
      </c>
    </row>
    <row r="6369">
      <c r="A6369" s="10">
        <f t="shared" si="8"/>
        <v>44351.66667</v>
      </c>
      <c r="B6369" s="2" t="str">
        <f t="shared" si="2"/>
        <v/>
      </c>
      <c r="C6369" s="2" t="str">
        <f t="shared" si="3"/>
        <v>SP500</v>
      </c>
      <c r="D6369" s="2">
        <f t="shared" si="4"/>
        <v>13814.49</v>
      </c>
      <c r="E6369" s="2">
        <f t="shared" si="5"/>
        <v>13814.49</v>
      </c>
      <c r="G6369" s="10">
        <f t="shared" si="9"/>
        <v>44351.64583</v>
      </c>
      <c r="H6369" s="6" t="str">
        <f t="shared" si="6"/>
        <v/>
      </c>
      <c r="I6369" s="2">
        <f t="shared" si="7"/>
        <v>1426.89</v>
      </c>
    </row>
    <row r="6370">
      <c r="A6370" s="10">
        <f t="shared" si="8"/>
        <v>44352.66667</v>
      </c>
      <c r="B6370" s="2" t="str">
        <f t="shared" si="2"/>
        <v/>
      </c>
      <c r="C6370" s="2" t="str">
        <f t="shared" si="3"/>
        <v>SP500</v>
      </c>
      <c r="D6370" s="2" t="str">
        <f t="shared" si="4"/>
        <v/>
      </c>
      <c r="E6370" s="2">
        <f t="shared" si="5"/>
        <v>13814.49</v>
      </c>
      <c r="G6370" s="10">
        <f t="shared" si="9"/>
        <v>44352.64583</v>
      </c>
      <c r="H6370" s="6" t="str">
        <f t="shared" si="6"/>
        <v/>
      </c>
      <c r="I6370" s="2">
        <f t="shared" si="7"/>
        <v>1426.89</v>
      </c>
    </row>
    <row r="6371">
      <c r="A6371" s="10">
        <f t="shared" si="8"/>
        <v>44353.66667</v>
      </c>
      <c r="B6371" s="2" t="str">
        <f t="shared" si="2"/>
        <v/>
      </c>
      <c r="C6371" s="2" t="str">
        <f t="shared" si="3"/>
        <v>SP500</v>
      </c>
      <c r="D6371" s="2" t="str">
        <f t="shared" si="4"/>
        <v/>
      </c>
      <c r="E6371" s="2">
        <f t="shared" si="5"/>
        <v>13814.49</v>
      </c>
      <c r="G6371" s="10">
        <f t="shared" si="9"/>
        <v>44353.64583</v>
      </c>
      <c r="H6371" s="6" t="str">
        <f t="shared" si="6"/>
        <v/>
      </c>
      <c r="I6371" s="2">
        <f t="shared" si="7"/>
        <v>1426.89</v>
      </c>
    </row>
    <row r="6372">
      <c r="A6372" s="10">
        <f t="shared" si="8"/>
        <v>44354.66667</v>
      </c>
      <c r="B6372" s="2" t="str">
        <f t="shared" si="2"/>
        <v/>
      </c>
      <c r="C6372" s="2" t="str">
        <f t="shared" si="3"/>
        <v>SP500</v>
      </c>
      <c r="D6372" s="2">
        <f t="shared" si="4"/>
        <v>13881.72</v>
      </c>
      <c r="E6372" s="2">
        <f t="shared" si="5"/>
        <v>13881.72</v>
      </c>
      <c r="G6372" s="10">
        <f t="shared" si="9"/>
        <v>44354.64583</v>
      </c>
      <c r="H6372" s="6" t="str">
        <f t="shared" si="6"/>
        <v/>
      </c>
      <c r="I6372" s="2">
        <f t="shared" si="7"/>
        <v>1426.89</v>
      </c>
    </row>
    <row r="6373">
      <c r="A6373" s="10">
        <f t="shared" si="8"/>
        <v>44355.66667</v>
      </c>
      <c r="B6373" s="2" t="str">
        <f t="shared" si="2"/>
        <v/>
      </c>
      <c r="C6373" s="2" t="str">
        <f t="shared" si="3"/>
        <v>SP500</v>
      </c>
      <c r="D6373" s="2">
        <f t="shared" si="4"/>
        <v>13924.91</v>
      </c>
      <c r="E6373" s="2">
        <f t="shared" si="5"/>
        <v>13924.91</v>
      </c>
      <c r="G6373" s="10">
        <f t="shared" si="9"/>
        <v>44355.64583</v>
      </c>
      <c r="H6373" s="6" t="str">
        <f t="shared" si="6"/>
        <v/>
      </c>
      <c r="I6373" s="2">
        <f t="shared" si="7"/>
        <v>1426.89</v>
      </c>
    </row>
    <row r="6374">
      <c r="A6374" s="10">
        <f t="shared" si="8"/>
        <v>44356.66667</v>
      </c>
      <c r="B6374" s="2" t="str">
        <f t="shared" si="2"/>
        <v/>
      </c>
      <c r="C6374" s="2" t="str">
        <f t="shared" si="3"/>
        <v>SP500</v>
      </c>
      <c r="D6374" s="2">
        <f t="shared" si="4"/>
        <v>13911.75</v>
      </c>
      <c r="E6374" s="2">
        <f t="shared" si="5"/>
        <v>13911.75</v>
      </c>
      <c r="G6374" s="10">
        <f t="shared" si="9"/>
        <v>44356.64583</v>
      </c>
      <c r="H6374" s="6" t="str">
        <f t="shared" si="6"/>
        <v/>
      </c>
      <c r="I6374" s="2">
        <f t="shared" si="7"/>
        <v>1426.89</v>
      </c>
    </row>
    <row r="6375">
      <c r="A6375" s="10">
        <f t="shared" si="8"/>
        <v>44357.66667</v>
      </c>
      <c r="B6375" s="2" t="str">
        <f t="shared" si="2"/>
        <v/>
      </c>
      <c r="C6375" s="2" t="str">
        <f t="shared" si="3"/>
        <v>SP500</v>
      </c>
      <c r="D6375" s="2">
        <f t="shared" si="4"/>
        <v>14020.33</v>
      </c>
      <c r="E6375" s="2">
        <f t="shared" si="5"/>
        <v>14020.33</v>
      </c>
      <c r="G6375" s="10">
        <f t="shared" si="9"/>
        <v>44357.64583</v>
      </c>
      <c r="H6375" s="6" t="str">
        <f t="shared" si="6"/>
        <v/>
      </c>
      <c r="I6375" s="2">
        <f t="shared" si="7"/>
        <v>1426.89</v>
      </c>
    </row>
    <row r="6376">
      <c r="A6376" s="10">
        <f t="shared" si="8"/>
        <v>44358.66667</v>
      </c>
      <c r="B6376" s="2" t="str">
        <f t="shared" si="2"/>
        <v/>
      </c>
      <c r="C6376" s="2" t="str">
        <f t="shared" si="3"/>
        <v>SP500</v>
      </c>
      <c r="D6376" s="2">
        <f t="shared" si="4"/>
        <v>14069.42</v>
      </c>
      <c r="E6376" s="2">
        <f t="shared" si="5"/>
        <v>14069.42</v>
      </c>
      <c r="G6376" s="10">
        <f t="shared" si="9"/>
        <v>44358.64583</v>
      </c>
      <c r="H6376" s="6" t="str">
        <f t="shared" si="6"/>
        <v/>
      </c>
      <c r="I6376" s="2">
        <f t="shared" si="7"/>
        <v>1426.89</v>
      </c>
    </row>
    <row r="6377">
      <c r="A6377" s="10">
        <f t="shared" si="8"/>
        <v>44359.66667</v>
      </c>
      <c r="B6377" s="2" t="str">
        <f t="shared" si="2"/>
        <v/>
      </c>
      <c r="C6377" s="2" t="str">
        <f t="shared" si="3"/>
        <v>SP500</v>
      </c>
      <c r="D6377" s="2" t="str">
        <f t="shared" si="4"/>
        <v/>
      </c>
      <c r="E6377" s="2">
        <f t="shared" si="5"/>
        <v>14069.42</v>
      </c>
      <c r="G6377" s="10">
        <f t="shared" si="9"/>
        <v>44359.64583</v>
      </c>
      <c r="H6377" s="6" t="str">
        <f t="shared" si="6"/>
        <v/>
      </c>
      <c r="I6377" s="2">
        <f t="shared" si="7"/>
        <v>1426.89</v>
      </c>
    </row>
    <row r="6378">
      <c r="A6378" s="10">
        <f t="shared" si="8"/>
        <v>44360.66667</v>
      </c>
      <c r="B6378" s="2" t="str">
        <f t="shared" si="2"/>
        <v/>
      </c>
      <c r="C6378" s="2" t="str">
        <f t="shared" si="3"/>
        <v>SP500</v>
      </c>
      <c r="D6378" s="2" t="str">
        <f t="shared" si="4"/>
        <v/>
      </c>
      <c r="E6378" s="2">
        <f t="shared" si="5"/>
        <v>14069.42</v>
      </c>
      <c r="G6378" s="10">
        <f t="shared" si="9"/>
        <v>44360.64583</v>
      </c>
      <c r="H6378" s="6" t="str">
        <f t="shared" si="6"/>
        <v/>
      </c>
      <c r="I6378" s="2">
        <f t="shared" si="7"/>
        <v>1426.89</v>
      </c>
    </row>
    <row r="6379">
      <c r="A6379" s="10">
        <f t="shared" si="8"/>
        <v>44361.66667</v>
      </c>
      <c r="B6379" s="2" t="str">
        <f t="shared" si="2"/>
        <v/>
      </c>
      <c r="C6379" s="2" t="str">
        <f t="shared" si="3"/>
        <v>SP500</v>
      </c>
      <c r="D6379" s="2">
        <f t="shared" si="4"/>
        <v>14174.14</v>
      </c>
      <c r="E6379" s="2">
        <f t="shared" si="5"/>
        <v>14174.14</v>
      </c>
      <c r="G6379" s="10">
        <f t="shared" si="9"/>
        <v>44361.64583</v>
      </c>
      <c r="H6379" s="6" t="str">
        <f t="shared" si="6"/>
        <v/>
      </c>
      <c r="I6379" s="2">
        <f t="shared" si="7"/>
        <v>1426.89</v>
      </c>
    </row>
    <row r="6380">
      <c r="A6380" s="10">
        <f t="shared" si="8"/>
        <v>44362.66667</v>
      </c>
      <c r="B6380" s="2" t="str">
        <f t="shared" si="2"/>
        <v/>
      </c>
      <c r="C6380" s="2" t="str">
        <f t="shared" si="3"/>
        <v>SP500</v>
      </c>
      <c r="D6380" s="2">
        <f t="shared" si="4"/>
        <v>14072.86</v>
      </c>
      <c r="E6380" s="2">
        <f t="shared" si="5"/>
        <v>14072.86</v>
      </c>
      <c r="G6380" s="10">
        <f t="shared" si="9"/>
        <v>44362.64583</v>
      </c>
      <c r="H6380" s="6" t="str">
        <f t="shared" si="6"/>
        <v/>
      </c>
      <c r="I6380" s="2">
        <f t="shared" si="7"/>
        <v>1426.89</v>
      </c>
    </row>
    <row r="6381">
      <c r="A6381" s="10">
        <f t="shared" si="8"/>
        <v>44363.66667</v>
      </c>
      <c r="B6381" s="2" t="str">
        <f t="shared" si="2"/>
        <v/>
      </c>
      <c r="C6381" s="2" t="str">
        <f t="shared" si="3"/>
        <v>SP500</v>
      </c>
      <c r="D6381" s="2">
        <f t="shared" si="4"/>
        <v>14039.68</v>
      </c>
      <c r="E6381" s="2">
        <f t="shared" si="5"/>
        <v>14039.68</v>
      </c>
      <c r="G6381" s="10">
        <f t="shared" si="9"/>
        <v>44363.64583</v>
      </c>
      <c r="H6381" s="6" t="str">
        <f t="shared" si="6"/>
        <v/>
      </c>
      <c r="I6381" s="2">
        <f t="shared" si="7"/>
        <v>1426.89</v>
      </c>
    </row>
    <row r="6382">
      <c r="A6382" s="10">
        <f t="shared" si="8"/>
        <v>44364.66667</v>
      </c>
      <c r="B6382" s="2" t="str">
        <f t="shared" si="2"/>
        <v/>
      </c>
      <c r="C6382" s="2" t="str">
        <f t="shared" si="3"/>
        <v>SP500</v>
      </c>
      <c r="D6382" s="2">
        <f t="shared" si="4"/>
        <v>14161.35</v>
      </c>
      <c r="E6382" s="2">
        <f t="shared" si="5"/>
        <v>14161.35</v>
      </c>
      <c r="G6382" s="10">
        <f t="shared" si="9"/>
        <v>44364.64583</v>
      </c>
      <c r="H6382" s="6" t="str">
        <f t="shared" si="6"/>
        <v/>
      </c>
      <c r="I6382" s="2">
        <f t="shared" si="7"/>
        <v>1426.89</v>
      </c>
    </row>
    <row r="6383">
      <c r="A6383" s="10">
        <f t="shared" si="8"/>
        <v>44365.66667</v>
      </c>
      <c r="B6383" s="2" t="str">
        <f t="shared" si="2"/>
        <v/>
      </c>
      <c r="C6383" s="2" t="str">
        <f t="shared" si="3"/>
        <v>SP500</v>
      </c>
      <c r="D6383" s="2">
        <f t="shared" si="4"/>
        <v>14030.38</v>
      </c>
      <c r="E6383" s="2">
        <f t="shared" si="5"/>
        <v>14030.38</v>
      </c>
      <c r="G6383" s="10">
        <f t="shared" si="9"/>
        <v>44365.64583</v>
      </c>
      <c r="H6383" s="6" t="str">
        <f t="shared" si="6"/>
        <v/>
      </c>
      <c r="I6383" s="2">
        <f t="shared" si="7"/>
        <v>1426.89</v>
      </c>
    </row>
    <row r="6384">
      <c r="A6384" s="10">
        <f t="shared" si="8"/>
        <v>44366.66667</v>
      </c>
      <c r="B6384" s="2" t="str">
        <f t="shared" si="2"/>
        <v/>
      </c>
      <c r="C6384" s="2" t="str">
        <f t="shared" si="3"/>
        <v>SP500</v>
      </c>
      <c r="D6384" s="2" t="str">
        <f t="shared" si="4"/>
        <v/>
      </c>
      <c r="E6384" s="2">
        <f t="shared" si="5"/>
        <v>14030.38</v>
      </c>
      <c r="G6384" s="10">
        <f t="shared" si="9"/>
        <v>44366.64583</v>
      </c>
      <c r="H6384" s="6" t="str">
        <f t="shared" si="6"/>
        <v/>
      </c>
      <c r="I6384" s="2">
        <f t="shared" si="7"/>
        <v>1426.89</v>
      </c>
    </row>
    <row r="6385">
      <c r="A6385" s="10">
        <f t="shared" si="8"/>
        <v>44367.66667</v>
      </c>
      <c r="B6385" s="2" t="str">
        <f t="shared" si="2"/>
        <v/>
      </c>
      <c r="C6385" s="2" t="str">
        <f t="shared" si="3"/>
        <v>SP500</v>
      </c>
      <c r="D6385" s="2" t="str">
        <f t="shared" si="4"/>
        <v/>
      </c>
      <c r="E6385" s="2">
        <f t="shared" si="5"/>
        <v>14030.38</v>
      </c>
      <c r="G6385" s="10">
        <f t="shared" si="9"/>
        <v>44367.64583</v>
      </c>
      <c r="H6385" s="6" t="str">
        <f t="shared" si="6"/>
        <v/>
      </c>
      <c r="I6385" s="2">
        <f t="shared" si="7"/>
        <v>1426.89</v>
      </c>
    </row>
    <row r="6386">
      <c r="A6386" s="10">
        <f t="shared" si="8"/>
        <v>44368.66667</v>
      </c>
      <c r="B6386" s="2" t="str">
        <f t="shared" si="2"/>
        <v/>
      </c>
      <c r="C6386" s="2" t="str">
        <f t="shared" si="3"/>
        <v>SP500</v>
      </c>
      <c r="D6386" s="2">
        <f t="shared" si="4"/>
        <v>14141.48</v>
      </c>
      <c r="E6386" s="2">
        <f t="shared" si="5"/>
        <v>14141.48</v>
      </c>
      <c r="G6386" s="10">
        <f t="shared" si="9"/>
        <v>44368.64583</v>
      </c>
      <c r="H6386" s="6" t="str">
        <f t="shared" si="6"/>
        <v/>
      </c>
      <c r="I6386" s="2">
        <f t="shared" si="7"/>
        <v>1426.89</v>
      </c>
    </row>
    <row r="6387">
      <c r="A6387" s="10">
        <f t="shared" si="8"/>
        <v>44369.66667</v>
      </c>
      <c r="B6387" s="2" t="str">
        <f t="shared" si="2"/>
        <v/>
      </c>
      <c r="C6387" s="2" t="str">
        <f t="shared" si="3"/>
        <v>SP500</v>
      </c>
      <c r="D6387" s="2">
        <f t="shared" si="4"/>
        <v>14253.27</v>
      </c>
      <c r="E6387" s="2">
        <f t="shared" si="5"/>
        <v>14253.27</v>
      </c>
      <c r="G6387" s="10">
        <f t="shared" si="9"/>
        <v>44369.64583</v>
      </c>
      <c r="H6387" s="6" t="str">
        <f t="shared" si="6"/>
        <v/>
      </c>
      <c r="I6387" s="2">
        <f t="shared" si="7"/>
        <v>1426.89</v>
      </c>
    </row>
    <row r="6388">
      <c r="A6388" s="10">
        <f t="shared" si="8"/>
        <v>44370.66667</v>
      </c>
      <c r="B6388" s="2" t="str">
        <f t="shared" si="2"/>
        <v/>
      </c>
      <c r="C6388" s="2" t="str">
        <f t="shared" si="3"/>
        <v>SP500</v>
      </c>
      <c r="D6388" s="2">
        <f t="shared" si="4"/>
        <v>14271.73</v>
      </c>
      <c r="E6388" s="2">
        <f t="shared" si="5"/>
        <v>14271.73</v>
      </c>
      <c r="G6388" s="10">
        <f t="shared" si="9"/>
        <v>44370.64583</v>
      </c>
      <c r="H6388" s="6" t="str">
        <f t="shared" si="6"/>
        <v/>
      </c>
      <c r="I6388" s="2">
        <f t="shared" si="7"/>
        <v>1426.89</v>
      </c>
    </row>
    <row r="6389">
      <c r="A6389" s="10">
        <f t="shared" si="8"/>
        <v>44371.66667</v>
      </c>
      <c r="B6389" s="2" t="str">
        <f t="shared" si="2"/>
        <v/>
      </c>
      <c r="C6389" s="2" t="str">
        <f t="shared" si="3"/>
        <v>SP500</v>
      </c>
      <c r="D6389" s="2">
        <f t="shared" si="4"/>
        <v>14369.71</v>
      </c>
      <c r="E6389" s="2">
        <f t="shared" si="5"/>
        <v>14369.71</v>
      </c>
      <c r="G6389" s="10">
        <f t="shared" si="9"/>
        <v>44371.64583</v>
      </c>
      <c r="H6389" s="6" t="str">
        <f t="shared" si="6"/>
        <v/>
      </c>
      <c r="I6389" s="2">
        <f t="shared" si="7"/>
        <v>1426.89</v>
      </c>
    </row>
    <row r="6390">
      <c r="A6390" s="10">
        <f t="shared" si="8"/>
        <v>44372.66667</v>
      </c>
      <c r="B6390" s="2" t="str">
        <f t="shared" si="2"/>
        <v/>
      </c>
      <c r="C6390" s="2" t="str">
        <f t="shared" si="3"/>
        <v>SP500</v>
      </c>
      <c r="D6390" s="2">
        <f t="shared" si="4"/>
        <v>14360.39</v>
      </c>
      <c r="E6390" s="2">
        <f t="shared" si="5"/>
        <v>14360.39</v>
      </c>
      <c r="G6390" s="10">
        <f t="shared" si="9"/>
        <v>44372.64583</v>
      </c>
      <c r="H6390" s="6" t="str">
        <f t="shared" si="6"/>
        <v/>
      </c>
      <c r="I6390" s="2">
        <f t="shared" si="7"/>
        <v>1426.89</v>
      </c>
    </row>
    <row r="6391">
      <c r="A6391" s="10">
        <f t="shared" si="8"/>
        <v>44373.66667</v>
      </c>
      <c r="B6391" s="2" t="str">
        <f t="shared" si="2"/>
        <v/>
      </c>
      <c r="C6391" s="2" t="str">
        <f t="shared" si="3"/>
        <v>SP500</v>
      </c>
      <c r="D6391" s="2" t="str">
        <f t="shared" si="4"/>
        <v/>
      </c>
      <c r="E6391" s="2">
        <f t="shared" si="5"/>
        <v>14360.39</v>
      </c>
      <c r="G6391" s="10">
        <f t="shared" si="9"/>
        <v>44373.64583</v>
      </c>
      <c r="H6391" s="6" t="str">
        <f t="shared" si="6"/>
        <v/>
      </c>
      <c r="I6391" s="2">
        <f t="shared" si="7"/>
        <v>1426.89</v>
      </c>
    </row>
    <row r="6392">
      <c r="A6392" s="10">
        <f t="shared" si="8"/>
        <v>44374.66667</v>
      </c>
      <c r="B6392" s="2" t="str">
        <f t="shared" si="2"/>
        <v/>
      </c>
      <c r="C6392" s="2" t="str">
        <f t="shared" si="3"/>
        <v>SP500</v>
      </c>
      <c r="D6392" s="2" t="str">
        <f t="shared" si="4"/>
        <v/>
      </c>
      <c r="E6392" s="2">
        <f t="shared" si="5"/>
        <v>14360.39</v>
      </c>
      <c r="G6392" s="10">
        <f t="shared" si="9"/>
        <v>44374.64583</v>
      </c>
      <c r="H6392" s="6" t="str">
        <f t="shared" si="6"/>
        <v/>
      </c>
      <c r="I6392" s="2">
        <f t="shared" si="7"/>
        <v>1426.89</v>
      </c>
    </row>
    <row r="6393">
      <c r="A6393" s="10">
        <f t="shared" si="8"/>
        <v>44375.66667</v>
      </c>
      <c r="B6393" s="2" t="str">
        <f t="shared" si="2"/>
        <v/>
      </c>
      <c r="C6393" s="2" t="str">
        <f t="shared" si="3"/>
        <v>SP500</v>
      </c>
      <c r="D6393" s="2">
        <f t="shared" si="4"/>
        <v>14500.51</v>
      </c>
      <c r="E6393" s="2">
        <f t="shared" si="5"/>
        <v>14500.51</v>
      </c>
      <c r="G6393" s="10">
        <f t="shared" si="9"/>
        <v>44375.64583</v>
      </c>
      <c r="H6393" s="6" t="str">
        <f t="shared" si="6"/>
        <v/>
      </c>
      <c r="I6393" s="2">
        <f t="shared" si="7"/>
        <v>1426.89</v>
      </c>
    </row>
    <row r="6394">
      <c r="A6394" s="10">
        <f t="shared" si="8"/>
        <v>44376.66667</v>
      </c>
      <c r="B6394" s="2" t="str">
        <f t="shared" si="2"/>
        <v/>
      </c>
      <c r="C6394" s="2" t="str">
        <f t="shared" si="3"/>
        <v>SP500</v>
      </c>
      <c r="D6394" s="2">
        <f t="shared" si="4"/>
        <v>14528.34</v>
      </c>
      <c r="E6394" s="2">
        <f t="shared" si="5"/>
        <v>14528.34</v>
      </c>
      <c r="G6394" s="10">
        <f t="shared" si="9"/>
        <v>44376.64583</v>
      </c>
      <c r="H6394" s="6" t="str">
        <f t="shared" si="6"/>
        <v/>
      </c>
      <c r="I6394" s="2">
        <f t="shared" si="7"/>
        <v>1426.89</v>
      </c>
    </row>
    <row r="6395">
      <c r="A6395" s="10">
        <f t="shared" si="8"/>
        <v>44377.66667</v>
      </c>
      <c r="B6395" s="2" t="str">
        <f t="shared" si="2"/>
        <v/>
      </c>
      <c r="C6395" s="2" t="str">
        <f t="shared" si="3"/>
        <v>SP500</v>
      </c>
      <c r="D6395" s="2">
        <f t="shared" si="4"/>
        <v>14503.95</v>
      </c>
      <c r="E6395" s="2">
        <f t="shared" si="5"/>
        <v>14503.95</v>
      </c>
      <c r="G6395" s="10">
        <f t="shared" si="9"/>
        <v>44377.64583</v>
      </c>
      <c r="H6395" s="6" t="str">
        <f t="shared" si="6"/>
        <v/>
      </c>
      <c r="I6395" s="2">
        <f t="shared" si="7"/>
        <v>1426.89</v>
      </c>
    </row>
    <row r="6396">
      <c r="A6396" s="10">
        <f t="shared" si="8"/>
        <v>44378.66667</v>
      </c>
      <c r="B6396" s="2" t="str">
        <f t="shared" si="2"/>
        <v/>
      </c>
      <c r="C6396" s="2" t="str">
        <f t="shared" si="3"/>
        <v>SP500</v>
      </c>
      <c r="D6396" s="2">
        <f t="shared" si="4"/>
        <v>14522.38</v>
      </c>
      <c r="E6396" s="2">
        <f t="shared" si="5"/>
        <v>14522.38</v>
      </c>
      <c r="G6396" s="10">
        <f t="shared" si="9"/>
        <v>44378.64583</v>
      </c>
      <c r="H6396" s="6" t="str">
        <f t="shared" si="6"/>
        <v/>
      </c>
      <c r="I6396" s="2">
        <f t="shared" si="7"/>
        <v>1426.89</v>
      </c>
    </row>
    <row r="6397">
      <c r="A6397" s="10">
        <f t="shared" si="8"/>
        <v>44379.66667</v>
      </c>
      <c r="B6397" s="2" t="str">
        <f t="shared" si="2"/>
        <v/>
      </c>
      <c r="C6397" s="2" t="str">
        <f t="shared" si="3"/>
        <v>SP500</v>
      </c>
      <c r="D6397" s="2">
        <f t="shared" si="4"/>
        <v>14639.33</v>
      </c>
      <c r="E6397" s="2">
        <f t="shared" si="5"/>
        <v>14639.33</v>
      </c>
      <c r="G6397" s="10">
        <f t="shared" si="9"/>
        <v>44379.64583</v>
      </c>
      <c r="H6397" s="6" t="str">
        <f t="shared" si="6"/>
        <v/>
      </c>
      <c r="I6397" s="2">
        <f t="shared" si="7"/>
        <v>1426.89</v>
      </c>
    </row>
    <row r="6398">
      <c r="A6398" s="10">
        <f t="shared" si="8"/>
        <v>44380.66667</v>
      </c>
      <c r="B6398" s="2" t="str">
        <f t="shared" si="2"/>
        <v/>
      </c>
      <c r="C6398" s="2" t="str">
        <f t="shared" si="3"/>
        <v>SP500</v>
      </c>
      <c r="D6398" s="2" t="str">
        <f t="shared" si="4"/>
        <v/>
      </c>
      <c r="E6398" s="2">
        <f t="shared" si="5"/>
        <v>14639.33</v>
      </c>
      <c r="G6398" s="10">
        <f t="shared" si="9"/>
        <v>44380.64583</v>
      </c>
      <c r="H6398" s="6" t="str">
        <f t="shared" si="6"/>
        <v/>
      </c>
      <c r="I6398" s="2">
        <f t="shared" si="7"/>
        <v>1426.89</v>
      </c>
    </row>
    <row r="6399">
      <c r="A6399" s="10">
        <f t="shared" si="8"/>
        <v>44381.66667</v>
      </c>
      <c r="B6399" s="2" t="str">
        <f t="shared" si="2"/>
        <v/>
      </c>
      <c r="C6399" s="2" t="str">
        <f t="shared" si="3"/>
        <v>SP500</v>
      </c>
      <c r="D6399" s="2" t="str">
        <f t="shared" si="4"/>
        <v/>
      </c>
      <c r="E6399" s="2">
        <f t="shared" si="5"/>
        <v>14639.33</v>
      </c>
      <c r="G6399" s="10">
        <f t="shared" si="9"/>
        <v>44381.64583</v>
      </c>
      <c r="H6399" s="6" t="str">
        <f t="shared" si="6"/>
        <v/>
      </c>
      <c r="I6399" s="2">
        <f t="shared" si="7"/>
        <v>1426.89</v>
      </c>
    </row>
    <row r="6400">
      <c r="A6400" s="10">
        <f t="shared" si="8"/>
        <v>44382.66667</v>
      </c>
      <c r="B6400" s="2" t="str">
        <f t="shared" si="2"/>
        <v/>
      </c>
      <c r="C6400" s="2" t="str">
        <f t="shared" si="3"/>
        <v>SP500</v>
      </c>
      <c r="D6400" s="2" t="str">
        <f t="shared" si="4"/>
        <v/>
      </c>
      <c r="E6400" s="2">
        <f t="shared" si="5"/>
        <v>14639.33</v>
      </c>
      <c r="G6400" s="10">
        <f t="shared" si="9"/>
        <v>44382.64583</v>
      </c>
      <c r="H6400" s="6" t="str">
        <f t="shared" si="6"/>
        <v/>
      </c>
      <c r="I6400" s="2">
        <f t="shared" si="7"/>
        <v>1426.89</v>
      </c>
    </row>
    <row r="6401">
      <c r="A6401" s="10">
        <f t="shared" si="8"/>
        <v>44383.66667</v>
      </c>
      <c r="B6401" s="2" t="str">
        <f t="shared" si="2"/>
        <v/>
      </c>
      <c r="C6401" s="2" t="str">
        <f t="shared" si="3"/>
        <v>SP500</v>
      </c>
      <c r="D6401" s="2">
        <f t="shared" si="4"/>
        <v>14663.64</v>
      </c>
      <c r="E6401" s="2">
        <f t="shared" si="5"/>
        <v>14663.64</v>
      </c>
      <c r="G6401" s="10">
        <f t="shared" si="9"/>
        <v>44383.64583</v>
      </c>
      <c r="H6401" s="6" t="str">
        <f t="shared" si="6"/>
        <v/>
      </c>
      <c r="I6401" s="2">
        <f t="shared" si="7"/>
        <v>1426.89</v>
      </c>
    </row>
    <row r="6402">
      <c r="A6402" s="10">
        <f t="shared" si="8"/>
        <v>44384.66667</v>
      </c>
      <c r="B6402" s="2" t="str">
        <f t="shared" si="2"/>
        <v/>
      </c>
      <c r="C6402" s="2" t="str">
        <f t="shared" si="3"/>
        <v>SP500</v>
      </c>
      <c r="D6402" s="2">
        <f t="shared" si="4"/>
        <v>14665.06</v>
      </c>
      <c r="E6402" s="2">
        <f t="shared" si="5"/>
        <v>14665.06</v>
      </c>
      <c r="G6402" s="10">
        <f t="shared" si="9"/>
        <v>44384.64583</v>
      </c>
      <c r="H6402" s="6" t="str">
        <f t="shared" si="6"/>
        <v/>
      </c>
      <c r="I6402" s="2">
        <f t="shared" si="7"/>
        <v>1426.89</v>
      </c>
    </row>
    <row r="6403">
      <c r="A6403" s="10">
        <f t="shared" si="8"/>
        <v>44385.66667</v>
      </c>
      <c r="B6403" s="2" t="str">
        <f t="shared" si="2"/>
        <v/>
      </c>
      <c r="C6403" s="2" t="str">
        <f t="shared" si="3"/>
        <v>SP500</v>
      </c>
      <c r="D6403" s="2">
        <f t="shared" si="4"/>
        <v>14559.79</v>
      </c>
      <c r="E6403" s="2">
        <f t="shared" si="5"/>
        <v>14559.79</v>
      </c>
      <c r="G6403" s="10">
        <f t="shared" si="9"/>
        <v>44385.64583</v>
      </c>
      <c r="H6403" s="6" t="str">
        <f t="shared" si="6"/>
        <v/>
      </c>
      <c r="I6403" s="2">
        <f t="shared" si="7"/>
        <v>1426.89</v>
      </c>
    </row>
    <row r="6404">
      <c r="A6404" s="10">
        <f t="shared" si="8"/>
        <v>44386.66667</v>
      </c>
      <c r="B6404" s="2" t="str">
        <f t="shared" si="2"/>
        <v/>
      </c>
      <c r="C6404" s="2" t="str">
        <f t="shared" si="3"/>
        <v>SP500</v>
      </c>
      <c r="D6404" s="2">
        <f t="shared" si="4"/>
        <v>14701.92</v>
      </c>
      <c r="E6404" s="2">
        <f t="shared" si="5"/>
        <v>14701.92</v>
      </c>
      <c r="G6404" s="10">
        <f t="shared" si="9"/>
        <v>44386.64583</v>
      </c>
      <c r="H6404" s="6" t="str">
        <f t="shared" si="6"/>
        <v/>
      </c>
      <c r="I6404" s="2">
        <f t="shared" si="7"/>
        <v>1426.89</v>
      </c>
    </row>
    <row r="6405">
      <c r="A6405" s="10">
        <f t="shared" si="8"/>
        <v>44387.66667</v>
      </c>
      <c r="B6405" s="2" t="str">
        <f t="shared" si="2"/>
        <v/>
      </c>
      <c r="C6405" s="2" t="str">
        <f t="shared" si="3"/>
        <v>SP500</v>
      </c>
      <c r="D6405" s="2" t="str">
        <f t="shared" si="4"/>
        <v/>
      </c>
      <c r="E6405" s="2">
        <f t="shared" si="5"/>
        <v>14701.92</v>
      </c>
      <c r="G6405" s="10">
        <f t="shared" si="9"/>
        <v>44387.64583</v>
      </c>
      <c r="H6405" s="6" t="str">
        <f t="shared" si="6"/>
        <v/>
      </c>
      <c r="I6405" s="2">
        <f t="shared" si="7"/>
        <v>1426.89</v>
      </c>
    </row>
    <row r="6406">
      <c r="A6406" s="10">
        <f t="shared" si="8"/>
        <v>44388.66667</v>
      </c>
      <c r="B6406" s="2" t="str">
        <f t="shared" si="2"/>
        <v/>
      </c>
      <c r="C6406" s="2" t="str">
        <f t="shared" si="3"/>
        <v>SP500</v>
      </c>
      <c r="D6406" s="2" t="str">
        <f t="shared" si="4"/>
        <v/>
      </c>
      <c r="E6406" s="2">
        <f t="shared" si="5"/>
        <v>14701.92</v>
      </c>
      <c r="G6406" s="10">
        <f t="shared" si="9"/>
        <v>44388.64583</v>
      </c>
      <c r="H6406" s="6" t="str">
        <f t="shared" si="6"/>
        <v/>
      </c>
      <c r="I6406" s="2">
        <f t="shared" si="7"/>
        <v>1426.89</v>
      </c>
    </row>
    <row r="6407">
      <c r="A6407" s="10">
        <f t="shared" si="8"/>
        <v>44389.66667</v>
      </c>
      <c r="B6407" s="2" t="str">
        <f t="shared" si="2"/>
        <v/>
      </c>
      <c r="C6407" s="2" t="str">
        <f t="shared" si="3"/>
        <v>SP500</v>
      </c>
      <c r="D6407" s="2">
        <f t="shared" si="4"/>
        <v>14733.24</v>
      </c>
      <c r="E6407" s="2">
        <f t="shared" si="5"/>
        <v>14733.24</v>
      </c>
      <c r="G6407" s="10">
        <f t="shared" si="9"/>
        <v>44389.64583</v>
      </c>
      <c r="H6407" s="6" t="str">
        <f t="shared" si="6"/>
        <v/>
      </c>
      <c r="I6407" s="2">
        <f t="shared" si="7"/>
        <v>1426.89</v>
      </c>
    </row>
    <row r="6408">
      <c r="A6408" s="10">
        <f t="shared" si="8"/>
        <v>44390.66667</v>
      </c>
      <c r="B6408" s="2" t="str">
        <f t="shared" si="2"/>
        <v/>
      </c>
      <c r="C6408" s="2" t="str">
        <f t="shared" si="3"/>
        <v>SP500</v>
      </c>
      <c r="D6408" s="2">
        <f t="shared" si="4"/>
        <v>14677.65</v>
      </c>
      <c r="E6408" s="2">
        <f t="shared" si="5"/>
        <v>14677.65</v>
      </c>
      <c r="G6408" s="10">
        <f t="shared" si="9"/>
        <v>44390.64583</v>
      </c>
      <c r="H6408" s="6" t="str">
        <f t="shared" si="6"/>
        <v/>
      </c>
      <c r="I6408" s="2">
        <f t="shared" si="7"/>
        <v>1426.89</v>
      </c>
    </row>
    <row r="6409">
      <c r="A6409" s="10">
        <f t="shared" si="8"/>
        <v>44391.66667</v>
      </c>
      <c r="B6409" s="2" t="str">
        <f t="shared" si="2"/>
        <v/>
      </c>
      <c r="C6409" s="2" t="str">
        <f t="shared" si="3"/>
        <v>SP500</v>
      </c>
      <c r="D6409" s="2">
        <f t="shared" si="4"/>
        <v>14644.95</v>
      </c>
      <c r="E6409" s="2">
        <f t="shared" si="5"/>
        <v>14644.95</v>
      </c>
      <c r="G6409" s="10">
        <f t="shared" si="9"/>
        <v>44391.64583</v>
      </c>
      <c r="H6409" s="6" t="str">
        <f t="shared" si="6"/>
        <v/>
      </c>
      <c r="I6409" s="2">
        <f t="shared" si="7"/>
        <v>1426.89</v>
      </c>
    </row>
    <row r="6410">
      <c r="A6410" s="10">
        <f t="shared" si="8"/>
        <v>44392.66667</v>
      </c>
      <c r="B6410" s="2" t="str">
        <f t="shared" si="2"/>
        <v/>
      </c>
      <c r="C6410" s="2" t="str">
        <f t="shared" si="3"/>
        <v>SP500</v>
      </c>
      <c r="D6410" s="2">
        <f t="shared" si="4"/>
        <v>14543.13</v>
      </c>
      <c r="E6410" s="2">
        <f t="shared" si="5"/>
        <v>14543.13</v>
      </c>
      <c r="G6410" s="10">
        <f t="shared" si="9"/>
        <v>44392.64583</v>
      </c>
      <c r="H6410" s="6" t="str">
        <f t="shared" si="6"/>
        <v/>
      </c>
      <c r="I6410" s="2">
        <f t="shared" si="7"/>
        <v>1426.89</v>
      </c>
    </row>
    <row r="6411">
      <c r="A6411" s="10">
        <f t="shared" si="8"/>
        <v>44393.66667</v>
      </c>
      <c r="B6411" s="2" t="str">
        <f t="shared" si="2"/>
        <v/>
      </c>
      <c r="C6411" s="2" t="str">
        <f t="shared" si="3"/>
        <v>SP500</v>
      </c>
      <c r="D6411" s="2">
        <f t="shared" si="4"/>
        <v>14427.24</v>
      </c>
      <c r="E6411" s="2">
        <f t="shared" si="5"/>
        <v>14427.24</v>
      </c>
      <c r="G6411" s="10">
        <f t="shared" si="9"/>
        <v>44393.64583</v>
      </c>
      <c r="H6411" s="6" t="str">
        <f t="shared" si="6"/>
        <v/>
      </c>
      <c r="I6411" s="2">
        <f t="shared" si="7"/>
        <v>1426.89</v>
      </c>
    </row>
    <row r="6412">
      <c r="A6412" s="10">
        <f t="shared" si="8"/>
        <v>44394.66667</v>
      </c>
      <c r="B6412" s="2" t="str">
        <f t="shared" si="2"/>
        <v/>
      </c>
      <c r="C6412" s="2" t="str">
        <f t="shared" si="3"/>
        <v>SP500</v>
      </c>
      <c r="D6412" s="2" t="str">
        <f t="shared" si="4"/>
        <v/>
      </c>
      <c r="E6412" s="2">
        <f t="shared" si="5"/>
        <v>14427.24</v>
      </c>
      <c r="G6412" s="10">
        <f t="shared" si="9"/>
        <v>44394.64583</v>
      </c>
      <c r="H6412" s="6" t="str">
        <f t="shared" si="6"/>
        <v/>
      </c>
      <c r="I6412" s="2">
        <f t="shared" si="7"/>
        <v>1426.89</v>
      </c>
    </row>
    <row r="6413">
      <c r="A6413" s="10">
        <f t="shared" si="8"/>
        <v>44395.66667</v>
      </c>
      <c r="B6413" s="2" t="str">
        <f t="shared" si="2"/>
        <v/>
      </c>
      <c r="C6413" s="2" t="str">
        <f t="shared" si="3"/>
        <v>SP500</v>
      </c>
      <c r="D6413" s="2" t="str">
        <f t="shared" si="4"/>
        <v/>
      </c>
      <c r="E6413" s="2">
        <f t="shared" si="5"/>
        <v>14427.24</v>
      </c>
      <c r="G6413" s="10">
        <f t="shared" si="9"/>
        <v>44395.64583</v>
      </c>
      <c r="H6413" s="6" t="str">
        <f t="shared" si="6"/>
        <v/>
      </c>
      <c r="I6413" s="2">
        <f t="shared" si="7"/>
        <v>1426.89</v>
      </c>
    </row>
    <row r="6414">
      <c r="A6414" s="10">
        <f t="shared" si="8"/>
        <v>44396.66667</v>
      </c>
      <c r="B6414" s="2" t="str">
        <f t="shared" si="2"/>
        <v/>
      </c>
      <c r="C6414" s="2" t="str">
        <f t="shared" si="3"/>
        <v>SP500</v>
      </c>
      <c r="D6414" s="2">
        <f t="shared" si="4"/>
        <v>14274.98</v>
      </c>
      <c r="E6414" s="2">
        <f t="shared" si="5"/>
        <v>14274.98</v>
      </c>
      <c r="G6414" s="10">
        <f t="shared" si="9"/>
        <v>44396.64583</v>
      </c>
      <c r="H6414" s="6" t="str">
        <f t="shared" si="6"/>
        <v/>
      </c>
      <c r="I6414" s="2">
        <f t="shared" si="7"/>
        <v>1426.89</v>
      </c>
    </row>
    <row r="6415">
      <c r="A6415" s="10">
        <f t="shared" si="8"/>
        <v>44397.66667</v>
      </c>
      <c r="B6415" s="2" t="str">
        <f t="shared" si="2"/>
        <v/>
      </c>
      <c r="C6415" s="2" t="str">
        <f t="shared" si="3"/>
        <v>SP500</v>
      </c>
      <c r="D6415" s="2">
        <f t="shared" si="4"/>
        <v>14498.88</v>
      </c>
      <c r="E6415" s="2">
        <f t="shared" si="5"/>
        <v>14498.88</v>
      </c>
      <c r="G6415" s="10">
        <f t="shared" si="9"/>
        <v>44397.64583</v>
      </c>
      <c r="H6415" s="6" t="str">
        <f t="shared" si="6"/>
        <v/>
      </c>
      <c r="I6415" s="2">
        <f t="shared" si="7"/>
        <v>1426.89</v>
      </c>
    </row>
    <row r="6416">
      <c r="A6416" s="10">
        <f t="shared" si="8"/>
        <v>44398.66667</v>
      </c>
      <c r="B6416" s="2" t="str">
        <f t="shared" si="2"/>
        <v/>
      </c>
      <c r="C6416" s="2" t="str">
        <f t="shared" si="3"/>
        <v>SP500</v>
      </c>
      <c r="D6416" s="2">
        <f t="shared" si="4"/>
        <v>14631.95</v>
      </c>
      <c r="E6416" s="2">
        <f t="shared" si="5"/>
        <v>14631.95</v>
      </c>
      <c r="G6416" s="10">
        <f t="shared" si="9"/>
        <v>44398.64583</v>
      </c>
      <c r="H6416" s="6" t="str">
        <f t="shared" si="6"/>
        <v/>
      </c>
      <c r="I6416" s="2">
        <f t="shared" si="7"/>
        <v>1426.89</v>
      </c>
    </row>
    <row r="6417">
      <c r="A6417" s="10">
        <f t="shared" si="8"/>
        <v>44399.66667</v>
      </c>
      <c r="B6417" s="2" t="str">
        <f t="shared" si="2"/>
        <v/>
      </c>
      <c r="C6417" s="2" t="str">
        <f t="shared" si="3"/>
        <v>SP500</v>
      </c>
      <c r="D6417" s="2">
        <f t="shared" si="4"/>
        <v>14684.6</v>
      </c>
      <c r="E6417" s="2">
        <f t="shared" si="5"/>
        <v>14684.6</v>
      </c>
      <c r="G6417" s="10">
        <f t="shared" si="9"/>
        <v>44399.64583</v>
      </c>
      <c r="H6417" s="6" t="str">
        <f t="shared" si="6"/>
        <v/>
      </c>
      <c r="I6417" s="2">
        <f t="shared" si="7"/>
        <v>1426.89</v>
      </c>
    </row>
    <row r="6418">
      <c r="A6418" s="10">
        <f t="shared" si="8"/>
        <v>44400.66667</v>
      </c>
      <c r="B6418" s="2" t="str">
        <f t="shared" si="2"/>
        <v/>
      </c>
      <c r="C6418" s="2" t="str">
        <f t="shared" si="3"/>
        <v>SP500</v>
      </c>
      <c r="D6418" s="2">
        <f t="shared" si="4"/>
        <v>14836.99</v>
      </c>
      <c r="E6418" s="2">
        <f t="shared" si="5"/>
        <v>14836.99</v>
      </c>
      <c r="G6418" s="10">
        <f t="shared" si="9"/>
        <v>44400.64583</v>
      </c>
      <c r="H6418" s="6" t="str">
        <f t="shared" si="6"/>
        <v/>
      </c>
      <c r="I6418" s="2">
        <f t="shared" si="7"/>
        <v>1426.89</v>
      </c>
    </row>
    <row r="6419">
      <c r="A6419" s="10">
        <f t="shared" si="8"/>
        <v>44401.66667</v>
      </c>
      <c r="B6419" s="2" t="str">
        <f t="shared" si="2"/>
        <v/>
      </c>
      <c r="C6419" s="2" t="str">
        <f t="shared" si="3"/>
        <v>SP500</v>
      </c>
      <c r="D6419" s="2" t="str">
        <f t="shared" si="4"/>
        <v/>
      </c>
      <c r="E6419" s="2">
        <f t="shared" si="5"/>
        <v>14836.99</v>
      </c>
      <c r="G6419" s="10">
        <f t="shared" si="9"/>
        <v>44401.64583</v>
      </c>
      <c r="H6419" s="6" t="str">
        <f t="shared" si="6"/>
        <v/>
      </c>
      <c r="I6419" s="2">
        <f t="shared" si="7"/>
        <v>1426.89</v>
      </c>
    </row>
    <row r="6420">
      <c r="A6420" s="10">
        <f t="shared" si="8"/>
        <v>44402.66667</v>
      </c>
      <c r="B6420" s="2" t="str">
        <f t="shared" si="2"/>
        <v/>
      </c>
      <c r="C6420" s="2" t="str">
        <f t="shared" si="3"/>
        <v>SP500</v>
      </c>
      <c r="D6420" s="2" t="str">
        <f t="shared" si="4"/>
        <v/>
      </c>
      <c r="E6420" s="2">
        <f t="shared" si="5"/>
        <v>14836.99</v>
      </c>
      <c r="G6420" s="10">
        <f t="shared" si="9"/>
        <v>44402.64583</v>
      </c>
      <c r="H6420" s="6" t="str">
        <f t="shared" si="6"/>
        <v/>
      </c>
      <c r="I6420" s="2">
        <f t="shared" si="7"/>
        <v>1426.89</v>
      </c>
    </row>
    <row r="6421">
      <c r="A6421" s="10">
        <f t="shared" si="8"/>
        <v>44403.66667</v>
      </c>
      <c r="B6421" s="2" t="str">
        <f t="shared" si="2"/>
        <v/>
      </c>
      <c r="C6421" s="2" t="str">
        <f t="shared" si="3"/>
        <v>SP500</v>
      </c>
      <c r="D6421" s="2">
        <f t="shared" si="4"/>
        <v>14840.71</v>
      </c>
      <c r="E6421" s="2">
        <f t="shared" si="5"/>
        <v>14840.71</v>
      </c>
      <c r="G6421" s="10">
        <f t="shared" si="9"/>
        <v>44403.64583</v>
      </c>
      <c r="H6421" s="6" t="str">
        <f t="shared" si="6"/>
        <v/>
      </c>
      <c r="I6421" s="2">
        <f t="shared" si="7"/>
        <v>1426.89</v>
      </c>
    </row>
    <row r="6422">
      <c r="A6422" s="10">
        <f t="shared" si="8"/>
        <v>44404.66667</v>
      </c>
      <c r="B6422" s="2" t="str">
        <f t="shared" si="2"/>
        <v/>
      </c>
      <c r="C6422" s="2" t="str">
        <f t="shared" si="3"/>
        <v>SP500</v>
      </c>
      <c r="D6422" s="2">
        <f t="shared" si="4"/>
        <v>14660.58</v>
      </c>
      <c r="E6422" s="2">
        <f t="shared" si="5"/>
        <v>14660.58</v>
      </c>
      <c r="G6422" s="10">
        <f t="shared" si="9"/>
        <v>44404.64583</v>
      </c>
      <c r="H6422" s="6" t="str">
        <f t="shared" si="6"/>
        <v/>
      </c>
      <c r="I6422" s="2">
        <f t="shared" si="7"/>
        <v>1426.89</v>
      </c>
    </row>
    <row r="6423">
      <c r="A6423" s="10">
        <f t="shared" si="8"/>
        <v>44405.66667</v>
      </c>
      <c r="B6423" s="2" t="str">
        <f t="shared" si="2"/>
        <v/>
      </c>
      <c r="C6423" s="2" t="str">
        <f t="shared" si="3"/>
        <v>SP500</v>
      </c>
      <c r="D6423" s="2">
        <f t="shared" si="4"/>
        <v>14762.58</v>
      </c>
      <c r="E6423" s="2">
        <f t="shared" si="5"/>
        <v>14762.58</v>
      </c>
      <c r="G6423" s="10">
        <f t="shared" si="9"/>
        <v>44405.64583</v>
      </c>
      <c r="H6423" s="6" t="str">
        <f t="shared" si="6"/>
        <v/>
      </c>
      <c r="I6423" s="2">
        <f t="shared" si="7"/>
        <v>1426.89</v>
      </c>
    </row>
    <row r="6424">
      <c r="A6424" s="10">
        <f t="shared" si="8"/>
        <v>44406.66667</v>
      </c>
      <c r="B6424" s="2" t="str">
        <f t="shared" si="2"/>
        <v/>
      </c>
      <c r="C6424" s="2" t="str">
        <f t="shared" si="3"/>
        <v>SP500</v>
      </c>
      <c r="D6424" s="2">
        <f t="shared" si="4"/>
        <v>14778.26</v>
      </c>
      <c r="E6424" s="2">
        <f t="shared" si="5"/>
        <v>14778.26</v>
      </c>
      <c r="G6424" s="10">
        <f t="shared" si="9"/>
        <v>44406.64583</v>
      </c>
      <c r="H6424" s="6" t="str">
        <f t="shared" si="6"/>
        <v/>
      </c>
      <c r="I6424" s="2">
        <f t="shared" si="7"/>
        <v>1426.89</v>
      </c>
    </row>
    <row r="6425">
      <c r="A6425" s="10">
        <f t="shared" si="8"/>
        <v>44407.66667</v>
      </c>
      <c r="B6425" s="2" t="str">
        <f t="shared" si="2"/>
        <v/>
      </c>
      <c r="C6425" s="2" t="str">
        <f t="shared" si="3"/>
        <v>SP500</v>
      </c>
      <c r="D6425" s="2">
        <f t="shared" si="4"/>
        <v>14672.68</v>
      </c>
      <c r="E6425" s="2">
        <f t="shared" si="5"/>
        <v>14672.68</v>
      </c>
      <c r="G6425" s="10">
        <f t="shared" si="9"/>
        <v>44407.64583</v>
      </c>
      <c r="H6425" s="6" t="str">
        <f t="shared" si="6"/>
        <v/>
      </c>
      <c r="I6425" s="2">
        <f t="shared" si="7"/>
        <v>1426.89</v>
      </c>
    </row>
    <row r="6426">
      <c r="A6426" s="10">
        <f t="shared" si="8"/>
        <v>44408.66667</v>
      </c>
      <c r="B6426" s="2" t="str">
        <f t="shared" si="2"/>
        <v/>
      </c>
      <c r="C6426" s="2" t="str">
        <f t="shared" si="3"/>
        <v>SP500</v>
      </c>
      <c r="D6426" s="2" t="str">
        <f t="shared" si="4"/>
        <v/>
      </c>
      <c r="E6426" s="2">
        <f t="shared" si="5"/>
        <v>14672.68</v>
      </c>
      <c r="G6426" s="10">
        <f t="shared" si="9"/>
        <v>44408.64583</v>
      </c>
      <c r="H6426" s="6" t="str">
        <f t="shared" si="6"/>
        <v/>
      </c>
      <c r="I6426" s="2">
        <f t="shared" si="7"/>
        <v>1426.89</v>
      </c>
    </row>
    <row r="6427">
      <c r="A6427" s="10">
        <f t="shared" si="8"/>
        <v>44409.66667</v>
      </c>
      <c r="B6427" s="2" t="str">
        <f t="shared" si="2"/>
        <v/>
      </c>
      <c r="C6427" s="2" t="str">
        <f t="shared" si="3"/>
        <v>SP500</v>
      </c>
      <c r="D6427" s="2" t="str">
        <f t="shared" si="4"/>
        <v/>
      </c>
      <c r="E6427" s="2">
        <f t="shared" si="5"/>
        <v>14672.68</v>
      </c>
      <c r="G6427" s="10">
        <f t="shared" si="9"/>
        <v>44409.64583</v>
      </c>
      <c r="H6427" s="6" t="str">
        <f t="shared" si="6"/>
        <v/>
      </c>
      <c r="I6427" s="2">
        <f t="shared" si="7"/>
        <v>1426.89</v>
      </c>
    </row>
    <row r="6428">
      <c r="A6428" s="10">
        <f t="shared" si="8"/>
        <v>44410.66667</v>
      </c>
      <c r="B6428" s="2" t="str">
        <f t="shared" si="2"/>
        <v/>
      </c>
      <c r="C6428" s="2" t="str">
        <f t="shared" si="3"/>
        <v>SP500</v>
      </c>
      <c r="D6428" s="2">
        <f t="shared" si="4"/>
        <v>14681.07</v>
      </c>
      <c r="E6428" s="2">
        <f t="shared" si="5"/>
        <v>14681.07</v>
      </c>
      <c r="G6428" s="10">
        <f t="shared" si="9"/>
        <v>44410.64583</v>
      </c>
      <c r="H6428" s="6" t="str">
        <f t="shared" si="6"/>
        <v/>
      </c>
      <c r="I6428" s="2">
        <f t="shared" si="7"/>
        <v>1426.89</v>
      </c>
    </row>
    <row r="6429">
      <c r="A6429" s="10">
        <f t="shared" si="8"/>
        <v>44411.66667</v>
      </c>
      <c r="B6429" s="2" t="str">
        <f t="shared" si="2"/>
        <v/>
      </c>
      <c r="C6429" s="2" t="str">
        <f t="shared" si="3"/>
        <v>SP500</v>
      </c>
      <c r="D6429" s="2">
        <f t="shared" si="4"/>
        <v>14761.3</v>
      </c>
      <c r="E6429" s="2">
        <f t="shared" si="5"/>
        <v>14761.3</v>
      </c>
      <c r="G6429" s="10">
        <f t="shared" si="9"/>
        <v>44411.64583</v>
      </c>
      <c r="H6429" s="6" t="str">
        <f t="shared" si="6"/>
        <v/>
      </c>
      <c r="I6429" s="2">
        <f t="shared" si="7"/>
        <v>1426.89</v>
      </c>
    </row>
    <row r="6430">
      <c r="A6430" s="10">
        <f t="shared" si="8"/>
        <v>44412.66667</v>
      </c>
      <c r="B6430" s="2" t="str">
        <f t="shared" si="2"/>
        <v/>
      </c>
      <c r="C6430" s="2" t="str">
        <f t="shared" si="3"/>
        <v>SP500</v>
      </c>
      <c r="D6430" s="2">
        <f t="shared" si="4"/>
        <v>14780.53</v>
      </c>
      <c r="E6430" s="2">
        <f t="shared" si="5"/>
        <v>14780.53</v>
      </c>
      <c r="G6430" s="10">
        <f t="shared" si="9"/>
        <v>44412.64583</v>
      </c>
      <c r="H6430" s="6" t="str">
        <f t="shared" si="6"/>
        <v/>
      </c>
      <c r="I6430" s="2">
        <f t="shared" si="7"/>
        <v>1426.89</v>
      </c>
    </row>
    <row r="6431">
      <c r="A6431" s="10">
        <f t="shared" si="8"/>
        <v>44413.66667</v>
      </c>
      <c r="B6431" s="2" t="str">
        <f t="shared" si="2"/>
        <v/>
      </c>
      <c r="C6431" s="2" t="str">
        <f t="shared" si="3"/>
        <v>SP500</v>
      </c>
      <c r="D6431" s="2">
        <f t="shared" si="4"/>
        <v>14895.12</v>
      </c>
      <c r="E6431" s="2">
        <f t="shared" si="5"/>
        <v>14895.12</v>
      </c>
      <c r="G6431" s="10">
        <f t="shared" si="9"/>
        <v>44413.64583</v>
      </c>
      <c r="H6431" s="6" t="str">
        <f t="shared" si="6"/>
        <v/>
      </c>
      <c r="I6431" s="2">
        <f t="shared" si="7"/>
        <v>1426.89</v>
      </c>
    </row>
    <row r="6432">
      <c r="A6432" s="10">
        <f t="shared" si="8"/>
        <v>44414.66667</v>
      </c>
      <c r="B6432" s="2" t="str">
        <f t="shared" si="2"/>
        <v/>
      </c>
      <c r="C6432" s="2" t="str">
        <f t="shared" si="3"/>
        <v>SP500</v>
      </c>
      <c r="D6432" s="2">
        <f t="shared" si="4"/>
        <v>14835.76</v>
      </c>
      <c r="E6432" s="2">
        <f t="shared" si="5"/>
        <v>14835.76</v>
      </c>
      <c r="G6432" s="10">
        <f t="shared" si="9"/>
        <v>44414.64583</v>
      </c>
      <c r="H6432" s="6" t="str">
        <f t="shared" si="6"/>
        <v/>
      </c>
      <c r="I6432" s="2">
        <f t="shared" si="7"/>
        <v>1426.89</v>
      </c>
    </row>
    <row r="6433">
      <c r="A6433" s="10">
        <f t="shared" si="8"/>
        <v>44415.66667</v>
      </c>
      <c r="B6433" s="2" t="str">
        <f t="shared" si="2"/>
        <v/>
      </c>
      <c r="C6433" s="2" t="str">
        <f t="shared" si="3"/>
        <v>SP500</v>
      </c>
      <c r="D6433" s="2" t="str">
        <f t="shared" si="4"/>
        <v/>
      </c>
      <c r="E6433" s="2">
        <f t="shared" si="5"/>
        <v>14835.76</v>
      </c>
      <c r="G6433" s="10">
        <f t="shared" si="9"/>
        <v>44415.64583</v>
      </c>
      <c r="H6433" s="6" t="str">
        <f t="shared" si="6"/>
        <v/>
      </c>
      <c r="I6433" s="2">
        <f t="shared" si="7"/>
        <v>1426.89</v>
      </c>
    </row>
    <row r="6434">
      <c r="A6434" s="10">
        <f t="shared" si="8"/>
        <v>44416.66667</v>
      </c>
      <c r="B6434" s="2" t="str">
        <f t="shared" si="2"/>
        <v/>
      </c>
      <c r="C6434" s="2" t="str">
        <f t="shared" si="3"/>
        <v>SP500</v>
      </c>
      <c r="D6434" s="2" t="str">
        <f t="shared" si="4"/>
        <v/>
      </c>
      <c r="E6434" s="2">
        <f t="shared" si="5"/>
        <v>14835.76</v>
      </c>
      <c r="G6434" s="10">
        <f t="shared" si="9"/>
        <v>44416.64583</v>
      </c>
      <c r="H6434" s="6" t="str">
        <f t="shared" si="6"/>
        <v/>
      </c>
      <c r="I6434" s="2">
        <f t="shared" si="7"/>
        <v>1426.89</v>
      </c>
    </row>
    <row r="6435">
      <c r="A6435" s="10">
        <f t="shared" si="8"/>
        <v>44417.66667</v>
      </c>
      <c r="B6435" s="2" t="str">
        <f t="shared" si="2"/>
        <v/>
      </c>
      <c r="C6435" s="2" t="str">
        <f t="shared" si="3"/>
        <v>SP500</v>
      </c>
      <c r="D6435" s="2">
        <f t="shared" si="4"/>
        <v>14860.18</v>
      </c>
      <c r="E6435" s="2">
        <f t="shared" si="5"/>
        <v>14860.18</v>
      </c>
      <c r="G6435" s="10">
        <f t="shared" si="9"/>
        <v>44417.64583</v>
      </c>
      <c r="H6435" s="6" t="str">
        <f t="shared" si="6"/>
        <v/>
      </c>
      <c r="I6435" s="2">
        <f t="shared" si="7"/>
        <v>1426.89</v>
      </c>
    </row>
    <row r="6436">
      <c r="A6436" s="10">
        <f t="shared" si="8"/>
        <v>44418.66667</v>
      </c>
      <c r="B6436" s="2" t="str">
        <f t="shared" si="2"/>
        <v/>
      </c>
      <c r="C6436" s="2" t="str">
        <f t="shared" si="3"/>
        <v>SP500</v>
      </c>
      <c r="D6436" s="2">
        <f t="shared" si="4"/>
        <v>14788.09</v>
      </c>
      <c r="E6436" s="2">
        <f t="shared" si="5"/>
        <v>14788.09</v>
      </c>
      <c r="G6436" s="10">
        <f t="shared" si="9"/>
        <v>44418.64583</v>
      </c>
      <c r="H6436" s="6" t="str">
        <f t="shared" si="6"/>
        <v/>
      </c>
      <c r="I6436" s="2">
        <f t="shared" si="7"/>
        <v>1426.89</v>
      </c>
    </row>
    <row r="6437">
      <c r="A6437" s="10">
        <f t="shared" si="8"/>
        <v>44419.66667</v>
      </c>
      <c r="B6437" s="2" t="str">
        <f t="shared" si="2"/>
        <v/>
      </c>
      <c r="C6437" s="2" t="str">
        <f t="shared" si="3"/>
        <v>SP500</v>
      </c>
      <c r="D6437" s="2">
        <f t="shared" si="4"/>
        <v>14765.14</v>
      </c>
      <c r="E6437" s="2">
        <f t="shared" si="5"/>
        <v>14765.14</v>
      </c>
      <c r="G6437" s="10">
        <f t="shared" si="9"/>
        <v>44419.64583</v>
      </c>
      <c r="H6437" s="6" t="str">
        <f t="shared" si="6"/>
        <v/>
      </c>
      <c r="I6437" s="2">
        <f t="shared" si="7"/>
        <v>1426.89</v>
      </c>
    </row>
    <row r="6438">
      <c r="A6438" s="10">
        <f t="shared" si="8"/>
        <v>44420.66667</v>
      </c>
      <c r="B6438" s="2" t="str">
        <f t="shared" si="2"/>
        <v/>
      </c>
      <c r="C6438" s="2" t="str">
        <f t="shared" si="3"/>
        <v>SP500</v>
      </c>
      <c r="D6438" s="2">
        <f t="shared" si="4"/>
        <v>14816.26</v>
      </c>
      <c r="E6438" s="2">
        <f t="shared" si="5"/>
        <v>14816.26</v>
      </c>
      <c r="G6438" s="10">
        <f t="shared" si="9"/>
        <v>44420.64583</v>
      </c>
      <c r="H6438" s="6" t="str">
        <f t="shared" si="6"/>
        <v/>
      </c>
      <c r="I6438" s="2">
        <f t="shared" si="7"/>
        <v>1426.89</v>
      </c>
    </row>
    <row r="6439">
      <c r="A6439" s="10">
        <f t="shared" si="8"/>
        <v>44421.66667</v>
      </c>
      <c r="B6439" s="2" t="str">
        <f t="shared" si="2"/>
        <v/>
      </c>
      <c r="C6439" s="2" t="str">
        <f t="shared" si="3"/>
        <v>SP500</v>
      </c>
      <c r="D6439" s="2">
        <f t="shared" si="4"/>
        <v>14822.9</v>
      </c>
      <c r="E6439" s="2">
        <f t="shared" si="5"/>
        <v>14822.9</v>
      </c>
      <c r="G6439" s="10">
        <f t="shared" si="9"/>
        <v>44421.64583</v>
      </c>
      <c r="H6439" s="6" t="str">
        <f t="shared" si="6"/>
        <v/>
      </c>
      <c r="I6439" s="2">
        <f t="shared" si="7"/>
        <v>1426.89</v>
      </c>
    </row>
    <row r="6440">
      <c r="A6440" s="10">
        <f t="shared" si="8"/>
        <v>44422.66667</v>
      </c>
      <c r="B6440" s="2" t="str">
        <f t="shared" si="2"/>
        <v/>
      </c>
      <c r="C6440" s="2" t="str">
        <f t="shared" si="3"/>
        <v>SP500</v>
      </c>
      <c r="D6440" s="2" t="str">
        <f t="shared" si="4"/>
        <v/>
      </c>
      <c r="E6440" s="2">
        <f t="shared" si="5"/>
        <v>14822.9</v>
      </c>
      <c r="G6440" s="10">
        <f t="shared" si="9"/>
        <v>44422.64583</v>
      </c>
      <c r="H6440" s="6" t="str">
        <f t="shared" si="6"/>
        <v/>
      </c>
      <c r="I6440" s="2">
        <f t="shared" si="7"/>
        <v>1426.89</v>
      </c>
    </row>
    <row r="6441">
      <c r="A6441" s="10">
        <f t="shared" si="8"/>
        <v>44423.66667</v>
      </c>
      <c r="B6441" s="2" t="str">
        <f t="shared" si="2"/>
        <v/>
      </c>
      <c r="C6441" s="2" t="str">
        <f t="shared" si="3"/>
        <v>SP500</v>
      </c>
      <c r="D6441" s="2" t="str">
        <f t="shared" si="4"/>
        <v/>
      </c>
      <c r="E6441" s="2">
        <f t="shared" si="5"/>
        <v>14822.9</v>
      </c>
      <c r="G6441" s="10">
        <f t="shared" si="9"/>
        <v>44423.64583</v>
      </c>
      <c r="H6441" s="6" t="str">
        <f t="shared" si="6"/>
        <v/>
      </c>
      <c r="I6441" s="2">
        <f t="shared" si="7"/>
        <v>1426.89</v>
      </c>
    </row>
    <row r="6442">
      <c r="A6442" s="10">
        <f t="shared" si="8"/>
        <v>44424.66667</v>
      </c>
      <c r="B6442" s="2" t="str">
        <f t="shared" si="2"/>
        <v/>
      </c>
      <c r="C6442" s="2" t="str">
        <f t="shared" si="3"/>
        <v>SP500</v>
      </c>
      <c r="D6442" s="2">
        <f t="shared" si="4"/>
        <v>14793.76</v>
      </c>
      <c r="E6442" s="2">
        <f t="shared" si="5"/>
        <v>14793.76</v>
      </c>
      <c r="G6442" s="10">
        <f t="shared" si="9"/>
        <v>44424.64583</v>
      </c>
      <c r="H6442" s="6" t="str">
        <f t="shared" si="6"/>
        <v/>
      </c>
      <c r="I6442" s="2">
        <f t="shared" si="7"/>
        <v>1426.89</v>
      </c>
    </row>
    <row r="6443">
      <c r="A6443" s="10">
        <f t="shared" si="8"/>
        <v>44425.66667</v>
      </c>
      <c r="B6443" s="2" t="str">
        <f t="shared" si="2"/>
        <v/>
      </c>
      <c r="C6443" s="2" t="str">
        <f t="shared" si="3"/>
        <v>SP500</v>
      </c>
      <c r="D6443" s="2">
        <f t="shared" si="4"/>
        <v>14656.18</v>
      </c>
      <c r="E6443" s="2">
        <f t="shared" si="5"/>
        <v>14656.18</v>
      </c>
      <c r="G6443" s="10">
        <f t="shared" si="9"/>
        <v>44425.64583</v>
      </c>
      <c r="H6443" s="6" t="str">
        <f t="shared" si="6"/>
        <v/>
      </c>
      <c r="I6443" s="2">
        <f t="shared" si="7"/>
        <v>1426.89</v>
      </c>
    </row>
    <row r="6444">
      <c r="A6444" s="10">
        <f t="shared" si="8"/>
        <v>44426.66667</v>
      </c>
      <c r="B6444" s="2" t="str">
        <f t="shared" si="2"/>
        <v/>
      </c>
      <c r="C6444" s="2" t="str">
        <f t="shared" si="3"/>
        <v>SP500</v>
      </c>
      <c r="D6444" s="2">
        <f t="shared" si="4"/>
        <v>14525.91</v>
      </c>
      <c r="E6444" s="2">
        <f t="shared" si="5"/>
        <v>14525.91</v>
      </c>
      <c r="G6444" s="10">
        <f t="shared" si="9"/>
        <v>44426.64583</v>
      </c>
      <c r="H6444" s="6" t="str">
        <f t="shared" si="6"/>
        <v/>
      </c>
      <c r="I6444" s="2">
        <f t="shared" si="7"/>
        <v>1426.89</v>
      </c>
    </row>
    <row r="6445">
      <c r="A6445" s="10">
        <f t="shared" si="8"/>
        <v>44427.66667</v>
      </c>
      <c r="B6445" s="2" t="str">
        <f t="shared" si="2"/>
        <v/>
      </c>
      <c r="C6445" s="2" t="str">
        <f t="shared" si="3"/>
        <v>SP500</v>
      </c>
      <c r="D6445" s="2">
        <f t="shared" si="4"/>
        <v>14541.79</v>
      </c>
      <c r="E6445" s="2">
        <f t="shared" si="5"/>
        <v>14541.79</v>
      </c>
      <c r="G6445" s="10">
        <f t="shared" si="9"/>
        <v>44427.64583</v>
      </c>
      <c r="H6445" s="6" t="str">
        <f t="shared" si="6"/>
        <v/>
      </c>
      <c r="I6445" s="2">
        <f t="shared" si="7"/>
        <v>1426.89</v>
      </c>
    </row>
    <row r="6446">
      <c r="A6446" s="10">
        <f t="shared" si="8"/>
        <v>44428.66667</v>
      </c>
      <c r="B6446" s="2" t="str">
        <f t="shared" si="2"/>
        <v/>
      </c>
      <c r="C6446" s="2" t="str">
        <f t="shared" si="3"/>
        <v>SP500</v>
      </c>
      <c r="D6446" s="2">
        <f t="shared" si="4"/>
        <v>14714.66</v>
      </c>
      <c r="E6446" s="2">
        <f t="shared" si="5"/>
        <v>14714.66</v>
      </c>
      <c r="G6446" s="10">
        <f t="shared" si="9"/>
        <v>44428.64583</v>
      </c>
      <c r="H6446" s="6" t="str">
        <f t="shared" si="6"/>
        <v/>
      </c>
      <c r="I6446" s="2">
        <f t="shared" si="7"/>
        <v>1426.89</v>
      </c>
    </row>
    <row r="6447">
      <c r="A6447" s="10">
        <f t="shared" si="8"/>
        <v>44429.66667</v>
      </c>
      <c r="B6447" s="2" t="str">
        <f t="shared" si="2"/>
        <v/>
      </c>
      <c r="C6447" s="2" t="str">
        <f t="shared" si="3"/>
        <v>SP500</v>
      </c>
      <c r="D6447" s="2" t="str">
        <f t="shared" si="4"/>
        <v/>
      </c>
      <c r="E6447" s="2">
        <f t="shared" si="5"/>
        <v>14714.66</v>
      </c>
      <c r="G6447" s="10">
        <f t="shared" si="9"/>
        <v>44429.64583</v>
      </c>
      <c r="H6447" s="6" t="str">
        <f t="shared" si="6"/>
        <v/>
      </c>
      <c r="I6447" s="2">
        <f t="shared" si="7"/>
        <v>1426.89</v>
      </c>
    </row>
    <row r="6448">
      <c r="A6448" s="10">
        <f t="shared" si="8"/>
        <v>44430.66667</v>
      </c>
      <c r="B6448" s="2" t="str">
        <f t="shared" si="2"/>
        <v/>
      </c>
      <c r="C6448" s="2" t="str">
        <f t="shared" si="3"/>
        <v>SP500</v>
      </c>
      <c r="D6448" s="2" t="str">
        <f t="shared" si="4"/>
        <v/>
      </c>
      <c r="E6448" s="2">
        <f t="shared" si="5"/>
        <v>14714.66</v>
      </c>
      <c r="G6448" s="10">
        <f t="shared" si="9"/>
        <v>44430.64583</v>
      </c>
      <c r="H6448" s="6" t="str">
        <f t="shared" si="6"/>
        <v/>
      </c>
      <c r="I6448" s="2">
        <f t="shared" si="7"/>
        <v>1426.89</v>
      </c>
    </row>
    <row r="6449">
      <c r="A6449" s="10">
        <f t="shared" si="8"/>
        <v>44431.66667</v>
      </c>
      <c r="B6449" s="2" t="str">
        <f t="shared" si="2"/>
        <v/>
      </c>
      <c r="C6449" s="2" t="str">
        <f t="shared" si="3"/>
        <v>SP500</v>
      </c>
      <c r="D6449" s="2">
        <f t="shared" si="4"/>
        <v>14942.65</v>
      </c>
      <c r="E6449" s="2">
        <f t="shared" si="5"/>
        <v>14942.65</v>
      </c>
      <c r="G6449" s="10">
        <f t="shared" si="9"/>
        <v>44431.64583</v>
      </c>
      <c r="H6449" s="6" t="str">
        <f t="shared" si="6"/>
        <v/>
      </c>
      <c r="I6449" s="2">
        <f t="shared" si="7"/>
        <v>1426.89</v>
      </c>
    </row>
    <row r="6450">
      <c r="A6450" s="10">
        <f t="shared" si="8"/>
        <v>44432.66667</v>
      </c>
      <c r="B6450" s="2" t="str">
        <f t="shared" si="2"/>
        <v/>
      </c>
      <c r="C6450" s="2" t="str">
        <f t="shared" si="3"/>
        <v>SP500</v>
      </c>
      <c r="D6450" s="2">
        <f t="shared" si="4"/>
        <v>15019.8</v>
      </c>
      <c r="E6450" s="2">
        <f t="shared" si="5"/>
        <v>15019.8</v>
      </c>
      <c r="G6450" s="10">
        <f t="shared" si="9"/>
        <v>44432.64583</v>
      </c>
      <c r="H6450" s="6" t="str">
        <f t="shared" si="6"/>
        <v/>
      </c>
      <c r="I6450" s="2">
        <f t="shared" si="7"/>
        <v>1426.89</v>
      </c>
    </row>
    <row r="6451">
      <c r="A6451" s="10">
        <f t="shared" si="8"/>
        <v>44433.66667</v>
      </c>
      <c r="B6451" s="2" t="str">
        <f t="shared" si="2"/>
        <v/>
      </c>
      <c r="C6451" s="2" t="str">
        <f t="shared" si="3"/>
        <v>SP500</v>
      </c>
      <c r="D6451" s="2">
        <f t="shared" si="4"/>
        <v>15041.86</v>
      </c>
      <c r="E6451" s="2">
        <f t="shared" si="5"/>
        <v>15041.86</v>
      </c>
      <c r="G6451" s="10">
        <f t="shared" si="9"/>
        <v>44433.64583</v>
      </c>
      <c r="H6451" s="6" t="str">
        <f t="shared" si="6"/>
        <v/>
      </c>
      <c r="I6451" s="2">
        <f t="shared" si="7"/>
        <v>1426.89</v>
      </c>
    </row>
    <row r="6452">
      <c r="A6452" s="10">
        <f t="shared" si="8"/>
        <v>44434.66667</v>
      </c>
      <c r="B6452" s="2" t="str">
        <f t="shared" si="2"/>
        <v/>
      </c>
      <c r="C6452" s="2" t="str">
        <f t="shared" si="3"/>
        <v>SP500</v>
      </c>
      <c r="D6452" s="2">
        <f t="shared" si="4"/>
        <v>14945.81</v>
      </c>
      <c r="E6452" s="2">
        <f t="shared" si="5"/>
        <v>14945.81</v>
      </c>
      <c r="G6452" s="10">
        <f t="shared" si="9"/>
        <v>44434.64583</v>
      </c>
      <c r="H6452" s="6" t="str">
        <f t="shared" si="6"/>
        <v/>
      </c>
      <c r="I6452" s="2">
        <f t="shared" si="7"/>
        <v>1426.89</v>
      </c>
    </row>
    <row r="6453">
      <c r="A6453" s="10">
        <f t="shared" si="8"/>
        <v>44435.66667</v>
      </c>
      <c r="B6453" s="2" t="str">
        <f t="shared" si="2"/>
        <v/>
      </c>
      <c r="C6453" s="2" t="str">
        <f t="shared" si="3"/>
        <v>SP500</v>
      </c>
      <c r="D6453" s="2">
        <f t="shared" si="4"/>
        <v>15129.5</v>
      </c>
      <c r="E6453" s="2">
        <f t="shared" si="5"/>
        <v>15129.5</v>
      </c>
      <c r="G6453" s="10">
        <f t="shared" si="9"/>
        <v>44435.64583</v>
      </c>
      <c r="H6453" s="6" t="str">
        <f t="shared" si="6"/>
        <v/>
      </c>
      <c r="I6453" s="2">
        <f t="shared" si="7"/>
        <v>1426.89</v>
      </c>
    </row>
    <row r="6454">
      <c r="A6454" s="10">
        <f t="shared" si="8"/>
        <v>44436.66667</v>
      </c>
      <c r="B6454" s="2" t="str">
        <f t="shared" si="2"/>
        <v/>
      </c>
      <c r="C6454" s="2" t="str">
        <f t="shared" si="3"/>
        <v>SP500</v>
      </c>
      <c r="D6454" s="2" t="str">
        <f t="shared" si="4"/>
        <v/>
      </c>
      <c r="E6454" s="2">
        <f t="shared" si="5"/>
        <v>15129.5</v>
      </c>
      <c r="G6454" s="10">
        <f t="shared" si="9"/>
        <v>44436.64583</v>
      </c>
      <c r="H6454" s="6" t="str">
        <f t="shared" si="6"/>
        <v/>
      </c>
      <c r="I6454" s="2">
        <f t="shared" si="7"/>
        <v>1426.89</v>
      </c>
    </row>
    <row r="6455">
      <c r="A6455" s="10">
        <f t="shared" si="8"/>
        <v>44437.66667</v>
      </c>
      <c r="B6455" s="2" t="str">
        <f t="shared" si="2"/>
        <v/>
      </c>
      <c r="C6455" s="2" t="str">
        <f t="shared" si="3"/>
        <v>SP500</v>
      </c>
      <c r="D6455" s="2" t="str">
        <f t="shared" si="4"/>
        <v/>
      </c>
      <c r="E6455" s="2">
        <f t="shared" si="5"/>
        <v>15129.5</v>
      </c>
      <c r="G6455" s="10">
        <f t="shared" si="9"/>
        <v>44437.64583</v>
      </c>
      <c r="H6455" s="6" t="str">
        <f t="shared" si="6"/>
        <v/>
      </c>
      <c r="I6455" s="2">
        <f t="shared" si="7"/>
        <v>1426.89</v>
      </c>
    </row>
    <row r="6456">
      <c r="A6456" s="10">
        <f t="shared" si="8"/>
        <v>44438.66667</v>
      </c>
      <c r="B6456" s="2" t="str">
        <f t="shared" si="2"/>
        <v/>
      </c>
      <c r="C6456" s="2" t="str">
        <f t="shared" si="3"/>
        <v>SP500</v>
      </c>
      <c r="D6456" s="2">
        <f t="shared" si="4"/>
        <v>15265.89</v>
      </c>
      <c r="E6456" s="2">
        <f t="shared" si="5"/>
        <v>15265.89</v>
      </c>
      <c r="G6456" s="10">
        <f t="shared" si="9"/>
        <v>44438.64583</v>
      </c>
      <c r="H6456" s="6" t="str">
        <f t="shared" si="6"/>
        <v/>
      </c>
      <c r="I6456" s="2">
        <f t="shared" si="7"/>
        <v>1426.89</v>
      </c>
    </row>
    <row r="6457">
      <c r="A6457" s="10">
        <f t="shared" si="8"/>
        <v>44439.66667</v>
      </c>
      <c r="B6457" s="2" t="str">
        <f t="shared" si="2"/>
        <v/>
      </c>
      <c r="C6457" s="2" t="str">
        <f t="shared" si="3"/>
        <v>SP500</v>
      </c>
      <c r="D6457" s="2">
        <f t="shared" si="4"/>
        <v>15259.24</v>
      </c>
      <c r="E6457" s="2">
        <f t="shared" si="5"/>
        <v>15259.24</v>
      </c>
      <c r="G6457" s="10">
        <f t="shared" si="9"/>
        <v>44439.64583</v>
      </c>
      <c r="H6457" s="6" t="str">
        <f t="shared" si="6"/>
        <v/>
      </c>
      <c r="I6457" s="2">
        <f t="shared" si="7"/>
        <v>1426.89</v>
      </c>
    </row>
    <row r="6458">
      <c r="A6458" s="10">
        <f t="shared" si="8"/>
        <v>44440.66667</v>
      </c>
      <c r="B6458" s="2" t="str">
        <f t="shared" si="2"/>
        <v/>
      </c>
      <c r="C6458" s="2" t="str">
        <f t="shared" si="3"/>
        <v>SP500</v>
      </c>
      <c r="D6458" s="2">
        <f t="shared" si="4"/>
        <v>15309.38</v>
      </c>
      <c r="E6458" s="2">
        <f t="shared" si="5"/>
        <v>15309.38</v>
      </c>
      <c r="G6458" s="10">
        <f t="shared" si="9"/>
        <v>44440.64583</v>
      </c>
      <c r="H6458" s="6" t="str">
        <f t="shared" si="6"/>
        <v/>
      </c>
      <c r="I6458" s="2">
        <f t="shared" si="7"/>
        <v>1426.89</v>
      </c>
    </row>
    <row r="6459">
      <c r="A6459" s="10">
        <f t="shared" si="8"/>
        <v>44441.66667</v>
      </c>
      <c r="B6459" s="2" t="str">
        <f t="shared" si="2"/>
        <v/>
      </c>
      <c r="C6459" s="2" t="str">
        <f t="shared" si="3"/>
        <v>SP500</v>
      </c>
      <c r="D6459" s="2">
        <f t="shared" si="4"/>
        <v>15331.18</v>
      </c>
      <c r="E6459" s="2">
        <f t="shared" si="5"/>
        <v>15331.18</v>
      </c>
      <c r="G6459" s="10">
        <f t="shared" si="9"/>
        <v>44441.64583</v>
      </c>
      <c r="H6459" s="6" t="str">
        <f t="shared" si="6"/>
        <v/>
      </c>
      <c r="I6459" s="2">
        <f t="shared" si="7"/>
        <v>1426.89</v>
      </c>
    </row>
    <row r="6460">
      <c r="A6460" s="10">
        <f t="shared" si="8"/>
        <v>44442.66667</v>
      </c>
      <c r="B6460" s="2" t="str">
        <f t="shared" si="2"/>
        <v/>
      </c>
      <c r="C6460" s="2" t="str">
        <f t="shared" si="3"/>
        <v>SP500</v>
      </c>
      <c r="D6460" s="2">
        <f t="shared" si="4"/>
        <v>15363.52</v>
      </c>
      <c r="E6460" s="2">
        <f t="shared" si="5"/>
        <v>15363.52</v>
      </c>
      <c r="G6460" s="10">
        <f t="shared" si="9"/>
        <v>44442.64583</v>
      </c>
      <c r="H6460" s="6" t="str">
        <f t="shared" si="6"/>
        <v/>
      </c>
      <c r="I6460" s="2">
        <f t="shared" si="7"/>
        <v>1426.89</v>
      </c>
    </row>
    <row r="6461">
      <c r="A6461" s="10">
        <f t="shared" si="8"/>
        <v>44443.66667</v>
      </c>
      <c r="B6461" s="2" t="str">
        <f t="shared" si="2"/>
        <v/>
      </c>
      <c r="C6461" s="2" t="str">
        <f t="shared" si="3"/>
        <v>SP500</v>
      </c>
      <c r="D6461" s="2" t="str">
        <f t="shared" si="4"/>
        <v/>
      </c>
      <c r="E6461" s="2">
        <f t="shared" si="5"/>
        <v>15363.52</v>
      </c>
      <c r="G6461" s="10">
        <f t="shared" si="9"/>
        <v>44443.64583</v>
      </c>
      <c r="H6461" s="6" t="str">
        <f t="shared" si="6"/>
        <v/>
      </c>
      <c r="I6461" s="2">
        <f t="shared" si="7"/>
        <v>1426.89</v>
      </c>
    </row>
    <row r="6462">
      <c r="A6462" s="10">
        <f t="shared" si="8"/>
        <v>44444.66667</v>
      </c>
      <c r="B6462" s="2" t="str">
        <f t="shared" si="2"/>
        <v/>
      </c>
      <c r="C6462" s="2" t="str">
        <f t="shared" si="3"/>
        <v>SP500</v>
      </c>
      <c r="D6462" s="2" t="str">
        <f t="shared" si="4"/>
        <v/>
      </c>
      <c r="E6462" s="2">
        <f t="shared" si="5"/>
        <v>15363.52</v>
      </c>
      <c r="G6462" s="10">
        <f t="shared" si="9"/>
        <v>44444.64583</v>
      </c>
      <c r="H6462" s="6" t="str">
        <f t="shared" si="6"/>
        <v/>
      </c>
      <c r="I6462" s="2">
        <f t="shared" si="7"/>
        <v>1426.89</v>
      </c>
    </row>
    <row r="6463">
      <c r="A6463" s="10">
        <f t="shared" si="8"/>
        <v>44445.66667</v>
      </c>
      <c r="B6463" s="2" t="str">
        <f t="shared" si="2"/>
        <v/>
      </c>
      <c r="C6463" s="2" t="str">
        <f t="shared" si="3"/>
        <v>SP500</v>
      </c>
      <c r="D6463" s="2" t="str">
        <f t="shared" si="4"/>
        <v/>
      </c>
      <c r="E6463" s="2">
        <f t="shared" si="5"/>
        <v>15363.52</v>
      </c>
      <c r="G6463" s="10">
        <f t="shared" si="9"/>
        <v>44445.64583</v>
      </c>
      <c r="H6463" s="6" t="str">
        <f t="shared" si="6"/>
        <v/>
      </c>
      <c r="I6463" s="2">
        <f t="shared" si="7"/>
        <v>1426.89</v>
      </c>
    </row>
    <row r="6464">
      <c r="A6464" s="10">
        <f t="shared" si="8"/>
        <v>44446.66667</v>
      </c>
      <c r="B6464" s="2" t="str">
        <f t="shared" si="2"/>
        <v/>
      </c>
      <c r="C6464" s="2" t="str">
        <f t="shared" si="3"/>
        <v>SP500</v>
      </c>
      <c r="D6464" s="2">
        <f t="shared" si="4"/>
        <v>15374.33</v>
      </c>
      <c r="E6464" s="2">
        <f t="shared" si="5"/>
        <v>15374.33</v>
      </c>
      <c r="G6464" s="10">
        <f t="shared" si="9"/>
        <v>44446.64583</v>
      </c>
      <c r="H6464" s="6" t="str">
        <f t="shared" si="6"/>
        <v/>
      </c>
      <c r="I6464" s="2">
        <f t="shared" si="7"/>
        <v>1426.89</v>
      </c>
    </row>
    <row r="6465">
      <c r="A6465" s="10">
        <f t="shared" si="8"/>
        <v>44447.66667</v>
      </c>
      <c r="B6465" s="2" t="str">
        <f t="shared" si="2"/>
        <v/>
      </c>
      <c r="C6465" s="2" t="str">
        <f t="shared" si="3"/>
        <v>SP500</v>
      </c>
      <c r="D6465" s="2">
        <f t="shared" si="4"/>
        <v>15286.64</v>
      </c>
      <c r="E6465" s="2">
        <f t="shared" si="5"/>
        <v>15286.64</v>
      </c>
      <c r="G6465" s="10">
        <f t="shared" si="9"/>
        <v>44447.64583</v>
      </c>
      <c r="H6465" s="6" t="str">
        <f t="shared" si="6"/>
        <v/>
      </c>
      <c r="I6465" s="2">
        <f t="shared" si="7"/>
        <v>1426.89</v>
      </c>
    </row>
    <row r="6466">
      <c r="A6466" s="10">
        <f t="shared" si="8"/>
        <v>44448.66667</v>
      </c>
      <c r="B6466" s="2" t="str">
        <f t="shared" si="2"/>
        <v/>
      </c>
      <c r="C6466" s="2" t="str">
        <f t="shared" si="3"/>
        <v>SP500</v>
      </c>
      <c r="D6466" s="2">
        <f t="shared" si="4"/>
        <v>15248.25</v>
      </c>
      <c r="E6466" s="2">
        <f t="shared" si="5"/>
        <v>15248.25</v>
      </c>
      <c r="G6466" s="10">
        <f t="shared" si="9"/>
        <v>44448.64583</v>
      </c>
      <c r="H6466" s="6" t="str">
        <f t="shared" si="6"/>
        <v/>
      </c>
      <c r="I6466" s="2">
        <f t="shared" si="7"/>
        <v>1426.89</v>
      </c>
    </row>
    <row r="6467">
      <c r="A6467" s="10">
        <f t="shared" si="8"/>
        <v>44449.66667</v>
      </c>
      <c r="B6467" s="2" t="str">
        <f t="shared" si="2"/>
        <v/>
      </c>
      <c r="C6467" s="2" t="str">
        <f t="shared" si="3"/>
        <v>SP500</v>
      </c>
      <c r="D6467" s="2">
        <f t="shared" si="4"/>
        <v>15115.49</v>
      </c>
      <c r="E6467" s="2">
        <f t="shared" si="5"/>
        <v>15115.49</v>
      </c>
      <c r="G6467" s="10">
        <f t="shared" si="9"/>
        <v>44449.64583</v>
      </c>
      <c r="H6467" s="6" t="str">
        <f t="shared" si="6"/>
        <v/>
      </c>
      <c r="I6467" s="2">
        <f t="shared" si="7"/>
        <v>1426.89</v>
      </c>
    </row>
    <row r="6468">
      <c r="A6468" s="10">
        <f t="shared" si="8"/>
        <v>44450.66667</v>
      </c>
      <c r="B6468" s="2" t="str">
        <f t="shared" si="2"/>
        <v/>
      </c>
      <c r="C6468" s="2" t="str">
        <f t="shared" si="3"/>
        <v>SP500</v>
      </c>
      <c r="D6468" s="2" t="str">
        <f t="shared" si="4"/>
        <v/>
      </c>
      <c r="E6468" s="2">
        <f t="shared" si="5"/>
        <v>15115.49</v>
      </c>
      <c r="G6468" s="10">
        <f t="shared" si="9"/>
        <v>44450.64583</v>
      </c>
      <c r="H6468" s="6" t="str">
        <f t="shared" si="6"/>
        <v/>
      </c>
      <c r="I6468" s="2">
        <f t="shared" si="7"/>
        <v>1426.89</v>
      </c>
    </row>
    <row r="6469">
      <c r="A6469" s="10">
        <f t="shared" si="8"/>
        <v>44451.66667</v>
      </c>
      <c r="B6469" s="2" t="str">
        <f t="shared" si="2"/>
        <v/>
      </c>
      <c r="C6469" s="2" t="str">
        <f t="shared" si="3"/>
        <v>SP500</v>
      </c>
      <c r="D6469" s="2" t="str">
        <f t="shared" si="4"/>
        <v/>
      </c>
      <c r="E6469" s="2">
        <f t="shared" si="5"/>
        <v>15115.49</v>
      </c>
      <c r="G6469" s="10">
        <f t="shared" si="9"/>
        <v>44451.64583</v>
      </c>
      <c r="H6469" s="6" t="str">
        <f t="shared" si="6"/>
        <v/>
      </c>
      <c r="I6469" s="2">
        <f t="shared" si="7"/>
        <v>1426.89</v>
      </c>
    </row>
    <row r="6470">
      <c r="A6470" s="10">
        <f t="shared" si="8"/>
        <v>44452.66667</v>
      </c>
      <c r="B6470" s="2" t="str">
        <f t="shared" si="2"/>
        <v/>
      </c>
      <c r="C6470" s="2" t="str">
        <f t="shared" si="3"/>
        <v>SP500</v>
      </c>
      <c r="D6470" s="2">
        <f t="shared" si="4"/>
        <v>15105.58</v>
      </c>
      <c r="E6470" s="2">
        <f t="shared" si="5"/>
        <v>15105.58</v>
      </c>
      <c r="G6470" s="10">
        <f t="shared" si="9"/>
        <v>44452.64583</v>
      </c>
      <c r="H6470" s="6" t="str">
        <f t="shared" si="6"/>
        <v/>
      </c>
      <c r="I6470" s="2">
        <f t="shared" si="7"/>
        <v>1426.89</v>
      </c>
    </row>
    <row r="6471">
      <c r="A6471" s="10">
        <f t="shared" si="8"/>
        <v>44453.66667</v>
      </c>
      <c r="B6471" s="2" t="str">
        <f t="shared" si="2"/>
        <v/>
      </c>
      <c r="C6471" s="2" t="str">
        <f t="shared" si="3"/>
        <v>SP500</v>
      </c>
      <c r="D6471" s="2">
        <f t="shared" si="4"/>
        <v>15037.76</v>
      </c>
      <c r="E6471" s="2">
        <f t="shared" si="5"/>
        <v>15037.76</v>
      </c>
      <c r="G6471" s="10">
        <f t="shared" si="9"/>
        <v>44453.64583</v>
      </c>
      <c r="H6471" s="6" t="str">
        <f t="shared" si="6"/>
        <v/>
      </c>
      <c r="I6471" s="2">
        <f t="shared" si="7"/>
        <v>1426.89</v>
      </c>
    </row>
    <row r="6472">
      <c r="A6472" s="10">
        <f t="shared" si="8"/>
        <v>44454.66667</v>
      </c>
      <c r="B6472" s="2" t="str">
        <f t="shared" si="2"/>
        <v/>
      </c>
      <c r="C6472" s="2" t="str">
        <f t="shared" si="3"/>
        <v>SP500</v>
      </c>
      <c r="D6472" s="2">
        <f t="shared" si="4"/>
        <v>15161.53</v>
      </c>
      <c r="E6472" s="2">
        <f t="shared" si="5"/>
        <v>15161.53</v>
      </c>
      <c r="G6472" s="10">
        <f t="shared" si="9"/>
        <v>44454.64583</v>
      </c>
      <c r="H6472" s="6" t="str">
        <f t="shared" si="6"/>
        <v/>
      </c>
      <c r="I6472" s="2">
        <f t="shared" si="7"/>
        <v>1426.89</v>
      </c>
    </row>
    <row r="6473">
      <c r="A6473" s="10">
        <f t="shared" si="8"/>
        <v>44455.66667</v>
      </c>
      <c r="B6473" s="2" t="str">
        <f t="shared" si="2"/>
        <v/>
      </c>
      <c r="C6473" s="2" t="str">
        <f t="shared" si="3"/>
        <v>SP500</v>
      </c>
      <c r="D6473" s="2">
        <f t="shared" si="4"/>
        <v>15181.92</v>
      </c>
      <c r="E6473" s="2">
        <f t="shared" si="5"/>
        <v>15181.92</v>
      </c>
      <c r="G6473" s="10">
        <f t="shared" si="9"/>
        <v>44455.64583</v>
      </c>
      <c r="H6473" s="6" t="str">
        <f t="shared" si="6"/>
        <v/>
      </c>
      <c r="I6473" s="2">
        <f t="shared" si="7"/>
        <v>1426.89</v>
      </c>
    </row>
    <row r="6474">
      <c r="A6474" s="10">
        <f t="shared" si="8"/>
        <v>44456.66667</v>
      </c>
      <c r="B6474" s="2" t="str">
        <f t="shared" si="2"/>
        <v/>
      </c>
      <c r="C6474" s="2" t="str">
        <f t="shared" si="3"/>
        <v>SP500</v>
      </c>
      <c r="D6474" s="2">
        <f t="shared" si="4"/>
        <v>15043.97</v>
      </c>
      <c r="E6474" s="2">
        <f t="shared" si="5"/>
        <v>15043.97</v>
      </c>
      <c r="G6474" s="10">
        <f t="shared" si="9"/>
        <v>44456.64583</v>
      </c>
      <c r="H6474" s="6" t="str">
        <f t="shared" si="6"/>
        <v/>
      </c>
      <c r="I6474" s="2">
        <f t="shared" si="7"/>
        <v>1426.89</v>
      </c>
    </row>
    <row r="6475">
      <c r="A6475" s="10">
        <f t="shared" si="8"/>
        <v>44457.66667</v>
      </c>
      <c r="B6475" s="2" t="str">
        <f t="shared" si="2"/>
        <v/>
      </c>
      <c r="C6475" s="2" t="str">
        <f t="shared" si="3"/>
        <v>SP500</v>
      </c>
      <c r="D6475" s="2" t="str">
        <f t="shared" si="4"/>
        <v/>
      </c>
      <c r="E6475" s="2">
        <f t="shared" si="5"/>
        <v>15043.97</v>
      </c>
      <c r="G6475" s="10">
        <f t="shared" si="9"/>
        <v>44457.64583</v>
      </c>
      <c r="H6475" s="6" t="str">
        <f t="shared" si="6"/>
        <v/>
      </c>
      <c r="I6475" s="2">
        <f t="shared" si="7"/>
        <v>1426.89</v>
      </c>
    </row>
    <row r="6476">
      <c r="A6476" s="10">
        <f t="shared" si="8"/>
        <v>44458.66667</v>
      </c>
      <c r="B6476" s="2" t="str">
        <f t="shared" si="2"/>
        <v/>
      </c>
      <c r="C6476" s="2" t="str">
        <f t="shared" si="3"/>
        <v>SP500</v>
      </c>
      <c r="D6476" s="2" t="str">
        <f t="shared" si="4"/>
        <v/>
      </c>
      <c r="E6476" s="2">
        <f t="shared" si="5"/>
        <v>15043.97</v>
      </c>
      <c r="G6476" s="10">
        <f t="shared" si="9"/>
        <v>44458.64583</v>
      </c>
      <c r="H6476" s="6" t="str">
        <f t="shared" si="6"/>
        <v/>
      </c>
      <c r="I6476" s="2">
        <f t="shared" si="7"/>
        <v>1426.89</v>
      </c>
    </row>
    <row r="6477">
      <c r="A6477" s="10">
        <f t="shared" si="8"/>
        <v>44459.66667</v>
      </c>
      <c r="B6477" s="2" t="str">
        <f t="shared" si="2"/>
        <v/>
      </c>
      <c r="C6477" s="2" t="str">
        <f t="shared" si="3"/>
        <v>SP500</v>
      </c>
      <c r="D6477" s="2">
        <f t="shared" si="4"/>
        <v>14713.9</v>
      </c>
      <c r="E6477" s="2">
        <f t="shared" si="5"/>
        <v>14713.9</v>
      </c>
      <c r="G6477" s="10">
        <f t="shared" si="9"/>
        <v>44459.64583</v>
      </c>
      <c r="H6477" s="6" t="str">
        <f t="shared" si="6"/>
        <v/>
      </c>
      <c r="I6477" s="2">
        <f t="shared" si="7"/>
        <v>1426.89</v>
      </c>
    </row>
    <row r="6478">
      <c r="A6478" s="10">
        <f t="shared" si="8"/>
        <v>44460.66667</v>
      </c>
      <c r="B6478" s="2" t="str">
        <f t="shared" si="2"/>
        <v/>
      </c>
      <c r="C6478" s="2" t="str">
        <f t="shared" si="3"/>
        <v>SP500</v>
      </c>
      <c r="D6478" s="2">
        <f t="shared" si="4"/>
        <v>14746.4</v>
      </c>
      <c r="E6478" s="2">
        <f t="shared" si="5"/>
        <v>14746.4</v>
      </c>
      <c r="G6478" s="10">
        <f t="shared" si="9"/>
        <v>44460.64583</v>
      </c>
      <c r="H6478" s="6" t="str">
        <f t="shared" si="6"/>
        <v/>
      </c>
      <c r="I6478" s="2">
        <f t="shared" si="7"/>
        <v>1426.89</v>
      </c>
    </row>
    <row r="6479">
      <c r="A6479" s="10">
        <f t="shared" si="8"/>
        <v>44461.66667</v>
      </c>
      <c r="B6479" s="2" t="str">
        <f t="shared" si="2"/>
        <v/>
      </c>
      <c r="C6479" s="2" t="str">
        <f t="shared" si="3"/>
        <v>SP500</v>
      </c>
      <c r="D6479" s="2">
        <f t="shared" si="4"/>
        <v>14896.85</v>
      </c>
      <c r="E6479" s="2">
        <f t="shared" si="5"/>
        <v>14896.85</v>
      </c>
      <c r="G6479" s="10">
        <f t="shared" si="9"/>
        <v>44461.64583</v>
      </c>
      <c r="H6479" s="6" t="str">
        <f t="shared" si="6"/>
        <v/>
      </c>
      <c r="I6479" s="2">
        <f t="shared" si="7"/>
        <v>1426.89</v>
      </c>
    </row>
    <row r="6480">
      <c r="A6480" s="10">
        <f t="shared" si="8"/>
        <v>44462.66667</v>
      </c>
      <c r="B6480" s="2" t="str">
        <f t="shared" si="2"/>
        <v/>
      </c>
      <c r="C6480" s="2" t="str">
        <f t="shared" si="3"/>
        <v>SP500</v>
      </c>
      <c r="D6480" s="2">
        <f t="shared" si="4"/>
        <v>15052.24</v>
      </c>
      <c r="E6480" s="2">
        <f t="shared" si="5"/>
        <v>15052.24</v>
      </c>
      <c r="G6480" s="10">
        <f t="shared" si="9"/>
        <v>44462.64583</v>
      </c>
      <c r="H6480" s="6" t="str">
        <f t="shared" si="6"/>
        <v/>
      </c>
      <c r="I6480" s="2">
        <f t="shared" si="7"/>
        <v>1426.89</v>
      </c>
    </row>
    <row r="6481">
      <c r="A6481" s="10">
        <f t="shared" si="8"/>
        <v>44463.66667</v>
      </c>
      <c r="B6481" s="2" t="str">
        <f t="shared" si="2"/>
        <v/>
      </c>
      <c r="C6481" s="2" t="str">
        <f t="shared" si="3"/>
        <v>SP500</v>
      </c>
      <c r="D6481" s="2">
        <f t="shared" si="4"/>
        <v>15047.7</v>
      </c>
      <c r="E6481" s="2">
        <f t="shared" si="5"/>
        <v>15047.7</v>
      </c>
      <c r="G6481" s="10">
        <f t="shared" si="9"/>
        <v>44463.64583</v>
      </c>
      <c r="H6481" s="6" t="str">
        <f t="shared" si="6"/>
        <v/>
      </c>
      <c r="I6481" s="2">
        <f t="shared" si="7"/>
        <v>1426.89</v>
      </c>
    </row>
    <row r="6482">
      <c r="A6482" s="10">
        <f t="shared" si="8"/>
        <v>44464.66667</v>
      </c>
      <c r="B6482" s="2" t="str">
        <f t="shared" si="2"/>
        <v/>
      </c>
      <c r="C6482" s="2" t="str">
        <f t="shared" si="3"/>
        <v>SP500</v>
      </c>
      <c r="D6482" s="2" t="str">
        <f t="shared" si="4"/>
        <v/>
      </c>
      <c r="E6482" s="2">
        <f t="shared" si="5"/>
        <v>15047.7</v>
      </c>
      <c r="G6482" s="10">
        <f t="shared" si="9"/>
        <v>44464.64583</v>
      </c>
      <c r="H6482" s="6" t="str">
        <f t="shared" si="6"/>
        <v/>
      </c>
      <c r="I6482" s="2">
        <f t="shared" si="7"/>
        <v>1426.89</v>
      </c>
    </row>
    <row r="6483">
      <c r="A6483" s="10">
        <f t="shared" si="8"/>
        <v>44465.66667</v>
      </c>
      <c r="B6483" s="2" t="str">
        <f t="shared" si="2"/>
        <v/>
      </c>
      <c r="C6483" s="2" t="str">
        <f t="shared" si="3"/>
        <v>SP500</v>
      </c>
      <c r="D6483" s="2" t="str">
        <f t="shared" si="4"/>
        <v/>
      </c>
      <c r="E6483" s="2">
        <f t="shared" si="5"/>
        <v>15047.7</v>
      </c>
      <c r="G6483" s="10">
        <f t="shared" si="9"/>
        <v>44465.64583</v>
      </c>
      <c r="H6483" s="6" t="str">
        <f t="shared" si="6"/>
        <v/>
      </c>
      <c r="I6483" s="2">
        <f t="shared" si="7"/>
        <v>1426.89</v>
      </c>
    </row>
    <row r="6484">
      <c r="A6484" s="10">
        <f t="shared" si="8"/>
        <v>44466.66667</v>
      </c>
      <c r="B6484" s="2" t="str">
        <f t="shared" si="2"/>
        <v/>
      </c>
      <c r="C6484" s="2" t="str">
        <f t="shared" si="3"/>
        <v>SP500</v>
      </c>
      <c r="D6484" s="2">
        <f t="shared" si="4"/>
        <v>14969.97</v>
      </c>
      <c r="E6484" s="2">
        <f t="shared" si="5"/>
        <v>14969.97</v>
      </c>
      <c r="G6484" s="10">
        <f t="shared" si="9"/>
        <v>44466.64583</v>
      </c>
      <c r="H6484" s="6" t="str">
        <f t="shared" si="6"/>
        <v/>
      </c>
      <c r="I6484" s="2">
        <f t="shared" si="7"/>
        <v>1426.89</v>
      </c>
    </row>
    <row r="6485">
      <c r="A6485" s="10">
        <f t="shared" si="8"/>
        <v>44467.66667</v>
      </c>
      <c r="B6485" s="2" t="str">
        <f t="shared" si="2"/>
        <v/>
      </c>
      <c r="C6485" s="2" t="str">
        <f t="shared" si="3"/>
        <v>SP500</v>
      </c>
      <c r="D6485" s="2">
        <f t="shared" si="4"/>
        <v>14546.68</v>
      </c>
      <c r="E6485" s="2">
        <f t="shared" si="5"/>
        <v>14546.68</v>
      </c>
      <c r="G6485" s="10">
        <f t="shared" si="9"/>
        <v>44467.64583</v>
      </c>
      <c r="H6485" s="6" t="str">
        <f t="shared" si="6"/>
        <v/>
      </c>
      <c r="I6485" s="2">
        <f t="shared" si="7"/>
        <v>1426.89</v>
      </c>
    </row>
    <row r="6486">
      <c r="A6486" s="10">
        <f t="shared" si="8"/>
        <v>44468.66667</v>
      </c>
      <c r="B6486" s="2" t="str">
        <f t="shared" si="2"/>
        <v/>
      </c>
      <c r="C6486" s="2" t="str">
        <f t="shared" si="3"/>
        <v>SP500</v>
      </c>
      <c r="D6486" s="2">
        <f t="shared" si="4"/>
        <v>14512.44</v>
      </c>
      <c r="E6486" s="2">
        <f t="shared" si="5"/>
        <v>14512.44</v>
      </c>
      <c r="G6486" s="10">
        <f t="shared" si="9"/>
        <v>44468.64583</v>
      </c>
      <c r="H6486" s="6" t="str">
        <f t="shared" si="6"/>
        <v/>
      </c>
      <c r="I6486" s="2">
        <f t="shared" si="7"/>
        <v>1426.89</v>
      </c>
    </row>
    <row r="6487">
      <c r="A6487" s="10">
        <f t="shared" si="8"/>
        <v>44469.66667</v>
      </c>
      <c r="B6487" s="2" t="str">
        <f t="shared" si="2"/>
        <v/>
      </c>
      <c r="C6487" s="2" t="str">
        <f t="shared" si="3"/>
        <v>SP500</v>
      </c>
      <c r="D6487" s="2">
        <f t="shared" si="4"/>
        <v>14448.58</v>
      </c>
      <c r="E6487" s="2">
        <f t="shared" si="5"/>
        <v>14448.58</v>
      </c>
      <c r="G6487" s="10">
        <f t="shared" si="9"/>
        <v>44469.64583</v>
      </c>
      <c r="H6487" s="6" t="str">
        <f t="shared" si="6"/>
        <v/>
      </c>
      <c r="I6487" s="2">
        <f t="shared" si="7"/>
        <v>1426.89</v>
      </c>
    </row>
    <row r="6488">
      <c r="A6488" s="10">
        <f t="shared" si="8"/>
        <v>44470.66667</v>
      </c>
      <c r="B6488" s="2" t="str">
        <f t="shared" si="2"/>
        <v/>
      </c>
      <c r="C6488" s="2" t="str">
        <f t="shared" si="3"/>
        <v>SP500</v>
      </c>
      <c r="D6488" s="2">
        <f t="shared" si="4"/>
        <v>14566.7</v>
      </c>
      <c r="E6488" s="2">
        <f t="shared" si="5"/>
        <v>14566.7</v>
      </c>
      <c r="G6488" s="10">
        <f t="shared" si="9"/>
        <v>44470.64583</v>
      </c>
      <c r="H6488" s="6" t="str">
        <f t="shared" si="6"/>
        <v/>
      </c>
      <c r="I6488" s="2">
        <f t="shared" si="7"/>
        <v>1426.89</v>
      </c>
    </row>
    <row r="6489">
      <c r="A6489" s="10">
        <f t="shared" si="8"/>
        <v>44471.66667</v>
      </c>
      <c r="B6489" s="2" t="str">
        <f t="shared" si="2"/>
        <v/>
      </c>
      <c r="C6489" s="2" t="str">
        <f t="shared" si="3"/>
        <v>SP500</v>
      </c>
      <c r="D6489" s="2" t="str">
        <f t="shared" si="4"/>
        <v/>
      </c>
      <c r="E6489" s="2">
        <f t="shared" si="5"/>
        <v>14566.7</v>
      </c>
      <c r="G6489" s="10">
        <f t="shared" si="9"/>
        <v>44471.64583</v>
      </c>
      <c r="H6489" s="6" t="str">
        <f t="shared" si="6"/>
        <v/>
      </c>
      <c r="I6489" s="2">
        <f t="shared" si="7"/>
        <v>1426.89</v>
      </c>
    </row>
    <row r="6490">
      <c r="A6490" s="10">
        <f t="shared" si="8"/>
        <v>44472.66667</v>
      </c>
      <c r="B6490" s="2" t="str">
        <f t="shared" si="2"/>
        <v/>
      </c>
      <c r="C6490" s="2" t="str">
        <f t="shared" si="3"/>
        <v>SP500</v>
      </c>
      <c r="D6490" s="2" t="str">
        <f t="shared" si="4"/>
        <v/>
      </c>
      <c r="E6490" s="2">
        <f t="shared" si="5"/>
        <v>14566.7</v>
      </c>
      <c r="G6490" s="10">
        <f t="shared" si="9"/>
        <v>44472.64583</v>
      </c>
      <c r="H6490" s="6" t="str">
        <f t="shared" si="6"/>
        <v/>
      </c>
      <c r="I6490" s="2">
        <f t="shared" si="7"/>
        <v>1426.89</v>
      </c>
    </row>
    <row r="6491">
      <c r="A6491" s="10">
        <f t="shared" si="8"/>
        <v>44473.66667</v>
      </c>
      <c r="B6491" s="2" t="str">
        <f t="shared" si="2"/>
        <v/>
      </c>
      <c r="C6491" s="2" t="str">
        <f t="shared" si="3"/>
        <v>SP500</v>
      </c>
      <c r="D6491" s="2">
        <f t="shared" si="4"/>
        <v>14255.49</v>
      </c>
      <c r="E6491" s="2">
        <f t="shared" si="5"/>
        <v>14255.49</v>
      </c>
      <c r="G6491" s="10">
        <f t="shared" si="9"/>
        <v>44473.64583</v>
      </c>
      <c r="H6491" s="6" t="str">
        <f t="shared" si="6"/>
        <v/>
      </c>
      <c r="I6491" s="2">
        <f t="shared" si="7"/>
        <v>1426.89</v>
      </c>
    </row>
    <row r="6492">
      <c r="A6492" s="10">
        <f t="shared" si="8"/>
        <v>44474.66667</v>
      </c>
      <c r="B6492" s="2" t="str">
        <f t="shared" si="2"/>
        <v/>
      </c>
      <c r="C6492" s="2" t="str">
        <f t="shared" si="3"/>
        <v>SP500</v>
      </c>
      <c r="D6492" s="2">
        <f t="shared" si="4"/>
        <v>14433.83</v>
      </c>
      <c r="E6492" s="2">
        <f t="shared" si="5"/>
        <v>14433.83</v>
      </c>
      <c r="G6492" s="10">
        <f t="shared" si="9"/>
        <v>44474.64583</v>
      </c>
      <c r="H6492" s="6" t="str">
        <f t="shared" si="6"/>
        <v/>
      </c>
      <c r="I6492" s="2">
        <f t="shared" si="7"/>
        <v>1426.89</v>
      </c>
    </row>
    <row r="6493">
      <c r="A6493" s="10">
        <f t="shared" si="8"/>
        <v>44475.66667</v>
      </c>
      <c r="B6493" s="2" t="str">
        <f t="shared" si="2"/>
        <v/>
      </c>
      <c r="C6493" s="2" t="str">
        <f t="shared" si="3"/>
        <v>SP500</v>
      </c>
      <c r="D6493" s="2">
        <f t="shared" si="4"/>
        <v>14501.91</v>
      </c>
      <c r="E6493" s="2">
        <f t="shared" si="5"/>
        <v>14501.91</v>
      </c>
      <c r="G6493" s="10">
        <f t="shared" si="9"/>
        <v>44475.64583</v>
      </c>
      <c r="H6493" s="6" t="str">
        <f t="shared" si="6"/>
        <v/>
      </c>
      <c r="I6493" s="2">
        <f t="shared" si="7"/>
        <v>1426.89</v>
      </c>
    </row>
    <row r="6494">
      <c r="A6494" s="10">
        <f t="shared" si="8"/>
        <v>44476.66667</v>
      </c>
      <c r="B6494" s="2" t="str">
        <f t="shared" si="2"/>
        <v/>
      </c>
      <c r="C6494" s="2" t="str">
        <f t="shared" si="3"/>
        <v>SP500</v>
      </c>
      <c r="D6494" s="2">
        <f t="shared" si="4"/>
        <v>14654.02</v>
      </c>
      <c r="E6494" s="2">
        <f t="shared" si="5"/>
        <v>14654.02</v>
      </c>
      <c r="G6494" s="10">
        <f t="shared" si="9"/>
        <v>44476.64583</v>
      </c>
      <c r="H6494" s="6" t="str">
        <f t="shared" si="6"/>
        <v/>
      </c>
      <c r="I6494" s="2">
        <f t="shared" si="7"/>
        <v>1426.89</v>
      </c>
    </row>
    <row r="6495">
      <c r="A6495" s="10">
        <f t="shared" si="8"/>
        <v>44477.66667</v>
      </c>
      <c r="B6495" s="2" t="str">
        <f t="shared" si="2"/>
        <v/>
      </c>
      <c r="C6495" s="2" t="str">
        <f t="shared" si="3"/>
        <v>SP500</v>
      </c>
      <c r="D6495" s="2">
        <f t="shared" si="4"/>
        <v>14579.54</v>
      </c>
      <c r="E6495" s="2">
        <f t="shared" si="5"/>
        <v>14579.54</v>
      </c>
      <c r="G6495" s="10">
        <f t="shared" si="9"/>
        <v>44477.64583</v>
      </c>
      <c r="H6495" s="6" t="str">
        <f t="shared" si="6"/>
        <v/>
      </c>
      <c r="I6495" s="2">
        <f t="shared" si="7"/>
        <v>1426.89</v>
      </c>
    </row>
    <row r="6496">
      <c r="A6496" s="10">
        <f t="shared" si="8"/>
        <v>44478.66667</v>
      </c>
      <c r="B6496" s="2" t="str">
        <f t="shared" si="2"/>
        <v/>
      </c>
      <c r="C6496" s="2" t="str">
        <f t="shared" si="3"/>
        <v>SP500</v>
      </c>
      <c r="D6496" s="2" t="str">
        <f t="shared" si="4"/>
        <v/>
      </c>
      <c r="E6496" s="2">
        <f t="shared" si="5"/>
        <v>14579.54</v>
      </c>
      <c r="G6496" s="10">
        <f t="shared" si="9"/>
        <v>44478.64583</v>
      </c>
      <c r="H6496" s="6" t="str">
        <f t="shared" si="6"/>
        <v/>
      </c>
      <c r="I6496" s="2">
        <f t="shared" si="7"/>
        <v>1426.89</v>
      </c>
    </row>
    <row r="6497">
      <c r="A6497" s="10">
        <f t="shared" si="8"/>
        <v>44479.66667</v>
      </c>
      <c r="B6497" s="2" t="str">
        <f t="shared" si="2"/>
        <v/>
      </c>
      <c r="C6497" s="2" t="str">
        <f t="shared" si="3"/>
        <v>SP500</v>
      </c>
      <c r="D6497" s="2" t="str">
        <f t="shared" si="4"/>
        <v/>
      </c>
      <c r="E6497" s="2">
        <f t="shared" si="5"/>
        <v>14579.54</v>
      </c>
      <c r="G6497" s="10">
        <f t="shared" si="9"/>
        <v>44479.64583</v>
      </c>
      <c r="H6497" s="6" t="str">
        <f t="shared" si="6"/>
        <v/>
      </c>
      <c r="I6497" s="2">
        <f t="shared" si="7"/>
        <v>1426.89</v>
      </c>
    </row>
    <row r="6498">
      <c r="A6498" s="10">
        <f t="shared" si="8"/>
        <v>44480.66667</v>
      </c>
      <c r="B6498" s="2" t="str">
        <f t="shared" si="2"/>
        <v/>
      </c>
      <c r="C6498" s="2" t="str">
        <f t="shared" si="3"/>
        <v>SP500</v>
      </c>
      <c r="D6498" s="2">
        <f t="shared" si="4"/>
        <v>14486.2</v>
      </c>
      <c r="E6498" s="2">
        <f t="shared" si="5"/>
        <v>14486.2</v>
      </c>
      <c r="G6498" s="10">
        <f t="shared" si="9"/>
        <v>44480.64583</v>
      </c>
      <c r="H6498" s="6" t="str">
        <f t="shared" si="6"/>
        <v/>
      </c>
      <c r="I6498" s="2">
        <f t="shared" si="7"/>
        <v>1426.89</v>
      </c>
    </row>
    <row r="6499">
      <c r="A6499" s="10">
        <f t="shared" si="8"/>
        <v>44481.66667</v>
      </c>
      <c r="B6499" s="2" t="str">
        <f t="shared" si="2"/>
        <v/>
      </c>
      <c r="C6499" s="2" t="str">
        <f t="shared" si="3"/>
        <v>SP500</v>
      </c>
      <c r="D6499" s="2">
        <f t="shared" si="4"/>
        <v>14465.93</v>
      </c>
      <c r="E6499" s="2">
        <f t="shared" si="5"/>
        <v>14465.93</v>
      </c>
      <c r="G6499" s="10">
        <f t="shared" si="9"/>
        <v>44481.64583</v>
      </c>
      <c r="H6499" s="6" t="str">
        <f t="shared" si="6"/>
        <v/>
      </c>
      <c r="I6499" s="2">
        <f t="shared" si="7"/>
        <v>1426.89</v>
      </c>
    </row>
    <row r="6500">
      <c r="A6500" s="10">
        <f t="shared" si="8"/>
        <v>44482.66667</v>
      </c>
      <c r="B6500" s="2" t="str">
        <f t="shared" si="2"/>
        <v/>
      </c>
      <c r="C6500" s="2" t="str">
        <f t="shared" si="3"/>
        <v>SP500</v>
      </c>
      <c r="D6500" s="2">
        <f t="shared" si="4"/>
        <v>14571.64</v>
      </c>
      <c r="E6500" s="2">
        <f t="shared" si="5"/>
        <v>14571.64</v>
      </c>
      <c r="G6500" s="10">
        <f t="shared" si="9"/>
        <v>44482.64583</v>
      </c>
      <c r="H6500" s="6" t="str">
        <f t="shared" si="6"/>
        <v/>
      </c>
      <c r="I6500" s="2">
        <f t="shared" si="7"/>
        <v>1426.89</v>
      </c>
    </row>
    <row r="6501">
      <c r="A6501" s="10">
        <f t="shared" si="8"/>
        <v>44483.66667</v>
      </c>
      <c r="B6501" s="2" t="str">
        <f t="shared" si="2"/>
        <v/>
      </c>
      <c r="C6501" s="2" t="str">
        <f t="shared" si="3"/>
        <v>SP500</v>
      </c>
      <c r="D6501" s="2">
        <f t="shared" si="4"/>
        <v>14823.43</v>
      </c>
      <c r="E6501" s="2">
        <f t="shared" si="5"/>
        <v>14823.43</v>
      </c>
      <c r="G6501" s="10">
        <f t="shared" si="9"/>
        <v>44483.64583</v>
      </c>
      <c r="H6501" s="6" t="str">
        <f t="shared" si="6"/>
        <v/>
      </c>
      <c r="I6501" s="2">
        <f t="shared" si="7"/>
        <v>1426.89</v>
      </c>
    </row>
    <row r="6502">
      <c r="A6502" s="10">
        <f t="shared" si="8"/>
        <v>44484.66667</v>
      </c>
      <c r="B6502" s="2" t="str">
        <f t="shared" si="2"/>
        <v/>
      </c>
      <c r="C6502" s="2" t="str">
        <f t="shared" si="3"/>
        <v>SP500</v>
      </c>
      <c r="D6502" s="2">
        <f t="shared" si="4"/>
        <v>14897.34</v>
      </c>
      <c r="E6502" s="2">
        <f t="shared" si="5"/>
        <v>14897.34</v>
      </c>
      <c r="G6502" s="10">
        <f t="shared" si="9"/>
        <v>44484.64583</v>
      </c>
      <c r="H6502" s="6" t="str">
        <f t="shared" si="6"/>
        <v/>
      </c>
      <c r="I6502" s="2">
        <f t="shared" si="7"/>
        <v>1426.89</v>
      </c>
    </row>
    <row r="6503">
      <c r="A6503" s="10">
        <f t="shared" si="8"/>
        <v>44485.66667</v>
      </c>
      <c r="B6503" s="2" t="str">
        <f t="shared" si="2"/>
        <v/>
      </c>
      <c r="C6503" s="2" t="str">
        <f t="shared" si="3"/>
        <v>SP500</v>
      </c>
      <c r="D6503" s="2" t="str">
        <f t="shared" si="4"/>
        <v/>
      </c>
      <c r="E6503" s="2">
        <f t="shared" si="5"/>
        <v>14897.34</v>
      </c>
      <c r="G6503" s="10">
        <f t="shared" si="9"/>
        <v>44485.64583</v>
      </c>
      <c r="H6503" s="6" t="str">
        <f t="shared" si="6"/>
        <v/>
      </c>
      <c r="I6503" s="2">
        <f t="shared" si="7"/>
        <v>1426.89</v>
      </c>
    </row>
    <row r="6504">
      <c r="A6504" s="10">
        <f t="shared" si="8"/>
        <v>44486.66667</v>
      </c>
      <c r="B6504" s="2" t="str">
        <f t="shared" si="2"/>
        <v/>
      </c>
      <c r="C6504" s="2" t="str">
        <f t="shared" si="3"/>
        <v>SP500</v>
      </c>
      <c r="D6504" s="2" t="str">
        <f t="shared" si="4"/>
        <v/>
      </c>
      <c r="E6504" s="2">
        <f t="shared" si="5"/>
        <v>14897.34</v>
      </c>
      <c r="G6504" s="10">
        <f t="shared" si="9"/>
        <v>44486.64583</v>
      </c>
      <c r="H6504" s="6" t="str">
        <f t="shared" si="6"/>
        <v/>
      </c>
      <c r="I6504" s="2">
        <f t="shared" si="7"/>
        <v>1426.89</v>
      </c>
    </row>
    <row r="6505">
      <c r="A6505" s="10">
        <f t="shared" si="8"/>
        <v>44487.66667</v>
      </c>
      <c r="B6505" s="2" t="str">
        <f t="shared" si="2"/>
        <v/>
      </c>
      <c r="C6505" s="2" t="str">
        <f t="shared" si="3"/>
        <v>SP500</v>
      </c>
      <c r="D6505" s="2">
        <f t="shared" si="4"/>
        <v>15021.81</v>
      </c>
      <c r="E6505" s="2">
        <f t="shared" si="5"/>
        <v>15021.81</v>
      </c>
      <c r="G6505" s="10">
        <f t="shared" si="9"/>
        <v>44487.64583</v>
      </c>
      <c r="H6505" s="6" t="str">
        <f t="shared" si="6"/>
        <v/>
      </c>
      <c r="I6505" s="2">
        <f t="shared" si="7"/>
        <v>1426.89</v>
      </c>
    </row>
    <row r="6506">
      <c r="A6506" s="10">
        <f t="shared" si="8"/>
        <v>44488.66667</v>
      </c>
      <c r="B6506" s="2" t="str">
        <f t="shared" si="2"/>
        <v/>
      </c>
      <c r="C6506" s="2" t="str">
        <f t="shared" si="3"/>
        <v>SP500</v>
      </c>
      <c r="D6506" s="2">
        <f t="shared" si="4"/>
        <v>15129.09</v>
      </c>
      <c r="E6506" s="2">
        <f t="shared" si="5"/>
        <v>15129.09</v>
      </c>
      <c r="G6506" s="10">
        <f t="shared" si="9"/>
        <v>44488.64583</v>
      </c>
      <c r="H6506" s="6" t="str">
        <f t="shared" si="6"/>
        <v/>
      </c>
      <c r="I6506" s="2">
        <f t="shared" si="7"/>
        <v>1426.89</v>
      </c>
    </row>
    <row r="6507">
      <c r="A6507" s="10">
        <f t="shared" si="8"/>
        <v>44489.66667</v>
      </c>
      <c r="B6507" s="2" t="str">
        <f t="shared" si="2"/>
        <v/>
      </c>
      <c r="C6507" s="2" t="str">
        <f t="shared" si="3"/>
        <v>SP500</v>
      </c>
      <c r="D6507" s="2">
        <f t="shared" si="4"/>
        <v>15121.68</v>
      </c>
      <c r="E6507" s="2">
        <f t="shared" si="5"/>
        <v>15121.68</v>
      </c>
      <c r="G6507" s="10">
        <f t="shared" si="9"/>
        <v>44489.64583</v>
      </c>
      <c r="H6507" s="6" t="str">
        <f t="shared" si="6"/>
        <v/>
      </c>
      <c r="I6507" s="2">
        <f t="shared" si="7"/>
        <v>1426.89</v>
      </c>
    </row>
    <row r="6508">
      <c r="A6508" s="10">
        <f t="shared" si="8"/>
        <v>44490.66667</v>
      </c>
      <c r="B6508" s="2" t="str">
        <f t="shared" si="2"/>
        <v/>
      </c>
      <c r="C6508" s="2" t="str">
        <f t="shared" si="3"/>
        <v>SP500</v>
      </c>
      <c r="D6508" s="2">
        <f t="shared" si="4"/>
        <v>15215.7</v>
      </c>
      <c r="E6508" s="2">
        <f t="shared" si="5"/>
        <v>15215.7</v>
      </c>
      <c r="G6508" s="10">
        <f t="shared" si="9"/>
        <v>44490.64583</v>
      </c>
      <c r="H6508" s="6" t="str">
        <f t="shared" si="6"/>
        <v/>
      </c>
      <c r="I6508" s="2">
        <f t="shared" si="7"/>
        <v>1426.89</v>
      </c>
    </row>
    <row r="6509">
      <c r="A6509" s="10">
        <f t="shared" si="8"/>
        <v>44491.66667</v>
      </c>
      <c r="B6509" s="2" t="str">
        <f t="shared" si="2"/>
        <v/>
      </c>
      <c r="C6509" s="2" t="str">
        <f t="shared" si="3"/>
        <v>SP500</v>
      </c>
      <c r="D6509" s="2">
        <f t="shared" si="4"/>
        <v>15090.2</v>
      </c>
      <c r="E6509" s="2">
        <f t="shared" si="5"/>
        <v>15090.2</v>
      </c>
      <c r="G6509" s="10">
        <f t="shared" si="9"/>
        <v>44491.64583</v>
      </c>
      <c r="H6509" s="6" t="str">
        <f t="shared" si="6"/>
        <v/>
      </c>
      <c r="I6509" s="2">
        <f t="shared" si="7"/>
        <v>1426.89</v>
      </c>
    </row>
    <row r="6510">
      <c r="A6510" s="10">
        <f t="shared" si="8"/>
        <v>44492.66667</v>
      </c>
      <c r="B6510" s="2" t="str">
        <f t="shared" si="2"/>
        <v/>
      </c>
      <c r="C6510" s="2" t="str">
        <f t="shared" si="3"/>
        <v>SP500</v>
      </c>
      <c r="D6510" s="2" t="str">
        <f t="shared" si="4"/>
        <v/>
      </c>
      <c r="E6510" s="2">
        <f t="shared" si="5"/>
        <v>15090.2</v>
      </c>
      <c r="G6510" s="10">
        <f t="shared" si="9"/>
        <v>44492.64583</v>
      </c>
      <c r="H6510" s="6" t="str">
        <f t="shared" si="6"/>
        <v/>
      </c>
      <c r="I6510" s="2">
        <f t="shared" si="7"/>
        <v>1426.89</v>
      </c>
    </row>
    <row r="6511">
      <c r="A6511" s="10">
        <f t="shared" si="8"/>
        <v>44493.66667</v>
      </c>
      <c r="B6511" s="2" t="str">
        <f t="shared" si="2"/>
        <v/>
      </c>
      <c r="C6511" s="2" t="str">
        <f t="shared" si="3"/>
        <v>SP500</v>
      </c>
      <c r="D6511" s="2" t="str">
        <f t="shared" si="4"/>
        <v/>
      </c>
      <c r="E6511" s="2">
        <f t="shared" si="5"/>
        <v>15090.2</v>
      </c>
      <c r="G6511" s="10">
        <f t="shared" si="9"/>
        <v>44493.64583</v>
      </c>
      <c r="H6511" s="6" t="str">
        <f t="shared" si="6"/>
        <v/>
      </c>
      <c r="I6511" s="2">
        <f t="shared" si="7"/>
        <v>1426.89</v>
      </c>
    </row>
    <row r="6512">
      <c r="A6512" s="10">
        <f t="shared" si="8"/>
        <v>44494.66667</v>
      </c>
      <c r="B6512" s="2" t="str">
        <f t="shared" si="2"/>
        <v/>
      </c>
      <c r="C6512" s="2" t="str">
        <f t="shared" si="3"/>
        <v>SP500</v>
      </c>
      <c r="D6512" s="2">
        <f t="shared" si="4"/>
        <v>15226.71</v>
      </c>
      <c r="E6512" s="2">
        <f t="shared" si="5"/>
        <v>15226.71</v>
      </c>
      <c r="G6512" s="10">
        <f t="shared" si="9"/>
        <v>44494.64583</v>
      </c>
      <c r="H6512" s="6" t="str">
        <f t="shared" si="6"/>
        <v/>
      </c>
      <c r="I6512" s="2">
        <f t="shared" si="7"/>
        <v>1426.89</v>
      </c>
    </row>
    <row r="6513">
      <c r="A6513" s="10">
        <f t="shared" si="8"/>
        <v>44495.66667</v>
      </c>
      <c r="B6513" s="2" t="str">
        <f t="shared" si="2"/>
        <v/>
      </c>
      <c r="C6513" s="2" t="str">
        <f t="shared" si="3"/>
        <v>SP500</v>
      </c>
      <c r="D6513" s="2">
        <f t="shared" si="4"/>
        <v>15235.72</v>
      </c>
      <c r="E6513" s="2">
        <f t="shared" si="5"/>
        <v>15235.72</v>
      </c>
      <c r="G6513" s="10">
        <f t="shared" si="9"/>
        <v>44495.64583</v>
      </c>
      <c r="H6513" s="6" t="str">
        <f t="shared" si="6"/>
        <v/>
      </c>
      <c r="I6513" s="2">
        <f t="shared" si="7"/>
        <v>1426.89</v>
      </c>
    </row>
    <row r="6514">
      <c r="A6514" s="10">
        <f t="shared" si="8"/>
        <v>44496.66667</v>
      </c>
      <c r="B6514" s="2" t="str">
        <f t="shared" si="2"/>
        <v/>
      </c>
      <c r="C6514" s="2" t="str">
        <f t="shared" si="3"/>
        <v>SP500</v>
      </c>
      <c r="D6514" s="2">
        <f t="shared" si="4"/>
        <v>15235.84</v>
      </c>
      <c r="E6514" s="2">
        <f t="shared" si="5"/>
        <v>15235.84</v>
      </c>
      <c r="G6514" s="10">
        <f t="shared" si="9"/>
        <v>44496.64583</v>
      </c>
      <c r="H6514" s="6" t="str">
        <f t="shared" si="6"/>
        <v/>
      </c>
      <c r="I6514" s="2">
        <f t="shared" si="7"/>
        <v>1426.89</v>
      </c>
    </row>
    <row r="6515">
      <c r="A6515" s="10">
        <f t="shared" si="8"/>
        <v>44497.66667</v>
      </c>
      <c r="B6515" s="2" t="str">
        <f t="shared" si="2"/>
        <v/>
      </c>
      <c r="C6515" s="2" t="str">
        <f t="shared" si="3"/>
        <v>SP500</v>
      </c>
      <c r="D6515" s="2">
        <f t="shared" si="4"/>
        <v>15448.12</v>
      </c>
      <c r="E6515" s="2">
        <f t="shared" si="5"/>
        <v>15448.12</v>
      </c>
      <c r="G6515" s="10">
        <f t="shared" si="9"/>
        <v>44497.64583</v>
      </c>
      <c r="H6515" s="6" t="str">
        <f t="shared" si="6"/>
        <v/>
      </c>
      <c r="I6515" s="2">
        <f t="shared" si="7"/>
        <v>1426.89</v>
      </c>
    </row>
    <row r="6516">
      <c r="A6516" s="10">
        <f t="shared" si="8"/>
        <v>44498.66667</v>
      </c>
      <c r="B6516" s="2" t="str">
        <f t="shared" si="2"/>
        <v/>
      </c>
      <c r="C6516" s="2" t="str">
        <f t="shared" si="3"/>
        <v>SP500</v>
      </c>
      <c r="D6516" s="2">
        <f t="shared" si="4"/>
        <v>15498.39</v>
      </c>
      <c r="E6516" s="2">
        <f t="shared" si="5"/>
        <v>15498.39</v>
      </c>
      <c r="G6516" s="10">
        <f t="shared" si="9"/>
        <v>44498.64583</v>
      </c>
      <c r="H6516" s="6" t="str">
        <f t="shared" si="6"/>
        <v/>
      </c>
      <c r="I6516" s="2">
        <f t="shared" si="7"/>
        <v>1426.89</v>
      </c>
    </row>
    <row r="6517">
      <c r="A6517" s="10">
        <f t="shared" si="8"/>
        <v>44499.66667</v>
      </c>
      <c r="B6517" s="2" t="str">
        <f t="shared" si="2"/>
        <v/>
      </c>
      <c r="C6517" s="2" t="str">
        <f t="shared" si="3"/>
        <v>SP500</v>
      </c>
      <c r="D6517" s="2" t="str">
        <f t="shared" si="4"/>
        <v/>
      </c>
      <c r="E6517" s="2">
        <f t="shared" si="5"/>
        <v>15498.39</v>
      </c>
      <c r="G6517" s="10">
        <f t="shared" si="9"/>
        <v>44499.64583</v>
      </c>
      <c r="H6517" s="6" t="str">
        <f t="shared" si="6"/>
        <v/>
      </c>
      <c r="I6517" s="2">
        <f t="shared" si="7"/>
        <v>1426.89</v>
      </c>
    </row>
    <row r="6518">
      <c r="A6518" s="10">
        <f t="shared" si="8"/>
        <v>44500.66667</v>
      </c>
      <c r="B6518" s="2" t="str">
        <f t="shared" si="2"/>
        <v/>
      </c>
      <c r="C6518" s="2" t="str">
        <f t="shared" si="3"/>
        <v>SP500</v>
      </c>
      <c r="D6518" s="2" t="str">
        <f t="shared" si="4"/>
        <v/>
      </c>
      <c r="E6518" s="2">
        <f t="shared" si="5"/>
        <v>15498.39</v>
      </c>
      <c r="G6518" s="10">
        <f t="shared" si="9"/>
        <v>44500.64583</v>
      </c>
      <c r="H6518" s="6" t="str">
        <f t="shared" si="6"/>
        <v/>
      </c>
      <c r="I6518" s="2">
        <f t="shared" si="7"/>
        <v>1426.89</v>
      </c>
    </row>
    <row r="6519">
      <c r="A6519" s="10">
        <f t="shared" si="8"/>
        <v>44501.66667</v>
      </c>
      <c r="B6519" s="2" t="str">
        <f t="shared" si="2"/>
        <v/>
      </c>
      <c r="C6519" s="2" t="str">
        <f t="shared" si="3"/>
        <v>SP500</v>
      </c>
      <c r="D6519" s="2">
        <f t="shared" si="4"/>
        <v>15595.92</v>
      </c>
      <c r="E6519" s="2">
        <f t="shared" si="5"/>
        <v>15595.92</v>
      </c>
      <c r="G6519" s="10">
        <f t="shared" si="9"/>
        <v>44501.64583</v>
      </c>
      <c r="H6519" s="6" t="str">
        <f t="shared" si="6"/>
        <v/>
      </c>
      <c r="I6519" s="2">
        <f t="shared" si="7"/>
        <v>1426.89</v>
      </c>
    </row>
    <row r="6520">
      <c r="A6520" s="10">
        <f t="shared" si="8"/>
        <v>44502.66667</v>
      </c>
      <c r="B6520" s="2" t="str">
        <f t="shared" si="2"/>
        <v/>
      </c>
      <c r="C6520" s="2" t="str">
        <f t="shared" si="3"/>
        <v>SP500</v>
      </c>
      <c r="D6520" s="2">
        <f t="shared" si="4"/>
        <v>15649.6</v>
      </c>
      <c r="E6520" s="2">
        <f t="shared" si="5"/>
        <v>15649.6</v>
      </c>
      <c r="G6520" s="10">
        <f t="shared" si="9"/>
        <v>44502.64583</v>
      </c>
      <c r="H6520" s="6" t="str">
        <f t="shared" si="6"/>
        <v/>
      </c>
      <c r="I6520" s="2">
        <f t="shared" si="7"/>
        <v>1426.89</v>
      </c>
    </row>
    <row r="6521">
      <c r="A6521" s="10">
        <f t="shared" si="8"/>
        <v>44503.66667</v>
      </c>
      <c r="B6521" s="2" t="str">
        <f t="shared" si="2"/>
        <v/>
      </c>
      <c r="C6521" s="2" t="str">
        <f t="shared" si="3"/>
        <v>SP500</v>
      </c>
      <c r="D6521" s="2">
        <f t="shared" si="4"/>
        <v>15811.58</v>
      </c>
      <c r="E6521" s="2">
        <f t="shared" si="5"/>
        <v>15811.58</v>
      </c>
      <c r="G6521" s="10">
        <f t="shared" si="9"/>
        <v>44503.64583</v>
      </c>
      <c r="H6521" s="6" t="str">
        <f t="shared" si="6"/>
        <v/>
      </c>
      <c r="I6521" s="2">
        <f t="shared" si="7"/>
        <v>1426.89</v>
      </c>
    </row>
    <row r="6522">
      <c r="A6522" s="10">
        <f t="shared" si="8"/>
        <v>44504.66667</v>
      </c>
      <c r="B6522" s="2" t="str">
        <f t="shared" si="2"/>
        <v/>
      </c>
      <c r="C6522" s="2" t="str">
        <f t="shared" si="3"/>
        <v>SP500</v>
      </c>
      <c r="D6522" s="2">
        <f t="shared" si="4"/>
        <v>15940.31</v>
      </c>
      <c r="E6522" s="2">
        <f t="shared" si="5"/>
        <v>15940.31</v>
      </c>
      <c r="G6522" s="10">
        <f t="shared" si="9"/>
        <v>44504.64583</v>
      </c>
      <c r="H6522" s="6" t="str">
        <f t="shared" si="6"/>
        <v/>
      </c>
      <c r="I6522" s="2">
        <f t="shared" si="7"/>
        <v>1426.89</v>
      </c>
    </row>
    <row r="6523">
      <c r="A6523" s="10">
        <f t="shared" si="8"/>
        <v>44505.66667</v>
      </c>
      <c r="B6523" s="2" t="str">
        <f t="shared" si="2"/>
        <v/>
      </c>
      <c r="C6523" s="2" t="str">
        <f t="shared" si="3"/>
        <v>SP500</v>
      </c>
      <c r="D6523" s="2">
        <f t="shared" si="4"/>
        <v>15971.59</v>
      </c>
      <c r="E6523" s="2">
        <f t="shared" si="5"/>
        <v>15971.59</v>
      </c>
      <c r="G6523" s="10">
        <f t="shared" si="9"/>
        <v>44505.64583</v>
      </c>
      <c r="H6523" s="6" t="str">
        <f t="shared" si="6"/>
        <v/>
      </c>
      <c r="I6523" s="2">
        <f t="shared" si="7"/>
        <v>1426.89</v>
      </c>
    </row>
    <row r="6524">
      <c r="A6524" s="10">
        <f t="shared" si="8"/>
        <v>44506.66667</v>
      </c>
      <c r="B6524" s="2" t="str">
        <f t="shared" si="2"/>
        <v/>
      </c>
      <c r="C6524" s="2" t="str">
        <f t="shared" si="3"/>
        <v>SP500</v>
      </c>
      <c r="D6524" s="2" t="str">
        <f t="shared" si="4"/>
        <v/>
      </c>
      <c r="E6524" s="2">
        <f t="shared" si="5"/>
        <v>15971.59</v>
      </c>
      <c r="G6524" s="10">
        <f t="shared" si="9"/>
        <v>44506.64583</v>
      </c>
      <c r="H6524" s="6" t="str">
        <f t="shared" si="6"/>
        <v/>
      </c>
      <c r="I6524" s="2">
        <f t="shared" si="7"/>
        <v>1426.89</v>
      </c>
    </row>
    <row r="6525">
      <c r="A6525" s="10">
        <f t="shared" si="8"/>
        <v>44507.66667</v>
      </c>
      <c r="B6525" s="2" t="str">
        <f t="shared" si="2"/>
        <v/>
      </c>
      <c r="C6525" s="2" t="str">
        <f t="shared" si="3"/>
        <v>SP500</v>
      </c>
      <c r="D6525" s="2" t="str">
        <f t="shared" si="4"/>
        <v/>
      </c>
      <c r="E6525" s="2">
        <f t="shared" si="5"/>
        <v>15971.59</v>
      </c>
      <c r="G6525" s="10">
        <f t="shared" si="9"/>
        <v>44507.64583</v>
      </c>
      <c r="H6525" s="6" t="str">
        <f t="shared" si="6"/>
        <v/>
      </c>
      <c r="I6525" s="2">
        <f t="shared" si="7"/>
        <v>1426.89</v>
      </c>
    </row>
    <row r="6526">
      <c r="A6526" s="10">
        <f t="shared" si="8"/>
        <v>44508.66667</v>
      </c>
      <c r="B6526" s="2" t="str">
        <f t="shared" si="2"/>
        <v/>
      </c>
      <c r="C6526" s="2" t="str">
        <f t="shared" si="3"/>
        <v>SP500</v>
      </c>
      <c r="D6526" s="2">
        <f t="shared" si="4"/>
        <v>15982.36</v>
      </c>
      <c r="E6526" s="2">
        <f t="shared" si="5"/>
        <v>15982.36</v>
      </c>
      <c r="G6526" s="10">
        <f t="shared" si="9"/>
        <v>44508.64583</v>
      </c>
      <c r="H6526" s="6" t="str">
        <f t="shared" si="6"/>
        <v/>
      </c>
      <c r="I6526" s="2">
        <f t="shared" si="7"/>
        <v>1426.89</v>
      </c>
    </row>
    <row r="6527">
      <c r="A6527" s="10">
        <f t="shared" si="8"/>
        <v>44509.66667</v>
      </c>
      <c r="B6527" s="2" t="str">
        <f t="shared" si="2"/>
        <v/>
      </c>
      <c r="C6527" s="2" t="str">
        <f t="shared" si="3"/>
        <v>SP500</v>
      </c>
      <c r="D6527" s="2">
        <f t="shared" si="4"/>
        <v>15886.54</v>
      </c>
      <c r="E6527" s="2">
        <f t="shared" si="5"/>
        <v>15886.54</v>
      </c>
      <c r="G6527" s="10">
        <f t="shared" si="9"/>
        <v>44509.64583</v>
      </c>
      <c r="H6527" s="6" t="str">
        <f t="shared" si="6"/>
        <v/>
      </c>
      <c r="I6527" s="2">
        <f t="shared" si="7"/>
        <v>1426.89</v>
      </c>
    </row>
    <row r="6528">
      <c r="A6528" s="10">
        <f t="shared" si="8"/>
        <v>44510.66667</v>
      </c>
      <c r="B6528" s="2" t="str">
        <f t="shared" si="2"/>
        <v/>
      </c>
      <c r="C6528" s="2" t="str">
        <f t="shared" si="3"/>
        <v>SP500</v>
      </c>
      <c r="D6528" s="2">
        <f t="shared" si="4"/>
        <v>15622.71</v>
      </c>
      <c r="E6528" s="2">
        <f t="shared" si="5"/>
        <v>15622.71</v>
      </c>
      <c r="G6528" s="10">
        <f t="shared" si="9"/>
        <v>44510.64583</v>
      </c>
      <c r="H6528" s="6" t="str">
        <f t="shared" si="6"/>
        <v/>
      </c>
      <c r="I6528" s="2">
        <f t="shared" si="7"/>
        <v>1426.89</v>
      </c>
    </row>
    <row r="6529">
      <c r="A6529" s="10">
        <f t="shared" si="8"/>
        <v>44511.66667</v>
      </c>
      <c r="B6529" s="2" t="str">
        <f t="shared" si="2"/>
        <v/>
      </c>
      <c r="C6529" s="2" t="str">
        <f t="shared" si="3"/>
        <v>SP500</v>
      </c>
      <c r="D6529" s="2">
        <f t="shared" si="4"/>
        <v>15704.28</v>
      </c>
      <c r="E6529" s="2">
        <f t="shared" si="5"/>
        <v>15704.28</v>
      </c>
      <c r="G6529" s="10">
        <f t="shared" si="9"/>
        <v>44511.64583</v>
      </c>
      <c r="H6529" s="6" t="str">
        <f t="shared" si="6"/>
        <v/>
      </c>
      <c r="I6529" s="2">
        <f t="shared" si="7"/>
        <v>1426.89</v>
      </c>
    </row>
    <row r="6530">
      <c r="A6530" s="10">
        <f t="shared" si="8"/>
        <v>44512.66667</v>
      </c>
      <c r="B6530" s="2" t="str">
        <f t="shared" si="2"/>
        <v/>
      </c>
      <c r="C6530" s="2" t="str">
        <f t="shared" si="3"/>
        <v>SP500</v>
      </c>
      <c r="D6530" s="2">
        <f t="shared" si="4"/>
        <v>15860.96</v>
      </c>
      <c r="E6530" s="2">
        <f t="shared" si="5"/>
        <v>15860.96</v>
      </c>
      <c r="G6530" s="10">
        <f t="shared" si="9"/>
        <v>44512.64583</v>
      </c>
      <c r="H6530" s="6" t="str">
        <f t="shared" si="6"/>
        <v/>
      </c>
      <c r="I6530" s="2">
        <f t="shared" si="7"/>
        <v>1426.89</v>
      </c>
    </row>
    <row r="6531">
      <c r="A6531" s="10">
        <f t="shared" si="8"/>
        <v>44513.66667</v>
      </c>
      <c r="B6531" s="2" t="str">
        <f t="shared" si="2"/>
        <v/>
      </c>
      <c r="C6531" s="2" t="str">
        <f t="shared" si="3"/>
        <v>SP500</v>
      </c>
      <c r="D6531" s="2" t="str">
        <f t="shared" si="4"/>
        <v/>
      </c>
      <c r="E6531" s="2">
        <f t="shared" si="5"/>
        <v>15860.96</v>
      </c>
      <c r="G6531" s="10">
        <f t="shared" si="9"/>
        <v>44513.64583</v>
      </c>
      <c r="H6531" s="6" t="str">
        <f t="shared" si="6"/>
        <v/>
      </c>
      <c r="I6531" s="2">
        <f t="shared" si="7"/>
        <v>1426.89</v>
      </c>
    </row>
    <row r="6532">
      <c r="A6532" s="10">
        <f t="shared" si="8"/>
        <v>44514.66667</v>
      </c>
      <c r="B6532" s="2" t="str">
        <f t="shared" si="2"/>
        <v/>
      </c>
      <c r="C6532" s="2" t="str">
        <f t="shared" si="3"/>
        <v>SP500</v>
      </c>
      <c r="D6532" s="2" t="str">
        <f t="shared" si="4"/>
        <v/>
      </c>
      <c r="E6532" s="2">
        <f t="shared" si="5"/>
        <v>15860.96</v>
      </c>
      <c r="G6532" s="10">
        <f t="shared" si="9"/>
        <v>44514.64583</v>
      </c>
      <c r="H6532" s="6" t="str">
        <f t="shared" si="6"/>
        <v/>
      </c>
      <c r="I6532" s="2">
        <f t="shared" si="7"/>
        <v>1426.89</v>
      </c>
    </row>
    <row r="6533">
      <c r="A6533" s="10">
        <f t="shared" si="8"/>
        <v>44515.66667</v>
      </c>
      <c r="B6533" s="2" t="str">
        <f t="shared" si="2"/>
        <v/>
      </c>
      <c r="C6533" s="2" t="str">
        <f t="shared" si="3"/>
        <v>SP500</v>
      </c>
      <c r="D6533" s="2">
        <f t="shared" si="4"/>
        <v>15853.85</v>
      </c>
      <c r="E6533" s="2">
        <f t="shared" si="5"/>
        <v>15853.85</v>
      </c>
      <c r="G6533" s="10">
        <f t="shared" si="9"/>
        <v>44515.64583</v>
      </c>
      <c r="H6533" s="6" t="str">
        <f t="shared" si="6"/>
        <v/>
      </c>
      <c r="I6533" s="2">
        <f t="shared" si="7"/>
        <v>1426.89</v>
      </c>
    </row>
    <row r="6534">
      <c r="A6534" s="10">
        <f t="shared" si="8"/>
        <v>44516.66667</v>
      </c>
      <c r="B6534" s="2" t="str">
        <f t="shared" si="2"/>
        <v/>
      </c>
      <c r="C6534" s="2" t="str">
        <f t="shared" si="3"/>
        <v>SP500</v>
      </c>
      <c r="D6534" s="2">
        <f t="shared" si="4"/>
        <v>15973.86</v>
      </c>
      <c r="E6534" s="2">
        <f t="shared" si="5"/>
        <v>15973.86</v>
      </c>
      <c r="G6534" s="10">
        <f t="shared" si="9"/>
        <v>44516.64583</v>
      </c>
      <c r="H6534" s="6" t="str">
        <f t="shared" si="6"/>
        <v/>
      </c>
      <c r="I6534" s="2">
        <f t="shared" si="7"/>
        <v>1426.89</v>
      </c>
    </row>
    <row r="6535">
      <c r="A6535" s="10">
        <f t="shared" si="8"/>
        <v>44517.66667</v>
      </c>
      <c r="B6535" s="2" t="str">
        <f t="shared" si="2"/>
        <v/>
      </c>
      <c r="C6535" s="2" t="str">
        <f t="shared" si="3"/>
        <v>SP500</v>
      </c>
      <c r="D6535" s="2">
        <f t="shared" si="4"/>
        <v>15921.57</v>
      </c>
      <c r="E6535" s="2">
        <f t="shared" si="5"/>
        <v>15921.57</v>
      </c>
      <c r="G6535" s="10">
        <f t="shared" si="9"/>
        <v>44517.64583</v>
      </c>
      <c r="H6535" s="6" t="str">
        <f t="shared" si="6"/>
        <v/>
      </c>
      <c r="I6535" s="2">
        <f t="shared" si="7"/>
        <v>1426.89</v>
      </c>
    </row>
    <row r="6536">
      <c r="A6536" s="10">
        <f t="shared" si="8"/>
        <v>44518.66667</v>
      </c>
      <c r="B6536" s="2" t="str">
        <f t="shared" si="2"/>
        <v/>
      </c>
      <c r="C6536" s="2" t="str">
        <f t="shared" si="3"/>
        <v>SP500</v>
      </c>
      <c r="D6536" s="2">
        <f t="shared" si="4"/>
        <v>15993.71</v>
      </c>
      <c r="E6536" s="2">
        <f t="shared" si="5"/>
        <v>15993.71</v>
      </c>
      <c r="G6536" s="10">
        <f t="shared" si="9"/>
        <v>44518.64583</v>
      </c>
      <c r="H6536" s="6" t="str">
        <f t="shared" si="6"/>
        <v/>
      </c>
      <c r="I6536" s="2">
        <f t="shared" si="7"/>
        <v>1426.89</v>
      </c>
    </row>
    <row r="6537">
      <c r="A6537" s="10">
        <f t="shared" si="8"/>
        <v>44519.66667</v>
      </c>
      <c r="B6537" s="2" t="str">
        <f t="shared" si="2"/>
        <v/>
      </c>
      <c r="C6537" s="2" t="str">
        <f t="shared" si="3"/>
        <v>SP500</v>
      </c>
      <c r="D6537" s="2">
        <f t="shared" si="4"/>
        <v>16057.44</v>
      </c>
      <c r="E6537" s="2">
        <f t="shared" si="5"/>
        <v>16057.44</v>
      </c>
      <c r="G6537" s="10">
        <f t="shared" si="9"/>
        <v>44519.64583</v>
      </c>
      <c r="H6537" s="6" t="str">
        <f t="shared" si="6"/>
        <v/>
      </c>
      <c r="I6537" s="2">
        <f t="shared" si="7"/>
        <v>1426.89</v>
      </c>
    </row>
    <row r="6538">
      <c r="A6538" s="10">
        <f t="shared" si="8"/>
        <v>44520.66667</v>
      </c>
      <c r="B6538" s="2" t="str">
        <f t="shared" si="2"/>
        <v/>
      </c>
      <c r="C6538" s="2" t="str">
        <f t="shared" si="3"/>
        <v>SP500</v>
      </c>
      <c r="D6538" s="2" t="str">
        <f t="shared" si="4"/>
        <v/>
      </c>
      <c r="E6538" s="2">
        <f t="shared" si="5"/>
        <v>16057.44</v>
      </c>
      <c r="G6538" s="10">
        <f t="shared" si="9"/>
        <v>44520.64583</v>
      </c>
      <c r="H6538" s="6" t="str">
        <f t="shared" si="6"/>
        <v/>
      </c>
      <c r="I6538" s="2">
        <f t="shared" si="7"/>
        <v>1426.89</v>
      </c>
    </row>
    <row r="6539">
      <c r="A6539" s="10">
        <f t="shared" si="8"/>
        <v>44521.66667</v>
      </c>
      <c r="B6539" s="2" t="str">
        <f t="shared" si="2"/>
        <v/>
      </c>
      <c r="C6539" s="2" t="str">
        <f t="shared" si="3"/>
        <v>SP500</v>
      </c>
      <c r="D6539" s="2" t="str">
        <f t="shared" si="4"/>
        <v/>
      </c>
      <c r="E6539" s="2">
        <f t="shared" si="5"/>
        <v>16057.44</v>
      </c>
      <c r="G6539" s="10">
        <f t="shared" si="9"/>
        <v>44521.64583</v>
      </c>
      <c r="H6539" s="6" t="str">
        <f t="shared" si="6"/>
        <v/>
      </c>
      <c r="I6539" s="2">
        <f t="shared" si="7"/>
        <v>1426.89</v>
      </c>
    </row>
    <row r="6540">
      <c r="A6540" s="10">
        <f t="shared" si="8"/>
        <v>44522.66667</v>
      </c>
      <c r="B6540" s="2" t="str">
        <f t="shared" si="2"/>
        <v/>
      </c>
      <c r="C6540" s="2" t="str">
        <f t="shared" si="3"/>
        <v>SP500</v>
      </c>
      <c r="D6540" s="2">
        <f t="shared" si="4"/>
        <v>15854.76</v>
      </c>
      <c r="E6540" s="2">
        <f t="shared" si="5"/>
        <v>15854.76</v>
      </c>
      <c r="G6540" s="10">
        <f t="shared" si="9"/>
        <v>44522.64583</v>
      </c>
      <c r="H6540" s="6" t="str">
        <f t="shared" si="6"/>
        <v/>
      </c>
      <c r="I6540" s="2">
        <f t="shared" si="7"/>
        <v>1426.89</v>
      </c>
    </row>
    <row r="6541">
      <c r="A6541" s="10">
        <f t="shared" si="8"/>
        <v>44523.66667</v>
      </c>
      <c r="B6541" s="2" t="str">
        <f t="shared" si="2"/>
        <v/>
      </c>
      <c r="C6541" s="2" t="str">
        <f t="shared" si="3"/>
        <v>SP500</v>
      </c>
      <c r="D6541" s="2">
        <f t="shared" si="4"/>
        <v>15775.14</v>
      </c>
      <c r="E6541" s="2">
        <f t="shared" si="5"/>
        <v>15775.14</v>
      </c>
      <c r="G6541" s="10">
        <f t="shared" si="9"/>
        <v>44523.64583</v>
      </c>
      <c r="H6541" s="6" t="str">
        <f t="shared" si="6"/>
        <v/>
      </c>
      <c r="I6541" s="2">
        <f t="shared" si="7"/>
        <v>1426.89</v>
      </c>
    </row>
    <row r="6542">
      <c r="A6542" s="10">
        <f t="shared" si="8"/>
        <v>44524.66667</v>
      </c>
      <c r="B6542" s="2" t="str">
        <f t="shared" si="2"/>
        <v/>
      </c>
      <c r="C6542" s="2" t="str">
        <f t="shared" si="3"/>
        <v>SP500</v>
      </c>
      <c r="D6542" s="2">
        <f t="shared" si="4"/>
        <v>15845.23</v>
      </c>
      <c r="E6542" s="2">
        <f t="shared" si="5"/>
        <v>15845.23</v>
      </c>
      <c r="G6542" s="10">
        <f t="shared" si="9"/>
        <v>44524.64583</v>
      </c>
      <c r="H6542" s="6" t="str">
        <f t="shared" si="6"/>
        <v/>
      </c>
      <c r="I6542" s="2">
        <f t="shared" si="7"/>
        <v>1426.89</v>
      </c>
    </row>
    <row r="6543">
      <c r="A6543" s="10">
        <f t="shared" si="8"/>
        <v>44525.66667</v>
      </c>
      <c r="B6543" s="2" t="str">
        <f t="shared" si="2"/>
        <v/>
      </c>
      <c r="C6543" s="2" t="str">
        <f t="shared" si="3"/>
        <v>SP500</v>
      </c>
      <c r="D6543" s="2" t="str">
        <f t="shared" si="4"/>
        <v/>
      </c>
      <c r="E6543" s="2">
        <f t="shared" si="5"/>
        <v>15845.23</v>
      </c>
      <c r="G6543" s="10">
        <f t="shared" si="9"/>
        <v>44525.64583</v>
      </c>
      <c r="H6543" s="6" t="str">
        <f t="shared" si="6"/>
        <v/>
      </c>
      <c r="I6543" s="2">
        <f t="shared" si="7"/>
        <v>1426.89</v>
      </c>
    </row>
    <row r="6544">
      <c r="A6544" s="10">
        <f t="shared" si="8"/>
        <v>44526.66667</v>
      </c>
      <c r="B6544" s="2" t="str">
        <f t="shared" si="2"/>
        <v/>
      </c>
      <c r="C6544" s="2" t="str">
        <f t="shared" si="3"/>
        <v>SP500</v>
      </c>
      <c r="D6544" s="2" t="str">
        <f t="shared" si="4"/>
        <v/>
      </c>
      <c r="E6544" s="2">
        <f t="shared" si="5"/>
        <v>15845.23</v>
      </c>
      <c r="G6544" s="10">
        <f t="shared" si="9"/>
        <v>44526.64583</v>
      </c>
      <c r="H6544" s="6" t="str">
        <f t="shared" si="6"/>
        <v/>
      </c>
      <c r="I6544" s="2">
        <f t="shared" si="7"/>
        <v>1426.89</v>
      </c>
    </row>
    <row r="6545">
      <c r="A6545" s="10">
        <f t="shared" si="8"/>
        <v>44527.66667</v>
      </c>
      <c r="B6545" s="2" t="str">
        <f t="shared" si="2"/>
        <v/>
      </c>
      <c r="C6545" s="2" t="str">
        <f t="shared" si="3"/>
        <v>SP500</v>
      </c>
      <c r="D6545" s="2" t="str">
        <f t="shared" si="4"/>
        <v/>
      </c>
      <c r="E6545" s="2">
        <f t="shared" si="5"/>
        <v>15845.23</v>
      </c>
      <c r="G6545" s="10">
        <f t="shared" si="9"/>
        <v>44527.64583</v>
      </c>
      <c r="H6545" s="6" t="str">
        <f t="shared" si="6"/>
        <v/>
      </c>
      <c r="I6545" s="2">
        <f t="shared" si="7"/>
        <v>1426.89</v>
      </c>
    </row>
    <row r="6546">
      <c r="A6546" s="10">
        <f t="shared" si="8"/>
        <v>44528.66667</v>
      </c>
      <c r="B6546" s="2" t="str">
        <f t="shared" si="2"/>
        <v/>
      </c>
      <c r="C6546" s="2" t="str">
        <f t="shared" si="3"/>
        <v>SP500</v>
      </c>
      <c r="D6546" s="2" t="str">
        <f t="shared" si="4"/>
        <v/>
      </c>
      <c r="E6546" s="2">
        <f t="shared" si="5"/>
        <v>15845.23</v>
      </c>
      <c r="G6546" s="10">
        <f t="shared" si="9"/>
        <v>44528.64583</v>
      </c>
      <c r="H6546" s="6" t="str">
        <f t="shared" si="6"/>
        <v/>
      </c>
      <c r="I6546" s="2">
        <f t="shared" si="7"/>
        <v>1426.89</v>
      </c>
    </row>
    <row r="6547">
      <c r="A6547" s="10">
        <f t="shared" si="8"/>
        <v>44529.66667</v>
      </c>
      <c r="B6547" s="2" t="str">
        <f t="shared" si="2"/>
        <v/>
      </c>
      <c r="C6547" s="2" t="str">
        <f t="shared" si="3"/>
        <v>SP500</v>
      </c>
      <c r="D6547" s="2">
        <f t="shared" si="4"/>
        <v>15782.83</v>
      </c>
      <c r="E6547" s="2">
        <f t="shared" si="5"/>
        <v>15782.83</v>
      </c>
      <c r="G6547" s="10">
        <f t="shared" si="9"/>
        <v>44529.64583</v>
      </c>
      <c r="H6547" s="6" t="str">
        <f t="shared" si="6"/>
        <v/>
      </c>
      <c r="I6547" s="2">
        <f t="shared" si="7"/>
        <v>1426.89</v>
      </c>
    </row>
    <row r="6548">
      <c r="A6548" s="10">
        <f t="shared" si="8"/>
        <v>44530.66667</v>
      </c>
      <c r="B6548" s="2" t="str">
        <f t="shared" si="2"/>
        <v/>
      </c>
      <c r="C6548" s="2" t="str">
        <f t="shared" si="3"/>
        <v>SP500</v>
      </c>
      <c r="D6548" s="2">
        <f t="shared" si="4"/>
        <v>15537.69</v>
      </c>
      <c r="E6548" s="2">
        <f t="shared" si="5"/>
        <v>15537.69</v>
      </c>
      <c r="G6548" s="10">
        <f t="shared" si="9"/>
        <v>44530.64583</v>
      </c>
      <c r="H6548" s="6" t="str">
        <f t="shared" si="6"/>
        <v/>
      </c>
      <c r="I6548" s="2">
        <f t="shared" si="7"/>
        <v>1426.89</v>
      </c>
    </row>
    <row r="6549">
      <c r="A6549" s="10">
        <f t="shared" si="8"/>
        <v>44531.66667</v>
      </c>
      <c r="B6549" s="2" t="str">
        <f t="shared" si="2"/>
        <v/>
      </c>
      <c r="C6549" s="2" t="str">
        <f t="shared" si="3"/>
        <v>SP500</v>
      </c>
      <c r="D6549" s="2">
        <f t="shared" si="4"/>
        <v>15254.05</v>
      </c>
      <c r="E6549" s="2">
        <f t="shared" si="5"/>
        <v>15254.05</v>
      </c>
      <c r="G6549" s="10">
        <f t="shared" si="9"/>
        <v>44531.64583</v>
      </c>
      <c r="H6549" s="6" t="str">
        <f t="shared" si="6"/>
        <v/>
      </c>
      <c r="I6549" s="2">
        <f t="shared" si="7"/>
        <v>1426.89</v>
      </c>
    </row>
    <row r="6550">
      <c r="A6550" s="10">
        <f t="shared" si="8"/>
        <v>44532.66667</v>
      </c>
      <c r="B6550" s="2" t="str">
        <f t="shared" si="2"/>
        <v/>
      </c>
      <c r="C6550" s="2" t="str">
        <f t="shared" si="3"/>
        <v>SP500</v>
      </c>
      <c r="D6550" s="2">
        <f t="shared" si="4"/>
        <v>15381.32</v>
      </c>
      <c r="E6550" s="2">
        <f t="shared" si="5"/>
        <v>15381.32</v>
      </c>
      <c r="G6550" s="10">
        <f t="shared" si="9"/>
        <v>44532.64583</v>
      </c>
      <c r="H6550" s="6" t="str">
        <f t="shared" si="6"/>
        <v/>
      </c>
      <c r="I6550" s="2">
        <f t="shared" si="7"/>
        <v>1426.89</v>
      </c>
    </row>
    <row r="6551">
      <c r="A6551" s="10">
        <f t="shared" si="8"/>
        <v>44533.66667</v>
      </c>
      <c r="B6551" s="2" t="str">
        <f t="shared" si="2"/>
        <v/>
      </c>
      <c r="C6551" s="2" t="str">
        <f t="shared" si="3"/>
        <v>SP500</v>
      </c>
      <c r="D6551" s="2">
        <f t="shared" si="4"/>
        <v>15085.47</v>
      </c>
      <c r="E6551" s="2">
        <f t="shared" si="5"/>
        <v>15085.47</v>
      </c>
      <c r="G6551" s="10">
        <f t="shared" si="9"/>
        <v>44533.64583</v>
      </c>
      <c r="H6551" s="6" t="str">
        <f t="shared" si="6"/>
        <v/>
      </c>
      <c r="I6551" s="2">
        <f t="shared" si="7"/>
        <v>1426.89</v>
      </c>
    </row>
    <row r="6552">
      <c r="A6552" s="10">
        <f t="shared" si="8"/>
        <v>44534.66667</v>
      </c>
      <c r="B6552" s="2" t="str">
        <f t="shared" si="2"/>
        <v/>
      </c>
      <c r="C6552" s="2" t="str">
        <f t="shared" si="3"/>
        <v>SP500</v>
      </c>
      <c r="D6552" s="2" t="str">
        <f t="shared" si="4"/>
        <v/>
      </c>
      <c r="E6552" s="2">
        <f t="shared" si="5"/>
        <v>15085.47</v>
      </c>
      <c r="G6552" s="10">
        <f t="shared" si="9"/>
        <v>44534.64583</v>
      </c>
      <c r="H6552" s="6" t="str">
        <f t="shared" si="6"/>
        <v/>
      </c>
      <c r="I6552" s="2">
        <f t="shared" si="7"/>
        <v>1426.89</v>
      </c>
    </row>
    <row r="6553">
      <c r="A6553" s="10">
        <f t="shared" si="8"/>
        <v>44535.66667</v>
      </c>
      <c r="B6553" s="2" t="str">
        <f t="shared" si="2"/>
        <v/>
      </c>
      <c r="C6553" s="2" t="str">
        <f t="shared" si="3"/>
        <v>SP500</v>
      </c>
      <c r="D6553" s="2" t="str">
        <f t="shared" si="4"/>
        <v/>
      </c>
      <c r="E6553" s="2">
        <f t="shared" si="5"/>
        <v>15085.47</v>
      </c>
      <c r="G6553" s="10">
        <f t="shared" si="9"/>
        <v>44535.64583</v>
      </c>
      <c r="H6553" s="6" t="str">
        <f t="shared" si="6"/>
        <v/>
      </c>
      <c r="I6553" s="2">
        <f t="shared" si="7"/>
        <v>1426.89</v>
      </c>
    </row>
    <row r="6554">
      <c r="A6554" s="10">
        <f t="shared" si="8"/>
        <v>44536.66667</v>
      </c>
      <c r="B6554" s="2" t="str">
        <f t="shared" si="2"/>
        <v/>
      </c>
      <c r="C6554" s="2" t="str">
        <f t="shared" si="3"/>
        <v>SP500</v>
      </c>
      <c r="D6554" s="2">
        <f t="shared" si="4"/>
        <v>15225.15</v>
      </c>
      <c r="E6554" s="2">
        <f t="shared" si="5"/>
        <v>15225.15</v>
      </c>
      <c r="G6554" s="10">
        <f t="shared" si="9"/>
        <v>44536.64583</v>
      </c>
      <c r="H6554" s="6" t="str">
        <f t="shared" si="6"/>
        <v/>
      </c>
      <c r="I6554" s="2">
        <f t="shared" si="7"/>
        <v>1426.89</v>
      </c>
    </row>
    <row r="6555">
      <c r="A6555" s="10">
        <f t="shared" si="8"/>
        <v>44537.66667</v>
      </c>
      <c r="B6555" s="2" t="str">
        <f t="shared" si="2"/>
        <v/>
      </c>
      <c r="C6555" s="2" t="str">
        <f t="shared" si="3"/>
        <v>SP500</v>
      </c>
      <c r="D6555" s="2">
        <f t="shared" si="4"/>
        <v>15686.92</v>
      </c>
      <c r="E6555" s="2">
        <f t="shared" si="5"/>
        <v>15686.92</v>
      </c>
      <c r="G6555" s="10">
        <f t="shared" si="9"/>
        <v>44537.64583</v>
      </c>
      <c r="H6555" s="6" t="str">
        <f t="shared" si="6"/>
        <v/>
      </c>
      <c r="I6555" s="2">
        <f t="shared" si="7"/>
        <v>1426.89</v>
      </c>
    </row>
    <row r="6556">
      <c r="A6556" s="10">
        <f t="shared" si="8"/>
        <v>44538.66667</v>
      </c>
      <c r="B6556" s="2" t="str">
        <f t="shared" si="2"/>
        <v/>
      </c>
      <c r="C6556" s="2" t="str">
        <f t="shared" si="3"/>
        <v>SP500</v>
      </c>
      <c r="D6556" s="2">
        <f t="shared" si="4"/>
        <v>15786.99</v>
      </c>
      <c r="E6556" s="2">
        <f t="shared" si="5"/>
        <v>15786.99</v>
      </c>
      <c r="G6556" s="10">
        <f t="shared" si="9"/>
        <v>44538.64583</v>
      </c>
      <c r="H6556" s="6" t="str">
        <f t="shared" si="6"/>
        <v/>
      </c>
      <c r="I6556" s="2">
        <f t="shared" si="7"/>
        <v>1426.89</v>
      </c>
    </row>
    <row r="6557">
      <c r="A6557" s="10">
        <f t="shared" si="8"/>
        <v>44539.66667</v>
      </c>
      <c r="B6557" s="2" t="str">
        <f t="shared" si="2"/>
        <v/>
      </c>
      <c r="C6557" s="2" t="str">
        <f t="shared" si="3"/>
        <v>SP500</v>
      </c>
      <c r="D6557" s="2">
        <f t="shared" si="4"/>
        <v>15517.37</v>
      </c>
      <c r="E6557" s="2">
        <f t="shared" si="5"/>
        <v>15517.37</v>
      </c>
      <c r="G6557" s="10">
        <f t="shared" si="9"/>
        <v>44539.64583</v>
      </c>
      <c r="H6557" s="6" t="str">
        <f t="shared" si="6"/>
        <v/>
      </c>
      <c r="I6557" s="2">
        <f t="shared" si="7"/>
        <v>1426.89</v>
      </c>
    </row>
    <row r="6558">
      <c r="A6558" s="10">
        <f t="shared" si="8"/>
        <v>44540.66667</v>
      </c>
      <c r="B6558" s="2" t="str">
        <f t="shared" si="2"/>
        <v/>
      </c>
      <c r="C6558" s="2" t="str">
        <f t="shared" si="3"/>
        <v>SP500</v>
      </c>
      <c r="D6558" s="2">
        <f t="shared" si="4"/>
        <v>15630.6</v>
      </c>
      <c r="E6558" s="2">
        <f t="shared" si="5"/>
        <v>15630.6</v>
      </c>
      <c r="G6558" s="10">
        <f t="shared" si="9"/>
        <v>44540.64583</v>
      </c>
      <c r="H6558" s="6" t="str">
        <f t="shared" si="6"/>
        <v/>
      </c>
      <c r="I6558" s="2">
        <f t="shared" si="7"/>
        <v>1426.89</v>
      </c>
    </row>
    <row r="6559">
      <c r="A6559" s="10">
        <f t="shared" si="8"/>
        <v>44541.66667</v>
      </c>
      <c r="B6559" s="2" t="str">
        <f t="shared" si="2"/>
        <v/>
      </c>
      <c r="C6559" s="2" t="str">
        <f t="shared" si="3"/>
        <v>SP500</v>
      </c>
      <c r="D6559" s="2" t="str">
        <f t="shared" si="4"/>
        <v/>
      </c>
      <c r="E6559" s="2">
        <f t="shared" si="5"/>
        <v>15630.6</v>
      </c>
      <c r="G6559" s="10">
        <f t="shared" si="9"/>
        <v>44541.64583</v>
      </c>
      <c r="H6559" s="6" t="str">
        <f t="shared" si="6"/>
        <v/>
      </c>
      <c r="I6559" s="2">
        <f t="shared" si="7"/>
        <v>1426.89</v>
      </c>
    </row>
    <row r="6560">
      <c r="A6560" s="10">
        <f t="shared" si="8"/>
        <v>44542.66667</v>
      </c>
      <c r="B6560" s="2" t="str">
        <f t="shared" si="2"/>
        <v/>
      </c>
      <c r="C6560" s="2" t="str">
        <f t="shared" si="3"/>
        <v>SP500</v>
      </c>
      <c r="D6560" s="2" t="str">
        <f t="shared" si="4"/>
        <v/>
      </c>
      <c r="E6560" s="2">
        <f t="shared" si="5"/>
        <v>15630.6</v>
      </c>
      <c r="G6560" s="10">
        <f t="shared" si="9"/>
        <v>44542.64583</v>
      </c>
      <c r="H6560" s="6" t="str">
        <f t="shared" si="6"/>
        <v/>
      </c>
      <c r="I6560" s="2">
        <f t="shared" si="7"/>
        <v>1426.89</v>
      </c>
    </row>
    <row r="6561">
      <c r="A6561" s="10">
        <f t="shared" si="8"/>
        <v>44543.66667</v>
      </c>
      <c r="B6561" s="2" t="str">
        <f t="shared" si="2"/>
        <v/>
      </c>
      <c r="C6561" s="2" t="str">
        <f t="shared" si="3"/>
        <v>SP500</v>
      </c>
      <c r="D6561" s="2">
        <f t="shared" si="4"/>
        <v>15413.28</v>
      </c>
      <c r="E6561" s="2">
        <f t="shared" si="5"/>
        <v>15413.28</v>
      </c>
      <c r="G6561" s="10">
        <f t="shared" si="9"/>
        <v>44543.64583</v>
      </c>
      <c r="H6561" s="6" t="str">
        <f t="shared" si="6"/>
        <v/>
      </c>
      <c r="I6561" s="2">
        <f t="shared" si="7"/>
        <v>1426.89</v>
      </c>
    </row>
    <row r="6562">
      <c r="A6562" s="10">
        <f t="shared" si="8"/>
        <v>44544.66667</v>
      </c>
      <c r="B6562" s="2" t="str">
        <f t="shared" si="2"/>
        <v/>
      </c>
      <c r="C6562" s="2" t="str">
        <f t="shared" si="3"/>
        <v>SP500</v>
      </c>
      <c r="D6562" s="2">
        <f t="shared" si="4"/>
        <v>15237.64</v>
      </c>
      <c r="E6562" s="2">
        <f t="shared" si="5"/>
        <v>15237.64</v>
      </c>
      <c r="G6562" s="10">
        <f t="shared" si="9"/>
        <v>44544.64583</v>
      </c>
      <c r="H6562" s="6" t="str">
        <f t="shared" si="6"/>
        <v/>
      </c>
      <c r="I6562" s="2">
        <f t="shared" si="7"/>
        <v>1426.89</v>
      </c>
    </row>
    <row r="6563">
      <c r="A6563" s="10">
        <f t="shared" si="8"/>
        <v>44545.66667</v>
      </c>
      <c r="B6563" s="2" t="str">
        <f t="shared" si="2"/>
        <v/>
      </c>
      <c r="C6563" s="2" t="str">
        <f t="shared" si="3"/>
        <v>SP500</v>
      </c>
      <c r="D6563" s="2">
        <f t="shared" si="4"/>
        <v>15565.58</v>
      </c>
      <c r="E6563" s="2">
        <f t="shared" si="5"/>
        <v>15565.58</v>
      </c>
      <c r="G6563" s="10">
        <f t="shared" si="9"/>
        <v>44545.64583</v>
      </c>
      <c r="H6563" s="6" t="str">
        <f t="shared" si="6"/>
        <v/>
      </c>
      <c r="I6563" s="2">
        <f t="shared" si="7"/>
        <v>1426.89</v>
      </c>
    </row>
    <row r="6564">
      <c r="A6564" s="10">
        <f t="shared" si="8"/>
        <v>44546.66667</v>
      </c>
      <c r="B6564" s="2" t="str">
        <f t="shared" si="2"/>
        <v/>
      </c>
      <c r="C6564" s="2" t="str">
        <f t="shared" si="3"/>
        <v>SP500</v>
      </c>
      <c r="D6564" s="2">
        <f t="shared" si="4"/>
        <v>15180.44</v>
      </c>
      <c r="E6564" s="2">
        <f t="shared" si="5"/>
        <v>15180.44</v>
      </c>
      <c r="G6564" s="10">
        <f t="shared" si="9"/>
        <v>44546.64583</v>
      </c>
      <c r="H6564" s="6" t="str">
        <f t="shared" si="6"/>
        <v/>
      </c>
      <c r="I6564" s="2">
        <f t="shared" si="7"/>
        <v>1426.89</v>
      </c>
    </row>
    <row r="6565">
      <c r="A6565" s="10">
        <f t="shared" si="8"/>
        <v>44547.66667</v>
      </c>
      <c r="B6565" s="2" t="str">
        <f t="shared" si="2"/>
        <v/>
      </c>
      <c r="C6565" s="2" t="str">
        <f t="shared" si="3"/>
        <v>SP500</v>
      </c>
      <c r="D6565" s="2">
        <f t="shared" si="4"/>
        <v>15169.68</v>
      </c>
      <c r="E6565" s="2">
        <f t="shared" si="5"/>
        <v>15169.68</v>
      </c>
      <c r="G6565" s="10">
        <f t="shared" si="9"/>
        <v>44547.64583</v>
      </c>
      <c r="H6565" s="6" t="str">
        <f t="shared" si="6"/>
        <v/>
      </c>
      <c r="I6565" s="2">
        <f t="shared" si="7"/>
        <v>1426.89</v>
      </c>
    </row>
    <row r="6566">
      <c r="A6566" s="10">
        <f t="shared" si="8"/>
        <v>44548.66667</v>
      </c>
      <c r="B6566" s="2" t="str">
        <f t="shared" si="2"/>
        <v/>
      </c>
      <c r="C6566" s="2" t="str">
        <f t="shared" si="3"/>
        <v>SP500</v>
      </c>
      <c r="D6566" s="2" t="str">
        <f t="shared" si="4"/>
        <v/>
      </c>
      <c r="E6566" s="2">
        <f t="shared" si="5"/>
        <v>15169.68</v>
      </c>
      <c r="G6566" s="10">
        <f t="shared" si="9"/>
        <v>44548.64583</v>
      </c>
      <c r="H6566" s="6" t="str">
        <f t="shared" si="6"/>
        <v/>
      </c>
      <c r="I6566" s="2">
        <f t="shared" si="7"/>
        <v>1426.89</v>
      </c>
    </row>
    <row r="6567">
      <c r="A6567" s="10">
        <f t="shared" si="8"/>
        <v>44549.66667</v>
      </c>
      <c r="B6567" s="2" t="str">
        <f t="shared" si="2"/>
        <v/>
      </c>
      <c r="C6567" s="2" t="str">
        <f t="shared" si="3"/>
        <v>SP500</v>
      </c>
      <c r="D6567" s="2" t="str">
        <f t="shared" si="4"/>
        <v/>
      </c>
      <c r="E6567" s="2">
        <f t="shared" si="5"/>
        <v>15169.68</v>
      </c>
      <c r="G6567" s="10">
        <f t="shared" si="9"/>
        <v>44549.64583</v>
      </c>
      <c r="H6567" s="6" t="str">
        <f t="shared" si="6"/>
        <v/>
      </c>
      <c r="I6567" s="2">
        <f t="shared" si="7"/>
        <v>1426.89</v>
      </c>
    </row>
    <row r="6568">
      <c r="A6568" s="10">
        <f t="shared" si="8"/>
        <v>44550.66667</v>
      </c>
      <c r="B6568" s="2" t="str">
        <f t="shared" si="2"/>
        <v/>
      </c>
      <c r="C6568" s="2" t="str">
        <f t="shared" si="3"/>
        <v>SP500</v>
      </c>
      <c r="D6568" s="2">
        <f t="shared" si="4"/>
        <v>14980.94</v>
      </c>
      <c r="E6568" s="2">
        <f t="shared" si="5"/>
        <v>14980.94</v>
      </c>
      <c r="G6568" s="10">
        <f t="shared" si="9"/>
        <v>44550.64583</v>
      </c>
      <c r="H6568" s="6" t="str">
        <f t="shared" si="6"/>
        <v/>
      </c>
      <c r="I6568" s="2">
        <f t="shared" si="7"/>
        <v>1426.89</v>
      </c>
    </row>
    <row r="6569">
      <c r="A6569" s="10">
        <f t="shared" si="8"/>
        <v>44551.66667</v>
      </c>
      <c r="B6569" s="2" t="str">
        <f t="shared" si="2"/>
        <v/>
      </c>
      <c r="C6569" s="2" t="str">
        <f t="shared" si="3"/>
        <v>SP500</v>
      </c>
      <c r="D6569" s="2">
        <f t="shared" si="4"/>
        <v>15341.09</v>
      </c>
      <c r="E6569" s="2">
        <f t="shared" si="5"/>
        <v>15341.09</v>
      </c>
      <c r="G6569" s="10">
        <f t="shared" si="9"/>
        <v>44551.64583</v>
      </c>
      <c r="H6569" s="6" t="str">
        <f t="shared" si="6"/>
        <v/>
      </c>
      <c r="I6569" s="2">
        <f t="shared" si="7"/>
        <v>1426.89</v>
      </c>
    </row>
    <row r="6570">
      <c r="A6570" s="10">
        <f t="shared" si="8"/>
        <v>44552.66667</v>
      </c>
      <c r="B6570" s="2" t="str">
        <f t="shared" si="2"/>
        <v/>
      </c>
      <c r="C6570" s="2" t="str">
        <f t="shared" si="3"/>
        <v>SP500</v>
      </c>
      <c r="D6570" s="2">
        <f t="shared" si="4"/>
        <v>15521.89</v>
      </c>
      <c r="E6570" s="2">
        <f t="shared" si="5"/>
        <v>15521.89</v>
      </c>
      <c r="G6570" s="10">
        <f t="shared" si="9"/>
        <v>44552.64583</v>
      </c>
      <c r="H6570" s="6" t="str">
        <f t="shared" si="6"/>
        <v/>
      </c>
      <c r="I6570" s="2">
        <f t="shared" si="7"/>
        <v>1426.89</v>
      </c>
    </row>
    <row r="6571">
      <c r="A6571" s="10">
        <f t="shared" si="8"/>
        <v>44553.66667</v>
      </c>
      <c r="B6571" s="2" t="str">
        <f t="shared" si="2"/>
        <v/>
      </c>
      <c r="C6571" s="2" t="str">
        <f t="shared" si="3"/>
        <v>SP500</v>
      </c>
      <c r="D6571" s="2">
        <f t="shared" si="4"/>
        <v>15653.37</v>
      </c>
      <c r="E6571" s="2">
        <f t="shared" si="5"/>
        <v>15653.37</v>
      </c>
      <c r="G6571" s="10">
        <f t="shared" si="9"/>
        <v>44553.64583</v>
      </c>
      <c r="H6571" s="6" t="str">
        <f t="shared" si="6"/>
        <v/>
      </c>
      <c r="I6571" s="2">
        <f t="shared" si="7"/>
        <v>1426.89</v>
      </c>
    </row>
    <row r="6572">
      <c r="A6572" s="10">
        <f t="shared" si="8"/>
        <v>44554.66667</v>
      </c>
      <c r="B6572" s="2" t="str">
        <f t="shared" si="2"/>
        <v/>
      </c>
      <c r="C6572" s="2" t="str">
        <f t="shared" si="3"/>
        <v>SP500</v>
      </c>
      <c r="D6572" s="2" t="str">
        <f t="shared" si="4"/>
        <v/>
      </c>
      <c r="E6572" s="2">
        <f t="shared" si="5"/>
        <v>15653.37</v>
      </c>
      <c r="G6572" s="10">
        <f t="shared" si="9"/>
        <v>44554.64583</v>
      </c>
      <c r="H6572" s="6" t="str">
        <f t="shared" si="6"/>
        <v/>
      </c>
      <c r="I6572" s="2">
        <f t="shared" si="7"/>
        <v>1426.89</v>
      </c>
    </row>
    <row r="6573">
      <c r="A6573" s="10">
        <f t="shared" si="8"/>
        <v>44555.66667</v>
      </c>
      <c r="B6573" s="2" t="str">
        <f t="shared" si="2"/>
        <v/>
      </c>
      <c r="C6573" s="2" t="str">
        <f t="shared" si="3"/>
        <v>SP500</v>
      </c>
      <c r="D6573" s="2" t="str">
        <f t="shared" si="4"/>
        <v/>
      </c>
      <c r="E6573" s="2">
        <f t="shared" si="5"/>
        <v>15653.37</v>
      </c>
      <c r="G6573" s="10">
        <f t="shared" si="9"/>
        <v>44555.64583</v>
      </c>
      <c r="H6573" s="6" t="str">
        <f t="shared" si="6"/>
        <v/>
      </c>
      <c r="I6573" s="2">
        <f t="shared" si="7"/>
        <v>1426.89</v>
      </c>
    </row>
    <row r="6574">
      <c r="A6574" s="10">
        <f t="shared" si="8"/>
        <v>44556.66667</v>
      </c>
      <c r="B6574" s="2" t="str">
        <f t="shared" si="2"/>
        <v/>
      </c>
      <c r="C6574" s="2" t="str">
        <f t="shared" si="3"/>
        <v>SP500</v>
      </c>
      <c r="D6574" s="2" t="str">
        <f t="shared" si="4"/>
        <v/>
      </c>
      <c r="E6574" s="2">
        <f t="shared" si="5"/>
        <v>15653.37</v>
      </c>
      <c r="G6574" s="10">
        <f t="shared" si="9"/>
        <v>44556.64583</v>
      </c>
      <c r="H6574" s="6" t="str">
        <f t="shared" si="6"/>
        <v/>
      </c>
      <c r="I6574" s="2">
        <f t="shared" si="7"/>
        <v>1426.89</v>
      </c>
    </row>
    <row r="6575">
      <c r="A6575" s="10">
        <f t="shared" si="8"/>
        <v>44557.66667</v>
      </c>
      <c r="B6575" s="2" t="str">
        <f t="shared" si="2"/>
        <v/>
      </c>
      <c r="C6575" s="2" t="str">
        <f t="shared" si="3"/>
        <v>SP500</v>
      </c>
      <c r="D6575" s="2">
        <f t="shared" si="4"/>
        <v>15871.26</v>
      </c>
      <c r="E6575" s="2">
        <f t="shared" si="5"/>
        <v>15871.26</v>
      </c>
      <c r="G6575" s="10">
        <f t="shared" si="9"/>
        <v>44557.64583</v>
      </c>
      <c r="H6575" s="6" t="str">
        <f t="shared" si="6"/>
        <v/>
      </c>
      <c r="I6575" s="2">
        <f t="shared" si="7"/>
        <v>1426.89</v>
      </c>
    </row>
    <row r="6576">
      <c r="A6576" s="10">
        <f t="shared" si="8"/>
        <v>44558.66667</v>
      </c>
      <c r="B6576" s="2" t="str">
        <f t="shared" si="2"/>
        <v/>
      </c>
      <c r="C6576" s="2" t="str">
        <f t="shared" si="3"/>
        <v>SP500</v>
      </c>
      <c r="D6576" s="2">
        <f t="shared" si="4"/>
        <v>15781.72</v>
      </c>
      <c r="E6576" s="2">
        <f t="shared" si="5"/>
        <v>15781.72</v>
      </c>
      <c r="G6576" s="10">
        <f t="shared" si="9"/>
        <v>44558.64583</v>
      </c>
      <c r="H6576" s="6" t="str">
        <f t="shared" si="6"/>
        <v/>
      </c>
      <c r="I6576" s="2">
        <f t="shared" si="7"/>
        <v>1426.89</v>
      </c>
    </row>
    <row r="6577">
      <c r="A6577" s="10">
        <f t="shared" si="8"/>
        <v>44559.66667</v>
      </c>
      <c r="B6577" s="2" t="str">
        <f t="shared" si="2"/>
        <v/>
      </c>
      <c r="C6577" s="2" t="str">
        <f t="shared" si="3"/>
        <v>SP500</v>
      </c>
      <c r="D6577" s="2">
        <f t="shared" si="4"/>
        <v>15766.22</v>
      </c>
      <c r="E6577" s="2">
        <f t="shared" si="5"/>
        <v>15766.22</v>
      </c>
      <c r="G6577" s="10">
        <f t="shared" si="9"/>
        <v>44559.64583</v>
      </c>
      <c r="H6577" s="6" t="str">
        <f t="shared" si="6"/>
        <v/>
      </c>
      <c r="I6577" s="2">
        <f t="shared" si="7"/>
        <v>1426.89</v>
      </c>
    </row>
    <row r="6578">
      <c r="A6578" s="10">
        <f t="shared" si="8"/>
        <v>44560.66667</v>
      </c>
      <c r="B6578" s="2" t="str">
        <f t="shared" si="2"/>
        <v/>
      </c>
      <c r="C6578" s="2" t="str">
        <f t="shared" si="3"/>
        <v>SP500</v>
      </c>
      <c r="D6578" s="2">
        <f t="shared" si="4"/>
        <v>15741.56</v>
      </c>
      <c r="E6578" s="2">
        <f t="shared" si="5"/>
        <v>15741.56</v>
      </c>
      <c r="G6578" s="10">
        <f t="shared" si="9"/>
        <v>44560.64583</v>
      </c>
      <c r="H6578" s="6" t="str">
        <f t="shared" si="6"/>
        <v/>
      </c>
      <c r="I6578" s="2">
        <f t="shared" si="7"/>
        <v>1426.89</v>
      </c>
    </row>
    <row r="6579">
      <c r="A6579" s="10">
        <f t="shared" si="8"/>
        <v>44561.66667</v>
      </c>
      <c r="B6579" s="2" t="str">
        <f t="shared" si="2"/>
        <v/>
      </c>
      <c r="C6579" s="2" t="str">
        <f t="shared" si="3"/>
        <v>SP500</v>
      </c>
      <c r="D6579" s="2">
        <f t="shared" si="4"/>
        <v>15644.97</v>
      </c>
      <c r="E6579" s="2">
        <f t="shared" si="5"/>
        <v>15644.97</v>
      </c>
      <c r="G6579" s="10">
        <f t="shared" si="9"/>
        <v>44561.64583</v>
      </c>
      <c r="H6579" s="6" t="str">
        <f t="shared" si="6"/>
        <v/>
      </c>
      <c r="I6579" s="2">
        <f t="shared" si="7"/>
        <v>1426.89</v>
      </c>
    </row>
    <row r="6580">
      <c r="A6580" s="10">
        <f t="shared" si="8"/>
        <v>44562.66667</v>
      </c>
      <c r="B6580" s="2" t="str">
        <f t="shared" si="2"/>
        <v/>
      </c>
      <c r="C6580" s="2" t="str">
        <f t="shared" si="3"/>
        <v>SP500</v>
      </c>
      <c r="D6580" s="2" t="str">
        <f t="shared" si="4"/>
        <v/>
      </c>
      <c r="E6580" s="2">
        <f t="shared" si="5"/>
        <v>15644.97</v>
      </c>
      <c r="G6580" s="10">
        <f t="shared" si="9"/>
        <v>44562.64583</v>
      </c>
      <c r="H6580" s="6" t="str">
        <f t="shared" si="6"/>
        <v/>
      </c>
      <c r="I6580" s="2">
        <f t="shared" si="7"/>
        <v>1426.89</v>
      </c>
    </row>
    <row r="6581">
      <c r="A6581" s="10">
        <f t="shared" si="8"/>
        <v>44563.66667</v>
      </c>
      <c r="B6581" s="2" t="str">
        <f t="shared" si="2"/>
        <v/>
      </c>
      <c r="C6581" s="2" t="str">
        <f t="shared" si="3"/>
        <v>SP500</v>
      </c>
      <c r="D6581" s="2" t="str">
        <f t="shared" si="4"/>
        <v/>
      </c>
      <c r="E6581" s="2">
        <f t="shared" si="5"/>
        <v>15644.97</v>
      </c>
      <c r="G6581" s="10">
        <f t="shared" si="9"/>
        <v>44563.64583</v>
      </c>
      <c r="H6581" s="6" t="str">
        <f t="shared" si="6"/>
        <v/>
      </c>
      <c r="I6581" s="2">
        <f t="shared" si="7"/>
        <v>1426.89</v>
      </c>
    </row>
    <row r="6582">
      <c r="A6582" s="10">
        <f t="shared" si="8"/>
        <v>44564.66667</v>
      </c>
      <c r="B6582" s="2" t="str">
        <f t="shared" si="2"/>
        <v/>
      </c>
      <c r="C6582" s="2" t="str">
        <f t="shared" si="3"/>
        <v>SP500</v>
      </c>
      <c r="D6582" s="2">
        <f t="shared" si="4"/>
        <v>15832.8</v>
      </c>
      <c r="E6582" s="2">
        <f t="shared" si="5"/>
        <v>15832.8</v>
      </c>
      <c r="G6582" s="10">
        <f t="shared" si="9"/>
        <v>44564.64583</v>
      </c>
      <c r="H6582" s="6" t="str">
        <f t="shared" si="6"/>
        <v/>
      </c>
      <c r="I6582" s="2">
        <f t="shared" si="7"/>
        <v>1426.89</v>
      </c>
    </row>
    <row r="6583">
      <c r="A6583" s="10">
        <f t="shared" si="8"/>
        <v>44565.66667</v>
      </c>
      <c r="B6583" s="2" t="str">
        <f t="shared" si="2"/>
        <v/>
      </c>
      <c r="C6583" s="2" t="str">
        <f t="shared" si="3"/>
        <v>SP500</v>
      </c>
      <c r="D6583" s="2">
        <f t="shared" si="4"/>
        <v>15622.72</v>
      </c>
      <c r="E6583" s="2">
        <f t="shared" si="5"/>
        <v>15622.72</v>
      </c>
      <c r="G6583" s="10">
        <f t="shared" si="9"/>
        <v>44565.64583</v>
      </c>
      <c r="H6583" s="6" t="str">
        <f t="shared" si="6"/>
        <v/>
      </c>
      <c r="I6583" s="2">
        <f t="shared" si="7"/>
        <v>1426.89</v>
      </c>
    </row>
    <row r="6584">
      <c r="A6584" s="10">
        <f t="shared" si="8"/>
        <v>44566.66667</v>
      </c>
      <c r="B6584" s="2" t="str">
        <f t="shared" si="2"/>
        <v/>
      </c>
      <c r="C6584" s="2" t="str">
        <f t="shared" si="3"/>
        <v>SP500</v>
      </c>
      <c r="D6584" s="2">
        <f t="shared" si="4"/>
        <v>15100.17</v>
      </c>
      <c r="E6584" s="2">
        <f t="shared" si="5"/>
        <v>15100.17</v>
      </c>
      <c r="G6584" s="10">
        <f t="shared" si="9"/>
        <v>44566.64583</v>
      </c>
      <c r="H6584" s="6" t="str">
        <f t="shared" si="6"/>
        <v/>
      </c>
      <c r="I6584" s="2">
        <f t="shared" si="7"/>
        <v>1426.89</v>
      </c>
    </row>
    <row r="6585">
      <c r="A6585" s="10">
        <f t="shared" si="8"/>
        <v>44567.66667</v>
      </c>
      <c r="B6585" s="2" t="str">
        <f t="shared" si="2"/>
        <v/>
      </c>
      <c r="C6585" s="2" t="str">
        <f t="shared" si="3"/>
        <v>SP500</v>
      </c>
      <c r="D6585" s="2">
        <f t="shared" si="4"/>
        <v>15080.87</v>
      </c>
      <c r="E6585" s="2">
        <f t="shared" si="5"/>
        <v>15080.87</v>
      </c>
      <c r="G6585" s="10">
        <f t="shared" si="9"/>
        <v>44567.64583</v>
      </c>
      <c r="H6585" s="6" t="str">
        <f t="shared" si="6"/>
        <v/>
      </c>
      <c r="I6585" s="2">
        <f t="shared" si="7"/>
        <v>1426.89</v>
      </c>
    </row>
    <row r="6586">
      <c r="A6586" s="10">
        <f t="shared" si="8"/>
        <v>44568.66667</v>
      </c>
      <c r="B6586" s="2" t="str">
        <f t="shared" si="2"/>
        <v/>
      </c>
      <c r="C6586" s="2" t="str">
        <f t="shared" si="3"/>
        <v>SP500</v>
      </c>
      <c r="D6586" s="2">
        <f t="shared" si="4"/>
        <v>14935.9</v>
      </c>
      <c r="E6586" s="2">
        <f t="shared" si="5"/>
        <v>14935.9</v>
      </c>
      <c r="G6586" s="10">
        <f t="shared" si="9"/>
        <v>44568.64583</v>
      </c>
      <c r="H6586" s="6" t="str">
        <f t="shared" si="6"/>
        <v/>
      </c>
      <c r="I6586" s="2">
        <f t="shared" si="7"/>
        <v>1426.89</v>
      </c>
    </row>
    <row r="6587">
      <c r="A6587" s="10">
        <f t="shared" si="8"/>
        <v>44569.66667</v>
      </c>
      <c r="B6587" s="2" t="str">
        <f t="shared" si="2"/>
        <v/>
      </c>
      <c r="C6587" s="2" t="str">
        <f t="shared" si="3"/>
        <v>SP500</v>
      </c>
      <c r="D6587" s="2" t="str">
        <f t="shared" si="4"/>
        <v/>
      </c>
      <c r="E6587" s="2">
        <f t="shared" si="5"/>
        <v>14935.9</v>
      </c>
      <c r="G6587" s="10">
        <f t="shared" si="9"/>
        <v>44569.64583</v>
      </c>
      <c r="H6587" s="6" t="str">
        <f t="shared" si="6"/>
        <v/>
      </c>
      <c r="I6587" s="2">
        <f t="shared" si="7"/>
        <v>1426.89</v>
      </c>
    </row>
    <row r="6588">
      <c r="A6588" s="10">
        <f t="shared" si="8"/>
        <v>44570.66667</v>
      </c>
      <c r="B6588" s="2" t="str">
        <f t="shared" si="2"/>
        <v/>
      </c>
      <c r="C6588" s="2" t="str">
        <f t="shared" si="3"/>
        <v>SP500</v>
      </c>
      <c r="D6588" s="2" t="str">
        <f t="shared" si="4"/>
        <v/>
      </c>
      <c r="E6588" s="2">
        <f t="shared" si="5"/>
        <v>14935.9</v>
      </c>
      <c r="G6588" s="10">
        <f t="shared" si="9"/>
        <v>44570.64583</v>
      </c>
      <c r="H6588" s="6" t="str">
        <f t="shared" si="6"/>
        <v/>
      </c>
      <c r="I6588" s="2">
        <f t="shared" si="7"/>
        <v>1426.89</v>
      </c>
    </row>
    <row r="6589">
      <c r="A6589" s="10">
        <f t="shared" si="8"/>
        <v>44571.66667</v>
      </c>
      <c r="B6589" s="2" t="str">
        <f t="shared" si="2"/>
        <v/>
      </c>
      <c r="C6589" s="2" t="str">
        <f t="shared" si="3"/>
        <v>SP500</v>
      </c>
      <c r="D6589" s="2">
        <f t="shared" si="4"/>
        <v>14942.83</v>
      </c>
      <c r="E6589" s="2">
        <f t="shared" si="5"/>
        <v>14942.83</v>
      </c>
      <c r="G6589" s="10">
        <f t="shared" si="9"/>
        <v>44571.64583</v>
      </c>
      <c r="H6589" s="6" t="str">
        <f t="shared" si="6"/>
        <v/>
      </c>
      <c r="I6589" s="2">
        <f t="shared" si="7"/>
        <v>1426.89</v>
      </c>
    </row>
    <row r="6590">
      <c r="A6590" s="10">
        <f t="shared" si="8"/>
        <v>44572.66667</v>
      </c>
      <c r="B6590" s="2" t="str">
        <f t="shared" si="2"/>
        <v/>
      </c>
      <c r="C6590" s="2" t="str">
        <f t="shared" si="3"/>
        <v>SP500</v>
      </c>
      <c r="D6590" s="2">
        <f t="shared" si="4"/>
        <v>15153.45</v>
      </c>
      <c r="E6590" s="2">
        <f t="shared" si="5"/>
        <v>15153.45</v>
      </c>
      <c r="G6590" s="10">
        <f t="shared" si="9"/>
        <v>44572.64583</v>
      </c>
      <c r="H6590" s="6" t="str">
        <f t="shared" si="6"/>
        <v/>
      </c>
      <c r="I6590" s="2">
        <f t="shared" si="7"/>
        <v>1426.89</v>
      </c>
    </row>
    <row r="6591">
      <c r="A6591" s="10">
        <f t="shared" si="8"/>
        <v>44573.66667</v>
      </c>
      <c r="B6591" s="2" t="str">
        <f t="shared" si="2"/>
        <v/>
      </c>
      <c r="C6591" s="2" t="str">
        <f t="shared" si="3"/>
        <v>SP500</v>
      </c>
      <c r="D6591" s="2">
        <f t="shared" si="4"/>
        <v>15188.39</v>
      </c>
      <c r="E6591" s="2">
        <f t="shared" si="5"/>
        <v>15188.39</v>
      </c>
      <c r="G6591" s="10">
        <f t="shared" si="9"/>
        <v>44573.64583</v>
      </c>
      <c r="H6591" s="6" t="str">
        <f t="shared" si="6"/>
        <v/>
      </c>
      <c r="I6591" s="2">
        <f t="shared" si="7"/>
        <v>1426.89</v>
      </c>
    </row>
    <row r="6592">
      <c r="A6592" s="10">
        <f t="shared" si="8"/>
        <v>44574.66667</v>
      </c>
      <c r="B6592" s="2" t="str">
        <f t="shared" si="2"/>
        <v/>
      </c>
      <c r="C6592" s="2" t="str">
        <f t="shared" si="3"/>
        <v>SP500</v>
      </c>
      <c r="D6592" s="2">
        <f t="shared" si="4"/>
        <v>14806.81</v>
      </c>
      <c r="E6592" s="2">
        <f t="shared" si="5"/>
        <v>14806.81</v>
      </c>
      <c r="G6592" s="10">
        <f t="shared" si="9"/>
        <v>44574.64583</v>
      </c>
      <c r="H6592" s="6" t="str">
        <f t="shared" si="6"/>
        <v/>
      </c>
      <c r="I6592" s="2">
        <f t="shared" si="7"/>
        <v>1426.89</v>
      </c>
    </row>
    <row r="6593">
      <c r="A6593" s="10">
        <f t="shared" si="8"/>
        <v>44575.66667</v>
      </c>
      <c r="B6593" s="2" t="str">
        <f t="shared" si="2"/>
        <v/>
      </c>
      <c r="C6593" s="2" t="str">
        <f t="shared" si="3"/>
        <v>SP500</v>
      </c>
      <c r="D6593" s="2">
        <f t="shared" si="4"/>
        <v>14893.75</v>
      </c>
      <c r="E6593" s="2">
        <f t="shared" si="5"/>
        <v>14893.75</v>
      </c>
      <c r="G6593" s="10">
        <f t="shared" si="9"/>
        <v>44575.64583</v>
      </c>
      <c r="H6593" s="6" t="str">
        <f t="shared" si="6"/>
        <v/>
      </c>
      <c r="I6593" s="2">
        <f t="shared" si="7"/>
        <v>1426.89</v>
      </c>
    </row>
    <row r="6594">
      <c r="A6594" s="10">
        <f t="shared" si="8"/>
        <v>44576.66667</v>
      </c>
      <c r="B6594" s="2" t="str">
        <f t="shared" si="2"/>
        <v/>
      </c>
      <c r="C6594" s="2" t="str">
        <f t="shared" si="3"/>
        <v>SP500</v>
      </c>
      <c r="D6594" s="2" t="str">
        <f t="shared" si="4"/>
        <v/>
      </c>
      <c r="E6594" s="2">
        <f t="shared" si="5"/>
        <v>14893.75</v>
      </c>
      <c r="G6594" s="10">
        <f t="shared" si="9"/>
        <v>44576.64583</v>
      </c>
      <c r="H6594" s="6" t="str">
        <f t="shared" si="6"/>
        <v/>
      </c>
      <c r="I6594" s="2">
        <f t="shared" si="7"/>
        <v>1426.89</v>
      </c>
    </row>
    <row r="6595">
      <c r="A6595" s="10">
        <f t="shared" si="8"/>
        <v>44577.66667</v>
      </c>
      <c r="B6595" s="2" t="str">
        <f t="shared" si="2"/>
        <v/>
      </c>
      <c r="C6595" s="2" t="str">
        <f t="shared" si="3"/>
        <v>SP500</v>
      </c>
      <c r="D6595" s="2" t="str">
        <f t="shared" si="4"/>
        <v/>
      </c>
      <c r="E6595" s="2">
        <f t="shared" si="5"/>
        <v>14893.75</v>
      </c>
      <c r="G6595" s="10">
        <f t="shared" si="9"/>
        <v>44577.64583</v>
      </c>
      <c r="H6595" s="6" t="str">
        <f t="shared" si="6"/>
        <v/>
      </c>
      <c r="I6595" s="2">
        <f t="shared" si="7"/>
        <v>1426.89</v>
      </c>
    </row>
    <row r="6596">
      <c r="A6596" s="10">
        <f t="shared" si="8"/>
        <v>44578.66667</v>
      </c>
      <c r="B6596" s="2" t="str">
        <f t="shared" si="2"/>
        <v/>
      </c>
      <c r="C6596" s="2" t="str">
        <f t="shared" si="3"/>
        <v>SP500</v>
      </c>
      <c r="D6596" s="2" t="str">
        <f t="shared" si="4"/>
        <v/>
      </c>
      <c r="E6596" s="2">
        <f t="shared" si="5"/>
        <v>14893.75</v>
      </c>
      <c r="G6596" s="10">
        <f t="shared" si="9"/>
        <v>44578.64583</v>
      </c>
      <c r="H6596" s="6" t="str">
        <f t="shared" si="6"/>
        <v/>
      </c>
      <c r="I6596" s="2">
        <f t="shared" si="7"/>
        <v>1426.89</v>
      </c>
    </row>
    <row r="6597">
      <c r="A6597" s="10">
        <f t="shared" si="8"/>
        <v>44579.66667</v>
      </c>
      <c r="B6597" s="2" t="str">
        <f t="shared" si="2"/>
        <v/>
      </c>
      <c r="C6597" s="2" t="str">
        <f t="shared" si="3"/>
        <v>SP500</v>
      </c>
      <c r="D6597" s="2">
        <f t="shared" si="4"/>
        <v>14506.9</v>
      </c>
      <c r="E6597" s="2">
        <f t="shared" si="5"/>
        <v>14506.9</v>
      </c>
      <c r="G6597" s="10">
        <f t="shared" si="9"/>
        <v>44579.64583</v>
      </c>
      <c r="H6597" s="6" t="str">
        <f t="shared" si="6"/>
        <v/>
      </c>
      <c r="I6597" s="2">
        <f t="shared" si="7"/>
        <v>1426.89</v>
      </c>
    </row>
    <row r="6598">
      <c r="A6598" s="10">
        <f t="shared" si="8"/>
        <v>44580.66667</v>
      </c>
      <c r="B6598" s="2" t="str">
        <f t="shared" si="2"/>
        <v/>
      </c>
      <c r="C6598" s="2" t="str">
        <f t="shared" si="3"/>
        <v>SP500</v>
      </c>
      <c r="D6598" s="2">
        <f t="shared" si="4"/>
        <v>14340.26</v>
      </c>
      <c r="E6598" s="2">
        <f t="shared" si="5"/>
        <v>14340.26</v>
      </c>
      <c r="G6598" s="10">
        <f t="shared" si="9"/>
        <v>44580.64583</v>
      </c>
      <c r="H6598" s="6" t="str">
        <f t="shared" si="6"/>
        <v/>
      </c>
      <c r="I6598" s="2">
        <f t="shared" si="7"/>
        <v>1426.89</v>
      </c>
    </row>
    <row r="6599">
      <c r="A6599" s="10">
        <f t="shared" si="8"/>
        <v>44581.66667</v>
      </c>
      <c r="B6599" s="2" t="str">
        <f t="shared" si="2"/>
        <v/>
      </c>
      <c r="C6599" s="2" t="str">
        <f t="shared" si="3"/>
        <v>SP500</v>
      </c>
      <c r="D6599" s="2">
        <f t="shared" si="4"/>
        <v>14154.02</v>
      </c>
      <c r="E6599" s="2">
        <f t="shared" si="5"/>
        <v>14154.02</v>
      </c>
      <c r="G6599" s="10">
        <f t="shared" si="9"/>
        <v>44581.64583</v>
      </c>
      <c r="H6599" s="6" t="str">
        <f t="shared" si="6"/>
        <v/>
      </c>
      <c r="I6599" s="2">
        <f t="shared" si="7"/>
        <v>1426.89</v>
      </c>
    </row>
    <row r="6600">
      <c r="A6600" s="10">
        <f t="shared" si="8"/>
        <v>44582.66667</v>
      </c>
      <c r="B6600" s="2" t="str">
        <f t="shared" si="2"/>
        <v/>
      </c>
      <c r="C6600" s="2" t="str">
        <f t="shared" si="3"/>
        <v>SP500</v>
      </c>
      <c r="D6600" s="2">
        <f t="shared" si="4"/>
        <v>13768.92</v>
      </c>
      <c r="E6600" s="2">
        <f t="shared" si="5"/>
        <v>13768.92</v>
      </c>
      <c r="G6600" s="10">
        <f t="shared" si="9"/>
        <v>44582.64583</v>
      </c>
      <c r="H6600" s="6" t="str">
        <f t="shared" si="6"/>
        <v/>
      </c>
      <c r="I6600" s="2">
        <f t="shared" si="7"/>
        <v>1426.89</v>
      </c>
    </row>
    <row r="6601">
      <c r="A6601" s="10">
        <f t="shared" si="8"/>
        <v>44583.66667</v>
      </c>
      <c r="B6601" s="2" t="str">
        <f t="shared" si="2"/>
        <v/>
      </c>
      <c r="C6601" s="2" t="str">
        <f t="shared" si="3"/>
        <v>SP500</v>
      </c>
      <c r="D6601" s="2" t="str">
        <f t="shared" si="4"/>
        <v/>
      </c>
      <c r="E6601" s="2">
        <f t="shared" si="5"/>
        <v>13768.92</v>
      </c>
      <c r="G6601" s="10">
        <f t="shared" si="9"/>
        <v>44583.64583</v>
      </c>
      <c r="H6601" s="6" t="str">
        <f t="shared" si="6"/>
        <v/>
      </c>
      <c r="I6601" s="2">
        <f t="shared" si="7"/>
        <v>1426.89</v>
      </c>
    </row>
    <row r="6602">
      <c r="A6602" s="10">
        <f t="shared" si="8"/>
        <v>44584.66667</v>
      </c>
      <c r="B6602" s="2" t="str">
        <f t="shared" si="2"/>
        <v/>
      </c>
      <c r="C6602" s="2" t="str">
        <f t="shared" si="3"/>
        <v>SP500</v>
      </c>
      <c r="D6602" s="2" t="str">
        <f t="shared" si="4"/>
        <v/>
      </c>
      <c r="E6602" s="2">
        <f t="shared" si="5"/>
        <v>13768.92</v>
      </c>
      <c r="G6602" s="10">
        <f t="shared" si="9"/>
        <v>44584.64583</v>
      </c>
      <c r="H6602" s="6" t="str">
        <f t="shared" si="6"/>
        <v/>
      </c>
      <c r="I6602" s="2">
        <f t="shared" si="7"/>
        <v>1426.89</v>
      </c>
    </row>
    <row r="6603">
      <c r="A6603" s="10">
        <f t="shared" si="8"/>
        <v>44585.66667</v>
      </c>
      <c r="B6603" s="2" t="str">
        <f t="shared" si="2"/>
        <v/>
      </c>
      <c r="C6603" s="2" t="str">
        <f t="shared" si="3"/>
        <v>SP500</v>
      </c>
      <c r="D6603" s="2">
        <f t="shared" si="4"/>
        <v>13855.13</v>
      </c>
      <c r="E6603" s="2">
        <f t="shared" si="5"/>
        <v>13855.13</v>
      </c>
      <c r="G6603" s="10">
        <f t="shared" si="9"/>
        <v>44585.64583</v>
      </c>
      <c r="H6603" s="6" t="str">
        <f t="shared" si="6"/>
        <v/>
      </c>
      <c r="I6603" s="2">
        <f t="shared" si="7"/>
        <v>1426.89</v>
      </c>
    </row>
    <row r="6604">
      <c r="A6604" s="10">
        <f t="shared" si="8"/>
        <v>44586.66667</v>
      </c>
      <c r="B6604" s="2" t="str">
        <f t="shared" si="2"/>
        <v/>
      </c>
      <c r="C6604" s="2" t="str">
        <f t="shared" si="3"/>
        <v>SP500</v>
      </c>
      <c r="D6604" s="2">
        <f t="shared" si="4"/>
        <v>13539.3</v>
      </c>
      <c r="E6604" s="2">
        <f t="shared" si="5"/>
        <v>13539.3</v>
      </c>
      <c r="G6604" s="10">
        <f t="shared" si="9"/>
        <v>44586.64583</v>
      </c>
      <c r="H6604" s="6" t="str">
        <f t="shared" si="6"/>
        <v/>
      </c>
      <c r="I6604" s="2">
        <f t="shared" si="7"/>
        <v>1426.89</v>
      </c>
    </row>
    <row r="6605">
      <c r="A6605" s="10">
        <f t="shared" si="8"/>
        <v>44587.66667</v>
      </c>
      <c r="B6605" s="2" t="str">
        <f t="shared" si="2"/>
        <v/>
      </c>
      <c r="C6605" s="2" t="str">
        <f t="shared" si="3"/>
        <v>SP500</v>
      </c>
      <c r="D6605" s="2">
        <f t="shared" si="4"/>
        <v>13542.12</v>
      </c>
      <c r="E6605" s="2">
        <f t="shared" si="5"/>
        <v>13542.12</v>
      </c>
      <c r="G6605" s="10">
        <f t="shared" si="9"/>
        <v>44587.64583</v>
      </c>
      <c r="H6605" s="6" t="str">
        <f t="shared" si="6"/>
        <v/>
      </c>
      <c r="I6605" s="2">
        <f t="shared" si="7"/>
        <v>1426.89</v>
      </c>
    </row>
    <row r="6606">
      <c r="A6606" s="10">
        <f t="shared" si="8"/>
        <v>44588.66667</v>
      </c>
      <c r="B6606" s="2" t="str">
        <f t="shared" si="2"/>
        <v/>
      </c>
      <c r="C6606" s="2" t="str">
        <f t="shared" si="3"/>
        <v>SP500</v>
      </c>
      <c r="D6606" s="2">
        <f t="shared" si="4"/>
        <v>13352.78</v>
      </c>
      <c r="E6606" s="2">
        <f t="shared" si="5"/>
        <v>13352.78</v>
      </c>
      <c r="G6606" s="10">
        <f t="shared" si="9"/>
        <v>44588.64583</v>
      </c>
      <c r="H6606" s="6" t="str">
        <f t="shared" si="6"/>
        <v/>
      </c>
      <c r="I6606" s="2">
        <f t="shared" si="7"/>
        <v>1426.89</v>
      </c>
    </row>
    <row r="6607">
      <c r="A6607" s="10">
        <f t="shared" si="8"/>
        <v>44589.66667</v>
      </c>
      <c r="B6607" s="2" t="str">
        <f t="shared" si="2"/>
        <v/>
      </c>
      <c r="C6607" s="2" t="str">
        <f t="shared" si="3"/>
        <v>SP500</v>
      </c>
      <c r="D6607" s="2">
        <f t="shared" si="4"/>
        <v>13770.57</v>
      </c>
      <c r="E6607" s="2">
        <f t="shared" si="5"/>
        <v>13770.57</v>
      </c>
      <c r="G6607" s="10">
        <f t="shared" si="9"/>
        <v>44589.64583</v>
      </c>
      <c r="H6607" s="6" t="str">
        <f t="shared" si="6"/>
        <v/>
      </c>
      <c r="I6607" s="2">
        <f t="shared" si="7"/>
        <v>1426.89</v>
      </c>
    </row>
    <row r="6608">
      <c r="A6608" s="10">
        <f t="shared" si="8"/>
        <v>44590.66667</v>
      </c>
      <c r="B6608" s="2" t="str">
        <f t="shared" si="2"/>
        <v/>
      </c>
      <c r="C6608" s="2" t="str">
        <f t="shared" si="3"/>
        <v>SP500</v>
      </c>
      <c r="D6608" s="2" t="str">
        <f t="shared" si="4"/>
        <v/>
      </c>
      <c r="E6608" s="2">
        <f t="shared" si="5"/>
        <v>13770.57</v>
      </c>
      <c r="G6608" s="10">
        <f t="shared" si="9"/>
        <v>44590.64583</v>
      </c>
      <c r="H6608" s="6" t="str">
        <f t="shared" si="6"/>
        <v/>
      </c>
      <c r="I6608" s="2">
        <f t="shared" si="7"/>
        <v>1426.89</v>
      </c>
    </row>
    <row r="6609">
      <c r="A6609" s="10">
        <f t="shared" si="8"/>
        <v>44591.66667</v>
      </c>
      <c r="B6609" s="2" t="str">
        <f t="shared" si="2"/>
        <v/>
      </c>
      <c r="C6609" s="2" t="str">
        <f t="shared" si="3"/>
        <v>SP500</v>
      </c>
      <c r="D6609" s="2" t="str">
        <f t="shared" si="4"/>
        <v/>
      </c>
      <c r="E6609" s="2">
        <f t="shared" si="5"/>
        <v>13770.57</v>
      </c>
      <c r="G6609" s="10">
        <f t="shared" si="9"/>
        <v>44591.64583</v>
      </c>
      <c r="H6609" s="6" t="str">
        <f t="shared" si="6"/>
        <v/>
      </c>
      <c r="I6609" s="2">
        <f t="shared" si="7"/>
        <v>1426.89</v>
      </c>
    </row>
    <row r="6610">
      <c r="A6610" s="10">
        <f t="shared" si="8"/>
        <v>44592.66667</v>
      </c>
      <c r="B6610" s="2" t="str">
        <f t="shared" si="2"/>
        <v/>
      </c>
      <c r="C6610" s="2" t="str">
        <f t="shared" si="3"/>
        <v>SP500</v>
      </c>
      <c r="D6610" s="2">
        <f t="shared" si="4"/>
        <v>14239.88</v>
      </c>
      <c r="E6610" s="2">
        <f t="shared" si="5"/>
        <v>14239.88</v>
      </c>
      <c r="G6610" s="10">
        <f t="shared" si="9"/>
        <v>44592.64583</v>
      </c>
      <c r="H6610" s="6" t="str">
        <f t="shared" si="6"/>
        <v/>
      </c>
      <c r="I6610" s="2">
        <f t="shared" si="7"/>
        <v>1426.89</v>
      </c>
    </row>
    <row r="6611">
      <c r="A6611" s="10">
        <f t="shared" si="8"/>
        <v>44593.66667</v>
      </c>
      <c r="B6611" s="2" t="str">
        <f t="shared" si="2"/>
        <v/>
      </c>
      <c r="C6611" s="2" t="str">
        <f t="shared" si="3"/>
        <v>SP500</v>
      </c>
      <c r="D6611" s="2">
        <f t="shared" si="4"/>
        <v>14346</v>
      </c>
      <c r="E6611" s="2">
        <f t="shared" si="5"/>
        <v>14346</v>
      </c>
      <c r="G6611" s="10">
        <f t="shared" si="9"/>
        <v>44593.64583</v>
      </c>
      <c r="H6611" s="6" t="str">
        <f t="shared" si="6"/>
        <v/>
      </c>
      <c r="I6611" s="2">
        <f t="shared" si="7"/>
        <v>1426.89</v>
      </c>
    </row>
    <row r="6612">
      <c r="A6612" s="10">
        <f t="shared" si="8"/>
        <v>44594.66667</v>
      </c>
      <c r="B6612" s="2" t="str">
        <f t="shared" si="2"/>
        <v/>
      </c>
      <c r="C6612" s="2" t="str">
        <f t="shared" si="3"/>
        <v>SP500</v>
      </c>
      <c r="D6612" s="2">
        <f t="shared" si="4"/>
        <v>14417.55</v>
      </c>
      <c r="E6612" s="2">
        <f t="shared" si="5"/>
        <v>14417.55</v>
      </c>
      <c r="G6612" s="10">
        <f t="shared" si="9"/>
        <v>44594.64583</v>
      </c>
      <c r="H6612" s="6" t="str">
        <f t="shared" si="6"/>
        <v/>
      </c>
      <c r="I6612" s="2">
        <f t="shared" si="7"/>
        <v>1426.89</v>
      </c>
    </row>
    <row r="6613">
      <c r="A6613" s="10">
        <f t="shared" si="8"/>
        <v>44595.66667</v>
      </c>
      <c r="B6613" s="2" t="str">
        <f t="shared" si="2"/>
        <v/>
      </c>
      <c r="C6613" s="2" t="str">
        <f t="shared" si="3"/>
        <v>SP500</v>
      </c>
      <c r="D6613" s="2">
        <f t="shared" si="4"/>
        <v>13878.82</v>
      </c>
      <c r="E6613" s="2">
        <f t="shared" si="5"/>
        <v>13878.82</v>
      </c>
      <c r="G6613" s="10">
        <f t="shared" si="9"/>
        <v>44595.64583</v>
      </c>
      <c r="H6613" s="6" t="str">
        <f t="shared" si="6"/>
        <v/>
      </c>
      <c r="I6613" s="2">
        <f t="shared" si="7"/>
        <v>1426.89</v>
      </c>
    </row>
    <row r="6614">
      <c r="A6614" s="10">
        <f t="shared" si="8"/>
        <v>44596.66667</v>
      </c>
      <c r="B6614" s="2" t="str">
        <f t="shared" si="2"/>
        <v/>
      </c>
      <c r="C6614" s="2" t="str">
        <f t="shared" si="3"/>
        <v>SP500</v>
      </c>
      <c r="D6614" s="2">
        <f t="shared" si="4"/>
        <v>14098.01</v>
      </c>
      <c r="E6614" s="2">
        <f t="shared" si="5"/>
        <v>14098.01</v>
      </c>
      <c r="G6614" s="10">
        <f t="shared" si="9"/>
        <v>44596.64583</v>
      </c>
      <c r="H6614" s="6" t="str">
        <f t="shared" si="6"/>
        <v/>
      </c>
      <c r="I6614" s="2">
        <f t="shared" si="7"/>
        <v>1426.89</v>
      </c>
    </row>
    <row r="6615">
      <c r="A6615" s="10">
        <f t="shared" si="8"/>
        <v>44597.66667</v>
      </c>
      <c r="B6615" s="2" t="str">
        <f t="shared" si="2"/>
        <v/>
      </c>
      <c r="C6615" s="2" t="str">
        <f t="shared" si="3"/>
        <v>SP500</v>
      </c>
      <c r="D6615" s="2" t="str">
        <f t="shared" si="4"/>
        <v/>
      </c>
      <c r="E6615" s="2">
        <f t="shared" si="5"/>
        <v>14098.01</v>
      </c>
      <c r="G6615" s="10">
        <f t="shared" si="9"/>
        <v>44597.64583</v>
      </c>
      <c r="H6615" s="6" t="str">
        <f t="shared" si="6"/>
        <v/>
      </c>
      <c r="I6615" s="2">
        <f t="shared" si="7"/>
        <v>1426.89</v>
      </c>
    </row>
    <row r="6616">
      <c r="A6616" s="10">
        <f t="shared" si="8"/>
        <v>44598.66667</v>
      </c>
      <c r="B6616" s="2" t="str">
        <f t="shared" si="2"/>
        <v/>
      </c>
      <c r="C6616" s="2" t="str">
        <f t="shared" si="3"/>
        <v>SP500</v>
      </c>
      <c r="D6616" s="2" t="str">
        <f t="shared" si="4"/>
        <v/>
      </c>
      <c r="E6616" s="2">
        <f t="shared" si="5"/>
        <v>14098.01</v>
      </c>
      <c r="G6616" s="10">
        <f t="shared" si="9"/>
        <v>44598.64583</v>
      </c>
      <c r="H6616" s="6" t="str">
        <f t="shared" si="6"/>
        <v/>
      </c>
      <c r="I6616" s="2">
        <f t="shared" si="7"/>
        <v>1426.89</v>
      </c>
    </row>
    <row r="6617">
      <c r="A6617" s="10">
        <f t="shared" si="8"/>
        <v>44599.66667</v>
      </c>
      <c r="B6617" s="2" t="str">
        <f t="shared" si="2"/>
        <v/>
      </c>
      <c r="C6617" s="2" t="str">
        <f t="shared" si="3"/>
        <v>SP500</v>
      </c>
      <c r="D6617" s="2">
        <f t="shared" si="4"/>
        <v>14015.67</v>
      </c>
      <c r="E6617" s="2">
        <f t="shared" si="5"/>
        <v>14015.67</v>
      </c>
      <c r="G6617" s="10">
        <f t="shared" si="9"/>
        <v>44599.64583</v>
      </c>
      <c r="H6617" s="6" t="str">
        <f t="shared" si="6"/>
        <v/>
      </c>
      <c r="I6617" s="2">
        <f t="shared" si="7"/>
        <v>1426.89</v>
      </c>
    </row>
    <row r="6618">
      <c r="A6618" s="10">
        <f t="shared" si="8"/>
        <v>44600.66667</v>
      </c>
      <c r="B6618" s="2" t="str">
        <f t="shared" si="2"/>
        <v/>
      </c>
      <c r="C6618" s="2" t="str">
        <f t="shared" si="3"/>
        <v>SP500</v>
      </c>
      <c r="D6618" s="2">
        <f t="shared" si="4"/>
        <v>14194.46</v>
      </c>
      <c r="E6618" s="2">
        <f t="shared" si="5"/>
        <v>14194.46</v>
      </c>
      <c r="G6618" s="10">
        <f t="shared" si="9"/>
        <v>44600.64583</v>
      </c>
      <c r="H6618" s="6" t="str">
        <f t="shared" si="6"/>
        <v/>
      </c>
      <c r="I6618" s="2">
        <f t="shared" si="7"/>
        <v>1426.89</v>
      </c>
    </row>
    <row r="6619">
      <c r="A6619" s="10">
        <f t="shared" si="8"/>
        <v>44601.66667</v>
      </c>
      <c r="B6619" s="2" t="str">
        <f t="shared" si="2"/>
        <v/>
      </c>
      <c r="C6619" s="2" t="str">
        <f t="shared" si="3"/>
        <v>SP500</v>
      </c>
      <c r="D6619" s="2">
        <f t="shared" si="4"/>
        <v>14490.37</v>
      </c>
      <c r="E6619" s="2">
        <f t="shared" si="5"/>
        <v>14490.37</v>
      </c>
      <c r="G6619" s="10">
        <f t="shared" si="9"/>
        <v>44601.64583</v>
      </c>
      <c r="H6619" s="6" t="str">
        <f t="shared" si="6"/>
        <v/>
      </c>
      <c r="I6619" s="2">
        <f t="shared" si="7"/>
        <v>1426.89</v>
      </c>
    </row>
    <row r="6620">
      <c r="A6620" s="10">
        <f t="shared" si="8"/>
        <v>44602.66667</v>
      </c>
      <c r="B6620" s="2" t="str">
        <f t="shared" si="2"/>
        <v/>
      </c>
      <c r="C6620" s="2" t="str">
        <f t="shared" si="3"/>
        <v>SP500</v>
      </c>
      <c r="D6620" s="2">
        <f t="shared" si="4"/>
        <v>14185.64</v>
      </c>
      <c r="E6620" s="2">
        <f t="shared" si="5"/>
        <v>14185.64</v>
      </c>
      <c r="G6620" s="10">
        <f t="shared" si="9"/>
        <v>44602.64583</v>
      </c>
      <c r="H6620" s="6" t="str">
        <f t="shared" si="6"/>
        <v/>
      </c>
      <c r="I6620" s="2">
        <f t="shared" si="7"/>
        <v>1426.89</v>
      </c>
    </row>
    <row r="6621">
      <c r="A6621" s="10">
        <f t="shared" si="8"/>
        <v>44603.66667</v>
      </c>
      <c r="B6621" s="2" t="str">
        <f t="shared" si="2"/>
        <v/>
      </c>
      <c r="C6621" s="2" t="str">
        <f t="shared" si="3"/>
        <v>SP500</v>
      </c>
      <c r="D6621" s="2">
        <f t="shared" si="4"/>
        <v>13791.15</v>
      </c>
      <c r="E6621" s="2">
        <f t="shared" si="5"/>
        <v>13791.15</v>
      </c>
      <c r="G6621" s="10">
        <f t="shared" si="9"/>
        <v>44603.64583</v>
      </c>
      <c r="H6621" s="6" t="str">
        <f t="shared" si="6"/>
        <v/>
      </c>
      <c r="I6621" s="2">
        <f t="shared" si="7"/>
        <v>1426.89</v>
      </c>
    </row>
    <row r="6622">
      <c r="A6622" s="10">
        <f t="shared" si="8"/>
        <v>44604.66667</v>
      </c>
      <c r="B6622" s="2" t="str">
        <f t="shared" si="2"/>
        <v/>
      </c>
      <c r="C6622" s="2" t="str">
        <f t="shared" si="3"/>
        <v>SP500</v>
      </c>
      <c r="D6622" s="2" t="str">
        <f t="shared" si="4"/>
        <v/>
      </c>
      <c r="E6622" s="2">
        <f t="shared" si="5"/>
        <v>13791.15</v>
      </c>
      <c r="G6622" s="10">
        <f t="shared" si="9"/>
        <v>44604.64583</v>
      </c>
      <c r="H6622" s="6" t="str">
        <f t="shared" si="6"/>
        <v/>
      </c>
      <c r="I6622" s="2">
        <f t="shared" si="7"/>
        <v>1426.89</v>
      </c>
    </row>
    <row r="6623">
      <c r="A6623" s="10">
        <f t="shared" si="8"/>
        <v>44605.66667</v>
      </c>
      <c r="B6623" s="2" t="str">
        <f t="shared" si="2"/>
        <v/>
      </c>
      <c r="C6623" s="2" t="str">
        <f t="shared" si="3"/>
        <v>SP500</v>
      </c>
      <c r="D6623" s="2" t="str">
        <f t="shared" si="4"/>
        <v/>
      </c>
      <c r="E6623" s="2">
        <f t="shared" si="5"/>
        <v>13791.15</v>
      </c>
      <c r="G6623" s="10">
        <f t="shared" si="9"/>
        <v>44605.64583</v>
      </c>
      <c r="H6623" s="6" t="str">
        <f t="shared" si="6"/>
        <v/>
      </c>
      <c r="I6623" s="2">
        <f t="shared" si="7"/>
        <v>1426.89</v>
      </c>
    </row>
    <row r="6624">
      <c r="A6624" s="10">
        <f t="shared" si="8"/>
        <v>44606.66667</v>
      </c>
      <c r="B6624" s="2" t="str">
        <f t="shared" si="2"/>
        <v/>
      </c>
      <c r="C6624" s="2" t="str">
        <f t="shared" si="3"/>
        <v>SP500</v>
      </c>
      <c r="D6624" s="2">
        <f t="shared" si="4"/>
        <v>13790.92</v>
      </c>
      <c r="E6624" s="2">
        <f t="shared" si="5"/>
        <v>13790.92</v>
      </c>
      <c r="G6624" s="10">
        <f t="shared" si="9"/>
        <v>44606.64583</v>
      </c>
      <c r="H6624" s="6" t="str">
        <f t="shared" si="6"/>
        <v/>
      </c>
      <c r="I6624" s="2">
        <f t="shared" si="7"/>
        <v>1426.89</v>
      </c>
    </row>
    <row r="6625">
      <c r="A6625" s="10">
        <f t="shared" si="8"/>
        <v>44607.66667</v>
      </c>
      <c r="B6625" s="2" t="str">
        <f t="shared" si="2"/>
        <v/>
      </c>
      <c r="C6625" s="2" t="str">
        <f t="shared" si="3"/>
        <v>SP500</v>
      </c>
      <c r="D6625" s="2">
        <f t="shared" si="4"/>
        <v>14139.76</v>
      </c>
      <c r="E6625" s="2">
        <f t="shared" si="5"/>
        <v>14139.76</v>
      </c>
      <c r="G6625" s="10">
        <f t="shared" si="9"/>
        <v>44607.64583</v>
      </c>
      <c r="H6625" s="6" t="str">
        <f t="shared" si="6"/>
        <v/>
      </c>
      <c r="I6625" s="2">
        <f t="shared" si="7"/>
        <v>1426.89</v>
      </c>
    </row>
    <row r="6626">
      <c r="A6626" s="10">
        <f t="shared" si="8"/>
        <v>44608.66667</v>
      </c>
      <c r="B6626" s="2" t="str">
        <f t="shared" si="2"/>
        <v/>
      </c>
      <c r="C6626" s="2" t="str">
        <f t="shared" si="3"/>
        <v>SP500</v>
      </c>
      <c r="D6626" s="2">
        <f t="shared" si="4"/>
        <v>14124.1</v>
      </c>
      <c r="E6626" s="2">
        <f t="shared" si="5"/>
        <v>14124.1</v>
      </c>
      <c r="G6626" s="10">
        <f t="shared" si="9"/>
        <v>44608.64583</v>
      </c>
      <c r="H6626" s="6" t="str">
        <f t="shared" si="6"/>
        <v/>
      </c>
      <c r="I6626" s="2">
        <f t="shared" si="7"/>
        <v>1426.89</v>
      </c>
    </row>
    <row r="6627">
      <c r="A6627" s="10">
        <f t="shared" si="8"/>
        <v>44609.66667</v>
      </c>
      <c r="B6627" s="2" t="str">
        <f t="shared" si="2"/>
        <v/>
      </c>
      <c r="C6627" s="2" t="str">
        <f t="shared" si="3"/>
        <v>SP500</v>
      </c>
      <c r="D6627" s="2">
        <f t="shared" si="4"/>
        <v>13716.72</v>
      </c>
      <c r="E6627" s="2">
        <f t="shared" si="5"/>
        <v>13716.72</v>
      </c>
      <c r="G6627" s="10">
        <f t="shared" si="9"/>
        <v>44609.64583</v>
      </c>
      <c r="H6627" s="6" t="str">
        <f t="shared" si="6"/>
        <v/>
      </c>
      <c r="I6627" s="2">
        <f t="shared" si="7"/>
        <v>1426.89</v>
      </c>
    </row>
    <row r="6628">
      <c r="A6628" s="10">
        <f t="shared" si="8"/>
        <v>44610.66667</v>
      </c>
      <c r="B6628" s="2" t="str">
        <f t="shared" si="2"/>
        <v/>
      </c>
      <c r="C6628" s="2" t="str">
        <f t="shared" si="3"/>
        <v>SP500</v>
      </c>
      <c r="D6628" s="2">
        <f t="shared" si="4"/>
        <v>13548.07</v>
      </c>
      <c r="E6628" s="2">
        <f t="shared" si="5"/>
        <v>13548.07</v>
      </c>
      <c r="G6628" s="10">
        <f t="shared" si="9"/>
        <v>44610.64583</v>
      </c>
      <c r="H6628" s="6" t="str">
        <f t="shared" si="6"/>
        <v/>
      </c>
      <c r="I6628" s="2">
        <f t="shared" si="7"/>
        <v>1426.89</v>
      </c>
    </row>
    <row r="6629">
      <c r="A6629" s="10">
        <f t="shared" si="8"/>
        <v>44611.66667</v>
      </c>
      <c r="B6629" s="2" t="str">
        <f t="shared" si="2"/>
        <v/>
      </c>
      <c r="C6629" s="2" t="str">
        <f t="shared" si="3"/>
        <v>SP500</v>
      </c>
      <c r="D6629" s="2" t="str">
        <f t="shared" si="4"/>
        <v/>
      </c>
      <c r="E6629" s="2">
        <f t="shared" si="5"/>
        <v>13548.07</v>
      </c>
      <c r="G6629" s="10">
        <f t="shared" si="9"/>
        <v>44611.64583</v>
      </c>
      <c r="H6629" s="6" t="str">
        <f t="shared" si="6"/>
        <v/>
      </c>
      <c r="I6629" s="2">
        <f t="shared" si="7"/>
        <v>1426.89</v>
      </c>
    </row>
    <row r="6630">
      <c r="A6630" s="10">
        <f t="shared" si="8"/>
        <v>44612.66667</v>
      </c>
      <c r="B6630" s="2" t="str">
        <f t="shared" si="2"/>
        <v/>
      </c>
      <c r="C6630" s="2" t="str">
        <f t="shared" si="3"/>
        <v>SP500</v>
      </c>
      <c r="D6630" s="2" t="str">
        <f t="shared" si="4"/>
        <v/>
      </c>
      <c r="E6630" s="2">
        <f t="shared" si="5"/>
        <v>13548.07</v>
      </c>
      <c r="G6630" s="10">
        <f t="shared" si="9"/>
        <v>44612.64583</v>
      </c>
      <c r="H6630" s="6" t="str">
        <f t="shared" si="6"/>
        <v/>
      </c>
      <c r="I6630" s="2">
        <f t="shared" si="7"/>
        <v>1426.89</v>
      </c>
    </row>
    <row r="6631">
      <c r="A6631" s="10">
        <f t="shared" si="8"/>
        <v>44613.66667</v>
      </c>
      <c r="B6631" s="2" t="str">
        <f t="shared" si="2"/>
        <v/>
      </c>
      <c r="C6631" s="2" t="str">
        <f t="shared" si="3"/>
        <v>SP500</v>
      </c>
      <c r="D6631" s="2" t="str">
        <f t="shared" si="4"/>
        <v/>
      </c>
      <c r="E6631" s="2">
        <f t="shared" si="5"/>
        <v>13548.07</v>
      </c>
      <c r="G6631" s="10">
        <f t="shared" si="9"/>
        <v>44613.64583</v>
      </c>
      <c r="H6631" s="6" t="str">
        <f t="shared" si="6"/>
        <v/>
      </c>
      <c r="I6631" s="2">
        <f t="shared" si="7"/>
        <v>1426.89</v>
      </c>
    </row>
    <row r="6632">
      <c r="A6632" s="10">
        <f t="shared" si="8"/>
        <v>44614.66667</v>
      </c>
      <c r="B6632" s="2" t="str">
        <f t="shared" si="2"/>
        <v/>
      </c>
      <c r="C6632" s="2" t="str">
        <f t="shared" si="3"/>
        <v>SP500</v>
      </c>
      <c r="D6632" s="2">
        <f t="shared" si="4"/>
        <v>13381.52</v>
      </c>
      <c r="E6632" s="2">
        <f t="shared" si="5"/>
        <v>13381.52</v>
      </c>
      <c r="G6632" s="10">
        <f t="shared" si="9"/>
        <v>44614.64583</v>
      </c>
      <c r="H6632" s="6" t="str">
        <f t="shared" si="6"/>
        <v/>
      </c>
      <c r="I6632" s="2">
        <f t="shared" si="7"/>
        <v>1426.89</v>
      </c>
    </row>
    <row r="6633">
      <c r="A6633" s="10">
        <f t="shared" si="8"/>
        <v>44615.66667</v>
      </c>
      <c r="B6633" s="2" t="str">
        <f t="shared" si="2"/>
        <v/>
      </c>
      <c r="C6633" s="2" t="str">
        <f t="shared" si="3"/>
        <v>SP500</v>
      </c>
      <c r="D6633" s="2">
        <f t="shared" si="4"/>
        <v>13037.49</v>
      </c>
      <c r="E6633" s="2">
        <f t="shared" si="5"/>
        <v>13037.49</v>
      </c>
      <c r="G6633" s="10">
        <f t="shared" si="9"/>
        <v>44615.64583</v>
      </c>
      <c r="H6633" s="6" t="str">
        <f t="shared" si="6"/>
        <v/>
      </c>
      <c r="I6633" s="2">
        <f t="shared" si="7"/>
        <v>1426.89</v>
      </c>
    </row>
    <row r="6634">
      <c r="A6634" s="10">
        <f t="shared" si="8"/>
        <v>44616.66667</v>
      </c>
      <c r="B6634" s="2" t="str">
        <f t="shared" si="2"/>
        <v/>
      </c>
      <c r="C6634" s="2" t="str">
        <f t="shared" si="3"/>
        <v>SP500</v>
      </c>
      <c r="D6634" s="2">
        <f t="shared" si="4"/>
        <v>13473.59</v>
      </c>
      <c r="E6634" s="2">
        <f t="shared" si="5"/>
        <v>13473.59</v>
      </c>
      <c r="G6634" s="10">
        <f t="shared" si="9"/>
        <v>44616.64583</v>
      </c>
      <c r="H6634" s="6" t="str">
        <f t="shared" si="6"/>
        <v/>
      </c>
      <c r="I6634" s="2">
        <f t="shared" si="7"/>
        <v>1426.89</v>
      </c>
    </row>
    <row r="6635">
      <c r="A6635" s="10">
        <f t="shared" si="8"/>
        <v>44617.66667</v>
      </c>
      <c r="B6635" s="2" t="str">
        <f t="shared" si="2"/>
        <v/>
      </c>
      <c r="C6635" s="2" t="str">
        <f t="shared" si="3"/>
        <v>SP500</v>
      </c>
      <c r="D6635" s="2">
        <f t="shared" si="4"/>
        <v>13694.62</v>
      </c>
      <c r="E6635" s="2">
        <f t="shared" si="5"/>
        <v>13694.62</v>
      </c>
      <c r="G6635" s="10">
        <f t="shared" si="9"/>
        <v>44617.64583</v>
      </c>
      <c r="H6635" s="6" t="str">
        <f t="shared" si="6"/>
        <v/>
      </c>
      <c r="I6635" s="2">
        <f t="shared" si="7"/>
        <v>1426.89</v>
      </c>
    </row>
    <row r="6636">
      <c r="A6636" s="10">
        <f t="shared" si="8"/>
        <v>44618.66667</v>
      </c>
      <c r="B6636" s="2" t="str">
        <f t="shared" si="2"/>
        <v/>
      </c>
      <c r="C6636" s="2" t="str">
        <f t="shared" si="3"/>
        <v>SP500</v>
      </c>
      <c r="D6636" s="2" t="str">
        <f t="shared" si="4"/>
        <v/>
      </c>
      <c r="E6636" s="2">
        <f t="shared" si="5"/>
        <v>13694.62</v>
      </c>
      <c r="G6636" s="10">
        <f t="shared" si="9"/>
        <v>44618.64583</v>
      </c>
      <c r="H6636" s="6" t="str">
        <f t="shared" si="6"/>
        <v/>
      </c>
      <c r="I6636" s="2">
        <f t="shared" si="7"/>
        <v>1426.89</v>
      </c>
    </row>
    <row r="6637">
      <c r="A6637" s="10">
        <f t="shared" si="8"/>
        <v>44619.66667</v>
      </c>
      <c r="B6637" s="2" t="str">
        <f t="shared" si="2"/>
        <v/>
      </c>
      <c r="C6637" s="2" t="str">
        <f t="shared" si="3"/>
        <v>SP500</v>
      </c>
      <c r="D6637" s="2" t="str">
        <f t="shared" si="4"/>
        <v/>
      </c>
      <c r="E6637" s="2">
        <f t="shared" si="5"/>
        <v>13694.62</v>
      </c>
      <c r="G6637" s="10">
        <f t="shared" si="9"/>
        <v>44619.64583</v>
      </c>
      <c r="H6637" s="6" t="str">
        <f t="shared" si="6"/>
        <v/>
      </c>
      <c r="I6637" s="2">
        <f t="shared" si="7"/>
        <v>1426.89</v>
      </c>
    </row>
    <row r="6638">
      <c r="A6638" s="10">
        <f t="shared" si="8"/>
        <v>44620.66667</v>
      </c>
      <c r="B6638" s="2" t="str">
        <f t="shared" si="2"/>
        <v/>
      </c>
      <c r="C6638" s="2" t="str">
        <f t="shared" si="3"/>
        <v>SP500</v>
      </c>
      <c r="D6638" s="2">
        <f t="shared" si="4"/>
        <v>13751.4</v>
      </c>
      <c r="E6638" s="2">
        <f t="shared" si="5"/>
        <v>13751.4</v>
      </c>
      <c r="G6638" s="10">
        <f t="shared" si="9"/>
        <v>44620.64583</v>
      </c>
      <c r="H6638" s="6" t="str">
        <f t="shared" si="6"/>
        <v/>
      </c>
      <c r="I6638" s="2">
        <f t="shared" si="7"/>
        <v>1426.89</v>
      </c>
    </row>
    <row r="6639">
      <c r="A6639" s="10">
        <f t="shared" si="8"/>
        <v>44621.66667</v>
      </c>
      <c r="B6639" s="2" t="str">
        <f t="shared" si="2"/>
        <v/>
      </c>
      <c r="C6639" s="2" t="str">
        <f t="shared" si="3"/>
        <v>SP500</v>
      </c>
      <c r="D6639" s="2">
        <f t="shared" si="4"/>
        <v>13532.46</v>
      </c>
      <c r="E6639" s="2">
        <f t="shared" si="5"/>
        <v>13532.46</v>
      </c>
      <c r="G6639" s="10">
        <f t="shared" si="9"/>
        <v>44621.64583</v>
      </c>
      <c r="H6639" s="6" t="str">
        <f t="shared" si="6"/>
        <v/>
      </c>
      <c r="I6639" s="2">
        <f t="shared" si="7"/>
        <v>1426.89</v>
      </c>
    </row>
    <row r="6640">
      <c r="A6640" s="10">
        <f t="shared" si="8"/>
        <v>44622.66667</v>
      </c>
      <c r="B6640" s="2" t="str">
        <f t="shared" si="2"/>
        <v/>
      </c>
      <c r="C6640" s="2" t="str">
        <f t="shared" si="3"/>
        <v>SP500</v>
      </c>
      <c r="D6640" s="2">
        <f t="shared" si="4"/>
        <v>13752.02</v>
      </c>
      <c r="E6640" s="2">
        <f t="shared" si="5"/>
        <v>13752.02</v>
      </c>
      <c r="G6640" s="10">
        <f t="shared" si="9"/>
        <v>44622.64583</v>
      </c>
      <c r="H6640" s="6" t="str">
        <f t="shared" si="6"/>
        <v/>
      </c>
      <c r="I6640" s="2">
        <f t="shared" si="7"/>
        <v>1426.89</v>
      </c>
    </row>
    <row r="6641">
      <c r="A6641" s="10">
        <f t="shared" si="8"/>
        <v>44623.66667</v>
      </c>
      <c r="B6641" s="2" t="str">
        <f t="shared" si="2"/>
        <v/>
      </c>
      <c r="C6641" s="2" t="str">
        <f t="shared" si="3"/>
        <v>SP500</v>
      </c>
      <c r="D6641" s="2">
        <f t="shared" si="4"/>
        <v>13537.94</v>
      </c>
      <c r="E6641" s="2">
        <f t="shared" si="5"/>
        <v>13537.94</v>
      </c>
      <c r="G6641" s="10">
        <f t="shared" si="9"/>
        <v>44623.64583</v>
      </c>
      <c r="H6641" s="6" t="str">
        <f t="shared" si="6"/>
        <v/>
      </c>
      <c r="I6641" s="2">
        <f t="shared" si="7"/>
        <v>1426.89</v>
      </c>
    </row>
    <row r="6642">
      <c r="A6642" s="10">
        <f t="shared" si="8"/>
        <v>44624.66667</v>
      </c>
      <c r="B6642" s="2" t="str">
        <f t="shared" si="2"/>
        <v/>
      </c>
      <c r="C6642" s="2" t="str">
        <f t="shared" si="3"/>
        <v>SP500</v>
      </c>
      <c r="D6642" s="2">
        <f t="shared" si="4"/>
        <v>13313.44</v>
      </c>
      <c r="E6642" s="2">
        <f t="shared" si="5"/>
        <v>13313.44</v>
      </c>
      <c r="G6642" s="10">
        <f t="shared" si="9"/>
        <v>44624.64583</v>
      </c>
      <c r="H6642" s="6" t="str">
        <f t="shared" si="6"/>
        <v/>
      </c>
      <c r="I6642" s="2">
        <f t="shared" si="7"/>
        <v>1426.89</v>
      </c>
    </row>
    <row r="6643">
      <c r="A6643" s="10">
        <f t="shared" si="8"/>
        <v>44625.66667</v>
      </c>
      <c r="B6643" s="2" t="str">
        <f t="shared" si="2"/>
        <v/>
      </c>
      <c r="C6643" s="2" t="str">
        <f t="shared" si="3"/>
        <v>SP500</v>
      </c>
      <c r="D6643" s="2" t="str">
        <f t="shared" si="4"/>
        <v/>
      </c>
      <c r="E6643" s="2">
        <f t="shared" si="5"/>
        <v>13313.44</v>
      </c>
      <c r="G6643" s="10">
        <f t="shared" si="9"/>
        <v>44625.64583</v>
      </c>
      <c r="H6643" s="6" t="str">
        <f t="shared" si="6"/>
        <v/>
      </c>
      <c r="I6643" s="2">
        <f t="shared" si="7"/>
        <v>1426.89</v>
      </c>
    </row>
    <row r="6644">
      <c r="A6644" s="10">
        <f t="shared" si="8"/>
        <v>44626.66667</v>
      </c>
      <c r="B6644" s="2" t="str">
        <f t="shared" si="2"/>
        <v/>
      </c>
      <c r="C6644" s="2" t="str">
        <f t="shared" si="3"/>
        <v>SP500</v>
      </c>
      <c r="D6644" s="2" t="str">
        <f t="shared" si="4"/>
        <v/>
      </c>
      <c r="E6644" s="2">
        <f t="shared" si="5"/>
        <v>13313.44</v>
      </c>
      <c r="G6644" s="10">
        <f t="shared" si="9"/>
        <v>44626.64583</v>
      </c>
      <c r="H6644" s="6" t="str">
        <f t="shared" si="6"/>
        <v/>
      </c>
      <c r="I6644" s="2">
        <f t="shared" si="7"/>
        <v>1426.89</v>
      </c>
    </row>
    <row r="6645">
      <c r="A6645" s="10">
        <f t="shared" si="8"/>
        <v>44627.66667</v>
      </c>
      <c r="B6645" s="2" t="str">
        <f t="shared" si="2"/>
        <v/>
      </c>
      <c r="C6645" s="2" t="str">
        <f t="shared" si="3"/>
        <v>SP500</v>
      </c>
      <c r="D6645" s="2">
        <f t="shared" si="4"/>
        <v>12830.96</v>
      </c>
      <c r="E6645" s="2">
        <f t="shared" si="5"/>
        <v>12830.96</v>
      </c>
      <c r="G6645" s="10">
        <f t="shared" si="9"/>
        <v>44627.64583</v>
      </c>
      <c r="H6645" s="6" t="str">
        <f t="shared" si="6"/>
        <v/>
      </c>
      <c r="I6645" s="2">
        <f t="shared" si="7"/>
        <v>1426.89</v>
      </c>
    </row>
    <row r="6646">
      <c r="A6646" s="10">
        <f t="shared" si="8"/>
        <v>44628.66667</v>
      </c>
      <c r="B6646" s="2" t="str">
        <f t="shared" si="2"/>
        <v/>
      </c>
      <c r="C6646" s="2" t="str">
        <f t="shared" si="3"/>
        <v>SP500</v>
      </c>
      <c r="D6646" s="2">
        <f t="shared" si="4"/>
        <v>12795.55</v>
      </c>
      <c r="E6646" s="2">
        <f t="shared" si="5"/>
        <v>12795.55</v>
      </c>
      <c r="G6646" s="10">
        <f t="shared" si="9"/>
        <v>44628.64583</v>
      </c>
      <c r="H6646" s="6" t="str">
        <f t="shared" si="6"/>
        <v/>
      </c>
      <c r="I6646" s="2">
        <f t="shared" si="7"/>
        <v>1426.89</v>
      </c>
    </row>
    <row r="6647">
      <c r="A6647" s="10">
        <f t="shared" si="8"/>
        <v>44629.66667</v>
      </c>
      <c r="B6647" s="2" t="str">
        <f t="shared" si="2"/>
        <v/>
      </c>
      <c r="C6647" s="2" t="str">
        <f t="shared" si="3"/>
        <v>SP500</v>
      </c>
      <c r="D6647" s="2">
        <f t="shared" si="4"/>
        <v>13255.55</v>
      </c>
      <c r="E6647" s="2">
        <f t="shared" si="5"/>
        <v>13255.55</v>
      </c>
      <c r="G6647" s="10">
        <f t="shared" si="9"/>
        <v>44629.64583</v>
      </c>
      <c r="H6647" s="6" t="str">
        <f t="shared" si="6"/>
        <v/>
      </c>
      <c r="I6647" s="2">
        <f t="shared" si="7"/>
        <v>1426.89</v>
      </c>
    </row>
    <row r="6648">
      <c r="A6648" s="10">
        <f t="shared" si="8"/>
        <v>44630.66667</v>
      </c>
      <c r="B6648" s="2" t="str">
        <f t="shared" si="2"/>
        <v/>
      </c>
      <c r="C6648" s="2" t="str">
        <f t="shared" si="3"/>
        <v>SP500</v>
      </c>
      <c r="D6648" s="2">
        <f t="shared" si="4"/>
        <v>13129.96</v>
      </c>
      <c r="E6648" s="2">
        <f t="shared" si="5"/>
        <v>13129.96</v>
      </c>
      <c r="G6648" s="10">
        <f t="shared" si="9"/>
        <v>44630.64583</v>
      </c>
      <c r="H6648" s="6" t="str">
        <f t="shared" si="6"/>
        <v/>
      </c>
      <c r="I6648" s="2">
        <f t="shared" si="7"/>
        <v>1426.89</v>
      </c>
    </row>
    <row r="6649">
      <c r="A6649" s="10">
        <f t="shared" si="8"/>
        <v>44631.66667</v>
      </c>
      <c r="B6649" s="2" t="str">
        <f t="shared" si="2"/>
        <v/>
      </c>
      <c r="C6649" s="2" t="str">
        <f t="shared" si="3"/>
        <v>SP500</v>
      </c>
      <c r="D6649" s="2">
        <f t="shared" si="4"/>
        <v>12843.81</v>
      </c>
      <c r="E6649" s="2">
        <f t="shared" si="5"/>
        <v>12843.81</v>
      </c>
      <c r="G6649" s="10">
        <f t="shared" si="9"/>
        <v>44631.64583</v>
      </c>
      <c r="H6649" s="6" t="str">
        <f t="shared" si="6"/>
        <v/>
      </c>
      <c r="I6649" s="2">
        <f t="shared" si="7"/>
        <v>1426.89</v>
      </c>
    </row>
    <row r="6650">
      <c r="A6650" s="10">
        <f t="shared" si="8"/>
        <v>44632.66667</v>
      </c>
      <c r="B6650" s="2" t="str">
        <f t="shared" si="2"/>
        <v/>
      </c>
      <c r="C6650" s="2" t="str">
        <f t="shared" si="3"/>
        <v>SP500</v>
      </c>
      <c r="D6650" s="2" t="str">
        <f t="shared" si="4"/>
        <v/>
      </c>
      <c r="E6650" s="2">
        <f t="shared" si="5"/>
        <v>12843.81</v>
      </c>
      <c r="G6650" s="10">
        <f t="shared" si="9"/>
        <v>44632.64583</v>
      </c>
      <c r="H6650" s="6" t="str">
        <f t="shared" si="6"/>
        <v/>
      </c>
      <c r="I6650" s="2">
        <f t="shared" si="7"/>
        <v>1426.89</v>
      </c>
    </row>
    <row r="6651">
      <c r="A6651" s="10">
        <f t="shared" si="8"/>
        <v>44633.66667</v>
      </c>
      <c r="B6651" s="2" t="str">
        <f t="shared" si="2"/>
        <v/>
      </c>
      <c r="C6651" s="2" t="str">
        <f t="shared" si="3"/>
        <v>SP500</v>
      </c>
      <c r="D6651" s="2" t="str">
        <f t="shared" si="4"/>
        <v/>
      </c>
      <c r="E6651" s="2">
        <f t="shared" si="5"/>
        <v>12843.81</v>
      </c>
      <c r="G6651" s="10">
        <f t="shared" si="9"/>
        <v>44633.64583</v>
      </c>
      <c r="H6651" s="6" t="str">
        <f t="shared" si="6"/>
        <v/>
      </c>
      <c r="I6651" s="2">
        <f t="shared" si="7"/>
        <v>1426.89</v>
      </c>
    </row>
    <row r="6652">
      <c r="A6652" s="10">
        <f t="shared" si="8"/>
        <v>44634.66667</v>
      </c>
      <c r="B6652" s="2" t="str">
        <f t="shared" si="2"/>
        <v/>
      </c>
      <c r="C6652" s="2" t="str">
        <f t="shared" si="3"/>
        <v>SP500</v>
      </c>
      <c r="D6652" s="2">
        <f t="shared" si="4"/>
        <v>12581.22</v>
      </c>
      <c r="E6652" s="2">
        <f t="shared" si="5"/>
        <v>12581.22</v>
      </c>
      <c r="G6652" s="10">
        <f t="shared" si="9"/>
        <v>44634.64583</v>
      </c>
      <c r="H6652" s="6" t="str">
        <f t="shared" si="6"/>
        <v/>
      </c>
      <c r="I6652" s="2">
        <f t="shared" si="7"/>
        <v>1426.89</v>
      </c>
    </row>
    <row r="6653">
      <c r="A6653" s="10">
        <f t="shared" si="8"/>
        <v>44635.66667</v>
      </c>
      <c r="B6653" s="2" t="str">
        <f t="shared" si="2"/>
        <v/>
      </c>
      <c r="C6653" s="2" t="str">
        <f t="shared" si="3"/>
        <v>SP500</v>
      </c>
      <c r="D6653" s="2">
        <f t="shared" si="4"/>
        <v>12948.62</v>
      </c>
      <c r="E6653" s="2">
        <f t="shared" si="5"/>
        <v>12948.62</v>
      </c>
      <c r="G6653" s="10">
        <f t="shared" si="9"/>
        <v>44635.64583</v>
      </c>
      <c r="H6653" s="6" t="str">
        <f t="shared" si="6"/>
        <v/>
      </c>
      <c r="I6653" s="2">
        <f t="shared" si="7"/>
        <v>1426.89</v>
      </c>
    </row>
    <row r="6654">
      <c r="A6654" s="10">
        <f t="shared" si="8"/>
        <v>44636.66667</v>
      </c>
      <c r="B6654" s="2" t="str">
        <f t="shared" si="2"/>
        <v/>
      </c>
      <c r="C6654" s="2" t="str">
        <f t="shared" si="3"/>
        <v>SP500</v>
      </c>
      <c r="D6654" s="2">
        <f t="shared" si="4"/>
        <v>13436.55</v>
      </c>
      <c r="E6654" s="2">
        <f t="shared" si="5"/>
        <v>13436.55</v>
      </c>
      <c r="G6654" s="10">
        <f t="shared" si="9"/>
        <v>44636.64583</v>
      </c>
      <c r="H6654" s="6" t="str">
        <f t="shared" si="6"/>
        <v/>
      </c>
      <c r="I6654" s="2">
        <f t="shared" si="7"/>
        <v>1426.89</v>
      </c>
    </row>
    <row r="6655">
      <c r="A6655" s="10">
        <f t="shared" si="8"/>
        <v>44637.66667</v>
      </c>
      <c r="B6655" s="2" t="str">
        <f t="shared" si="2"/>
        <v/>
      </c>
      <c r="C6655" s="2" t="str">
        <f t="shared" si="3"/>
        <v>SP500</v>
      </c>
      <c r="D6655" s="2">
        <f t="shared" si="4"/>
        <v>13614.78</v>
      </c>
      <c r="E6655" s="2">
        <f t="shared" si="5"/>
        <v>13614.78</v>
      </c>
      <c r="G6655" s="10">
        <f t="shared" si="9"/>
        <v>44637.64583</v>
      </c>
      <c r="H6655" s="6" t="str">
        <f t="shared" si="6"/>
        <v/>
      </c>
      <c r="I6655" s="2">
        <f t="shared" si="7"/>
        <v>1426.89</v>
      </c>
    </row>
    <row r="6656">
      <c r="A6656" s="10">
        <f t="shared" si="8"/>
        <v>44638.66667</v>
      </c>
      <c r="B6656" s="2" t="str">
        <f t="shared" si="2"/>
        <v/>
      </c>
      <c r="C6656" s="2" t="str">
        <f t="shared" si="3"/>
        <v>SP500</v>
      </c>
      <c r="D6656" s="2">
        <f t="shared" si="4"/>
        <v>13893.84</v>
      </c>
      <c r="E6656" s="2">
        <f t="shared" si="5"/>
        <v>13893.84</v>
      </c>
      <c r="G6656" s="10">
        <f t="shared" si="9"/>
        <v>44638.64583</v>
      </c>
      <c r="H6656" s="6" t="str">
        <f t="shared" si="6"/>
        <v/>
      </c>
      <c r="I6656" s="2">
        <f t="shared" si="7"/>
        <v>1426.89</v>
      </c>
    </row>
    <row r="6657">
      <c r="A6657" s="10">
        <f t="shared" si="8"/>
        <v>44639.66667</v>
      </c>
      <c r="B6657" s="2" t="str">
        <f t="shared" si="2"/>
        <v/>
      </c>
      <c r="C6657" s="2" t="str">
        <f t="shared" si="3"/>
        <v>SP500</v>
      </c>
      <c r="D6657" s="2" t="str">
        <f t="shared" si="4"/>
        <v/>
      </c>
      <c r="E6657" s="2">
        <f t="shared" si="5"/>
        <v>13893.84</v>
      </c>
      <c r="G6657" s="10">
        <f t="shared" si="9"/>
        <v>44639.64583</v>
      </c>
      <c r="H6657" s="6" t="str">
        <f t="shared" si="6"/>
        <v/>
      </c>
      <c r="I6657" s="2">
        <f t="shared" si="7"/>
        <v>1426.89</v>
      </c>
    </row>
    <row r="6658">
      <c r="A6658" s="10">
        <f t="shared" si="8"/>
        <v>44640.66667</v>
      </c>
      <c r="B6658" s="2" t="str">
        <f t="shared" si="2"/>
        <v/>
      </c>
      <c r="C6658" s="2" t="str">
        <f t="shared" si="3"/>
        <v>SP500</v>
      </c>
      <c r="D6658" s="2" t="str">
        <f t="shared" si="4"/>
        <v/>
      </c>
      <c r="E6658" s="2">
        <f t="shared" si="5"/>
        <v>13893.84</v>
      </c>
      <c r="G6658" s="10">
        <f t="shared" si="9"/>
        <v>44640.64583</v>
      </c>
      <c r="H6658" s="6" t="str">
        <f t="shared" si="6"/>
        <v/>
      </c>
      <c r="I6658" s="2">
        <f t="shared" si="7"/>
        <v>1426.89</v>
      </c>
    </row>
    <row r="6659">
      <c r="A6659" s="10">
        <f t="shared" si="8"/>
        <v>44641.66667</v>
      </c>
      <c r="B6659" s="2" t="str">
        <f t="shared" si="2"/>
        <v/>
      </c>
      <c r="C6659" s="2" t="str">
        <f t="shared" si="3"/>
        <v>SP500</v>
      </c>
      <c r="D6659" s="2">
        <f t="shared" si="4"/>
        <v>13838.46</v>
      </c>
      <c r="E6659" s="2">
        <f t="shared" si="5"/>
        <v>13838.46</v>
      </c>
      <c r="G6659" s="10">
        <f t="shared" si="9"/>
        <v>44641.64583</v>
      </c>
      <c r="H6659" s="6" t="str">
        <f t="shared" si="6"/>
        <v/>
      </c>
      <c r="I6659" s="2">
        <f t="shared" si="7"/>
        <v>1426.89</v>
      </c>
    </row>
    <row r="6660">
      <c r="A6660" s="10">
        <f t="shared" si="8"/>
        <v>44642.66667</v>
      </c>
      <c r="B6660" s="2" t="str">
        <f t="shared" si="2"/>
        <v/>
      </c>
      <c r="C6660" s="2" t="str">
        <f t="shared" si="3"/>
        <v>SP500</v>
      </c>
      <c r="D6660" s="2">
        <f t="shared" si="4"/>
        <v>14108.82</v>
      </c>
      <c r="E6660" s="2">
        <f t="shared" si="5"/>
        <v>14108.82</v>
      </c>
      <c r="G6660" s="10">
        <f t="shared" si="9"/>
        <v>44642.64583</v>
      </c>
      <c r="H6660" s="6" t="str">
        <f t="shared" si="6"/>
        <v/>
      </c>
      <c r="I6660" s="2">
        <f t="shared" si="7"/>
        <v>1426.89</v>
      </c>
    </row>
    <row r="6661">
      <c r="A6661" s="10">
        <f t="shared" si="8"/>
        <v>44643.66667</v>
      </c>
      <c r="B6661" s="2" t="str">
        <f t="shared" si="2"/>
        <v/>
      </c>
      <c r="C6661" s="2" t="str">
        <f t="shared" si="3"/>
        <v>SP500</v>
      </c>
      <c r="D6661" s="2">
        <f t="shared" si="4"/>
        <v>13922.6</v>
      </c>
      <c r="E6661" s="2">
        <f t="shared" si="5"/>
        <v>13922.6</v>
      </c>
      <c r="G6661" s="10">
        <f t="shared" si="9"/>
        <v>44643.64583</v>
      </c>
      <c r="H6661" s="6" t="str">
        <f t="shared" si="6"/>
        <v/>
      </c>
      <c r="I6661" s="2">
        <f t="shared" si="7"/>
        <v>1426.89</v>
      </c>
    </row>
    <row r="6662">
      <c r="A6662" s="10">
        <f t="shared" si="8"/>
        <v>44644.66667</v>
      </c>
      <c r="B6662" s="2" t="str">
        <f t="shared" si="2"/>
        <v/>
      </c>
      <c r="C6662" s="2" t="str">
        <f t="shared" si="3"/>
        <v>SP500</v>
      </c>
      <c r="D6662" s="2">
        <f t="shared" si="4"/>
        <v>14191.84</v>
      </c>
      <c r="E6662" s="2">
        <f t="shared" si="5"/>
        <v>14191.84</v>
      </c>
      <c r="G6662" s="10">
        <f t="shared" si="9"/>
        <v>44644.64583</v>
      </c>
      <c r="H6662" s="6" t="str">
        <f t="shared" si="6"/>
        <v/>
      </c>
      <c r="I6662" s="2">
        <f t="shared" si="7"/>
        <v>1426.89</v>
      </c>
    </row>
    <row r="6663">
      <c r="A6663" s="10">
        <f t="shared" si="8"/>
        <v>44645.66667</v>
      </c>
      <c r="B6663" s="2" t="str">
        <f t="shared" si="2"/>
        <v/>
      </c>
      <c r="C6663" s="2" t="str">
        <f t="shared" si="3"/>
        <v>SP500</v>
      </c>
      <c r="D6663" s="2">
        <f t="shared" si="4"/>
        <v>14169.3</v>
      </c>
      <c r="E6663" s="2">
        <f t="shared" si="5"/>
        <v>14169.3</v>
      </c>
      <c r="G6663" s="10">
        <f t="shared" si="9"/>
        <v>44645.64583</v>
      </c>
      <c r="H6663" s="6" t="str">
        <f t="shared" si="6"/>
        <v/>
      </c>
      <c r="I6663" s="2">
        <f t="shared" si="7"/>
        <v>1426.89</v>
      </c>
    </row>
    <row r="6664">
      <c r="A6664" s="10">
        <f t="shared" si="8"/>
        <v>44646.66667</v>
      </c>
      <c r="B6664" s="2" t="str">
        <f t="shared" si="2"/>
        <v/>
      </c>
      <c r="C6664" s="2" t="str">
        <f t="shared" si="3"/>
        <v>SP500</v>
      </c>
      <c r="D6664" s="2" t="str">
        <f t="shared" si="4"/>
        <v/>
      </c>
      <c r="E6664" s="2">
        <f t="shared" si="5"/>
        <v>14169.3</v>
      </c>
      <c r="G6664" s="10">
        <f t="shared" si="9"/>
        <v>44646.64583</v>
      </c>
      <c r="H6664" s="6" t="str">
        <f t="shared" si="6"/>
        <v/>
      </c>
      <c r="I6664" s="2">
        <f t="shared" si="7"/>
        <v>1426.89</v>
      </c>
    </row>
    <row r="6665">
      <c r="A6665" s="10">
        <f t="shared" si="8"/>
        <v>44647.66667</v>
      </c>
      <c r="B6665" s="2" t="str">
        <f t="shared" si="2"/>
        <v/>
      </c>
      <c r="C6665" s="2" t="str">
        <f t="shared" si="3"/>
        <v>SP500</v>
      </c>
      <c r="D6665" s="2" t="str">
        <f t="shared" si="4"/>
        <v/>
      </c>
      <c r="E6665" s="2">
        <f t="shared" si="5"/>
        <v>14169.3</v>
      </c>
      <c r="G6665" s="10">
        <f t="shared" si="9"/>
        <v>44647.64583</v>
      </c>
      <c r="H6665" s="6" t="str">
        <f t="shared" si="6"/>
        <v/>
      </c>
      <c r="I6665" s="2">
        <f t="shared" si="7"/>
        <v>1426.89</v>
      </c>
    </row>
    <row r="6666">
      <c r="A6666" s="10">
        <f t="shared" si="8"/>
        <v>44648.66667</v>
      </c>
      <c r="B6666" s="2" t="str">
        <f t="shared" si="2"/>
        <v/>
      </c>
      <c r="C6666" s="2" t="str">
        <f t="shared" si="3"/>
        <v>SP500</v>
      </c>
      <c r="D6666" s="2">
        <f t="shared" si="4"/>
        <v>14354.9</v>
      </c>
      <c r="E6666" s="2">
        <f t="shared" si="5"/>
        <v>14354.9</v>
      </c>
      <c r="G6666" s="10">
        <f t="shared" si="9"/>
        <v>44648.64583</v>
      </c>
      <c r="H6666" s="6" t="str">
        <f t="shared" si="6"/>
        <v/>
      </c>
      <c r="I6666" s="2">
        <f t="shared" si="7"/>
        <v>1426.89</v>
      </c>
    </row>
    <row r="6667">
      <c r="A6667" s="10">
        <f t="shared" si="8"/>
        <v>44649.66667</v>
      </c>
      <c r="B6667" s="2" t="str">
        <f t="shared" si="2"/>
        <v/>
      </c>
      <c r="C6667" s="2" t="str">
        <f t="shared" si="3"/>
        <v>SP500</v>
      </c>
      <c r="D6667" s="2">
        <f t="shared" si="4"/>
        <v>14619.64</v>
      </c>
      <c r="E6667" s="2">
        <f t="shared" si="5"/>
        <v>14619.64</v>
      </c>
      <c r="G6667" s="10">
        <f t="shared" si="9"/>
        <v>44649.64583</v>
      </c>
      <c r="H6667" s="6" t="str">
        <f t="shared" si="6"/>
        <v/>
      </c>
      <c r="I6667" s="2">
        <f t="shared" si="7"/>
        <v>1426.89</v>
      </c>
    </row>
    <row r="6668">
      <c r="A6668" s="10">
        <f t="shared" si="8"/>
        <v>44650.66667</v>
      </c>
      <c r="B6668" s="2" t="str">
        <f t="shared" si="2"/>
        <v/>
      </c>
      <c r="C6668" s="2" t="str">
        <f t="shared" si="3"/>
        <v>SP500</v>
      </c>
      <c r="D6668" s="2">
        <f t="shared" si="4"/>
        <v>14442.28</v>
      </c>
      <c r="E6668" s="2">
        <f t="shared" si="5"/>
        <v>14442.28</v>
      </c>
      <c r="G6668" s="10">
        <f t="shared" si="9"/>
        <v>44650.64583</v>
      </c>
      <c r="H6668" s="6" t="str">
        <f t="shared" si="6"/>
        <v/>
      </c>
      <c r="I6668" s="2">
        <f t="shared" si="7"/>
        <v>1426.89</v>
      </c>
    </row>
    <row r="6669">
      <c r="A6669" s="10">
        <f t="shared" si="8"/>
        <v>44651.66667</v>
      </c>
      <c r="B6669" s="2" t="str">
        <f t="shared" si="2"/>
        <v/>
      </c>
      <c r="C6669" s="2" t="str">
        <f t="shared" si="3"/>
        <v>SP500</v>
      </c>
      <c r="D6669" s="2">
        <f t="shared" si="4"/>
        <v>14220.52</v>
      </c>
      <c r="E6669" s="2">
        <f t="shared" si="5"/>
        <v>14220.52</v>
      </c>
      <c r="G6669" s="10">
        <f t="shared" si="9"/>
        <v>44651.64583</v>
      </c>
      <c r="H6669" s="6" t="str">
        <f t="shared" si="6"/>
        <v/>
      </c>
      <c r="I6669" s="2">
        <f t="shared" si="7"/>
        <v>1426.89</v>
      </c>
    </row>
    <row r="6670">
      <c r="A6670" s="10">
        <f t="shared" si="8"/>
        <v>44652.66667</v>
      </c>
      <c r="B6670" s="2" t="str">
        <f t="shared" si="2"/>
        <v/>
      </c>
      <c r="C6670" s="2" t="str">
        <f t="shared" si="3"/>
        <v>SP500</v>
      </c>
      <c r="D6670" s="2">
        <f t="shared" si="4"/>
        <v>14261.5</v>
      </c>
      <c r="E6670" s="2">
        <f t="shared" si="5"/>
        <v>14261.5</v>
      </c>
      <c r="G6670" s="10">
        <f t="shared" si="9"/>
        <v>44652.64583</v>
      </c>
      <c r="H6670" s="6" t="str">
        <f t="shared" si="6"/>
        <v/>
      </c>
      <c r="I6670" s="2">
        <f t="shared" si="7"/>
        <v>1426.89</v>
      </c>
    </row>
    <row r="6671">
      <c r="A6671" s="10">
        <f t="shared" si="8"/>
        <v>44653.66667</v>
      </c>
      <c r="B6671" s="2" t="str">
        <f t="shared" si="2"/>
        <v/>
      </c>
      <c r="C6671" s="2" t="str">
        <f t="shared" si="3"/>
        <v>SP500</v>
      </c>
      <c r="D6671" s="2" t="str">
        <f t="shared" si="4"/>
        <v/>
      </c>
      <c r="E6671" s="2">
        <f t="shared" si="5"/>
        <v>14261.5</v>
      </c>
      <c r="G6671" s="10">
        <f t="shared" si="9"/>
        <v>44653.64583</v>
      </c>
      <c r="H6671" s="6" t="str">
        <f t="shared" si="6"/>
        <v/>
      </c>
      <c r="I6671" s="2">
        <f t="shared" si="7"/>
        <v>1426.89</v>
      </c>
    </row>
    <row r="6672">
      <c r="A6672" s="10">
        <f t="shared" si="8"/>
        <v>44654.66667</v>
      </c>
      <c r="B6672" s="2" t="str">
        <f t="shared" si="2"/>
        <v/>
      </c>
      <c r="C6672" s="2" t="str">
        <f t="shared" si="3"/>
        <v>SP500</v>
      </c>
      <c r="D6672" s="2" t="str">
        <f t="shared" si="4"/>
        <v/>
      </c>
      <c r="E6672" s="2">
        <f t="shared" si="5"/>
        <v>14261.5</v>
      </c>
      <c r="G6672" s="10">
        <f t="shared" si="9"/>
        <v>44654.64583</v>
      </c>
      <c r="H6672" s="6" t="str">
        <f t="shared" si="6"/>
        <v/>
      </c>
      <c r="I6672" s="2">
        <f t="shared" si="7"/>
        <v>1426.89</v>
      </c>
    </row>
    <row r="6673">
      <c r="A6673" s="10">
        <f t="shared" si="8"/>
        <v>44655.66667</v>
      </c>
      <c r="B6673" s="2" t="str">
        <f t="shared" si="2"/>
        <v/>
      </c>
      <c r="C6673" s="2" t="str">
        <f t="shared" si="3"/>
        <v>SP500</v>
      </c>
      <c r="D6673" s="2">
        <f t="shared" si="4"/>
        <v>14532.55</v>
      </c>
      <c r="E6673" s="2">
        <f t="shared" si="5"/>
        <v>14532.55</v>
      </c>
      <c r="G6673" s="10">
        <f t="shared" si="9"/>
        <v>44655.64583</v>
      </c>
      <c r="H6673" s="6" t="str">
        <f t="shared" si="6"/>
        <v/>
      </c>
      <c r="I6673" s="2">
        <f t="shared" si="7"/>
        <v>1426.89</v>
      </c>
    </row>
    <row r="6674">
      <c r="A6674" s="10">
        <f t="shared" si="8"/>
        <v>44656.66667</v>
      </c>
      <c r="B6674" s="2" t="str">
        <f t="shared" si="2"/>
        <v/>
      </c>
      <c r="C6674" s="2" t="str">
        <f t="shared" si="3"/>
        <v>SP500</v>
      </c>
      <c r="D6674" s="2">
        <f t="shared" si="4"/>
        <v>14204.17</v>
      </c>
      <c r="E6674" s="2">
        <f t="shared" si="5"/>
        <v>14204.17</v>
      </c>
      <c r="G6674" s="10">
        <f t="shared" si="9"/>
        <v>44656.64583</v>
      </c>
      <c r="H6674" s="6" t="str">
        <f t="shared" si="6"/>
        <v/>
      </c>
      <c r="I6674" s="2">
        <f t="shared" si="7"/>
        <v>1426.89</v>
      </c>
    </row>
    <row r="6675">
      <c r="A6675" s="10">
        <f t="shared" si="8"/>
        <v>44657.66667</v>
      </c>
      <c r="B6675" s="2" t="str">
        <f t="shared" si="2"/>
        <v/>
      </c>
      <c r="C6675" s="2" t="str">
        <f t="shared" si="3"/>
        <v>SP500</v>
      </c>
      <c r="D6675" s="2">
        <f t="shared" si="4"/>
        <v>13888.82</v>
      </c>
      <c r="E6675" s="2">
        <f t="shared" si="5"/>
        <v>13888.82</v>
      </c>
      <c r="G6675" s="10">
        <f t="shared" si="9"/>
        <v>44657.64583</v>
      </c>
      <c r="H6675" s="6" t="str">
        <f t="shared" si="6"/>
        <v/>
      </c>
      <c r="I6675" s="2">
        <f t="shared" si="7"/>
        <v>1426.89</v>
      </c>
    </row>
    <row r="6676">
      <c r="A6676" s="10">
        <f t="shared" si="8"/>
        <v>44658.66667</v>
      </c>
      <c r="B6676" s="2" t="str">
        <f t="shared" si="2"/>
        <v/>
      </c>
      <c r="C6676" s="2" t="str">
        <f t="shared" si="3"/>
        <v>SP500</v>
      </c>
      <c r="D6676" s="2">
        <f t="shared" si="4"/>
        <v>13897.3</v>
      </c>
      <c r="E6676" s="2">
        <f t="shared" si="5"/>
        <v>13897.3</v>
      </c>
      <c r="G6676" s="10">
        <f t="shared" si="9"/>
        <v>44658.64583</v>
      </c>
      <c r="H6676" s="6" t="str">
        <f t="shared" si="6"/>
        <v/>
      </c>
      <c r="I6676" s="2">
        <f t="shared" si="7"/>
        <v>1426.89</v>
      </c>
    </row>
    <row r="6677">
      <c r="A6677" s="10">
        <f t="shared" si="8"/>
        <v>44659.66667</v>
      </c>
      <c r="B6677" s="2" t="str">
        <f t="shared" si="2"/>
        <v/>
      </c>
      <c r="C6677" s="2" t="str">
        <f t="shared" si="3"/>
        <v>SP500</v>
      </c>
      <c r="D6677" s="2">
        <f t="shared" si="4"/>
        <v>13711</v>
      </c>
      <c r="E6677" s="2">
        <f t="shared" si="5"/>
        <v>13711</v>
      </c>
      <c r="G6677" s="10">
        <f t="shared" si="9"/>
        <v>44659.64583</v>
      </c>
      <c r="H6677" s="6" t="str">
        <f t="shared" si="6"/>
        <v/>
      </c>
      <c r="I6677" s="2">
        <f t="shared" si="7"/>
        <v>1426.89</v>
      </c>
    </row>
    <row r="6678">
      <c r="A6678" s="10">
        <f t="shared" si="8"/>
        <v>44660.66667</v>
      </c>
      <c r="B6678" s="2" t="str">
        <f t="shared" si="2"/>
        <v/>
      </c>
      <c r="C6678" s="2" t="str">
        <f t="shared" si="3"/>
        <v>SP500</v>
      </c>
      <c r="D6678" s="2" t="str">
        <f t="shared" si="4"/>
        <v/>
      </c>
      <c r="E6678" s="2">
        <f t="shared" si="5"/>
        <v>13711</v>
      </c>
      <c r="G6678" s="10">
        <f t="shared" si="9"/>
        <v>44660.64583</v>
      </c>
      <c r="H6678" s="6" t="str">
        <f t="shared" si="6"/>
        <v/>
      </c>
      <c r="I6678" s="2">
        <f t="shared" si="7"/>
        <v>1426.89</v>
      </c>
    </row>
    <row r="6679">
      <c r="A6679" s="10">
        <f t="shared" si="8"/>
        <v>44661.66667</v>
      </c>
      <c r="B6679" s="2" t="str">
        <f t="shared" si="2"/>
        <v/>
      </c>
      <c r="C6679" s="2" t="str">
        <f t="shared" si="3"/>
        <v>SP500</v>
      </c>
      <c r="D6679" s="2" t="str">
        <f t="shared" si="4"/>
        <v/>
      </c>
      <c r="E6679" s="2">
        <f t="shared" si="5"/>
        <v>13711</v>
      </c>
      <c r="G6679" s="10">
        <f t="shared" si="9"/>
        <v>44661.64583</v>
      </c>
      <c r="H6679" s="6" t="str">
        <f t="shared" si="6"/>
        <v/>
      </c>
      <c r="I6679" s="2">
        <f t="shared" si="7"/>
        <v>1426.89</v>
      </c>
    </row>
    <row r="6680">
      <c r="A6680" s="10">
        <f t="shared" si="8"/>
        <v>44662.66667</v>
      </c>
      <c r="B6680" s="2" t="str">
        <f t="shared" si="2"/>
        <v/>
      </c>
      <c r="C6680" s="2" t="str">
        <f t="shared" si="3"/>
        <v>SP500</v>
      </c>
      <c r="D6680" s="2">
        <f t="shared" si="4"/>
        <v>13411.96</v>
      </c>
      <c r="E6680" s="2">
        <f t="shared" si="5"/>
        <v>13411.96</v>
      </c>
      <c r="G6680" s="10">
        <f t="shared" si="9"/>
        <v>44662.64583</v>
      </c>
      <c r="H6680" s="6" t="str">
        <f t="shared" si="6"/>
        <v/>
      </c>
      <c r="I6680" s="2">
        <f t="shared" si="7"/>
        <v>1426.89</v>
      </c>
    </row>
    <row r="6681">
      <c r="A6681" s="10">
        <f t="shared" si="8"/>
        <v>44663.66667</v>
      </c>
      <c r="B6681" s="2" t="str">
        <f t="shared" si="2"/>
        <v/>
      </c>
      <c r="C6681" s="2" t="str">
        <f t="shared" si="3"/>
        <v>SP500</v>
      </c>
      <c r="D6681" s="2">
        <f t="shared" si="4"/>
        <v>13371.57</v>
      </c>
      <c r="E6681" s="2">
        <f t="shared" si="5"/>
        <v>13371.57</v>
      </c>
      <c r="G6681" s="10">
        <f t="shared" si="9"/>
        <v>44663.64583</v>
      </c>
      <c r="H6681" s="6" t="str">
        <f t="shared" si="6"/>
        <v/>
      </c>
      <c r="I6681" s="2">
        <f t="shared" si="7"/>
        <v>1426.89</v>
      </c>
    </row>
    <row r="6682">
      <c r="A6682" s="10">
        <f t="shared" si="8"/>
        <v>44664.66667</v>
      </c>
      <c r="B6682" s="2" t="str">
        <f t="shared" si="2"/>
        <v/>
      </c>
      <c r="C6682" s="2" t="str">
        <f t="shared" si="3"/>
        <v>SP500</v>
      </c>
      <c r="D6682" s="2">
        <f t="shared" si="4"/>
        <v>13643.59</v>
      </c>
      <c r="E6682" s="2">
        <f t="shared" si="5"/>
        <v>13643.59</v>
      </c>
      <c r="G6682" s="10">
        <f t="shared" si="9"/>
        <v>44664.64583</v>
      </c>
      <c r="H6682" s="6" t="str">
        <f t="shared" si="6"/>
        <v/>
      </c>
      <c r="I6682" s="2">
        <f t="shared" si="7"/>
        <v>1426.89</v>
      </c>
    </row>
    <row r="6683">
      <c r="A6683" s="10">
        <f t="shared" si="8"/>
        <v>44665.66667</v>
      </c>
      <c r="B6683" s="2" t="str">
        <f t="shared" si="2"/>
        <v/>
      </c>
      <c r="C6683" s="2" t="str">
        <f t="shared" si="3"/>
        <v>SP500</v>
      </c>
      <c r="D6683" s="2">
        <f t="shared" si="4"/>
        <v>13351.08</v>
      </c>
      <c r="E6683" s="2">
        <f t="shared" si="5"/>
        <v>13351.08</v>
      </c>
      <c r="G6683" s="10">
        <f t="shared" si="9"/>
        <v>44665.64583</v>
      </c>
      <c r="H6683" s="6" t="str">
        <f t="shared" si="6"/>
        <v/>
      </c>
      <c r="I6683" s="2">
        <f t="shared" si="7"/>
        <v>1426.89</v>
      </c>
    </row>
    <row r="6684">
      <c r="A6684" s="10">
        <f t="shared" si="8"/>
        <v>44666.66667</v>
      </c>
      <c r="B6684" s="2" t="str">
        <f t="shared" si="2"/>
        <v/>
      </c>
      <c r="C6684" s="2" t="str">
        <f t="shared" si="3"/>
        <v>SP500</v>
      </c>
      <c r="D6684" s="2" t="str">
        <f t="shared" si="4"/>
        <v/>
      </c>
      <c r="E6684" s="2">
        <f t="shared" si="5"/>
        <v>13351.08</v>
      </c>
      <c r="G6684" s="10">
        <f t="shared" si="9"/>
        <v>44666.64583</v>
      </c>
      <c r="H6684" s="6" t="str">
        <f t="shared" si="6"/>
        <v/>
      </c>
      <c r="I6684" s="2">
        <f t="shared" si="7"/>
        <v>1426.89</v>
      </c>
    </row>
    <row r="6685">
      <c r="A6685" s="10">
        <f t="shared" si="8"/>
        <v>44667.66667</v>
      </c>
      <c r="B6685" s="2" t="str">
        <f t="shared" si="2"/>
        <v/>
      </c>
      <c r="C6685" s="2" t="str">
        <f t="shared" si="3"/>
        <v>SP500</v>
      </c>
      <c r="D6685" s="2" t="str">
        <f t="shared" si="4"/>
        <v/>
      </c>
      <c r="E6685" s="2">
        <f t="shared" si="5"/>
        <v>13351.08</v>
      </c>
      <c r="G6685" s="10">
        <f t="shared" si="9"/>
        <v>44667.64583</v>
      </c>
      <c r="H6685" s="6" t="str">
        <f t="shared" si="6"/>
        <v/>
      </c>
      <c r="I6685" s="2">
        <f t="shared" si="7"/>
        <v>1426.89</v>
      </c>
    </row>
    <row r="6686">
      <c r="A6686" s="10">
        <f t="shared" si="8"/>
        <v>44668.66667</v>
      </c>
      <c r="B6686" s="2" t="str">
        <f t="shared" si="2"/>
        <v/>
      </c>
      <c r="C6686" s="2" t="str">
        <f t="shared" si="3"/>
        <v>SP500</v>
      </c>
      <c r="D6686" s="2" t="str">
        <f t="shared" si="4"/>
        <v/>
      </c>
      <c r="E6686" s="2">
        <f t="shared" si="5"/>
        <v>13351.08</v>
      </c>
      <c r="G6686" s="10">
        <f t="shared" si="9"/>
        <v>44668.64583</v>
      </c>
      <c r="H6686" s="6" t="str">
        <f t="shared" si="6"/>
        <v/>
      </c>
      <c r="I6686" s="2">
        <f t="shared" si="7"/>
        <v>1426.89</v>
      </c>
    </row>
    <row r="6687">
      <c r="A6687" s="10">
        <f t="shared" si="8"/>
        <v>44669.66667</v>
      </c>
      <c r="B6687" s="2" t="str">
        <f t="shared" si="2"/>
        <v/>
      </c>
      <c r="C6687" s="2" t="str">
        <f t="shared" si="3"/>
        <v>SP500</v>
      </c>
      <c r="D6687" s="2">
        <f t="shared" si="4"/>
        <v>13332.36</v>
      </c>
      <c r="E6687" s="2">
        <f t="shared" si="5"/>
        <v>13332.36</v>
      </c>
      <c r="G6687" s="10">
        <f t="shared" si="9"/>
        <v>44669.64583</v>
      </c>
      <c r="H6687" s="6" t="str">
        <f t="shared" si="6"/>
        <v/>
      </c>
      <c r="I6687" s="2">
        <f t="shared" si="7"/>
        <v>1426.89</v>
      </c>
    </row>
    <row r="6688">
      <c r="A6688" s="10">
        <f t="shared" si="8"/>
        <v>44670.66667</v>
      </c>
      <c r="B6688" s="2" t="str">
        <f t="shared" si="2"/>
        <v/>
      </c>
      <c r="C6688" s="2" t="str">
        <f t="shared" si="3"/>
        <v>SP500</v>
      </c>
      <c r="D6688" s="2">
        <f t="shared" si="4"/>
        <v>13619.66</v>
      </c>
      <c r="E6688" s="2">
        <f t="shared" si="5"/>
        <v>13619.66</v>
      </c>
      <c r="G6688" s="10">
        <f t="shared" si="9"/>
        <v>44670.64583</v>
      </c>
      <c r="H6688" s="6" t="str">
        <f t="shared" si="6"/>
        <v/>
      </c>
      <c r="I6688" s="2">
        <f t="shared" si="7"/>
        <v>1426.89</v>
      </c>
    </row>
    <row r="6689">
      <c r="A6689" s="10">
        <f t="shared" si="8"/>
        <v>44671.66667</v>
      </c>
      <c r="B6689" s="2" t="str">
        <f t="shared" si="2"/>
        <v/>
      </c>
      <c r="C6689" s="2" t="str">
        <f t="shared" si="3"/>
        <v>SP500</v>
      </c>
      <c r="D6689" s="2">
        <f t="shared" si="4"/>
        <v>13453.07</v>
      </c>
      <c r="E6689" s="2">
        <f t="shared" si="5"/>
        <v>13453.07</v>
      </c>
      <c r="G6689" s="10">
        <f t="shared" si="9"/>
        <v>44671.64583</v>
      </c>
      <c r="H6689" s="6" t="str">
        <f t="shared" si="6"/>
        <v/>
      </c>
      <c r="I6689" s="2">
        <f t="shared" si="7"/>
        <v>1426.89</v>
      </c>
    </row>
    <row r="6690">
      <c r="A6690" s="10">
        <f t="shared" si="8"/>
        <v>44672.66667</v>
      </c>
      <c r="B6690" s="2" t="str">
        <f t="shared" si="2"/>
        <v/>
      </c>
      <c r="C6690" s="2" t="str">
        <f t="shared" si="3"/>
        <v>SP500</v>
      </c>
      <c r="D6690" s="2">
        <f t="shared" si="4"/>
        <v>13174.65</v>
      </c>
      <c r="E6690" s="2">
        <f t="shared" si="5"/>
        <v>13174.65</v>
      </c>
      <c r="G6690" s="10">
        <f t="shared" si="9"/>
        <v>44672.64583</v>
      </c>
      <c r="H6690" s="6" t="str">
        <f t="shared" si="6"/>
        <v/>
      </c>
      <c r="I6690" s="2">
        <f t="shared" si="7"/>
        <v>1426.89</v>
      </c>
    </row>
    <row r="6691">
      <c r="A6691" s="10">
        <f t="shared" si="8"/>
        <v>44673.66667</v>
      </c>
      <c r="B6691" s="2" t="str">
        <f t="shared" si="2"/>
        <v/>
      </c>
      <c r="C6691" s="2" t="str">
        <f t="shared" si="3"/>
        <v>SP500</v>
      </c>
      <c r="D6691" s="2">
        <f t="shared" si="4"/>
        <v>12839.29</v>
      </c>
      <c r="E6691" s="2">
        <f t="shared" si="5"/>
        <v>12839.29</v>
      </c>
      <c r="G6691" s="10">
        <f t="shared" si="9"/>
        <v>44673.64583</v>
      </c>
      <c r="H6691" s="6" t="str">
        <f t="shared" si="6"/>
        <v/>
      </c>
      <c r="I6691" s="2">
        <f t="shared" si="7"/>
        <v>1426.89</v>
      </c>
    </row>
    <row r="6692">
      <c r="A6692" s="10">
        <f t="shared" si="8"/>
        <v>44674.66667</v>
      </c>
      <c r="B6692" s="2" t="str">
        <f t="shared" si="2"/>
        <v/>
      </c>
      <c r="C6692" s="2" t="str">
        <f t="shared" si="3"/>
        <v>SP500</v>
      </c>
      <c r="D6692" s="2" t="str">
        <f t="shared" si="4"/>
        <v/>
      </c>
      <c r="E6692" s="2">
        <f t="shared" si="5"/>
        <v>12839.29</v>
      </c>
      <c r="G6692" s="10">
        <f t="shared" si="9"/>
        <v>44674.64583</v>
      </c>
      <c r="H6692" s="6" t="str">
        <f t="shared" si="6"/>
        <v/>
      </c>
      <c r="I6692" s="2">
        <f t="shared" si="7"/>
        <v>1426.89</v>
      </c>
    </row>
    <row r="6693">
      <c r="A6693" s="10">
        <f t="shared" si="8"/>
        <v>44675.66667</v>
      </c>
      <c r="B6693" s="2" t="str">
        <f t="shared" si="2"/>
        <v/>
      </c>
      <c r="C6693" s="2" t="str">
        <f t="shared" si="3"/>
        <v>SP500</v>
      </c>
      <c r="D6693" s="2" t="str">
        <f t="shared" si="4"/>
        <v/>
      </c>
      <c r="E6693" s="2">
        <f t="shared" si="5"/>
        <v>12839.29</v>
      </c>
      <c r="G6693" s="10">
        <f t="shared" si="9"/>
        <v>44675.64583</v>
      </c>
      <c r="H6693" s="6" t="str">
        <f t="shared" si="6"/>
        <v/>
      </c>
      <c r="I6693" s="2">
        <f t="shared" si="7"/>
        <v>1426.89</v>
      </c>
    </row>
    <row r="6694">
      <c r="A6694" s="10">
        <f t="shared" si="8"/>
        <v>44676.66667</v>
      </c>
      <c r="B6694" s="2" t="str">
        <f t="shared" si="2"/>
        <v/>
      </c>
      <c r="C6694" s="2" t="str">
        <f t="shared" si="3"/>
        <v>SP500</v>
      </c>
      <c r="D6694" s="2">
        <f t="shared" si="4"/>
        <v>13004.85</v>
      </c>
      <c r="E6694" s="2">
        <f t="shared" si="5"/>
        <v>13004.85</v>
      </c>
      <c r="G6694" s="10">
        <f t="shared" si="9"/>
        <v>44676.64583</v>
      </c>
      <c r="H6694" s="6" t="str">
        <f t="shared" si="6"/>
        <v/>
      </c>
      <c r="I6694" s="2">
        <f t="shared" si="7"/>
        <v>1426.89</v>
      </c>
    </row>
    <row r="6695">
      <c r="A6695" s="10">
        <f t="shared" si="8"/>
        <v>44677.66667</v>
      </c>
      <c r="B6695" s="2" t="str">
        <f t="shared" si="2"/>
        <v/>
      </c>
      <c r="C6695" s="2" t="str">
        <f t="shared" si="3"/>
        <v>SP500</v>
      </c>
      <c r="D6695" s="2">
        <f t="shared" si="4"/>
        <v>12490.74</v>
      </c>
      <c r="E6695" s="2">
        <f t="shared" si="5"/>
        <v>12490.74</v>
      </c>
      <c r="G6695" s="10">
        <f t="shared" si="9"/>
        <v>44677.64583</v>
      </c>
      <c r="H6695" s="6" t="str">
        <f t="shared" si="6"/>
        <v/>
      </c>
      <c r="I6695" s="2">
        <f t="shared" si="7"/>
        <v>1426.89</v>
      </c>
    </row>
    <row r="6696">
      <c r="A6696" s="10">
        <f t="shared" si="8"/>
        <v>44678.66667</v>
      </c>
      <c r="B6696" s="2" t="str">
        <f t="shared" si="2"/>
        <v/>
      </c>
      <c r="C6696" s="2" t="str">
        <f t="shared" si="3"/>
        <v>SP500</v>
      </c>
      <c r="D6696" s="2">
        <f t="shared" si="4"/>
        <v>12488.93</v>
      </c>
      <c r="E6696" s="2">
        <f t="shared" si="5"/>
        <v>12488.93</v>
      </c>
      <c r="G6696" s="10">
        <f t="shared" si="9"/>
        <v>44678.64583</v>
      </c>
      <c r="H6696" s="6" t="str">
        <f t="shared" si="6"/>
        <v/>
      </c>
      <c r="I6696" s="2">
        <f t="shared" si="7"/>
        <v>1426.89</v>
      </c>
    </row>
    <row r="6697">
      <c r="A6697" s="10">
        <f t="shared" si="8"/>
        <v>44679.66667</v>
      </c>
      <c r="B6697" s="2" t="str">
        <f t="shared" si="2"/>
        <v/>
      </c>
      <c r="C6697" s="2" t="str">
        <f t="shared" si="3"/>
        <v>SP500</v>
      </c>
      <c r="D6697" s="2">
        <f t="shared" si="4"/>
        <v>12871.53</v>
      </c>
      <c r="E6697" s="2">
        <f t="shared" si="5"/>
        <v>12871.53</v>
      </c>
      <c r="G6697" s="10">
        <f t="shared" si="9"/>
        <v>44679.64583</v>
      </c>
      <c r="H6697" s="6" t="str">
        <f t="shared" si="6"/>
        <v/>
      </c>
      <c r="I6697" s="2">
        <f t="shared" si="7"/>
        <v>1426.89</v>
      </c>
    </row>
    <row r="6698">
      <c r="A6698" s="10">
        <f t="shared" si="8"/>
        <v>44680.66667</v>
      </c>
      <c r="B6698" s="2" t="str">
        <f t="shared" si="2"/>
        <v/>
      </c>
      <c r="C6698" s="2" t="str">
        <f t="shared" si="3"/>
        <v>SP500</v>
      </c>
      <c r="D6698" s="2">
        <f t="shared" si="4"/>
        <v>12334.64</v>
      </c>
      <c r="E6698" s="2">
        <f t="shared" si="5"/>
        <v>12334.64</v>
      </c>
      <c r="G6698" s="10">
        <f t="shared" si="9"/>
        <v>44680.64583</v>
      </c>
      <c r="H6698" s="6" t="str">
        <f t="shared" si="6"/>
        <v/>
      </c>
      <c r="I6698" s="2">
        <f t="shared" si="7"/>
        <v>1426.89</v>
      </c>
    </row>
    <row r="6699">
      <c r="A6699" s="10">
        <f t="shared" si="8"/>
        <v>44681.66667</v>
      </c>
      <c r="B6699" s="2" t="str">
        <f t="shared" si="2"/>
        <v/>
      </c>
      <c r="C6699" s="2" t="str">
        <f t="shared" si="3"/>
        <v>SP500</v>
      </c>
      <c r="D6699" s="2" t="str">
        <f t="shared" si="4"/>
        <v/>
      </c>
      <c r="E6699" s="2">
        <f t="shared" si="5"/>
        <v>12334.64</v>
      </c>
      <c r="G6699" s="10">
        <f t="shared" si="9"/>
        <v>44681.64583</v>
      </c>
      <c r="H6699" s="6" t="str">
        <f t="shared" si="6"/>
        <v/>
      </c>
      <c r="I6699" s="2">
        <f t="shared" si="7"/>
        <v>1426.89</v>
      </c>
    </row>
    <row r="6700">
      <c r="A6700" s="10">
        <f t="shared" si="8"/>
        <v>44682.66667</v>
      </c>
      <c r="B6700" s="2" t="str">
        <f t="shared" si="2"/>
        <v/>
      </c>
      <c r="C6700" s="2" t="str">
        <f t="shared" si="3"/>
        <v>SP500</v>
      </c>
      <c r="D6700" s="2" t="str">
        <f t="shared" si="4"/>
        <v/>
      </c>
      <c r="E6700" s="2">
        <f t="shared" si="5"/>
        <v>12334.64</v>
      </c>
      <c r="G6700" s="10">
        <f t="shared" si="9"/>
        <v>44682.64583</v>
      </c>
      <c r="H6700" s="6" t="str">
        <f t="shared" si="6"/>
        <v/>
      </c>
      <c r="I6700" s="2">
        <f t="shared" si="7"/>
        <v>1426.89</v>
      </c>
    </row>
    <row r="6701">
      <c r="A6701" s="10">
        <f t="shared" si="8"/>
        <v>44683.66667</v>
      </c>
      <c r="B6701" s="2" t="str">
        <f t="shared" si="2"/>
        <v/>
      </c>
      <c r="C6701" s="2" t="str">
        <f t="shared" si="3"/>
        <v>SP500</v>
      </c>
      <c r="D6701" s="2">
        <f t="shared" si="4"/>
        <v>12536.02</v>
      </c>
      <c r="E6701" s="2">
        <f t="shared" si="5"/>
        <v>12536.02</v>
      </c>
      <c r="G6701" s="10">
        <f t="shared" si="9"/>
        <v>44683.64583</v>
      </c>
      <c r="H6701" s="6" t="str">
        <f t="shared" si="6"/>
        <v/>
      </c>
      <c r="I6701" s="2">
        <f t="shared" si="7"/>
        <v>1426.89</v>
      </c>
    </row>
    <row r="6702">
      <c r="A6702" s="10">
        <f t="shared" si="8"/>
        <v>44684.66667</v>
      </c>
      <c r="B6702" s="2" t="str">
        <f t="shared" si="2"/>
        <v/>
      </c>
      <c r="C6702" s="2" t="str">
        <f t="shared" si="3"/>
        <v>SP500</v>
      </c>
      <c r="D6702" s="2">
        <f t="shared" si="4"/>
        <v>12563.76</v>
      </c>
      <c r="E6702" s="2">
        <f t="shared" si="5"/>
        <v>12563.76</v>
      </c>
      <c r="G6702" s="10">
        <f t="shared" si="9"/>
        <v>44684.64583</v>
      </c>
      <c r="H6702" s="6" t="str">
        <f t="shared" si="6"/>
        <v/>
      </c>
      <c r="I6702" s="2">
        <f t="shared" si="7"/>
        <v>1426.89</v>
      </c>
    </row>
    <row r="6703">
      <c r="A6703" s="10">
        <f t="shared" si="8"/>
        <v>44685.66667</v>
      </c>
      <c r="B6703" s="2" t="str">
        <f t="shared" si="2"/>
        <v/>
      </c>
      <c r="C6703" s="2" t="str">
        <f t="shared" si="3"/>
        <v>SP500</v>
      </c>
      <c r="D6703" s="2">
        <f t="shared" si="4"/>
        <v>12964.86</v>
      </c>
      <c r="E6703" s="2">
        <f t="shared" si="5"/>
        <v>12964.86</v>
      </c>
      <c r="G6703" s="10">
        <f t="shared" si="9"/>
        <v>44685.64583</v>
      </c>
      <c r="H6703" s="6" t="str">
        <f t="shared" si="6"/>
        <v/>
      </c>
      <c r="I6703" s="2">
        <f t="shared" si="7"/>
        <v>1426.89</v>
      </c>
    </row>
    <row r="6704">
      <c r="A6704" s="10">
        <f t="shared" si="8"/>
        <v>44686.66667</v>
      </c>
      <c r="B6704" s="2" t="str">
        <f t="shared" si="2"/>
        <v/>
      </c>
      <c r="C6704" s="2" t="str">
        <f t="shared" si="3"/>
        <v>SP500</v>
      </c>
      <c r="D6704" s="2">
        <f t="shared" si="4"/>
        <v>12317.69</v>
      </c>
      <c r="E6704" s="2">
        <f t="shared" si="5"/>
        <v>12317.69</v>
      </c>
      <c r="G6704" s="10">
        <f t="shared" si="9"/>
        <v>44686.64583</v>
      </c>
      <c r="H6704" s="6" t="str">
        <f t="shared" si="6"/>
        <v/>
      </c>
      <c r="I6704" s="2">
        <f t="shared" si="7"/>
        <v>1426.89</v>
      </c>
    </row>
    <row r="6705">
      <c r="A6705" s="10">
        <f t="shared" si="8"/>
        <v>44687.66667</v>
      </c>
      <c r="B6705" s="2" t="str">
        <f t="shared" si="2"/>
        <v/>
      </c>
      <c r="C6705" s="2" t="str">
        <f t="shared" si="3"/>
        <v>SP500</v>
      </c>
      <c r="D6705" s="2">
        <f t="shared" si="4"/>
        <v>12144.66</v>
      </c>
      <c r="E6705" s="2">
        <f t="shared" si="5"/>
        <v>12144.66</v>
      </c>
      <c r="G6705" s="10">
        <f t="shared" si="9"/>
        <v>44687.64583</v>
      </c>
      <c r="H6705" s="6" t="str">
        <f t="shared" si="6"/>
        <v/>
      </c>
      <c r="I6705" s="2">
        <f t="shared" si="7"/>
        <v>1426.89</v>
      </c>
    </row>
    <row r="6706">
      <c r="A6706" s="10">
        <f t="shared" si="8"/>
        <v>44688.66667</v>
      </c>
      <c r="B6706" s="2" t="str">
        <f t="shared" si="2"/>
        <v/>
      </c>
      <c r="C6706" s="2" t="str">
        <f t="shared" si="3"/>
        <v>SP500</v>
      </c>
      <c r="D6706" s="2" t="str">
        <f t="shared" si="4"/>
        <v/>
      </c>
      <c r="E6706" s="2">
        <f t="shared" si="5"/>
        <v>12144.66</v>
      </c>
      <c r="G6706" s="10">
        <f t="shared" si="9"/>
        <v>44688.64583</v>
      </c>
      <c r="H6706" s="6" t="str">
        <f t="shared" si="6"/>
        <v/>
      </c>
      <c r="I6706" s="2">
        <f t="shared" si="7"/>
        <v>1426.89</v>
      </c>
    </row>
    <row r="6707">
      <c r="A6707" s="10">
        <f t="shared" si="8"/>
        <v>44689.66667</v>
      </c>
      <c r="B6707" s="2" t="str">
        <f t="shared" si="2"/>
        <v/>
      </c>
      <c r="C6707" s="2" t="str">
        <f t="shared" si="3"/>
        <v>SP500</v>
      </c>
      <c r="D6707" s="2" t="str">
        <f t="shared" si="4"/>
        <v/>
      </c>
      <c r="E6707" s="2">
        <f t="shared" si="5"/>
        <v>12144.66</v>
      </c>
      <c r="G6707" s="10">
        <f t="shared" si="9"/>
        <v>44689.64583</v>
      </c>
      <c r="H6707" s="6" t="str">
        <f t="shared" si="6"/>
        <v/>
      </c>
      <c r="I6707" s="2">
        <f t="shared" si="7"/>
        <v>1426.89</v>
      </c>
    </row>
    <row r="6708">
      <c r="A6708" s="10">
        <f t="shared" si="8"/>
        <v>44690.66667</v>
      </c>
      <c r="B6708" s="2" t="str">
        <f t="shared" si="2"/>
        <v/>
      </c>
      <c r="C6708" s="2" t="str">
        <f t="shared" si="3"/>
        <v>SP500</v>
      </c>
      <c r="D6708" s="2">
        <f t="shared" si="4"/>
        <v>11623.25</v>
      </c>
      <c r="E6708" s="2">
        <f t="shared" si="5"/>
        <v>11623.25</v>
      </c>
      <c r="G6708" s="10">
        <f t="shared" si="9"/>
        <v>44690.64583</v>
      </c>
      <c r="H6708" s="6" t="str">
        <f t="shared" si="6"/>
        <v/>
      </c>
      <c r="I6708" s="2">
        <f t="shared" si="7"/>
        <v>1426.89</v>
      </c>
    </row>
    <row r="6709">
      <c r="A6709" s="10">
        <f t="shared" si="8"/>
        <v>44691.66667</v>
      </c>
      <c r="B6709" s="2" t="str">
        <f t="shared" si="2"/>
        <v/>
      </c>
      <c r="C6709" s="2" t="str">
        <f t="shared" si="3"/>
        <v>SP500</v>
      </c>
      <c r="D6709" s="2">
        <f t="shared" si="4"/>
        <v>11737.67</v>
      </c>
      <c r="E6709" s="2">
        <f t="shared" si="5"/>
        <v>11737.67</v>
      </c>
      <c r="G6709" s="10">
        <f t="shared" si="9"/>
        <v>44691.64583</v>
      </c>
      <c r="H6709" s="6" t="str">
        <f t="shared" si="6"/>
        <v/>
      </c>
      <c r="I6709" s="2">
        <f t="shared" si="7"/>
        <v>1426.89</v>
      </c>
    </row>
    <row r="6710">
      <c r="A6710" s="10">
        <f t="shared" si="8"/>
        <v>44692.66667</v>
      </c>
      <c r="B6710" s="2" t="str">
        <f t="shared" si="2"/>
        <v/>
      </c>
      <c r="C6710" s="2" t="str">
        <f t="shared" si="3"/>
        <v>SP500</v>
      </c>
      <c r="D6710" s="2">
        <f t="shared" si="4"/>
        <v>11364.24</v>
      </c>
      <c r="E6710" s="2">
        <f t="shared" si="5"/>
        <v>11364.24</v>
      </c>
      <c r="G6710" s="10">
        <f t="shared" si="9"/>
        <v>44692.64583</v>
      </c>
      <c r="H6710" s="6" t="str">
        <f t="shared" si="6"/>
        <v/>
      </c>
      <c r="I6710" s="2">
        <f t="shared" si="7"/>
        <v>1426.89</v>
      </c>
    </row>
    <row r="6711">
      <c r="A6711" s="10">
        <f t="shared" si="8"/>
        <v>44693.66667</v>
      </c>
      <c r="B6711" s="2" t="str">
        <f t="shared" si="2"/>
        <v/>
      </c>
      <c r="C6711" s="2" t="str">
        <f t="shared" si="3"/>
        <v>SP500</v>
      </c>
      <c r="D6711" s="2">
        <f t="shared" si="4"/>
        <v>11370.96</v>
      </c>
      <c r="E6711" s="2">
        <f t="shared" si="5"/>
        <v>11370.96</v>
      </c>
      <c r="G6711" s="10">
        <f t="shared" si="9"/>
        <v>44693.64583</v>
      </c>
      <c r="H6711" s="6" t="str">
        <f t="shared" si="6"/>
        <v/>
      </c>
      <c r="I6711" s="2">
        <f t="shared" si="7"/>
        <v>1426.89</v>
      </c>
    </row>
    <row r="6712">
      <c r="A6712" s="10">
        <f t="shared" si="8"/>
        <v>44694.66667</v>
      </c>
      <c r="B6712" s="2" t="str">
        <f t="shared" si="2"/>
        <v/>
      </c>
      <c r="C6712" s="2" t="str">
        <f t="shared" si="3"/>
        <v>SP500</v>
      </c>
      <c r="D6712" s="2">
        <f t="shared" si="4"/>
        <v>11805</v>
      </c>
      <c r="E6712" s="2">
        <f t="shared" si="5"/>
        <v>11805</v>
      </c>
      <c r="G6712" s="10">
        <f t="shared" si="9"/>
        <v>44694.64583</v>
      </c>
      <c r="H6712" s="6" t="str">
        <f t="shared" si="6"/>
        <v/>
      </c>
      <c r="I6712" s="2">
        <f t="shared" si="7"/>
        <v>1426.89</v>
      </c>
    </row>
    <row r="6713">
      <c r="A6713" s="10">
        <f t="shared" si="8"/>
        <v>44695.66667</v>
      </c>
      <c r="B6713" s="2" t="str">
        <f t="shared" si="2"/>
        <v/>
      </c>
      <c r="C6713" s="2" t="str">
        <f t="shared" si="3"/>
        <v>SP500</v>
      </c>
      <c r="D6713" s="2" t="str">
        <f t="shared" si="4"/>
        <v/>
      </c>
      <c r="E6713" s="2">
        <f t="shared" si="5"/>
        <v>11805</v>
      </c>
      <c r="G6713" s="10">
        <f t="shared" si="9"/>
        <v>44695.64583</v>
      </c>
      <c r="H6713" s="6" t="str">
        <f t="shared" si="6"/>
        <v/>
      </c>
      <c r="I6713" s="2">
        <f t="shared" si="7"/>
        <v>1426.89</v>
      </c>
    </row>
    <row r="6714">
      <c r="A6714" s="10">
        <f t="shared" si="8"/>
        <v>44696.66667</v>
      </c>
      <c r="B6714" s="2" t="str">
        <f t="shared" si="2"/>
        <v/>
      </c>
      <c r="C6714" s="2" t="str">
        <f t="shared" si="3"/>
        <v>SP500</v>
      </c>
      <c r="D6714" s="2" t="str">
        <f t="shared" si="4"/>
        <v/>
      </c>
      <c r="E6714" s="2">
        <f t="shared" si="5"/>
        <v>11805</v>
      </c>
      <c r="G6714" s="10">
        <f t="shared" si="9"/>
        <v>44696.64583</v>
      </c>
      <c r="H6714" s="6" t="str">
        <f t="shared" si="6"/>
        <v/>
      </c>
      <c r="I6714" s="2">
        <f t="shared" si="7"/>
        <v>1426.89</v>
      </c>
    </row>
    <row r="6715">
      <c r="A6715" s="10">
        <f t="shared" si="8"/>
        <v>44697.66667</v>
      </c>
      <c r="B6715" s="2" t="str">
        <f t="shared" si="2"/>
        <v/>
      </c>
      <c r="C6715" s="2" t="str">
        <f t="shared" si="3"/>
        <v>SP500</v>
      </c>
      <c r="D6715" s="2">
        <f t="shared" si="4"/>
        <v>11662.79</v>
      </c>
      <c r="E6715" s="2">
        <f t="shared" si="5"/>
        <v>11662.79</v>
      </c>
      <c r="G6715" s="10">
        <f t="shared" si="9"/>
        <v>44697.64583</v>
      </c>
      <c r="H6715" s="6" t="str">
        <f t="shared" si="6"/>
        <v/>
      </c>
      <c r="I6715" s="2">
        <f t="shared" si="7"/>
        <v>1426.89</v>
      </c>
    </row>
    <row r="6716">
      <c r="A6716" s="10">
        <f t="shared" si="8"/>
        <v>44698.66667</v>
      </c>
      <c r="B6716" s="2" t="str">
        <f t="shared" si="2"/>
        <v/>
      </c>
      <c r="C6716" s="2" t="str">
        <f t="shared" si="3"/>
        <v>SP500</v>
      </c>
      <c r="D6716" s="2">
        <f t="shared" si="4"/>
        <v>11984.52</v>
      </c>
      <c r="E6716" s="2">
        <f t="shared" si="5"/>
        <v>11984.52</v>
      </c>
      <c r="G6716" s="10">
        <f t="shared" si="9"/>
        <v>44698.64583</v>
      </c>
      <c r="H6716" s="6" t="str">
        <f t="shared" si="6"/>
        <v/>
      </c>
      <c r="I6716" s="2">
        <f t="shared" si="7"/>
        <v>1426.89</v>
      </c>
    </row>
    <row r="6717">
      <c r="A6717" s="10">
        <f t="shared" si="8"/>
        <v>44699.66667</v>
      </c>
      <c r="B6717" s="2" t="str">
        <f t="shared" si="2"/>
        <v/>
      </c>
      <c r="C6717" s="2" t="str">
        <f t="shared" si="3"/>
        <v>SP500</v>
      </c>
      <c r="D6717" s="2">
        <f t="shared" si="4"/>
        <v>11418.15</v>
      </c>
      <c r="E6717" s="2">
        <f t="shared" si="5"/>
        <v>11418.15</v>
      </c>
      <c r="G6717" s="10">
        <f t="shared" si="9"/>
        <v>44699.64583</v>
      </c>
      <c r="H6717" s="6" t="str">
        <f t="shared" si="6"/>
        <v/>
      </c>
      <c r="I6717" s="2">
        <f t="shared" si="7"/>
        <v>1426.89</v>
      </c>
    </row>
    <row r="6718">
      <c r="A6718" s="10">
        <f t="shared" si="8"/>
        <v>44700.66667</v>
      </c>
      <c r="B6718" s="2" t="str">
        <f t="shared" si="2"/>
        <v/>
      </c>
      <c r="C6718" s="2" t="str">
        <f t="shared" si="3"/>
        <v>SP500</v>
      </c>
      <c r="D6718" s="2">
        <f t="shared" si="4"/>
        <v>11388.5</v>
      </c>
      <c r="E6718" s="2">
        <f t="shared" si="5"/>
        <v>11388.5</v>
      </c>
      <c r="G6718" s="10">
        <f t="shared" si="9"/>
        <v>44700.64583</v>
      </c>
      <c r="H6718" s="6" t="str">
        <f t="shared" si="6"/>
        <v/>
      </c>
      <c r="I6718" s="2">
        <f t="shared" si="7"/>
        <v>1426.89</v>
      </c>
    </row>
    <row r="6719">
      <c r="A6719" s="10">
        <f t="shared" si="8"/>
        <v>44701.66667</v>
      </c>
      <c r="B6719" s="2" t="str">
        <f t="shared" si="2"/>
        <v/>
      </c>
      <c r="C6719" s="2" t="str">
        <f t="shared" si="3"/>
        <v>SP500</v>
      </c>
      <c r="D6719" s="2">
        <f t="shared" si="4"/>
        <v>11354.62</v>
      </c>
      <c r="E6719" s="2">
        <f t="shared" si="5"/>
        <v>11354.62</v>
      </c>
      <c r="G6719" s="10">
        <f t="shared" si="9"/>
        <v>44701.64583</v>
      </c>
      <c r="H6719" s="6" t="str">
        <f t="shared" si="6"/>
        <v/>
      </c>
      <c r="I6719" s="2">
        <f t="shared" si="7"/>
        <v>1426.89</v>
      </c>
    </row>
    <row r="6720">
      <c r="A6720" s="10">
        <f t="shared" si="8"/>
        <v>44702.66667</v>
      </c>
      <c r="B6720" s="2" t="str">
        <f t="shared" si="2"/>
        <v/>
      </c>
      <c r="C6720" s="2" t="str">
        <f t="shared" si="3"/>
        <v>SP500</v>
      </c>
      <c r="D6720" s="2" t="str">
        <f t="shared" si="4"/>
        <v/>
      </c>
      <c r="E6720" s="2">
        <f t="shared" si="5"/>
        <v>11354.62</v>
      </c>
      <c r="G6720" s="10">
        <f t="shared" si="9"/>
        <v>44702.64583</v>
      </c>
      <c r="H6720" s="6" t="str">
        <f t="shared" si="6"/>
        <v/>
      </c>
      <c r="I6720" s="2">
        <f t="shared" si="7"/>
        <v>1426.89</v>
      </c>
    </row>
    <row r="6721">
      <c r="A6721" s="10">
        <f t="shared" si="8"/>
        <v>44703.66667</v>
      </c>
      <c r="B6721" s="2" t="str">
        <f t="shared" si="2"/>
        <v/>
      </c>
      <c r="C6721" s="2" t="str">
        <f t="shared" si="3"/>
        <v>SP500</v>
      </c>
      <c r="D6721" s="2" t="str">
        <f t="shared" si="4"/>
        <v/>
      </c>
      <c r="E6721" s="2">
        <f t="shared" si="5"/>
        <v>11354.62</v>
      </c>
      <c r="G6721" s="10">
        <f t="shared" si="9"/>
        <v>44703.64583</v>
      </c>
      <c r="H6721" s="6" t="str">
        <f t="shared" si="6"/>
        <v/>
      </c>
      <c r="I6721" s="2">
        <f t="shared" si="7"/>
        <v>1426.89</v>
      </c>
    </row>
    <row r="6722">
      <c r="A6722" s="10">
        <f t="shared" si="8"/>
        <v>44704.66667</v>
      </c>
      <c r="B6722" s="2" t="str">
        <f t="shared" si="2"/>
        <v/>
      </c>
      <c r="C6722" s="2" t="str">
        <f t="shared" si="3"/>
        <v>SP500</v>
      </c>
      <c r="D6722" s="2">
        <f t="shared" si="4"/>
        <v>11535.28</v>
      </c>
      <c r="E6722" s="2">
        <f t="shared" si="5"/>
        <v>11535.28</v>
      </c>
      <c r="G6722" s="10">
        <f t="shared" si="9"/>
        <v>44704.64583</v>
      </c>
      <c r="H6722" s="6" t="str">
        <f t="shared" si="6"/>
        <v/>
      </c>
      <c r="I6722" s="2">
        <f t="shared" si="7"/>
        <v>1426.89</v>
      </c>
    </row>
    <row r="6723">
      <c r="A6723" s="10">
        <f t="shared" si="8"/>
        <v>44705.66667</v>
      </c>
      <c r="B6723" s="2" t="str">
        <f t="shared" si="2"/>
        <v/>
      </c>
      <c r="C6723" s="2" t="str">
        <f t="shared" si="3"/>
        <v>SP500</v>
      </c>
      <c r="D6723" s="2">
        <f t="shared" si="4"/>
        <v>11264.45</v>
      </c>
      <c r="E6723" s="2">
        <f t="shared" si="5"/>
        <v>11264.45</v>
      </c>
      <c r="G6723" s="10">
        <f t="shared" si="9"/>
        <v>44705.64583</v>
      </c>
      <c r="H6723" s="6" t="str">
        <f t="shared" si="6"/>
        <v/>
      </c>
      <c r="I6723" s="2">
        <f t="shared" si="7"/>
        <v>1426.89</v>
      </c>
    </row>
    <row r="6724">
      <c r="A6724" s="10">
        <f t="shared" si="8"/>
        <v>44706.66667</v>
      </c>
      <c r="B6724" s="2" t="str">
        <f t="shared" si="2"/>
        <v/>
      </c>
      <c r="C6724" s="2" t="str">
        <f t="shared" si="3"/>
        <v>SP500</v>
      </c>
      <c r="D6724" s="2">
        <f t="shared" si="4"/>
        <v>11434.74</v>
      </c>
      <c r="E6724" s="2">
        <f t="shared" si="5"/>
        <v>11434.74</v>
      </c>
      <c r="G6724" s="10">
        <f t="shared" si="9"/>
        <v>44706.64583</v>
      </c>
      <c r="H6724" s="6" t="str">
        <f t="shared" si="6"/>
        <v/>
      </c>
      <c r="I6724" s="2">
        <f t="shared" si="7"/>
        <v>1426.89</v>
      </c>
    </row>
    <row r="6725">
      <c r="A6725" s="10">
        <f t="shared" si="8"/>
        <v>44707.66667</v>
      </c>
      <c r="B6725" s="2" t="str">
        <f t="shared" si="2"/>
        <v/>
      </c>
      <c r="C6725" s="2" t="str">
        <f t="shared" si="3"/>
        <v>SP500</v>
      </c>
      <c r="D6725" s="2">
        <f t="shared" si="4"/>
        <v>11740.65</v>
      </c>
      <c r="E6725" s="2">
        <f t="shared" si="5"/>
        <v>11740.65</v>
      </c>
      <c r="G6725" s="10">
        <f t="shared" si="9"/>
        <v>44707.64583</v>
      </c>
      <c r="H6725" s="6" t="str">
        <f t="shared" si="6"/>
        <v/>
      </c>
      <c r="I6725" s="2">
        <f t="shared" si="7"/>
        <v>1426.89</v>
      </c>
    </row>
    <row r="6726">
      <c r="A6726" s="10">
        <f t="shared" si="8"/>
        <v>44708.66667</v>
      </c>
      <c r="B6726" s="2" t="str">
        <f t="shared" si="2"/>
        <v/>
      </c>
      <c r="C6726" s="2" t="str">
        <f t="shared" si="3"/>
        <v>SP500</v>
      </c>
      <c r="D6726" s="2">
        <f t="shared" si="4"/>
        <v>12131.13</v>
      </c>
      <c r="E6726" s="2">
        <f t="shared" si="5"/>
        <v>12131.13</v>
      </c>
      <c r="G6726" s="10">
        <f t="shared" si="9"/>
        <v>44708.64583</v>
      </c>
      <c r="H6726" s="6" t="str">
        <f t="shared" si="6"/>
        <v/>
      </c>
      <c r="I6726" s="2">
        <f t="shared" si="7"/>
        <v>1426.89</v>
      </c>
    </row>
    <row r="6727">
      <c r="A6727" s="10">
        <f t="shared" si="8"/>
        <v>44709.66667</v>
      </c>
      <c r="B6727" s="2" t="str">
        <f t="shared" si="2"/>
        <v/>
      </c>
      <c r="C6727" s="2" t="str">
        <f t="shared" si="3"/>
        <v>SP500</v>
      </c>
      <c r="D6727" s="2" t="str">
        <f t="shared" si="4"/>
        <v/>
      </c>
      <c r="E6727" s="2">
        <f t="shared" si="5"/>
        <v>12131.13</v>
      </c>
      <c r="G6727" s="10">
        <f t="shared" si="9"/>
        <v>44709.64583</v>
      </c>
      <c r="H6727" s="6" t="str">
        <f t="shared" si="6"/>
        <v/>
      </c>
      <c r="I6727" s="2">
        <f t="shared" si="7"/>
        <v>1426.89</v>
      </c>
    </row>
    <row r="6728">
      <c r="A6728" s="10">
        <f t="shared" si="8"/>
        <v>44710.66667</v>
      </c>
      <c r="B6728" s="2" t="str">
        <f t="shared" si="2"/>
        <v/>
      </c>
      <c r="C6728" s="2" t="str">
        <f t="shared" si="3"/>
        <v>SP500</v>
      </c>
      <c r="D6728" s="2" t="str">
        <f t="shared" si="4"/>
        <v/>
      </c>
      <c r="E6728" s="2">
        <f t="shared" si="5"/>
        <v>12131.13</v>
      </c>
      <c r="G6728" s="10">
        <f t="shared" si="9"/>
        <v>44710.64583</v>
      </c>
      <c r="H6728" s="6" t="str">
        <f t="shared" si="6"/>
        <v/>
      </c>
      <c r="I6728" s="2">
        <f t="shared" si="7"/>
        <v>1426.89</v>
      </c>
    </row>
    <row r="6729">
      <c r="A6729" s="10">
        <f t="shared" si="8"/>
        <v>44711.66667</v>
      </c>
      <c r="B6729" s="2" t="str">
        <f t="shared" si="2"/>
        <v/>
      </c>
      <c r="C6729" s="2" t="str">
        <f t="shared" si="3"/>
        <v>SP500</v>
      </c>
      <c r="D6729" s="2" t="str">
        <f t="shared" si="4"/>
        <v/>
      </c>
      <c r="E6729" s="2">
        <f t="shared" si="5"/>
        <v>12131.13</v>
      </c>
      <c r="G6729" s="10">
        <f t="shared" si="9"/>
        <v>44711.64583</v>
      </c>
      <c r="H6729" s="6" t="str">
        <f t="shared" si="6"/>
        <v/>
      </c>
      <c r="I6729" s="2">
        <f t="shared" si="7"/>
        <v>1426.89</v>
      </c>
    </row>
    <row r="6730">
      <c r="A6730" s="10">
        <f t="shared" si="8"/>
        <v>44712.66667</v>
      </c>
      <c r="B6730" s="2" t="str">
        <f t="shared" si="2"/>
        <v/>
      </c>
      <c r="C6730" s="2" t="str">
        <f t="shared" si="3"/>
        <v>SP500</v>
      </c>
      <c r="D6730" s="2">
        <f t="shared" si="4"/>
        <v>12081.39</v>
      </c>
      <c r="E6730" s="2">
        <f t="shared" si="5"/>
        <v>12081.39</v>
      </c>
      <c r="G6730" s="10">
        <f t="shared" si="9"/>
        <v>44712.64583</v>
      </c>
      <c r="H6730" s="6" t="str">
        <f t="shared" si="6"/>
        <v/>
      </c>
      <c r="I6730" s="2">
        <f t="shared" si="7"/>
        <v>1426.89</v>
      </c>
    </row>
    <row r="6731">
      <c r="A6731" s="10">
        <f t="shared" si="8"/>
        <v>44713.66667</v>
      </c>
      <c r="B6731" s="2" t="str">
        <f t="shared" si="2"/>
        <v/>
      </c>
      <c r="C6731" s="2" t="str">
        <f t="shared" si="3"/>
        <v>SP500</v>
      </c>
      <c r="D6731" s="2">
        <f t="shared" si="4"/>
        <v>11994.46</v>
      </c>
      <c r="E6731" s="2">
        <f t="shared" si="5"/>
        <v>11994.46</v>
      </c>
      <c r="G6731" s="10">
        <f t="shared" si="9"/>
        <v>44713.64583</v>
      </c>
      <c r="H6731" s="6" t="str">
        <f t="shared" si="6"/>
        <v/>
      </c>
      <c r="I6731" s="2">
        <f t="shared" si="7"/>
        <v>1426.89</v>
      </c>
    </row>
    <row r="6732">
      <c r="A6732" s="10">
        <f t="shared" si="8"/>
        <v>44714.66667</v>
      </c>
      <c r="B6732" s="2" t="str">
        <f t="shared" si="2"/>
        <v/>
      </c>
      <c r="C6732" s="2" t="str">
        <f t="shared" si="3"/>
        <v>SP500</v>
      </c>
      <c r="D6732" s="2">
        <f t="shared" si="4"/>
        <v>12316.9</v>
      </c>
      <c r="E6732" s="2">
        <f t="shared" si="5"/>
        <v>12316.9</v>
      </c>
      <c r="G6732" s="10">
        <f t="shared" si="9"/>
        <v>44714.64583</v>
      </c>
      <c r="H6732" s="6" t="str">
        <f t="shared" si="6"/>
        <v/>
      </c>
      <c r="I6732" s="2">
        <f t="shared" si="7"/>
        <v>1426.89</v>
      </c>
    </row>
    <row r="6733">
      <c r="A6733" s="10">
        <f t="shared" si="8"/>
        <v>44715.66667</v>
      </c>
      <c r="B6733" s="2" t="str">
        <f t="shared" si="2"/>
        <v/>
      </c>
      <c r="C6733" s="2" t="str">
        <f t="shared" si="3"/>
        <v>SP500</v>
      </c>
      <c r="D6733" s="2">
        <f t="shared" si="4"/>
        <v>12012.73</v>
      </c>
      <c r="E6733" s="2">
        <f t="shared" si="5"/>
        <v>12012.73</v>
      </c>
      <c r="G6733" s="10">
        <f t="shared" si="9"/>
        <v>44715.64583</v>
      </c>
      <c r="H6733" s="6" t="str">
        <f t="shared" si="6"/>
        <v/>
      </c>
      <c r="I6733" s="2">
        <f t="shared" si="7"/>
        <v>1426.89</v>
      </c>
    </row>
    <row r="6734">
      <c r="A6734" s="10">
        <f t="shared" si="8"/>
        <v>44716.66667</v>
      </c>
      <c r="B6734" s="2" t="str">
        <f t="shared" si="2"/>
        <v/>
      </c>
      <c r="C6734" s="2" t="str">
        <f t="shared" si="3"/>
        <v>SP500</v>
      </c>
      <c r="D6734" s="2" t="str">
        <f t="shared" si="4"/>
        <v/>
      </c>
      <c r="E6734" s="2">
        <f t="shared" si="5"/>
        <v>12012.73</v>
      </c>
      <c r="G6734" s="10">
        <f t="shared" si="9"/>
        <v>44716.64583</v>
      </c>
      <c r="H6734" s="6" t="str">
        <f t="shared" si="6"/>
        <v/>
      </c>
      <c r="I6734" s="2">
        <f t="shared" si="7"/>
        <v>1426.89</v>
      </c>
    </row>
    <row r="6735">
      <c r="A6735" s="10">
        <f t="shared" si="8"/>
        <v>44717.66667</v>
      </c>
      <c r="B6735" s="2" t="str">
        <f t="shared" si="2"/>
        <v/>
      </c>
      <c r="C6735" s="2" t="str">
        <f t="shared" si="3"/>
        <v>SP500</v>
      </c>
      <c r="D6735" s="2" t="str">
        <f t="shared" si="4"/>
        <v/>
      </c>
      <c r="E6735" s="2">
        <f t="shared" si="5"/>
        <v>12012.73</v>
      </c>
      <c r="G6735" s="10">
        <f t="shared" si="9"/>
        <v>44717.64583</v>
      </c>
      <c r="H6735" s="6" t="str">
        <f t="shared" si="6"/>
        <v/>
      </c>
      <c r="I6735" s="2">
        <f t="shared" si="7"/>
        <v>1426.89</v>
      </c>
    </row>
    <row r="6736">
      <c r="A6736" s="10">
        <f t="shared" si="8"/>
        <v>44718.66667</v>
      </c>
      <c r="B6736" s="2" t="str">
        <f t="shared" si="2"/>
        <v/>
      </c>
      <c r="C6736" s="2" t="str">
        <f t="shared" si="3"/>
        <v>SP500</v>
      </c>
      <c r="D6736" s="2">
        <f t="shared" si="4"/>
        <v>12061.37</v>
      </c>
      <c r="E6736" s="2">
        <f t="shared" si="5"/>
        <v>12061.37</v>
      </c>
      <c r="G6736" s="10">
        <f t="shared" si="9"/>
        <v>44718.64583</v>
      </c>
      <c r="H6736" s="6" t="str">
        <f t="shared" si="6"/>
        <v/>
      </c>
      <c r="I6736" s="2">
        <f t="shared" si="7"/>
        <v>1426.89</v>
      </c>
    </row>
    <row r="6737">
      <c r="A6737" s="10">
        <f t="shared" si="8"/>
        <v>44719.66667</v>
      </c>
      <c r="B6737" s="2" t="str">
        <f t="shared" si="2"/>
        <v/>
      </c>
      <c r="C6737" s="2" t="str">
        <f t="shared" si="3"/>
        <v>SP500</v>
      </c>
      <c r="D6737" s="2">
        <f t="shared" si="4"/>
        <v>12175.23</v>
      </c>
      <c r="E6737" s="2">
        <f t="shared" si="5"/>
        <v>12175.23</v>
      </c>
      <c r="G6737" s="10">
        <f t="shared" si="9"/>
        <v>44719.64583</v>
      </c>
      <c r="H6737" s="6" t="str">
        <f t="shared" si="6"/>
        <v/>
      </c>
      <c r="I6737" s="2">
        <f t="shared" si="7"/>
        <v>1426.89</v>
      </c>
    </row>
    <row r="6738">
      <c r="A6738" s="10">
        <f t="shared" si="8"/>
        <v>44720.66667</v>
      </c>
      <c r="B6738" s="2" t="str">
        <f t="shared" si="2"/>
        <v/>
      </c>
      <c r="C6738" s="2" t="str">
        <f t="shared" si="3"/>
        <v>SP500</v>
      </c>
      <c r="D6738" s="2">
        <f t="shared" si="4"/>
        <v>12086.27</v>
      </c>
      <c r="E6738" s="2">
        <f t="shared" si="5"/>
        <v>12086.27</v>
      </c>
      <c r="G6738" s="10">
        <f t="shared" si="9"/>
        <v>44720.64583</v>
      </c>
      <c r="H6738" s="6" t="str">
        <f t="shared" si="6"/>
        <v/>
      </c>
      <c r="I6738" s="2">
        <f t="shared" si="7"/>
        <v>1426.89</v>
      </c>
    </row>
    <row r="6739">
      <c r="A6739" s="10">
        <f t="shared" si="8"/>
        <v>44721.66667</v>
      </c>
      <c r="B6739" s="2" t="str">
        <f t="shared" si="2"/>
        <v/>
      </c>
      <c r="C6739" s="2" t="str">
        <f t="shared" si="3"/>
        <v>SP500</v>
      </c>
      <c r="D6739" s="2">
        <f t="shared" si="4"/>
        <v>11754.23</v>
      </c>
      <c r="E6739" s="2">
        <f t="shared" si="5"/>
        <v>11754.23</v>
      </c>
      <c r="G6739" s="10">
        <f t="shared" si="9"/>
        <v>44721.64583</v>
      </c>
      <c r="H6739" s="6" t="str">
        <f t="shared" si="6"/>
        <v/>
      </c>
      <c r="I6739" s="2">
        <f t="shared" si="7"/>
        <v>1426.89</v>
      </c>
    </row>
    <row r="6740">
      <c r="A6740" s="10">
        <f t="shared" si="8"/>
        <v>44722.66667</v>
      </c>
      <c r="B6740" s="2" t="str">
        <f t="shared" si="2"/>
        <v/>
      </c>
      <c r="C6740" s="2" t="str">
        <f t="shared" si="3"/>
        <v>SP500</v>
      </c>
      <c r="D6740" s="2">
        <f t="shared" si="4"/>
        <v>11340.02</v>
      </c>
      <c r="E6740" s="2">
        <f t="shared" si="5"/>
        <v>11340.02</v>
      </c>
      <c r="G6740" s="10">
        <f t="shared" si="9"/>
        <v>44722.64583</v>
      </c>
      <c r="H6740" s="6" t="str">
        <f t="shared" si="6"/>
        <v/>
      </c>
      <c r="I6740" s="2">
        <f t="shared" si="7"/>
        <v>1426.89</v>
      </c>
    </row>
    <row r="6741">
      <c r="A6741" s="10">
        <f t="shared" si="8"/>
        <v>44723.66667</v>
      </c>
      <c r="B6741" s="2" t="str">
        <f t="shared" si="2"/>
        <v/>
      </c>
      <c r="C6741" s="2" t="str">
        <f t="shared" si="3"/>
        <v>SP500</v>
      </c>
      <c r="D6741" s="2" t="str">
        <f t="shared" si="4"/>
        <v/>
      </c>
      <c r="E6741" s="2">
        <f t="shared" si="5"/>
        <v>11340.02</v>
      </c>
      <c r="G6741" s="10">
        <f t="shared" si="9"/>
        <v>44723.64583</v>
      </c>
      <c r="H6741" s="6" t="str">
        <f t="shared" si="6"/>
        <v/>
      </c>
      <c r="I6741" s="2">
        <f t="shared" si="7"/>
        <v>1426.89</v>
      </c>
    </row>
    <row r="6742">
      <c r="A6742" s="10">
        <f t="shared" si="8"/>
        <v>44724.66667</v>
      </c>
      <c r="B6742" s="2" t="str">
        <f t="shared" si="2"/>
        <v/>
      </c>
      <c r="C6742" s="2" t="str">
        <f t="shared" si="3"/>
        <v>SP500</v>
      </c>
      <c r="D6742" s="2" t="str">
        <f t="shared" si="4"/>
        <v/>
      </c>
      <c r="E6742" s="2">
        <f t="shared" si="5"/>
        <v>11340.02</v>
      </c>
      <c r="G6742" s="10">
        <f t="shared" si="9"/>
        <v>44724.64583</v>
      </c>
      <c r="H6742" s="6" t="str">
        <f t="shared" si="6"/>
        <v/>
      </c>
      <c r="I6742" s="2">
        <f t="shared" si="7"/>
        <v>1426.89</v>
      </c>
    </row>
    <row r="6743">
      <c r="A6743" s="10">
        <f t="shared" si="8"/>
        <v>44725.66667</v>
      </c>
      <c r="B6743" s="2" t="str">
        <f t="shared" si="2"/>
        <v/>
      </c>
      <c r="C6743" s="2" t="str">
        <f t="shared" si="3"/>
        <v>SP500</v>
      </c>
      <c r="D6743" s="2">
        <f t="shared" si="4"/>
        <v>10809.23</v>
      </c>
      <c r="E6743" s="2">
        <f t="shared" si="5"/>
        <v>10809.23</v>
      </c>
      <c r="G6743" s="10">
        <f t="shared" si="9"/>
        <v>44725.64583</v>
      </c>
      <c r="H6743" s="6" t="str">
        <f t="shared" si="6"/>
        <v/>
      </c>
      <c r="I6743" s="2">
        <f t="shared" si="7"/>
        <v>1426.89</v>
      </c>
    </row>
    <row r="6744">
      <c r="A6744" s="10">
        <f t="shared" si="8"/>
        <v>44726.66667</v>
      </c>
      <c r="B6744" s="2" t="str">
        <f t="shared" si="2"/>
        <v/>
      </c>
      <c r="C6744" s="2" t="str">
        <f t="shared" si="3"/>
        <v>SP500</v>
      </c>
      <c r="D6744" s="2">
        <f t="shared" si="4"/>
        <v>10828.35</v>
      </c>
      <c r="E6744" s="2">
        <f t="shared" si="5"/>
        <v>10828.35</v>
      </c>
      <c r="G6744" s="10">
        <f t="shared" si="9"/>
        <v>44726.64583</v>
      </c>
      <c r="H6744" s="6" t="str">
        <f t="shared" si="6"/>
        <v/>
      </c>
      <c r="I6744" s="2">
        <f t="shared" si="7"/>
        <v>1426.89</v>
      </c>
    </row>
    <row r="6745">
      <c r="A6745" s="10">
        <f t="shared" si="8"/>
        <v>44727.66667</v>
      </c>
      <c r="B6745" s="2" t="str">
        <f t="shared" si="2"/>
        <v/>
      </c>
      <c r="C6745" s="2" t="str">
        <f t="shared" si="3"/>
        <v>SP500</v>
      </c>
      <c r="D6745" s="2">
        <f t="shared" si="4"/>
        <v>11099.16</v>
      </c>
      <c r="E6745" s="2">
        <f t="shared" si="5"/>
        <v>11099.16</v>
      </c>
      <c r="G6745" s="10">
        <f t="shared" si="9"/>
        <v>44727.64583</v>
      </c>
      <c r="H6745" s="6" t="str">
        <f t="shared" si="6"/>
        <v/>
      </c>
      <c r="I6745" s="2">
        <f t="shared" si="7"/>
        <v>1426.89</v>
      </c>
    </row>
    <row r="6746">
      <c r="A6746" s="10">
        <f t="shared" si="8"/>
        <v>44728.66667</v>
      </c>
      <c r="B6746" s="2" t="str">
        <f t="shared" si="2"/>
        <v/>
      </c>
      <c r="C6746" s="2" t="str">
        <f t="shared" si="3"/>
        <v>SP500</v>
      </c>
      <c r="D6746" s="2">
        <f t="shared" si="4"/>
        <v>10646.1</v>
      </c>
      <c r="E6746" s="2">
        <f t="shared" si="5"/>
        <v>10646.1</v>
      </c>
      <c r="G6746" s="10">
        <f t="shared" si="9"/>
        <v>44728.64583</v>
      </c>
      <c r="H6746" s="6" t="str">
        <f t="shared" si="6"/>
        <v/>
      </c>
      <c r="I6746" s="2">
        <f t="shared" si="7"/>
        <v>1426.89</v>
      </c>
    </row>
    <row r="6747">
      <c r="A6747" s="10">
        <f t="shared" si="8"/>
        <v>44729.66667</v>
      </c>
      <c r="B6747" s="2" t="str">
        <f t="shared" si="2"/>
        <v/>
      </c>
      <c r="C6747" s="2" t="str">
        <f t="shared" si="3"/>
        <v>SP500</v>
      </c>
      <c r="D6747" s="2">
        <f t="shared" si="4"/>
        <v>10798.35</v>
      </c>
      <c r="E6747" s="2">
        <f t="shared" si="5"/>
        <v>10798.35</v>
      </c>
      <c r="G6747" s="10">
        <f t="shared" si="9"/>
        <v>44729.64583</v>
      </c>
      <c r="H6747" s="6" t="str">
        <f t="shared" si="6"/>
        <v/>
      </c>
      <c r="I6747" s="2">
        <f t="shared" si="7"/>
        <v>1426.89</v>
      </c>
    </row>
    <row r="6748">
      <c r="A6748" s="10">
        <f t="shared" si="8"/>
        <v>44730.66667</v>
      </c>
      <c r="B6748" s="2" t="str">
        <f t="shared" si="2"/>
        <v/>
      </c>
      <c r="C6748" s="2" t="str">
        <f t="shared" si="3"/>
        <v>SP500</v>
      </c>
      <c r="D6748" s="2" t="str">
        <f t="shared" si="4"/>
        <v/>
      </c>
      <c r="E6748" s="2">
        <f t="shared" si="5"/>
        <v>10798.35</v>
      </c>
      <c r="G6748" s="10">
        <f t="shared" si="9"/>
        <v>44730.64583</v>
      </c>
      <c r="H6748" s="6" t="str">
        <f t="shared" si="6"/>
        <v/>
      </c>
      <c r="I6748" s="2">
        <f t="shared" si="7"/>
        <v>1426.89</v>
      </c>
    </row>
    <row r="6749">
      <c r="A6749" s="10">
        <f t="shared" si="8"/>
        <v>44731.66667</v>
      </c>
      <c r="B6749" s="2" t="str">
        <f t="shared" si="2"/>
        <v/>
      </c>
      <c r="C6749" s="2" t="str">
        <f t="shared" si="3"/>
        <v>SP500</v>
      </c>
      <c r="D6749" s="2" t="str">
        <f t="shared" si="4"/>
        <v/>
      </c>
      <c r="E6749" s="2">
        <f t="shared" si="5"/>
        <v>10798.35</v>
      </c>
      <c r="G6749" s="10">
        <f t="shared" si="9"/>
        <v>44731.64583</v>
      </c>
      <c r="H6749" s="6" t="str">
        <f t="shared" si="6"/>
        <v/>
      </c>
      <c r="I6749" s="2">
        <f t="shared" si="7"/>
        <v>1426.89</v>
      </c>
    </row>
    <row r="6750">
      <c r="A6750" s="10">
        <f t="shared" si="8"/>
        <v>44732.66667</v>
      </c>
      <c r="B6750" s="2" t="str">
        <f t="shared" si="2"/>
        <v/>
      </c>
      <c r="C6750" s="2" t="str">
        <f t="shared" si="3"/>
        <v>SP500</v>
      </c>
      <c r="D6750" s="2" t="str">
        <f t="shared" si="4"/>
        <v/>
      </c>
      <c r="E6750" s="2">
        <f t="shared" si="5"/>
        <v>10798.35</v>
      </c>
      <c r="G6750" s="10">
        <f t="shared" si="9"/>
        <v>44732.64583</v>
      </c>
      <c r="H6750" s="6" t="str">
        <f t="shared" si="6"/>
        <v/>
      </c>
      <c r="I6750" s="2">
        <f t="shared" si="7"/>
        <v>1426.89</v>
      </c>
    </row>
    <row r="6751">
      <c r="A6751" s="10">
        <f t="shared" si="8"/>
        <v>44733.66667</v>
      </c>
      <c r="B6751" s="2" t="str">
        <f t="shared" si="2"/>
        <v/>
      </c>
      <c r="C6751" s="2" t="str">
        <f t="shared" si="3"/>
        <v>SP500</v>
      </c>
      <c r="D6751" s="2">
        <f t="shared" si="4"/>
        <v>11069.3</v>
      </c>
      <c r="E6751" s="2">
        <f t="shared" si="5"/>
        <v>11069.3</v>
      </c>
      <c r="G6751" s="10">
        <f t="shared" si="9"/>
        <v>44733.64583</v>
      </c>
      <c r="H6751" s="6" t="str">
        <f t="shared" si="6"/>
        <v/>
      </c>
      <c r="I6751" s="2">
        <f t="shared" si="7"/>
        <v>1426.89</v>
      </c>
    </row>
    <row r="6752">
      <c r="A6752" s="10">
        <f t="shared" si="8"/>
        <v>44734.66667</v>
      </c>
      <c r="B6752" s="2" t="str">
        <f t="shared" si="2"/>
        <v/>
      </c>
      <c r="C6752" s="2" t="str">
        <f t="shared" si="3"/>
        <v>SP500</v>
      </c>
      <c r="D6752" s="2">
        <f t="shared" si="4"/>
        <v>11053.08</v>
      </c>
      <c r="E6752" s="2">
        <f t="shared" si="5"/>
        <v>11053.08</v>
      </c>
      <c r="G6752" s="10">
        <f t="shared" si="9"/>
        <v>44734.64583</v>
      </c>
      <c r="H6752" s="6" t="str">
        <f t="shared" si="6"/>
        <v/>
      </c>
      <c r="I6752" s="2">
        <f t="shared" si="7"/>
        <v>1426.89</v>
      </c>
    </row>
    <row r="6753">
      <c r="A6753" s="10">
        <f t="shared" si="8"/>
        <v>44735.66667</v>
      </c>
      <c r="B6753" s="2" t="str">
        <f t="shared" si="2"/>
        <v/>
      </c>
      <c r="C6753" s="2" t="str">
        <f t="shared" si="3"/>
        <v>SP500</v>
      </c>
      <c r="D6753" s="2">
        <f t="shared" si="4"/>
        <v>11232.19</v>
      </c>
      <c r="E6753" s="2">
        <f t="shared" si="5"/>
        <v>11232.19</v>
      </c>
      <c r="G6753" s="10">
        <f t="shared" si="9"/>
        <v>44735.64583</v>
      </c>
      <c r="H6753" s="6" t="str">
        <f t="shared" si="6"/>
        <v/>
      </c>
      <c r="I6753" s="2">
        <f t="shared" si="7"/>
        <v>1426.89</v>
      </c>
    </row>
    <row r="6754">
      <c r="A6754" s="10">
        <f t="shared" si="8"/>
        <v>44736.66667</v>
      </c>
      <c r="B6754" s="2" t="str">
        <f t="shared" si="2"/>
        <v/>
      </c>
      <c r="C6754" s="2" t="str">
        <f t="shared" si="3"/>
        <v>SP500</v>
      </c>
      <c r="D6754" s="2">
        <f t="shared" si="4"/>
        <v>11607.62</v>
      </c>
      <c r="E6754" s="2">
        <f t="shared" si="5"/>
        <v>11607.62</v>
      </c>
      <c r="G6754" s="10">
        <f t="shared" si="9"/>
        <v>44736.64583</v>
      </c>
      <c r="H6754" s="6" t="str">
        <f t="shared" si="6"/>
        <v/>
      </c>
      <c r="I6754" s="2">
        <f t="shared" si="7"/>
        <v>1426.89</v>
      </c>
    </row>
    <row r="6755">
      <c r="A6755" s="10">
        <f t="shared" si="8"/>
        <v>44737.66667</v>
      </c>
      <c r="B6755" s="2" t="str">
        <f t="shared" si="2"/>
        <v/>
      </c>
      <c r="C6755" s="2" t="str">
        <f t="shared" si="3"/>
        <v>SP500</v>
      </c>
      <c r="D6755" s="2" t="str">
        <f t="shared" si="4"/>
        <v/>
      </c>
      <c r="E6755" s="2">
        <f t="shared" si="5"/>
        <v>11607.62</v>
      </c>
      <c r="G6755" s="10">
        <f t="shared" si="9"/>
        <v>44737.64583</v>
      </c>
      <c r="H6755" s="6" t="str">
        <f t="shared" si="6"/>
        <v/>
      </c>
      <c r="I6755" s="2">
        <f t="shared" si="7"/>
        <v>1426.89</v>
      </c>
    </row>
    <row r="6756">
      <c r="A6756" s="10">
        <f t="shared" si="8"/>
        <v>44738.66667</v>
      </c>
      <c r="B6756" s="2" t="str">
        <f t="shared" si="2"/>
        <v/>
      </c>
      <c r="C6756" s="2" t="str">
        <f t="shared" si="3"/>
        <v>SP500</v>
      </c>
      <c r="D6756" s="2" t="str">
        <f t="shared" si="4"/>
        <v/>
      </c>
      <c r="E6756" s="2">
        <f t="shared" si="5"/>
        <v>11607.62</v>
      </c>
      <c r="G6756" s="10">
        <f t="shared" si="9"/>
        <v>44738.64583</v>
      </c>
      <c r="H6756" s="6" t="str">
        <f t="shared" si="6"/>
        <v/>
      </c>
      <c r="I6756" s="2">
        <f t="shared" si="7"/>
        <v>1426.89</v>
      </c>
    </row>
    <row r="6757">
      <c r="A6757" s="10">
        <f t="shared" si="8"/>
        <v>44739.66667</v>
      </c>
      <c r="B6757" s="2" t="str">
        <f t="shared" si="2"/>
        <v/>
      </c>
      <c r="C6757" s="2" t="str">
        <f t="shared" si="3"/>
        <v>SP500</v>
      </c>
      <c r="D6757" s="2">
        <f t="shared" si="4"/>
        <v>11524.55</v>
      </c>
      <c r="E6757" s="2">
        <f t="shared" si="5"/>
        <v>11524.55</v>
      </c>
      <c r="G6757" s="10">
        <f t="shared" si="9"/>
        <v>44739.64583</v>
      </c>
      <c r="H6757" s="6" t="str">
        <f t="shared" si="6"/>
        <v/>
      </c>
      <c r="I6757" s="2">
        <f t="shared" si="7"/>
        <v>1426.89</v>
      </c>
    </row>
    <row r="6758">
      <c r="A6758" s="10">
        <f t="shared" si="8"/>
        <v>44740.66667</v>
      </c>
      <c r="B6758" s="2" t="str">
        <f t="shared" si="2"/>
        <v/>
      </c>
      <c r="C6758" s="2" t="str">
        <f t="shared" si="3"/>
        <v>SP500</v>
      </c>
      <c r="D6758" s="2">
        <f t="shared" si="4"/>
        <v>11181.54</v>
      </c>
      <c r="E6758" s="2">
        <f t="shared" si="5"/>
        <v>11181.54</v>
      </c>
      <c r="G6758" s="10">
        <f t="shared" si="9"/>
        <v>44740.64583</v>
      </c>
      <c r="H6758" s="6" t="str">
        <f t="shared" si="6"/>
        <v/>
      </c>
      <c r="I6758" s="2">
        <f t="shared" si="7"/>
        <v>1426.89</v>
      </c>
    </row>
    <row r="6759">
      <c r="A6759" s="10">
        <f t="shared" si="8"/>
        <v>44741.66667</v>
      </c>
      <c r="B6759" s="2" t="str">
        <f t="shared" si="2"/>
        <v/>
      </c>
      <c r="C6759" s="2" t="str">
        <f t="shared" si="3"/>
        <v>SP500</v>
      </c>
      <c r="D6759" s="2">
        <f t="shared" si="4"/>
        <v>11177.89</v>
      </c>
      <c r="E6759" s="2">
        <f t="shared" si="5"/>
        <v>11177.89</v>
      </c>
      <c r="G6759" s="10">
        <f t="shared" si="9"/>
        <v>44741.64583</v>
      </c>
      <c r="H6759" s="6" t="str">
        <f t="shared" si="6"/>
        <v/>
      </c>
      <c r="I6759" s="2">
        <f t="shared" si="7"/>
        <v>1426.89</v>
      </c>
    </row>
    <row r="6760">
      <c r="A6760" s="10">
        <f t="shared" si="8"/>
        <v>44742.66667</v>
      </c>
      <c r="B6760" s="2" t="str">
        <f t="shared" si="2"/>
        <v/>
      </c>
      <c r="C6760" s="2" t="str">
        <f t="shared" si="3"/>
        <v>SP500</v>
      </c>
      <c r="D6760" s="2">
        <f t="shared" si="4"/>
        <v>11028.74</v>
      </c>
      <c r="E6760" s="2">
        <f t="shared" si="5"/>
        <v>11028.74</v>
      </c>
      <c r="G6760" s="10">
        <f t="shared" si="9"/>
        <v>44742.64583</v>
      </c>
      <c r="H6760" s="6" t="str">
        <f t="shared" si="6"/>
        <v/>
      </c>
      <c r="I6760" s="2">
        <f t="shared" si="7"/>
        <v>1426.89</v>
      </c>
    </row>
    <row r="6761">
      <c r="A6761" s="10">
        <f t="shared" si="8"/>
        <v>44743.66667</v>
      </c>
      <c r="B6761" s="2" t="str">
        <f t="shared" si="2"/>
        <v/>
      </c>
      <c r="C6761" s="2" t="str">
        <f t="shared" si="3"/>
        <v>SP500</v>
      </c>
      <c r="D6761" s="2">
        <f t="shared" si="4"/>
        <v>11127.85</v>
      </c>
      <c r="E6761" s="2">
        <f t="shared" si="5"/>
        <v>11127.85</v>
      </c>
      <c r="G6761" s="10">
        <f t="shared" si="9"/>
        <v>44743.64583</v>
      </c>
      <c r="H6761" s="6" t="str">
        <f t="shared" si="6"/>
        <v/>
      </c>
      <c r="I6761" s="2">
        <f t="shared" si="7"/>
        <v>1426.89</v>
      </c>
    </row>
    <row r="6762">
      <c r="A6762" s="10">
        <f t="shared" si="8"/>
        <v>44744.66667</v>
      </c>
      <c r="B6762" s="2" t="str">
        <f t="shared" si="2"/>
        <v/>
      </c>
      <c r="C6762" s="2" t="str">
        <f t="shared" si="3"/>
        <v>SP500</v>
      </c>
      <c r="D6762" s="2" t="str">
        <f t="shared" si="4"/>
        <v/>
      </c>
      <c r="E6762" s="2">
        <f t="shared" si="5"/>
        <v>11127.85</v>
      </c>
      <c r="G6762" s="10">
        <f t="shared" si="9"/>
        <v>44744.64583</v>
      </c>
      <c r="H6762" s="6" t="str">
        <f t="shared" si="6"/>
        <v/>
      </c>
      <c r="I6762" s="2">
        <f t="shared" si="7"/>
        <v>1426.89</v>
      </c>
    </row>
    <row r="6763">
      <c r="A6763" s="10">
        <f t="shared" si="8"/>
        <v>44745.66667</v>
      </c>
      <c r="B6763" s="2" t="str">
        <f t="shared" si="2"/>
        <v/>
      </c>
      <c r="C6763" s="2" t="str">
        <f t="shared" si="3"/>
        <v>SP500</v>
      </c>
      <c r="D6763" s="2" t="str">
        <f t="shared" si="4"/>
        <v/>
      </c>
      <c r="E6763" s="2">
        <f t="shared" si="5"/>
        <v>11127.85</v>
      </c>
      <c r="G6763" s="10">
        <f t="shared" si="9"/>
        <v>44745.64583</v>
      </c>
      <c r="H6763" s="6" t="str">
        <f t="shared" si="6"/>
        <v/>
      </c>
      <c r="I6763" s="2">
        <f t="shared" si="7"/>
        <v>1426.89</v>
      </c>
    </row>
    <row r="6764">
      <c r="A6764" s="10">
        <f t="shared" si="8"/>
        <v>44746.66667</v>
      </c>
      <c r="B6764" s="2" t="str">
        <f t="shared" si="2"/>
        <v/>
      </c>
      <c r="C6764" s="2" t="str">
        <f t="shared" si="3"/>
        <v>SP500</v>
      </c>
      <c r="D6764" s="2" t="str">
        <f t="shared" si="4"/>
        <v/>
      </c>
      <c r="E6764" s="2">
        <f t="shared" si="5"/>
        <v>11127.85</v>
      </c>
      <c r="G6764" s="10">
        <f t="shared" si="9"/>
        <v>44746.64583</v>
      </c>
      <c r="H6764" s="6" t="str">
        <f t="shared" si="6"/>
        <v/>
      </c>
      <c r="I6764" s="2">
        <f t="shared" si="7"/>
        <v>1426.89</v>
      </c>
    </row>
    <row r="6765">
      <c r="A6765" s="10">
        <f t="shared" si="8"/>
        <v>44747.66667</v>
      </c>
      <c r="B6765" s="2" t="str">
        <f t="shared" si="2"/>
        <v/>
      </c>
      <c r="C6765" s="2" t="str">
        <f t="shared" si="3"/>
        <v>SP500</v>
      </c>
      <c r="D6765" s="2">
        <f t="shared" si="4"/>
        <v>11322.24</v>
      </c>
      <c r="E6765" s="2">
        <f t="shared" si="5"/>
        <v>11322.24</v>
      </c>
      <c r="G6765" s="10">
        <f t="shared" si="9"/>
        <v>44747.64583</v>
      </c>
      <c r="H6765" s="6" t="str">
        <f t="shared" si="6"/>
        <v/>
      </c>
      <c r="I6765" s="2">
        <f t="shared" si="7"/>
        <v>1426.89</v>
      </c>
    </row>
    <row r="6766">
      <c r="A6766" s="10">
        <f t="shared" si="8"/>
        <v>44748.66667</v>
      </c>
      <c r="B6766" s="2" t="str">
        <f t="shared" si="2"/>
        <v/>
      </c>
      <c r="C6766" s="2" t="str">
        <f t="shared" si="3"/>
        <v>SP500</v>
      </c>
      <c r="D6766" s="2">
        <f t="shared" si="4"/>
        <v>11361.85</v>
      </c>
      <c r="E6766" s="2">
        <f t="shared" si="5"/>
        <v>11361.85</v>
      </c>
      <c r="G6766" s="10">
        <f t="shared" si="9"/>
        <v>44748.64583</v>
      </c>
      <c r="H6766" s="6" t="str">
        <f t="shared" si="6"/>
        <v/>
      </c>
      <c r="I6766" s="2">
        <f t="shared" si="7"/>
        <v>1426.89</v>
      </c>
    </row>
    <row r="6767">
      <c r="A6767" s="10">
        <f t="shared" si="8"/>
        <v>44749.66667</v>
      </c>
      <c r="B6767" s="2" t="str">
        <f t="shared" si="2"/>
        <v/>
      </c>
      <c r="C6767" s="2" t="str">
        <f t="shared" si="3"/>
        <v>SP500</v>
      </c>
      <c r="D6767" s="2">
        <f t="shared" si="4"/>
        <v>11621.35</v>
      </c>
      <c r="E6767" s="2">
        <f t="shared" si="5"/>
        <v>11621.35</v>
      </c>
      <c r="G6767" s="10">
        <f t="shared" si="9"/>
        <v>44749.64583</v>
      </c>
      <c r="H6767" s="6" t="str">
        <f t="shared" si="6"/>
        <v/>
      </c>
      <c r="I6767" s="2">
        <f t="shared" si="7"/>
        <v>1426.89</v>
      </c>
    </row>
    <row r="6768">
      <c r="A6768" s="10">
        <f t="shared" si="8"/>
        <v>44750.66667</v>
      </c>
      <c r="B6768" s="2" t="str">
        <f t="shared" si="2"/>
        <v/>
      </c>
      <c r="C6768" s="2" t="str">
        <f t="shared" si="3"/>
        <v>SP500</v>
      </c>
      <c r="D6768" s="2">
        <f t="shared" si="4"/>
        <v>11635.31</v>
      </c>
      <c r="E6768" s="2">
        <f t="shared" si="5"/>
        <v>11635.31</v>
      </c>
      <c r="G6768" s="10">
        <f t="shared" si="9"/>
        <v>44750.64583</v>
      </c>
      <c r="H6768" s="6" t="str">
        <f t="shared" si="6"/>
        <v/>
      </c>
      <c r="I6768" s="2">
        <f t="shared" si="7"/>
        <v>1426.89</v>
      </c>
    </row>
    <row r="6769">
      <c r="A6769" s="10">
        <f t="shared" si="8"/>
        <v>44751.66667</v>
      </c>
      <c r="B6769" s="2" t="str">
        <f t="shared" si="2"/>
        <v/>
      </c>
      <c r="C6769" s="2" t="str">
        <f t="shared" si="3"/>
        <v>SP500</v>
      </c>
      <c r="D6769" s="2" t="str">
        <f t="shared" si="4"/>
        <v/>
      </c>
      <c r="E6769" s="2">
        <f t="shared" si="5"/>
        <v>11635.31</v>
      </c>
      <c r="G6769" s="10">
        <f t="shared" si="9"/>
        <v>44751.64583</v>
      </c>
      <c r="H6769" s="6" t="str">
        <f t="shared" si="6"/>
        <v/>
      </c>
      <c r="I6769" s="2">
        <f t="shared" si="7"/>
        <v>1426.89</v>
      </c>
    </row>
    <row r="6770">
      <c r="A6770" s="10">
        <f t="shared" si="8"/>
        <v>44752.66667</v>
      </c>
      <c r="B6770" s="2" t="str">
        <f t="shared" si="2"/>
        <v/>
      </c>
      <c r="C6770" s="2" t="str">
        <f t="shared" si="3"/>
        <v>SP500</v>
      </c>
      <c r="D6770" s="2" t="str">
        <f t="shared" si="4"/>
        <v/>
      </c>
      <c r="E6770" s="2">
        <f t="shared" si="5"/>
        <v>11635.31</v>
      </c>
      <c r="G6770" s="10">
        <f t="shared" si="9"/>
        <v>44752.64583</v>
      </c>
      <c r="H6770" s="6" t="str">
        <f t="shared" si="6"/>
        <v/>
      </c>
      <c r="I6770" s="2">
        <f t="shared" si="7"/>
        <v>1426.89</v>
      </c>
    </row>
    <row r="6771">
      <c r="A6771" s="10">
        <f t="shared" si="8"/>
        <v>44753.66667</v>
      </c>
      <c r="B6771" s="2" t="str">
        <f t="shared" si="2"/>
        <v/>
      </c>
      <c r="C6771" s="2" t="str">
        <f t="shared" si="3"/>
        <v>SP500</v>
      </c>
      <c r="D6771" s="2">
        <f t="shared" si="4"/>
        <v>11372.6</v>
      </c>
      <c r="E6771" s="2">
        <f t="shared" si="5"/>
        <v>11372.6</v>
      </c>
      <c r="G6771" s="10">
        <f t="shared" si="9"/>
        <v>44753.64583</v>
      </c>
      <c r="H6771" s="6" t="str">
        <f t="shared" si="6"/>
        <v/>
      </c>
      <c r="I6771" s="2">
        <f t="shared" si="7"/>
        <v>1426.89</v>
      </c>
    </row>
    <row r="6772">
      <c r="A6772" s="10">
        <f t="shared" si="8"/>
        <v>44754.66667</v>
      </c>
      <c r="B6772" s="2" t="str">
        <f t="shared" si="2"/>
        <v/>
      </c>
      <c r="C6772" s="2" t="str">
        <f t="shared" si="3"/>
        <v>SP500</v>
      </c>
      <c r="D6772" s="2">
        <f t="shared" si="4"/>
        <v>11264.73</v>
      </c>
      <c r="E6772" s="2">
        <f t="shared" si="5"/>
        <v>11264.73</v>
      </c>
      <c r="G6772" s="10">
        <f t="shared" si="9"/>
        <v>44754.64583</v>
      </c>
      <c r="H6772" s="6" t="str">
        <f t="shared" si="6"/>
        <v/>
      </c>
      <c r="I6772" s="2">
        <f t="shared" si="7"/>
        <v>1426.89</v>
      </c>
    </row>
    <row r="6773">
      <c r="A6773" s="10">
        <f t="shared" si="8"/>
        <v>44755.66667</v>
      </c>
      <c r="B6773" s="2" t="str">
        <f t="shared" si="2"/>
        <v/>
      </c>
      <c r="C6773" s="2" t="str">
        <f t="shared" si="3"/>
        <v>SP500</v>
      </c>
      <c r="D6773" s="2">
        <f t="shared" si="4"/>
        <v>11247.58</v>
      </c>
      <c r="E6773" s="2">
        <f t="shared" si="5"/>
        <v>11247.58</v>
      </c>
      <c r="G6773" s="10">
        <f t="shared" si="9"/>
        <v>44755.64583</v>
      </c>
      <c r="H6773" s="6" t="str">
        <f t="shared" si="6"/>
        <v/>
      </c>
      <c r="I6773" s="2">
        <f t="shared" si="7"/>
        <v>1426.89</v>
      </c>
    </row>
    <row r="6774">
      <c r="A6774" s="10">
        <f t="shared" si="8"/>
        <v>44756.66667</v>
      </c>
      <c r="B6774" s="2" t="str">
        <f t="shared" si="2"/>
        <v/>
      </c>
      <c r="C6774" s="2" t="str">
        <f t="shared" si="3"/>
        <v>SP500</v>
      </c>
      <c r="D6774" s="2">
        <f t="shared" si="4"/>
        <v>11251.19</v>
      </c>
      <c r="E6774" s="2">
        <f t="shared" si="5"/>
        <v>11251.19</v>
      </c>
      <c r="G6774" s="10">
        <f t="shared" si="9"/>
        <v>44756.64583</v>
      </c>
      <c r="H6774" s="6" t="str">
        <f t="shared" si="6"/>
        <v/>
      </c>
      <c r="I6774" s="2">
        <f t="shared" si="7"/>
        <v>1426.89</v>
      </c>
    </row>
    <row r="6775">
      <c r="A6775" s="10">
        <f t="shared" si="8"/>
        <v>44757.66667</v>
      </c>
      <c r="B6775" s="2" t="str">
        <f t="shared" si="2"/>
        <v/>
      </c>
      <c r="C6775" s="2" t="str">
        <f t="shared" si="3"/>
        <v>SP500</v>
      </c>
      <c r="D6775" s="2">
        <f t="shared" si="4"/>
        <v>11452.42</v>
      </c>
      <c r="E6775" s="2">
        <f t="shared" si="5"/>
        <v>11452.42</v>
      </c>
      <c r="G6775" s="10">
        <f t="shared" si="9"/>
        <v>44757.64583</v>
      </c>
      <c r="H6775" s="6" t="str">
        <f t="shared" si="6"/>
        <v/>
      </c>
      <c r="I6775" s="2">
        <f t="shared" si="7"/>
        <v>1426.89</v>
      </c>
    </row>
    <row r="6776">
      <c r="A6776" s="10">
        <f t="shared" si="8"/>
        <v>44758.66667</v>
      </c>
      <c r="B6776" s="2" t="str">
        <f t="shared" si="2"/>
        <v/>
      </c>
      <c r="C6776" s="2" t="str">
        <f t="shared" si="3"/>
        <v>SP500</v>
      </c>
      <c r="D6776" s="2" t="str">
        <f t="shared" si="4"/>
        <v/>
      </c>
      <c r="E6776" s="2">
        <f t="shared" si="5"/>
        <v>11452.42</v>
      </c>
      <c r="G6776" s="10">
        <f t="shared" si="9"/>
        <v>44758.64583</v>
      </c>
      <c r="H6776" s="6" t="str">
        <f t="shared" si="6"/>
        <v/>
      </c>
      <c r="I6776" s="2">
        <f t="shared" si="7"/>
        <v>1426.89</v>
      </c>
    </row>
    <row r="6777">
      <c r="A6777" s="10">
        <f t="shared" si="8"/>
        <v>44759.66667</v>
      </c>
      <c r="B6777" s="2" t="str">
        <f t="shared" si="2"/>
        <v/>
      </c>
      <c r="C6777" s="2" t="str">
        <f t="shared" si="3"/>
        <v>SP500</v>
      </c>
      <c r="D6777" s="2" t="str">
        <f t="shared" si="4"/>
        <v/>
      </c>
      <c r="E6777" s="2">
        <f t="shared" si="5"/>
        <v>11452.42</v>
      </c>
      <c r="G6777" s="10">
        <f t="shared" si="9"/>
        <v>44759.64583</v>
      </c>
      <c r="H6777" s="6" t="str">
        <f t="shared" si="6"/>
        <v/>
      </c>
      <c r="I6777" s="2">
        <f t="shared" si="7"/>
        <v>1426.89</v>
      </c>
    </row>
    <row r="6778">
      <c r="A6778" s="10">
        <f t="shared" si="8"/>
        <v>44760.66667</v>
      </c>
      <c r="B6778" s="2" t="str">
        <f t="shared" si="2"/>
        <v/>
      </c>
      <c r="C6778" s="2" t="str">
        <f t="shared" si="3"/>
        <v>SP500</v>
      </c>
      <c r="D6778" s="2">
        <f t="shared" si="4"/>
        <v>11360.05</v>
      </c>
      <c r="E6778" s="2">
        <f t="shared" si="5"/>
        <v>11360.05</v>
      </c>
      <c r="G6778" s="10">
        <f t="shared" si="9"/>
        <v>44760.64583</v>
      </c>
      <c r="H6778" s="6" t="str">
        <f t="shared" si="6"/>
        <v/>
      </c>
      <c r="I6778" s="2">
        <f t="shared" si="7"/>
        <v>1426.89</v>
      </c>
    </row>
    <row r="6779">
      <c r="A6779" s="10">
        <f t="shared" si="8"/>
        <v>44761.66667</v>
      </c>
      <c r="B6779" s="2" t="str">
        <f t="shared" si="2"/>
        <v/>
      </c>
      <c r="C6779" s="2" t="str">
        <f t="shared" si="3"/>
        <v>SP500</v>
      </c>
      <c r="D6779" s="2">
        <f t="shared" si="4"/>
        <v>11713.15</v>
      </c>
      <c r="E6779" s="2">
        <f t="shared" si="5"/>
        <v>11713.15</v>
      </c>
      <c r="G6779" s="10">
        <f t="shared" si="9"/>
        <v>44761.64583</v>
      </c>
      <c r="H6779" s="6" t="str">
        <f t="shared" si="6"/>
        <v/>
      </c>
      <c r="I6779" s="2">
        <f t="shared" si="7"/>
        <v>1426.89</v>
      </c>
    </row>
    <row r="6780">
      <c r="A6780" s="10">
        <f t="shared" si="8"/>
        <v>44762.66667</v>
      </c>
      <c r="B6780" s="2" t="str">
        <f t="shared" si="2"/>
        <v/>
      </c>
      <c r="C6780" s="2" t="str">
        <f t="shared" si="3"/>
        <v>SP500</v>
      </c>
      <c r="D6780" s="2">
        <f t="shared" si="4"/>
        <v>11897.65</v>
      </c>
      <c r="E6780" s="2">
        <f t="shared" si="5"/>
        <v>11897.65</v>
      </c>
      <c r="G6780" s="10">
        <f t="shared" si="9"/>
        <v>44762.64583</v>
      </c>
      <c r="H6780" s="6" t="str">
        <f t="shared" si="6"/>
        <v/>
      </c>
      <c r="I6780" s="2">
        <f t="shared" si="7"/>
        <v>1426.89</v>
      </c>
    </row>
    <row r="6781">
      <c r="A6781" s="10">
        <f t="shared" si="8"/>
        <v>44763.66667</v>
      </c>
      <c r="B6781" s="2" t="str">
        <f t="shared" si="2"/>
        <v/>
      </c>
      <c r="C6781" s="2" t="str">
        <f t="shared" si="3"/>
        <v>SP500</v>
      </c>
      <c r="D6781" s="2">
        <f t="shared" si="4"/>
        <v>12059.61</v>
      </c>
      <c r="E6781" s="2">
        <f t="shared" si="5"/>
        <v>12059.61</v>
      </c>
      <c r="G6781" s="10">
        <f t="shared" si="9"/>
        <v>44763.64583</v>
      </c>
      <c r="H6781" s="6" t="str">
        <f t="shared" si="6"/>
        <v/>
      </c>
      <c r="I6781" s="2">
        <f t="shared" si="7"/>
        <v>1426.89</v>
      </c>
    </row>
    <row r="6782">
      <c r="A6782" s="10">
        <f t="shared" si="8"/>
        <v>44764.66667</v>
      </c>
      <c r="B6782" s="2" t="str">
        <f t="shared" si="2"/>
        <v/>
      </c>
      <c r="C6782" s="2" t="str">
        <f t="shared" si="3"/>
        <v>SP500</v>
      </c>
      <c r="D6782" s="2">
        <f t="shared" si="4"/>
        <v>11834.11</v>
      </c>
      <c r="E6782" s="2">
        <f t="shared" si="5"/>
        <v>11834.11</v>
      </c>
      <c r="G6782" s="10">
        <f t="shared" si="9"/>
        <v>44764.64583</v>
      </c>
      <c r="H6782" s="6" t="str">
        <f t="shared" si="6"/>
        <v/>
      </c>
      <c r="I6782" s="2">
        <f t="shared" si="7"/>
        <v>1426.89</v>
      </c>
    </row>
    <row r="6783">
      <c r="A6783" s="10">
        <f t="shared" si="8"/>
        <v>44765.66667</v>
      </c>
      <c r="B6783" s="2" t="str">
        <f t="shared" si="2"/>
        <v/>
      </c>
      <c r="C6783" s="2" t="str">
        <f t="shared" si="3"/>
        <v>SP500</v>
      </c>
      <c r="D6783" s="2" t="str">
        <f t="shared" si="4"/>
        <v/>
      </c>
      <c r="E6783" s="2">
        <f t="shared" si="5"/>
        <v>11834.11</v>
      </c>
      <c r="G6783" s="10">
        <f t="shared" si="9"/>
        <v>44765.64583</v>
      </c>
      <c r="H6783" s="6" t="str">
        <f t="shared" si="6"/>
        <v/>
      </c>
      <c r="I6783" s="2">
        <f t="shared" si="7"/>
        <v>1426.89</v>
      </c>
    </row>
    <row r="6784">
      <c r="A6784" s="10">
        <f t="shared" si="8"/>
        <v>44766.66667</v>
      </c>
      <c r="B6784" s="2" t="str">
        <f t="shared" si="2"/>
        <v/>
      </c>
      <c r="C6784" s="2" t="str">
        <f t="shared" si="3"/>
        <v>SP500</v>
      </c>
      <c r="D6784" s="2" t="str">
        <f t="shared" si="4"/>
        <v/>
      </c>
      <c r="E6784" s="2">
        <f t="shared" si="5"/>
        <v>11834.11</v>
      </c>
      <c r="G6784" s="10">
        <f t="shared" si="9"/>
        <v>44766.64583</v>
      </c>
      <c r="H6784" s="6" t="str">
        <f t="shared" si="6"/>
        <v/>
      </c>
      <c r="I6784" s="2">
        <f t="shared" si="7"/>
        <v>1426.89</v>
      </c>
    </row>
    <row r="6785">
      <c r="A6785" s="10">
        <f t="shared" si="8"/>
        <v>44767.66667</v>
      </c>
      <c r="B6785" s="2" t="str">
        <f t="shared" si="2"/>
        <v/>
      </c>
      <c r="C6785" s="2" t="str">
        <f t="shared" si="3"/>
        <v>SP500</v>
      </c>
      <c r="D6785" s="2">
        <f t="shared" si="4"/>
        <v>11782.67</v>
      </c>
      <c r="E6785" s="2">
        <f t="shared" si="5"/>
        <v>11782.67</v>
      </c>
      <c r="G6785" s="10">
        <f t="shared" si="9"/>
        <v>44767.64583</v>
      </c>
      <c r="H6785" s="6" t="str">
        <f t="shared" si="6"/>
        <v/>
      </c>
      <c r="I6785" s="2">
        <f t="shared" si="7"/>
        <v>1426.89</v>
      </c>
    </row>
    <row r="6786">
      <c r="A6786" s="10">
        <f t="shared" si="8"/>
        <v>44768.66667</v>
      </c>
      <c r="B6786" s="2" t="str">
        <f t="shared" si="2"/>
        <v/>
      </c>
      <c r="C6786" s="2" t="str">
        <f t="shared" si="3"/>
        <v>SP500</v>
      </c>
      <c r="D6786" s="2">
        <f t="shared" si="4"/>
        <v>11562.58</v>
      </c>
      <c r="E6786" s="2">
        <f t="shared" si="5"/>
        <v>11562.58</v>
      </c>
      <c r="G6786" s="10">
        <f t="shared" si="9"/>
        <v>44768.64583</v>
      </c>
      <c r="H6786" s="6" t="str">
        <f t="shared" si="6"/>
        <v/>
      </c>
      <c r="I6786" s="2">
        <f t="shared" si="7"/>
        <v>1426.89</v>
      </c>
    </row>
    <row r="6787">
      <c r="A6787" s="10">
        <f t="shared" si="8"/>
        <v>44769.66667</v>
      </c>
      <c r="B6787" s="2" t="str">
        <f t="shared" si="2"/>
        <v/>
      </c>
      <c r="C6787" s="2" t="str">
        <f t="shared" si="3"/>
        <v>SP500</v>
      </c>
      <c r="D6787" s="2">
        <f t="shared" si="4"/>
        <v>12032.42</v>
      </c>
      <c r="E6787" s="2">
        <f t="shared" si="5"/>
        <v>12032.42</v>
      </c>
      <c r="G6787" s="10">
        <f t="shared" si="9"/>
        <v>44769.64583</v>
      </c>
      <c r="H6787" s="6" t="str">
        <f t="shared" si="6"/>
        <v/>
      </c>
      <c r="I6787" s="2">
        <f t="shared" si="7"/>
        <v>1426.89</v>
      </c>
    </row>
    <row r="6788">
      <c r="A6788" s="10">
        <f t="shared" si="8"/>
        <v>44770.66667</v>
      </c>
      <c r="B6788" s="2" t="str">
        <f t="shared" si="2"/>
        <v/>
      </c>
      <c r="C6788" s="2" t="str">
        <f t="shared" si="3"/>
        <v>SP500</v>
      </c>
      <c r="D6788" s="2">
        <f t="shared" si="4"/>
        <v>12162.59</v>
      </c>
      <c r="E6788" s="2">
        <f t="shared" si="5"/>
        <v>12162.59</v>
      </c>
      <c r="G6788" s="10">
        <f t="shared" si="9"/>
        <v>44770.64583</v>
      </c>
      <c r="H6788" s="6" t="str">
        <f t="shared" si="6"/>
        <v/>
      </c>
      <c r="I6788" s="2">
        <f t="shared" si="7"/>
        <v>1426.89</v>
      </c>
    </row>
    <row r="6789">
      <c r="A6789" s="10">
        <f t="shared" si="8"/>
        <v>44771.66667</v>
      </c>
      <c r="B6789" s="2" t="str">
        <f t="shared" si="2"/>
        <v/>
      </c>
      <c r="C6789" s="2" t="str">
        <f t="shared" si="3"/>
        <v>SP500</v>
      </c>
      <c r="D6789" s="2">
        <f t="shared" si="4"/>
        <v>12390.69</v>
      </c>
      <c r="E6789" s="2">
        <f t="shared" si="5"/>
        <v>12390.69</v>
      </c>
      <c r="G6789" s="10">
        <f t="shared" si="9"/>
        <v>44771.64583</v>
      </c>
      <c r="H6789" s="6" t="str">
        <f t="shared" si="6"/>
        <v/>
      </c>
      <c r="I6789" s="2">
        <f t="shared" si="7"/>
        <v>1426.89</v>
      </c>
    </row>
    <row r="6790">
      <c r="A6790" s="10">
        <f t="shared" si="8"/>
        <v>44772.66667</v>
      </c>
      <c r="B6790" s="2" t="str">
        <f t="shared" si="2"/>
        <v/>
      </c>
      <c r="C6790" s="2" t="str">
        <f t="shared" si="3"/>
        <v>SP500</v>
      </c>
      <c r="D6790" s="2" t="str">
        <f t="shared" si="4"/>
        <v/>
      </c>
      <c r="E6790" s="2">
        <f t="shared" si="5"/>
        <v>12390.69</v>
      </c>
      <c r="G6790" s="10">
        <f t="shared" si="9"/>
        <v>44772.64583</v>
      </c>
      <c r="H6790" s="6" t="str">
        <f t="shared" si="6"/>
        <v/>
      </c>
      <c r="I6790" s="2">
        <f t="shared" si="7"/>
        <v>1426.89</v>
      </c>
    </row>
    <row r="6791">
      <c r="A6791" s="10">
        <f t="shared" si="8"/>
        <v>44773.66667</v>
      </c>
      <c r="B6791" s="2" t="str">
        <f t="shared" si="2"/>
        <v/>
      </c>
      <c r="C6791" s="2" t="str">
        <f t="shared" si="3"/>
        <v>SP500</v>
      </c>
      <c r="D6791" s="2" t="str">
        <f t="shared" si="4"/>
        <v/>
      </c>
      <c r="E6791" s="2">
        <f t="shared" si="5"/>
        <v>12390.69</v>
      </c>
      <c r="G6791" s="10">
        <f t="shared" si="9"/>
        <v>44773.64583</v>
      </c>
      <c r="H6791" s="6" t="str">
        <f t="shared" si="6"/>
        <v/>
      </c>
      <c r="I6791" s="2">
        <f t="shared" si="7"/>
        <v>1426.89</v>
      </c>
    </row>
    <row r="6792">
      <c r="A6792" s="10">
        <f t="shared" si="8"/>
        <v>44774.66667</v>
      </c>
      <c r="B6792" s="2" t="str">
        <f t="shared" si="2"/>
        <v/>
      </c>
      <c r="C6792" s="2" t="str">
        <f t="shared" si="3"/>
        <v>SP500</v>
      </c>
      <c r="D6792" s="2">
        <f t="shared" si="4"/>
        <v>12368.98</v>
      </c>
      <c r="E6792" s="2">
        <f t="shared" si="5"/>
        <v>12368.98</v>
      </c>
      <c r="G6792" s="10">
        <f t="shared" si="9"/>
        <v>44774.64583</v>
      </c>
      <c r="H6792" s="6" t="str">
        <f t="shared" si="6"/>
        <v/>
      </c>
      <c r="I6792" s="2">
        <f t="shared" si="7"/>
        <v>1426.89</v>
      </c>
    </row>
    <row r="6793">
      <c r="A6793" s="10">
        <f t="shared" si="8"/>
        <v>44775.66667</v>
      </c>
      <c r="B6793" s="2" t="str">
        <f t="shared" si="2"/>
        <v/>
      </c>
      <c r="C6793" s="2" t="str">
        <f t="shared" si="3"/>
        <v>SP500</v>
      </c>
      <c r="D6793" s="2">
        <f t="shared" si="4"/>
        <v>12348.76</v>
      </c>
      <c r="E6793" s="2">
        <f t="shared" si="5"/>
        <v>12348.76</v>
      </c>
      <c r="G6793" s="10">
        <f t="shared" si="9"/>
        <v>44775.64583</v>
      </c>
      <c r="H6793" s="6" t="str">
        <f t="shared" si="6"/>
        <v/>
      </c>
      <c r="I6793" s="2">
        <f t="shared" si="7"/>
        <v>1426.89</v>
      </c>
    </row>
    <row r="6794">
      <c r="A6794" s="10">
        <f t="shared" si="8"/>
        <v>44776.66667</v>
      </c>
      <c r="B6794" s="2" t="str">
        <f t="shared" si="2"/>
        <v/>
      </c>
      <c r="C6794" s="2" t="str">
        <f t="shared" si="3"/>
        <v>SP500</v>
      </c>
      <c r="D6794" s="2">
        <f t="shared" si="4"/>
        <v>12668.16</v>
      </c>
      <c r="E6794" s="2">
        <f t="shared" si="5"/>
        <v>12668.16</v>
      </c>
      <c r="G6794" s="10">
        <f t="shared" si="9"/>
        <v>44776.64583</v>
      </c>
      <c r="H6794" s="6" t="str">
        <f t="shared" si="6"/>
        <v/>
      </c>
      <c r="I6794" s="2">
        <f t="shared" si="7"/>
        <v>1426.89</v>
      </c>
    </row>
    <row r="6795">
      <c r="A6795" s="10">
        <f t="shared" si="8"/>
        <v>44777.66667</v>
      </c>
      <c r="B6795" s="2" t="str">
        <f t="shared" si="2"/>
        <v/>
      </c>
      <c r="C6795" s="2" t="str">
        <f t="shared" si="3"/>
        <v>SP500</v>
      </c>
      <c r="D6795" s="2">
        <f t="shared" si="4"/>
        <v>12720.58</v>
      </c>
      <c r="E6795" s="2">
        <f t="shared" si="5"/>
        <v>12720.58</v>
      </c>
      <c r="G6795" s="10">
        <f t="shared" si="9"/>
        <v>44777.64583</v>
      </c>
      <c r="H6795" s="6" t="str">
        <f t="shared" si="6"/>
        <v/>
      </c>
      <c r="I6795" s="2">
        <f t="shared" si="7"/>
        <v>1426.89</v>
      </c>
    </row>
    <row r="6796">
      <c r="A6796" s="10">
        <f t="shared" si="8"/>
        <v>44778.66667</v>
      </c>
      <c r="B6796" s="2" t="str">
        <f t="shared" si="2"/>
        <v/>
      </c>
      <c r="C6796" s="2" t="str">
        <f t="shared" si="3"/>
        <v>SP500</v>
      </c>
      <c r="D6796" s="2">
        <f t="shared" si="4"/>
        <v>12657.56</v>
      </c>
      <c r="E6796" s="2">
        <f t="shared" si="5"/>
        <v>12657.56</v>
      </c>
      <c r="G6796" s="10">
        <f t="shared" si="9"/>
        <v>44778.64583</v>
      </c>
      <c r="H6796" s="6" t="str">
        <f t="shared" si="6"/>
        <v/>
      </c>
      <c r="I6796" s="2">
        <f t="shared" si="7"/>
        <v>1426.89</v>
      </c>
    </row>
    <row r="6797">
      <c r="A6797" s="10">
        <f t="shared" si="8"/>
        <v>44779.66667</v>
      </c>
      <c r="B6797" s="2" t="str">
        <f t="shared" si="2"/>
        <v/>
      </c>
      <c r="C6797" s="2" t="str">
        <f t="shared" si="3"/>
        <v>SP500</v>
      </c>
      <c r="D6797" s="2" t="str">
        <f t="shared" si="4"/>
        <v/>
      </c>
      <c r="E6797" s="2">
        <f t="shared" si="5"/>
        <v>12657.56</v>
      </c>
      <c r="G6797" s="10">
        <f t="shared" si="9"/>
        <v>44779.64583</v>
      </c>
      <c r="H6797" s="6" t="str">
        <f t="shared" si="6"/>
        <v/>
      </c>
      <c r="I6797" s="2">
        <f t="shared" si="7"/>
        <v>1426.89</v>
      </c>
    </row>
    <row r="6798">
      <c r="A6798" s="10">
        <f t="shared" si="8"/>
        <v>44780.66667</v>
      </c>
      <c r="B6798" s="2" t="str">
        <f t="shared" si="2"/>
        <v/>
      </c>
      <c r="C6798" s="2" t="str">
        <f t="shared" si="3"/>
        <v>SP500</v>
      </c>
      <c r="D6798" s="2" t="str">
        <f t="shared" si="4"/>
        <v/>
      </c>
      <c r="E6798" s="2">
        <f t="shared" si="5"/>
        <v>12657.56</v>
      </c>
      <c r="G6798" s="10">
        <f t="shared" si="9"/>
        <v>44780.64583</v>
      </c>
      <c r="H6798" s="6" t="str">
        <f t="shared" si="6"/>
        <v/>
      </c>
      <c r="I6798" s="2">
        <f t="shared" si="7"/>
        <v>1426.89</v>
      </c>
    </row>
    <row r="6799">
      <c r="A6799" s="10">
        <f t="shared" si="8"/>
        <v>44781.66667</v>
      </c>
      <c r="B6799" s="2" t="str">
        <f t="shared" si="2"/>
        <v/>
      </c>
      <c r="C6799" s="2" t="str">
        <f t="shared" si="3"/>
        <v>SP500</v>
      </c>
      <c r="D6799" s="2">
        <f t="shared" si="4"/>
        <v>12644.46</v>
      </c>
      <c r="E6799" s="2">
        <f t="shared" si="5"/>
        <v>12644.46</v>
      </c>
      <c r="G6799" s="10">
        <f t="shared" si="9"/>
        <v>44781.64583</v>
      </c>
      <c r="H6799" s="6" t="str">
        <f t="shared" si="6"/>
        <v/>
      </c>
      <c r="I6799" s="2">
        <f t="shared" si="7"/>
        <v>1426.89</v>
      </c>
    </row>
    <row r="6800">
      <c r="A6800" s="10">
        <f t="shared" si="8"/>
        <v>44782.66667</v>
      </c>
      <c r="B6800" s="2" t="str">
        <f t="shared" si="2"/>
        <v/>
      </c>
      <c r="C6800" s="2" t="str">
        <f t="shared" si="3"/>
        <v>SP500</v>
      </c>
      <c r="D6800" s="2">
        <f t="shared" si="4"/>
        <v>12493.93</v>
      </c>
      <c r="E6800" s="2">
        <f t="shared" si="5"/>
        <v>12493.93</v>
      </c>
      <c r="G6800" s="10">
        <f t="shared" si="9"/>
        <v>44782.64583</v>
      </c>
      <c r="H6800" s="6" t="str">
        <f t="shared" si="6"/>
        <v/>
      </c>
      <c r="I6800" s="2">
        <f t="shared" si="7"/>
        <v>1426.89</v>
      </c>
    </row>
    <row r="6801">
      <c r="A6801" s="10">
        <f t="shared" si="8"/>
        <v>44783.66667</v>
      </c>
      <c r="B6801" s="2" t="str">
        <f t="shared" si="2"/>
        <v/>
      </c>
      <c r="C6801" s="2" t="str">
        <f t="shared" si="3"/>
        <v>SP500</v>
      </c>
      <c r="D6801" s="2">
        <f t="shared" si="4"/>
        <v>12854.81</v>
      </c>
      <c r="E6801" s="2">
        <f t="shared" si="5"/>
        <v>12854.81</v>
      </c>
      <c r="G6801" s="10">
        <f t="shared" si="9"/>
        <v>44783.64583</v>
      </c>
      <c r="H6801" s="6" t="str">
        <f t="shared" si="6"/>
        <v/>
      </c>
      <c r="I6801" s="2">
        <f t="shared" si="7"/>
        <v>1426.89</v>
      </c>
    </row>
    <row r="6802">
      <c r="A6802" s="10">
        <f t="shared" si="8"/>
        <v>44784.66667</v>
      </c>
      <c r="B6802" s="2" t="str">
        <f t="shared" si="2"/>
        <v/>
      </c>
      <c r="C6802" s="2" t="str">
        <f t="shared" si="3"/>
        <v>SP500</v>
      </c>
      <c r="D6802" s="2">
        <f t="shared" si="4"/>
        <v>12779.91</v>
      </c>
      <c r="E6802" s="2">
        <f t="shared" si="5"/>
        <v>12779.91</v>
      </c>
      <c r="G6802" s="10">
        <f t="shared" si="9"/>
        <v>44784.64583</v>
      </c>
      <c r="H6802" s="6" t="str">
        <f t="shared" si="6"/>
        <v/>
      </c>
      <c r="I6802" s="2">
        <f t="shared" si="7"/>
        <v>1426.89</v>
      </c>
    </row>
    <row r="6803">
      <c r="A6803" s="10">
        <f t="shared" si="8"/>
        <v>44785.66667</v>
      </c>
      <c r="B6803" s="2" t="str">
        <f t="shared" si="2"/>
        <v/>
      </c>
      <c r="C6803" s="2" t="str">
        <f t="shared" si="3"/>
        <v>SP500</v>
      </c>
      <c r="D6803" s="2">
        <f t="shared" si="4"/>
        <v>13047.19</v>
      </c>
      <c r="E6803" s="2">
        <f t="shared" si="5"/>
        <v>13047.19</v>
      </c>
      <c r="G6803" s="10">
        <f t="shared" si="9"/>
        <v>44785.64583</v>
      </c>
      <c r="H6803" s="6" t="str">
        <f t="shared" si="6"/>
        <v/>
      </c>
      <c r="I6803" s="2">
        <f t="shared" si="7"/>
        <v>1426.89</v>
      </c>
    </row>
    <row r="6804">
      <c r="A6804" s="10">
        <f t="shared" si="8"/>
        <v>44786.66667</v>
      </c>
      <c r="B6804" s="2" t="str">
        <f t="shared" si="2"/>
        <v/>
      </c>
      <c r="C6804" s="2" t="str">
        <f t="shared" si="3"/>
        <v>SP500</v>
      </c>
      <c r="D6804" s="2" t="str">
        <f t="shared" si="4"/>
        <v/>
      </c>
      <c r="E6804" s="2">
        <f t="shared" si="5"/>
        <v>13047.19</v>
      </c>
      <c r="G6804" s="10">
        <f t="shared" si="9"/>
        <v>44786.64583</v>
      </c>
      <c r="H6804" s="6" t="str">
        <f t="shared" si="6"/>
        <v/>
      </c>
      <c r="I6804" s="2">
        <f t="shared" si="7"/>
        <v>1426.89</v>
      </c>
    </row>
    <row r="6805">
      <c r="A6805" s="10">
        <f t="shared" si="8"/>
        <v>44787.66667</v>
      </c>
      <c r="B6805" s="2" t="str">
        <f t="shared" si="2"/>
        <v/>
      </c>
      <c r="C6805" s="2" t="str">
        <f t="shared" si="3"/>
        <v>SP500</v>
      </c>
      <c r="D6805" s="2" t="str">
        <f t="shared" si="4"/>
        <v/>
      </c>
      <c r="E6805" s="2">
        <f t="shared" si="5"/>
        <v>13047.19</v>
      </c>
      <c r="G6805" s="10">
        <f t="shared" si="9"/>
        <v>44787.64583</v>
      </c>
      <c r="H6805" s="6" t="str">
        <f t="shared" si="6"/>
        <v/>
      </c>
      <c r="I6805" s="2">
        <f t="shared" si="7"/>
        <v>1426.89</v>
      </c>
    </row>
    <row r="6806">
      <c r="A6806" s="10">
        <f t="shared" si="8"/>
        <v>44788.66667</v>
      </c>
      <c r="B6806" s="2" t="str">
        <f t="shared" si="2"/>
        <v/>
      </c>
      <c r="C6806" s="2" t="str">
        <f t="shared" si="3"/>
        <v>SP500</v>
      </c>
      <c r="D6806" s="2">
        <f t="shared" si="4"/>
        <v>13128.05</v>
      </c>
      <c r="E6806" s="2">
        <f t="shared" si="5"/>
        <v>13128.05</v>
      </c>
      <c r="G6806" s="10">
        <f t="shared" si="9"/>
        <v>44788.64583</v>
      </c>
      <c r="H6806" s="6" t="str">
        <f t="shared" si="6"/>
        <v/>
      </c>
      <c r="I6806" s="2">
        <f t="shared" si="7"/>
        <v>1426.89</v>
      </c>
    </row>
    <row r="6807">
      <c r="A6807" s="10">
        <f t="shared" si="8"/>
        <v>44789.66667</v>
      </c>
      <c r="B6807" s="2" t="str">
        <f t="shared" si="2"/>
        <v/>
      </c>
      <c r="C6807" s="2" t="str">
        <f t="shared" si="3"/>
        <v>SP500</v>
      </c>
      <c r="D6807" s="2">
        <f t="shared" si="4"/>
        <v>13102.55</v>
      </c>
      <c r="E6807" s="2">
        <f t="shared" si="5"/>
        <v>13102.55</v>
      </c>
      <c r="G6807" s="10">
        <f t="shared" si="9"/>
        <v>44789.64583</v>
      </c>
      <c r="H6807" s="6" t="str">
        <f t="shared" si="6"/>
        <v/>
      </c>
      <c r="I6807" s="2">
        <f t="shared" si="7"/>
        <v>1426.89</v>
      </c>
    </row>
    <row r="6808">
      <c r="A6808" s="10">
        <f t="shared" si="8"/>
        <v>44790.66667</v>
      </c>
      <c r="B6808" s="2" t="str">
        <f t="shared" si="2"/>
        <v/>
      </c>
      <c r="C6808" s="2" t="str">
        <f t="shared" si="3"/>
        <v>SP500</v>
      </c>
      <c r="D6808" s="2">
        <f t="shared" si="4"/>
        <v>12938.12</v>
      </c>
      <c r="E6808" s="2">
        <f t="shared" si="5"/>
        <v>12938.12</v>
      </c>
      <c r="G6808" s="10">
        <f t="shared" si="9"/>
        <v>44790.64583</v>
      </c>
      <c r="H6808" s="6" t="str">
        <f t="shared" si="6"/>
        <v/>
      </c>
      <c r="I6808" s="2">
        <f t="shared" si="7"/>
        <v>1426.89</v>
      </c>
    </row>
    <row r="6809">
      <c r="A6809" s="10">
        <f t="shared" si="8"/>
        <v>44791.66667</v>
      </c>
      <c r="B6809" s="2" t="str">
        <f t="shared" si="2"/>
        <v/>
      </c>
      <c r="C6809" s="2" t="str">
        <f t="shared" si="3"/>
        <v>SP500</v>
      </c>
      <c r="D6809" s="2">
        <f t="shared" si="4"/>
        <v>12965.34</v>
      </c>
      <c r="E6809" s="2">
        <f t="shared" si="5"/>
        <v>12965.34</v>
      </c>
      <c r="G6809" s="10">
        <f t="shared" si="9"/>
        <v>44791.64583</v>
      </c>
      <c r="H6809" s="6" t="str">
        <f t="shared" si="6"/>
        <v/>
      </c>
      <c r="I6809" s="2">
        <f t="shared" si="7"/>
        <v>1426.89</v>
      </c>
    </row>
    <row r="6810">
      <c r="A6810" s="10">
        <f t="shared" si="8"/>
        <v>44792.66667</v>
      </c>
      <c r="B6810" s="2" t="str">
        <f t="shared" si="2"/>
        <v/>
      </c>
      <c r="C6810" s="2" t="str">
        <f t="shared" si="3"/>
        <v>SP500</v>
      </c>
      <c r="D6810" s="2">
        <f t="shared" si="4"/>
        <v>12705.22</v>
      </c>
      <c r="E6810" s="2">
        <f t="shared" si="5"/>
        <v>12705.22</v>
      </c>
      <c r="G6810" s="10">
        <f t="shared" si="9"/>
        <v>44792.64583</v>
      </c>
      <c r="H6810" s="6" t="str">
        <f t="shared" si="6"/>
        <v/>
      </c>
      <c r="I6810" s="2">
        <f t="shared" si="7"/>
        <v>1426.89</v>
      </c>
    </row>
    <row r="6811">
      <c r="A6811" s="10">
        <f t="shared" si="8"/>
        <v>44793.66667</v>
      </c>
      <c r="B6811" s="2" t="str">
        <f t="shared" si="2"/>
        <v/>
      </c>
      <c r="C6811" s="2" t="str">
        <f t="shared" si="3"/>
        <v>SP500</v>
      </c>
      <c r="D6811" s="2" t="str">
        <f t="shared" si="4"/>
        <v/>
      </c>
      <c r="E6811" s="2">
        <f t="shared" si="5"/>
        <v>12705.22</v>
      </c>
      <c r="G6811" s="10">
        <f t="shared" si="9"/>
        <v>44793.64583</v>
      </c>
      <c r="H6811" s="6" t="str">
        <f t="shared" si="6"/>
        <v/>
      </c>
      <c r="I6811" s="2">
        <f t="shared" si="7"/>
        <v>1426.89</v>
      </c>
    </row>
    <row r="6812">
      <c r="A6812" s="10">
        <f t="shared" si="8"/>
        <v>44794.66667</v>
      </c>
      <c r="B6812" s="2" t="str">
        <f t="shared" si="2"/>
        <v/>
      </c>
      <c r="C6812" s="2" t="str">
        <f t="shared" si="3"/>
        <v>SP500</v>
      </c>
      <c r="D6812" s="2" t="str">
        <f t="shared" si="4"/>
        <v/>
      </c>
      <c r="E6812" s="2">
        <f t="shared" si="5"/>
        <v>12705.22</v>
      </c>
      <c r="G6812" s="10">
        <f t="shared" si="9"/>
        <v>44794.64583</v>
      </c>
      <c r="H6812" s="6" t="str">
        <f t="shared" si="6"/>
        <v/>
      </c>
      <c r="I6812" s="2">
        <f t="shared" si="7"/>
        <v>1426.89</v>
      </c>
    </row>
    <row r="6813">
      <c r="A6813" s="10">
        <f t="shared" si="8"/>
        <v>44795.66667</v>
      </c>
      <c r="B6813" s="2" t="str">
        <f t="shared" si="2"/>
        <v/>
      </c>
      <c r="C6813" s="2" t="str">
        <f t="shared" si="3"/>
        <v>SP500</v>
      </c>
      <c r="D6813" s="2">
        <f t="shared" si="4"/>
        <v>12381.57</v>
      </c>
      <c r="E6813" s="2">
        <f t="shared" si="5"/>
        <v>12381.57</v>
      </c>
      <c r="G6813" s="10">
        <f t="shared" si="9"/>
        <v>44795.64583</v>
      </c>
      <c r="H6813" s="6" t="str">
        <f t="shared" si="6"/>
        <v/>
      </c>
      <c r="I6813" s="2">
        <f t="shared" si="7"/>
        <v>1426.89</v>
      </c>
    </row>
    <row r="6814">
      <c r="A6814" s="10">
        <f t="shared" si="8"/>
        <v>44796.66667</v>
      </c>
      <c r="B6814" s="2" t="str">
        <f t="shared" si="2"/>
        <v/>
      </c>
      <c r="C6814" s="2" t="str">
        <f t="shared" si="3"/>
        <v>SP500</v>
      </c>
      <c r="D6814" s="2">
        <f t="shared" si="4"/>
        <v>12381.3</v>
      </c>
      <c r="E6814" s="2">
        <f t="shared" si="5"/>
        <v>12381.3</v>
      </c>
      <c r="G6814" s="10">
        <f t="shared" si="9"/>
        <v>44796.64583</v>
      </c>
      <c r="H6814" s="6" t="str">
        <f t="shared" si="6"/>
        <v/>
      </c>
      <c r="I6814" s="2">
        <f t="shared" si="7"/>
        <v>1426.89</v>
      </c>
    </row>
    <row r="6815">
      <c r="A6815" s="10">
        <f t="shared" si="8"/>
        <v>44797.66667</v>
      </c>
      <c r="B6815" s="2" t="str">
        <f t="shared" si="2"/>
        <v/>
      </c>
      <c r="C6815" s="2" t="str">
        <f t="shared" si="3"/>
        <v>SP500</v>
      </c>
      <c r="D6815" s="2">
        <f t="shared" si="4"/>
        <v>12431.53</v>
      </c>
      <c r="E6815" s="2">
        <f t="shared" si="5"/>
        <v>12431.53</v>
      </c>
      <c r="G6815" s="10">
        <f t="shared" si="9"/>
        <v>44797.64583</v>
      </c>
      <c r="H6815" s="6" t="str">
        <f t="shared" si="6"/>
        <v/>
      </c>
      <c r="I6815" s="2">
        <f t="shared" si="7"/>
        <v>1426.89</v>
      </c>
    </row>
    <row r="6816">
      <c r="A6816" s="10">
        <f t="shared" si="8"/>
        <v>44798.66667</v>
      </c>
      <c r="B6816" s="2" t="str">
        <f t="shared" si="2"/>
        <v/>
      </c>
      <c r="C6816" s="2" t="str">
        <f t="shared" si="3"/>
        <v>SP500</v>
      </c>
      <c r="D6816" s="2">
        <f t="shared" si="4"/>
        <v>12639.27</v>
      </c>
      <c r="E6816" s="2">
        <f t="shared" si="5"/>
        <v>12639.27</v>
      </c>
      <c r="G6816" s="10">
        <f t="shared" si="9"/>
        <v>44798.64583</v>
      </c>
      <c r="H6816" s="6" t="str">
        <f t="shared" si="6"/>
        <v/>
      </c>
      <c r="I6816" s="2">
        <f t="shared" si="7"/>
        <v>1426.89</v>
      </c>
    </row>
    <row r="6817">
      <c r="A6817" s="10">
        <f t="shared" si="8"/>
        <v>44799.66667</v>
      </c>
      <c r="B6817" s="2" t="str">
        <f t="shared" si="2"/>
        <v/>
      </c>
      <c r="C6817" s="2" t="str">
        <f t="shared" si="3"/>
        <v>SP500</v>
      </c>
      <c r="D6817" s="2">
        <f t="shared" si="4"/>
        <v>12141.71</v>
      </c>
      <c r="E6817" s="2">
        <f t="shared" si="5"/>
        <v>12141.71</v>
      </c>
      <c r="G6817" s="10">
        <f t="shared" si="9"/>
        <v>44799.64583</v>
      </c>
      <c r="H6817" s="6" t="str">
        <f t="shared" si="6"/>
        <v/>
      </c>
      <c r="I6817" s="2">
        <f t="shared" si="7"/>
        <v>1426.89</v>
      </c>
    </row>
    <row r="6818">
      <c r="A6818" s="10">
        <f t="shared" si="8"/>
        <v>44800.66667</v>
      </c>
      <c r="B6818" s="2" t="str">
        <f t="shared" si="2"/>
        <v/>
      </c>
      <c r="C6818" s="2" t="str">
        <f t="shared" si="3"/>
        <v>SP500</v>
      </c>
      <c r="D6818" s="2" t="str">
        <f t="shared" si="4"/>
        <v/>
      </c>
      <c r="E6818" s="2">
        <f t="shared" si="5"/>
        <v>12141.71</v>
      </c>
      <c r="G6818" s="10">
        <f t="shared" si="9"/>
        <v>44800.64583</v>
      </c>
      <c r="H6818" s="6" t="str">
        <f t="shared" si="6"/>
        <v/>
      </c>
      <c r="I6818" s="2">
        <f t="shared" si="7"/>
        <v>1426.89</v>
      </c>
    </row>
    <row r="6819">
      <c r="A6819" s="10">
        <f t="shared" si="8"/>
        <v>44801.66667</v>
      </c>
      <c r="B6819" s="2" t="str">
        <f t="shared" si="2"/>
        <v/>
      </c>
      <c r="C6819" s="2" t="str">
        <f t="shared" si="3"/>
        <v>SP500</v>
      </c>
      <c r="D6819" s="2" t="str">
        <f t="shared" si="4"/>
        <v/>
      </c>
      <c r="E6819" s="2">
        <f t="shared" si="5"/>
        <v>12141.71</v>
      </c>
      <c r="G6819" s="10">
        <f t="shared" si="9"/>
        <v>44801.64583</v>
      </c>
      <c r="H6819" s="6" t="str">
        <f t="shared" si="6"/>
        <v/>
      </c>
      <c r="I6819" s="2">
        <f t="shared" si="7"/>
        <v>1426.89</v>
      </c>
    </row>
    <row r="6820">
      <c r="A6820" s="10">
        <f t="shared" si="8"/>
        <v>44802.66667</v>
      </c>
      <c r="B6820" s="2" t="str">
        <f t="shared" si="2"/>
        <v/>
      </c>
      <c r="C6820" s="2" t="str">
        <f t="shared" si="3"/>
        <v>SP500</v>
      </c>
      <c r="D6820" s="2">
        <f t="shared" si="4"/>
        <v>12017.67</v>
      </c>
      <c r="E6820" s="2">
        <f t="shared" si="5"/>
        <v>12017.67</v>
      </c>
      <c r="G6820" s="10">
        <f t="shared" si="9"/>
        <v>44802.64583</v>
      </c>
      <c r="H6820" s="6" t="str">
        <f t="shared" si="6"/>
        <v/>
      </c>
      <c r="I6820" s="2">
        <f t="shared" si="7"/>
        <v>1426.89</v>
      </c>
    </row>
    <row r="6821">
      <c r="A6821" s="10">
        <f t="shared" si="8"/>
        <v>44803.66667</v>
      </c>
      <c r="B6821" s="2" t="str">
        <f t="shared" si="2"/>
        <v/>
      </c>
      <c r="C6821" s="2" t="str">
        <f t="shared" si="3"/>
        <v>SP500</v>
      </c>
      <c r="D6821" s="2">
        <f t="shared" si="4"/>
        <v>11883.14</v>
      </c>
      <c r="E6821" s="2">
        <f t="shared" si="5"/>
        <v>11883.14</v>
      </c>
      <c r="G6821" s="10">
        <f t="shared" si="9"/>
        <v>44803.64583</v>
      </c>
      <c r="H6821" s="6" t="str">
        <f t="shared" si="6"/>
        <v/>
      </c>
      <c r="I6821" s="2">
        <f t="shared" si="7"/>
        <v>1426.89</v>
      </c>
    </row>
    <row r="6822">
      <c r="A6822" s="10">
        <f t="shared" si="8"/>
        <v>44804.66667</v>
      </c>
      <c r="B6822" s="2" t="str">
        <f t="shared" si="2"/>
        <v/>
      </c>
      <c r="C6822" s="2" t="str">
        <f t="shared" si="3"/>
        <v>SP500</v>
      </c>
      <c r="D6822" s="2">
        <f t="shared" si="4"/>
        <v>11816.2</v>
      </c>
      <c r="E6822" s="2">
        <f t="shared" si="5"/>
        <v>11816.2</v>
      </c>
      <c r="G6822" s="10">
        <f t="shared" si="9"/>
        <v>44804.64583</v>
      </c>
      <c r="H6822" s="6" t="str">
        <f t="shared" si="6"/>
        <v/>
      </c>
      <c r="I6822" s="2">
        <f t="shared" si="7"/>
        <v>1426.89</v>
      </c>
    </row>
    <row r="6823">
      <c r="A6823" s="10">
        <f t="shared" si="8"/>
        <v>44805.66667</v>
      </c>
      <c r="B6823" s="2" t="str">
        <f t="shared" si="2"/>
        <v/>
      </c>
      <c r="C6823" s="2" t="str">
        <f t="shared" si="3"/>
        <v>SP500</v>
      </c>
      <c r="D6823" s="2">
        <f t="shared" si="4"/>
        <v>11785.13</v>
      </c>
      <c r="E6823" s="2">
        <f t="shared" si="5"/>
        <v>11785.13</v>
      </c>
      <c r="G6823" s="10">
        <f t="shared" si="9"/>
        <v>44805.64583</v>
      </c>
      <c r="H6823" s="6" t="str">
        <f t="shared" si="6"/>
        <v/>
      </c>
      <c r="I6823" s="2">
        <f t="shared" si="7"/>
        <v>1426.89</v>
      </c>
    </row>
    <row r="6824">
      <c r="A6824" s="10">
        <f t="shared" si="8"/>
        <v>44806.66667</v>
      </c>
      <c r="B6824" s="2" t="str">
        <f t="shared" si="2"/>
        <v/>
      </c>
      <c r="C6824" s="2" t="str">
        <f t="shared" si="3"/>
        <v>SP500</v>
      </c>
      <c r="D6824" s="2">
        <f t="shared" si="4"/>
        <v>11630.86</v>
      </c>
      <c r="E6824" s="2">
        <f t="shared" si="5"/>
        <v>11630.86</v>
      </c>
      <c r="G6824" s="10">
        <f t="shared" si="9"/>
        <v>44806.64583</v>
      </c>
      <c r="H6824" s="6" t="str">
        <f t="shared" si="6"/>
        <v/>
      </c>
      <c r="I6824" s="2">
        <f t="shared" si="7"/>
        <v>1426.89</v>
      </c>
    </row>
    <row r="6825">
      <c r="A6825" s="10">
        <f t="shared" si="8"/>
        <v>44807.66667</v>
      </c>
      <c r="B6825" s="2" t="str">
        <f t="shared" si="2"/>
        <v/>
      </c>
      <c r="C6825" s="2" t="str">
        <f t="shared" si="3"/>
        <v>SP500</v>
      </c>
      <c r="D6825" s="2" t="str">
        <f t="shared" si="4"/>
        <v/>
      </c>
      <c r="E6825" s="2">
        <f t="shared" si="5"/>
        <v>11630.86</v>
      </c>
      <c r="G6825" s="10">
        <f t="shared" si="9"/>
        <v>44807.64583</v>
      </c>
      <c r="H6825" s="6" t="str">
        <f t="shared" si="6"/>
        <v/>
      </c>
      <c r="I6825" s="2">
        <f t="shared" si="7"/>
        <v>1426.89</v>
      </c>
    </row>
    <row r="6826">
      <c r="A6826" s="10">
        <f t="shared" si="8"/>
        <v>44808.66667</v>
      </c>
      <c r="B6826" s="2" t="str">
        <f t="shared" si="2"/>
        <v/>
      </c>
      <c r="C6826" s="2" t="str">
        <f t="shared" si="3"/>
        <v>SP500</v>
      </c>
      <c r="D6826" s="2" t="str">
        <f t="shared" si="4"/>
        <v/>
      </c>
      <c r="E6826" s="2">
        <f t="shared" si="5"/>
        <v>11630.86</v>
      </c>
      <c r="G6826" s="10">
        <f t="shared" si="9"/>
        <v>44808.64583</v>
      </c>
      <c r="H6826" s="6" t="str">
        <f t="shared" si="6"/>
        <v/>
      </c>
      <c r="I6826" s="2">
        <f t="shared" si="7"/>
        <v>1426.89</v>
      </c>
    </row>
    <row r="6827">
      <c r="A6827" s="10">
        <f t="shared" si="8"/>
        <v>44809.66667</v>
      </c>
      <c r="B6827" s="2" t="str">
        <f t="shared" si="2"/>
        <v/>
      </c>
      <c r="C6827" s="2" t="str">
        <f t="shared" si="3"/>
        <v>SP500</v>
      </c>
      <c r="D6827" s="2" t="str">
        <f t="shared" si="4"/>
        <v/>
      </c>
      <c r="E6827" s="2">
        <f t="shared" si="5"/>
        <v>11630.86</v>
      </c>
      <c r="G6827" s="10">
        <f t="shared" si="9"/>
        <v>44809.64583</v>
      </c>
      <c r="H6827" s="6" t="str">
        <f t="shared" si="6"/>
        <v/>
      </c>
      <c r="I6827" s="2">
        <f t="shared" si="7"/>
        <v>1426.89</v>
      </c>
    </row>
    <row r="6828">
      <c r="A6828" s="10">
        <f t="shared" si="8"/>
        <v>44810.66667</v>
      </c>
      <c r="B6828" s="2" t="str">
        <f t="shared" si="2"/>
        <v/>
      </c>
      <c r="C6828" s="2" t="str">
        <f t="shared" si="3"/>
        <v>SP500</v>
      </c>
      <c r="D6828" s="2">
        <f t="shared" si="4"/>
        <v>11544.91</v>
      </c>
      <c r="E6828" s="2">
        <f t="shared" si="5"/>
        <v>11544.91</v>
      </c>
      <c r="G6828" s="10">
        <f t="shared" si="9"/>
        <v>44810.64583</v>
      </c>
      <c r="H6828" s="6" t="str">
        <f t="shared" si="6"/>
        <v/>
      </c>
      <c r="I6828" s="2">
        <f t="shared" si="7"/>
        <v>1426.89</v>
      </c>
    </row>
    <row r="6829">
      <c r="A6829" s="10">
        <f t="shared" si="8"/>
        <v>44811.66667</v>
      </c>
      <c r="B6829" s="2" t="str">
        <f t="shared" si="2"/>
        <v/>
      </c>
      <c r="C6829" s="2" t="str">
        <f t="shared" si="3"/>
        <v>SP500</v>
      </c>
      <c r="D6829" s="2">
        <f t="shared" si="4"/>
        <v>11791.9</v>
      </c>
      <c r="E6829" s="2">
        <f t="shared" si="5"/>
        <v>11791.9</v>
      </c>
      <c r="G6829" s="10">
        <f t="shared" si="9"/>
        <v>44811.64583</v>
      </c>
      <c r="H6829" s="6" t="str">
        <f t="shared" si="6"/>
        <v/>
      </c>
      <c r="I6829" s="2">
        <f t="shared" si="7"/>
        <v>1426.89</v>
      </c>
    </row>
    <row r="6830">
      <c r="A6830" s="10">
        <f t="shared" si="8"/>
        <v>44812.66667</v>
      </c>
      <c r="B6830" s="2" t="str">
        <f t="shared" si="2"/>
        <v/>
      </c>
      <c r="C6830" s="2" t="str">
        <f t="shared" si="3"/>
        <v>SP500</v>
      </c>
      <c r="D6830" s="2">
        <f t="shared" si="4"/>
        <v>11862.13</v>
      </c>
      <c r="E6830" s="2">
        <f t="shared" si="5"/>
        <v>11862.13</v>
      </c>
      <c r="G6830" s="10">
        <f t="shared" si="9"/>
        <v>44812.64583</v>
      </c>
      <c r="H6830" s="6" t="str">
        <f t="shared" si="6"/>
        <v/>
      </c>
      <c r="I6830" s="2">
        <f t="shared" si="7"/>
        <v>1426.89</v>
      </c>
    </row>
    <row r="6831">
      <c r="A6831" s="10">
        <f t="shared" si="8"/>
        <v>44813.66667</v>
      </c>
      <c r="B6831" s="2" t="str">
        <f t="shared" si="2"/>
        <v/>
      </c>
      <c r="C6831" s="2" t="str">
        <f t="shared" si="3"/>
        <v>SP500</v>
      </c>
      <c r="D6831" s="2">
        <f t="shared" si="4"/>
        <v>12112.31</v>
      </c>
      <c r="E6831" s="2">
        <f t="shared" si="5"/>
        <v>12112.31</v>
      </c>
      <c r="G6831" s="10">
        <f t="shared" si="9"/>
        <v>44813.64583</v>
      </c>
      <c r="H6831" s="6" t="str">
        <f t="shared" si="6"/>
        <v/>
      </c>
      <c r="I6831" s="2">
        <f t="shared" si="7"/>
        <v>1426.89</v>
      </c>
    </row>
    <row r="6832">
      <c r="A6832" s="10">
        <f t="shared" si="8"/>
        <v>44814.66667</v>
      </c>
      <c r="B6832" s="2" t="str">
        <f t="shared" si="2"/>
        <v/>
      </c>
      <c r="C6832" s="2" t="str">
        <f t="shared" si="3"/>
        <v>SP500</v>
      </c>
      <c r="D6832" s="2" t="str">
        <f t="shared" si="4"/>
        <v/>
      </c>
      <c r="E6832" s="2">
        <f t="shared" si="5"/>
        <v>12112.31</v>
      </c>
      <c r="G6832" s="10">
        <f t="shared" si="9"/>
        <v>44814.64583</v>
      </c>
      <c r="H6832" s="6" t="str">
        <f t="shared" si="6"/>
        <v/>
      </c>
      <c r="I6832" s="2">
        <f t="shared" si="7"/>
        <v>1426.89</v>
      </c>
    </row>
    <row r="6833">
      <c r="A6833" s="10">
        <f t="shared" si="8"/>
        <v>44815.66667</v>
      </c>
      <c r="B6833" s="2" t="str">
        <f t="shared" si="2"/>
        <v/>
      </c>
      <c r="C6833" s="2" t="str">
        <f t="shared" si="3"/>
        <v>SP500</v>
      </c>
      <c r="D6833" s="2" t="str">
        <f t="shared" si="4"/>
        <v/>
      </c>
      <c r="E6833" s="2">
        <f t="shared" si="5"/>
        <v>12112.31</v>
      </c>
      <c r="G6833" s="10">
        <f t="shared" si="9"/>
        <v>44815.64583</v>
      </c>
      <c r="H6833" s="6" t="str">
        <f t="shared" si="6"/>
        <v/>
      </c>
      <c r="I6833" s="2">
        <f t="shared" si="7"/>
        <v>1426.89</v>
      </c>
    </row>
    <row r="6834">
      <c r="A6834" s="10">
        <f t="shared" si="8"/>
        <v>44816.66667</v>
      </c>
      <c r="B6834" s="2" t="str">
        <f t="shared" si="2"/>
        <v/>
      </c>
      <c r="C6834" s="2" t="str">
        <f t="shared" si="3"/>
        <v>SP500</v>
      </c>
      <c r="D6834" s="2">
        <f t="shared" si="4"/>
        <v>12266.41</v>
      </c>
      <c r="E6834" s="2">
        <f t="shared" si="5"/>
        <v>12266.41</v>
      </c>
      <c r="G6834" s="10">
        <f t="shared" si="9"/>
        <v>44816.64583</v>
      </c>
      <c r="H6834" s="6" t="str">
        <f t="shared" si="6"/>
        <v/>
      </c>
      <c r="I6834" s="2">
        <f t="shared" si="7"/>
        <v>1426.89</v>
      </c>
    </row>
    <row r="6835">
      <c r="A6835" s="10">
        <f t="shared" si="8"/>
        <v>44817.66667</v>
      </c>
      <c r="B6835" s="2" t="str">
        <f t="shared" si="2"/>
        <v/>
      </c>
      <c r="C6835" s="2" t="str">
        <f t="shared" si="3"/>
        <v>SP500</v>
      </c>
      <c r="D6835" s="2">
        <f t="shared" si="4"/>
        <v>11633.57</v>
      </c>
      <c r="E6835" s="2">
        <f t="shared" si="5"/>
        <v>11633.57</v>
      </c>
      <c r="G6835" s="10">
        <f t="shared" si="9"/>
        <v>44817.64583</v>
      </c>
      <c r="H6835" s="6" t="str">
        <f t="shared" si="6"/>
        <v/>
      </c>
      <c r="I6835" s="2">
        <f t="shared" si="7"/>
        <v>1426.89</v>
      </c>
    </row>
    <row r="6836">
      <c r="A6836" s="10">
        <f t="shared" si="8"/>
        <v>44818.66667</v>
      </c>
      <c r="B6836" s="2" t="str">
        <f t="shared" si="2"/>
        <v/>
      </c>
      <c r="C6836" s="2" t="str">
        <f t="shared" si="3"/>
        <v>SP500</v>
      </c>
      <c r="D6836" s="2">
        <f t="shared" si="4"/>
        <v>11719.68</v>
      </c>
      <c r="E6836" s="2">
        <f t="shared" si="5"/>
        <v>11719.68</v>
      </c>
      <c r="G6836" s="10">
        <f t="shared" si="9"/>
        <v>44818.64583</v>
      </c>
      <c r="H6836" s="6" t="str">
        <f t="shared" si="6"/>
        <v/>
      </c>
      <c r="I6836" s="2">
        <f t="shared" si="7"/>
        <v>1426.89</v>
      </c>
    </row>
    <row r="6837">
      <c r="A6837" s="10">
        <f t="shared" si="8"/>
        <v>44819.66667</v>
      </c>
      <c r="B6837" s="2" t="str">
        <f t="shared" si="2"/>
        <v/>
      </c>
      <c r="C6837" s="2" t="str">
        <f t="shared" si="3"/>
        <v>SP500</v>
      </c>
      <c r="D6837" s="2">
        <f t="shared" si="4"/>
        <v>11552.36</v>
      </c>
      <c r="E6837" s="2">
        <f t="shared" si="5"/>
        <v>11552.36</v>
      </c>
      <c r="G6837" s="10">
        <f t="shared" si="9"/>
        <v>44819.64583</v>
      </c>
      <c r="H6837" s="6" t="str">
        <f t="shared" si="6"/>
        <v/>
      </c>
      <c r="I6837" s="2">
        <f t="shared" si="7"/>
        <v>1426.89</v>
      </c>
    </row>
    <row r="6838">
      <c r="A6838" s="10">
        <f t="shared" si="8"/>
        <v>44820.66667</v>
      </c>
      <c r="B6838" s="2" t="str">
        <f t="shared" si="2"/>
        <v/>
      </c>
      <c r="C6838" s="2" t="str">
        <f t="shared" si="3"/>
        <v>SP500</v>
      </c>
      <c r="D6838" s="2">
        <f t="shared" si="4"/>
        <v>11448.4</v>
      </c>
      <c r="E6838" s="2">
        <f t="shared" si="5"/>
        <v>11448.4</v>
      </c>
      <c r="G6838" s="10">
        <f t="shared" si="9"/>
        <v>44820.64583</v>
      </c>
      <c r="H6838" s="6" t="str">
        <f t="shared" si="6"/>
        <v/>
      </c>
      <c r="I6838" s="2">
        <f t="shared" si="7"/>
        <v>1426.89</v>
      </c>
    </row>
    <row r="6839">
      <c r="A6839" s="10">
        <f t="shared" si="8"/>
        <v>44821.66667</v>
      </c>
      <c r="B6839" s="2" t="str">
        <f t="shared" si="2"/>
        <v/>
      </c>
      <c r="C6839" s="2" t="str">
        <f t="shared" si="3"/>
        <v>SP500</v>
      </c>
      <c r="D6839" s="2" t="str">
        <f t="shared" si="4"/>
        <v/>
      </c>
      <c r="E6839" s="2">
        <f t="shared" si="5"/>
        <v>11448.4</v>
      </c>
      <c r="G6839" s="10">
        <f t="shared" si="9"/>
        <v>44821.64583</v>
      </c>
      <c r="H6839" s="6" t="str">
        <f t="shared" si="6"/>
        <v/>
      </c>
      <c r="I6839" s="2">
        <f t="shared" si="7"/>
        <v>1426.89</v>
      </c>
    </row>
    <row r="6840">
      <c r="A6840" s="10">
        <f t="shared" si="8"/>
        <v>44822.66667</v>
      </c>
      <c r="B6840" s="2" t="str">
        <f t="shared" si="2"/>
        <v/>
      </c>
      <c r="C6840" s="2" t="str">
        <f t="shared" si="3"/>
        <v>SP500</v>
      </c>
      <c r="D6840" s="2" t="str">
        <f t="shared" si="4"/>
        <v/>
      </c>
      <c r="E6840" s="2">
        <f t="shared" si="5"/>
        <v>11448.4</v>
      </c>
      <c r="G6840" s="10">
        <f t="shared" si="9"/>
        <v>44822.64583</v>
      </c>
      <c r="H6840" s="6" t="str">
        <f t="shared" si="6"/>
        <v/>
      </c>
      <c r="I6840" s="2">
        <f t="shared" si="7"/>
        <v>1426.89</v>
      </c>
    </row>
    <row r="6841">
      <c r="A6841" s="10">
        <f t="shared" si="8"/>
        <v>44823.66667</v>
      </c>
      <c r="B6841" s="2" t="str">
        <f t="shared" si="2"/>
        <v/>
      </c>
      <c r="C6841" s="2" t="str">
        <f t="shared" si="3"/>
        <v>SP500</v>
      </c>
      <c r="D6841" s="2">
        <f t="shared" si="4"/>
        <v>11535.02</v>
      </c>
      <c r="E6841" s="2">
        <f t="shared" si="5"/>
        <v>11535.02</v>
      </c>
      <c r="G6841" s="10">
        <f t="shared" si="9"/>
        <v>44823.64583</v>
      </c>
      <c r="H6841" s="6" t="str">
        <f t="shared" si="6"/>
        <v/>
      </c>
      <c r="I6841" s="2">
        <f t="shared" si="7"/>
        <v>1426.89</v>
      </c>
    </row>
    <row r="6842">
      <c r="A6842" s="10">
        <f t="shared" si="8"/>
        <v>44824.66667</v>
      </c>
      <c r="B6842" s="2" t="str">
        <f t="shared" si="2"/>
        <v/>
      </c>
      <c r="C6842" s="2" t="str">
        <f t="shared" si="3"/>
        <v>SP500</v>
      </c>
      <c r="D6842" s="2">
        <f t="shared" si="4"/>
        <v>11425.05</v>
      </c>
      <c r="E6842" s="2">
        <f t="shared" si="5"/>
        <v>11425.05</v>
      </c>
      <c r="G6842" s="10">
        <f t="shared" si="9"/>
        <v>44824.64583</v>
      </c>
      <c r="H6842" s="6" t="str">
        <f t="shared" si="6"/>
        <v/>
      </c>
      <c r="I6842" s="2">
        <f t="shared" si="7"/>
        <v>1426.89</v>
      </c>
    </row>
    <row r="6843">
      <c r="A6843" s="10">
        <f t="shared" si="8"/>
        <v>44825.66667</v>
      </c>
      <c r="B6843" s="2" t="str">
        <f t="shared" si="2"/>
        <v/>
      </c>
      <c r="C6843" s="2" t="str">
        <f t="shared" si="3"/>
        <v>SP500</v>
      </c>
      <c r="D6843" s="2">
        <f t="shared" si="4"/>
        <v>11220.19</v>
      </c>
      <c r="E6843" s="2">
        <f t="shared" si="5"/>
        <v>11220.19</v>
      </c>
      <c r="G6843" s="10">
        <f t="shared" si="9"/>
        <v>44825.64583</v>
      </c>
      <c r="H6843" s="6" t="str">
        <f t="shared" si="6"/>
        <v/>
      </c>
      <c r="I6843" s="2">
        <f t="shared" si="7"/>
        <v>1426.89</v>
      </c>
    </row>
    <row r="6844">
      <c r="A6844" s="10">
        <f t="shared" si="8"/>
        <v>44826.66667</v>
      </c>
      <c r="B6844" s="2" t="str">
        <f t="shared" si="2"/>
        <v/>
      </c>
      <c r="C6844" s="2" t="str">
        <f t="shared" si="3"/>
        <v>SP500</v>
      </c>
      <c r="D6844" s="2">
        <f t="shared" si="4"/>
        <v>11066.81</v>
      </c>
      <c r="E6844" s="2">
        <f t="shared" si="5"/>
        <v>11066.81</v>
      </c>
      <c r="G6844" s="10">
        <f t="shared" si="9"/>
        <v>44826.64583</v>
      </c>
      <c r="H6844" s="6" t="str">
        <f t="shared" si="6"/>
        <v/>
      </c>
      <c r="I6844" s="2">
        <f t="shared" si="7"/>
        <v>1426.89</v>
      </c>
    </row>
    <row r="6845">
      <c r="A6845" s="10">
        <f t="shared" si="8"/>
        <v>44827.66667</v>
      </c>
      <c r="B6845" s="2" t="str">
        <f t="shared" si="2"/>
        <v/>
      </c>
      <c r="C6845" s="2" t="str">
        <f t="shared" si="3"/>
        <v>SP500</v>
      </c>
      <c r="D6845" s="2">
        <f t="shared" si="4"/>
        <v>10867.93</v>
      </c>
      <c r="E6845" s="2">
        <f t="shared" si="5"/>
        <v>10867.93</v>
      </c>
      <c r="G6845" s="10">
        <f t="shared" si="9"/>
        <v>44827.64583</v>
      </c>
      <c r="H6845" s="6" t="str">
        <f t="shared" si="6"/>
        <v/>
      </c>
      <c r="I6845" s="2">
        <f t="shared" si="7"/>
        <v>1426.89</v>
      </c>
    </row>
    <row r="6846">
      <c r="A6846" s="10">
        <f t="shared" si="8"/>
        <v>44828.66667</v>
      </c>
      <c r="B6846" s="2" t="str">
        <f t="shared" si="2"/>
        <v/>
      </c>
      <c r="C6846" s="2" t="str">
        <f t="shared" si="3"/>
        <v>SP500</v>
      </c>
      <c r="D6846" s="2" t="str">
        <f t="shared" si="4"/>
        <v/>
      </c>
      <c r="E6846" s="2">
        <f t="shared" si="5"/>
        <v>10867.93</v>
      </c>
      <c r="G6846" s="10">
        <f t="shared" si="9"/>
        <v>44828.64583</v>
      </c>
      <c r="H6846" s="6" t="str">
        <f t="shared" si="6"/>
        <v/>
      </c>
      <c r="I6846" s="2">
        <f t="shared" si="7"/>
        <v>1426.89</v>
      </c>
    </row>
    <row r="6847">
      <c r="A6847" s="10">
        <f t="shared" si="8"/>
        <v>44829.66667</v>
      </c>
      <c r="B6847" s="2" t="str">
        <f t="shared" si="2"/>
        <v/>
      </c>
      <c r="C6847" s="2" t="str">
        <f t="shared" si="3"/>
        <v>SP500</v>
      </c>
      <c r="D6847" s="2" t="str">
        <f t="shared" si="4"/>
        <v/>
      </c>
      <c r="E6847" s="2">
        <f t="shared" si="5"/>
        <v>10867.93</v>
      </c>
      <c r="G6847" s="10">
        <f t="shared" si="9"/>
        <v>44829.64583</v>
      </c>
      <c r="H6847" s="6" t="str">
        <f t="shared" si="6"/>
        <v/>
      </c>
      <c r="I6847" s="2">
        <f t="shared" si="7"/>
        <v>1426.89</v>
      </c>
    </row>
    <row r="6848">
      <c r="A6848" s="10">
        <f t="shared" si="8"/>
        <v>44830.66667</v>
      </c>
      <c r="B6848" s="2" t="str">
        <f t="shared" si="2"/>
        <v/>
      </c>
      <c r="C6848" s="2" t="str">
        <f t="shared" si="3"/>
        <v>SP500</v>
      </c>
      <c r="D6848" s="2">
        <f t="shared" si="4"/>
        <v>10802.92</v>
      </c>
      <c r="E6848" s="2">
        <f t="shared" si="5"/>
        <v>10802.92</v>
      </c>
      <c r="G6848" s="10">
        <f t="shared" si="9"/>
        <v>44830.64583</v>
      </c>
      <c r="H6848" s="6" t="str">
        <f t="shared" si="6"/>
        <v/>
      </c>
      <c r="I6848" s="2">
        <f t="shared" si="7"/>
        <v>1426.89</v>
      </c>
    </row>
    <row r="6849">
      <c r="A6849" s="10">
        <f t="shared" si="8"/>
        <v>44831.66667</v>
      </c>
      <c r="B6849" s="2" t="str">
        <f t="shared" si="2"/>
        <v/>
      </c>
      <c r="C6849" s="2" t="str">
        <f t="shared" si="3"/>
        <v>SP500</v>
      </c>
      <c r="D6849" s="2">
        <f t="shared" si="4"/>
        <v>10829.5</v>
      </c>
      <c r="E6849" s="2">
        <f t="shared" si="5"/>
        <v>10829.5</v>
      </c>
      <c r="G6849" s="10">
        <f t="shared" si="9"/>
        <v>44831.64583</v>
      </c>
      <c r="H6849" s="6" t="str">
        <f t="shared" si="6"/>
        <v/>
      </c>
      <c r="I6849" s="2">
        <f t="shared" si="7"/>
        <v>1426.89</v>
      </c>
    </row>
    <row r="6850">
      <c r="A6850" s="10">
        <f t="shared" si="8"/>
        <v>44832.66667</v>
      </c>
      <c r="B6850" s="2" t="str">
        <f t="shared" si="2"/>
        <v/>
      </c>
      <c r="C6850" s="2" t="str">
        <f t="shared" si="3"/>
        <v>SP500</v>
      </c>
      <c r="D6850" s="2">
        <f t="shared" si="4"/>
        <v>11051.64</v>
      </c>
      <c r="E6850" s="2">
        <f t="shared" si="5"/>
        <v>11051.64</v>
      </c>
      <c r="G6850" s="10">
        <f t="shared" si="9"/>
        <v>44832.64583</v>
      </c>
      <c r="H6850" s="6" t="str">
        <f t="shared" si="6"/>
        <v/>
      </c>
      <c r="I6850" s="2">
        <f t="shared" si="7"/>
        <v>1426.89</v>
      </c>
    </row>
    <row r="6851">
      <c r="A6851" s="10">
        <f t="shared" si="8"/>
        <v>44833.66667</v>
      </c>
      <c r="B6851" s="2" t="str">
        <f t="shared" si="2"/>
        <v/>
      </c>
      <c r="C6851" s="2" t="str">
        <f t="shared" si="3"/>
        <v>SP500</v>
      </c>
      <c r="D6851" s="2">
        <f t="shared" si="4"/>
        <v>10737.51</v>
      </c>
      <c r="E6851" s="2">
        <f t="shared" si="5"/>
        <v>10737.51</v>
      </c>
      <c r="G6851" s="10">
        <f t="shared" si="9"/>
        <v>44833.64583</v>
      </c>
      <c r="H6851" s="6" t="str">
        <f t="shared" si="6"/>
        <v/>
      </c>
      <c r="I6851" s="2">
        <f t="shared" si="7"/>
        <v>1426.89</v>
      </c>
    </row>
    <row r="6852">
      <c r="A6852" s="10">
        <f t="shared" si="8"/>
        <v>44834.66667</v>
      </c>
      <c r="B6852" s="2" t="str">
        <f t="shared" si="2"/>
        <v/>
      </c>
      <c r="C6852" s="2" t="str">
        <f t="shared" si="3"/>
        <v>SP500</v>
      </c>
      <c r="D6852" s="2">
        <f t="shared" si="4"/>
        <v>10575.62</v>
      </c>
      <c r="E6852" s="2">
        <f t="shared" si="5"/>
        <v>10575.62</v>
      </c>
      <c r="G6852" s="10">
        <f t="shared" si="9"/>
        <v>44834.64583</v>
      </c>
      <c r="H6852" s="6" t="str">
        <f t="shared" si="6"/>
        <v/>
      </c>
      <c r="I6852" s="2">
        <f t="shared" si="7"/>
        <v>1426.89</v>
      </c>
    </row>
    <row r="6853">
      <c r="A6853" s="10">
        <f t="shared" si="8"/>
        <v>44835.66667</v>
      </c>
      <c r="B6853" s="2" t="str">
        <f t="shared" si="2"/>
        <v/>
      </c>
      <c r="C6853" s="2" t="str">
        <f t="shared" si="3"/>
        <v>SP500</v>
      </c>
      <c r="D6853" s="2" t="str">
        <f t="shared" si="4"/>
        <v/>
      </c>
      <c r="E6853" s="2">
        <f t="shared" si="5"/>
        <v>10575.62</v>
      </c>
      <c r="G6853" s="10">
        <f t="shared" si="9"/>
        <v>44835.64583</v>
      </c>
      <c r="H6853" s="6" t="str">
        <f t="shared" si="6"/>
        <v/>
      </c>
      <c r="I6853" s="2">
        <f t="shared" si="7"/>
        <v>1426.89</v>
      </c>
    </row>
    <row r="6854">
      <c r="A6854" s="10">
        <f t="shared" si="8"/>
        <v>44836.66667</v>
      </c>
      <c r="B6854" s="2" t="str">
        <f t="shared" si="2"/>
        <v/>
      </c>
      <c r="C6854" s="2" t="str">
        <f t="shared" si="3"/>
        <v>SP500</v>
      </c>
      <c r="D6854" s="2" t="str">
        <f t="shared" si="4"/>
        <v/>
      </c>
      <c r="E6854" s="2">
        <f t="shared" si="5"/>
        <v>10575.62</v>
      </c>
      <c r="G6854" s="10">
        <f t="shared" si="9"/>
        <v>44836.64583</v>
      </c>
      <c r="H6854" s="6" t="str">
        <f t="shared" si="6"/>
        <v/>
      </c>
      <c r="I6854" s="2">
        <f t="shared" si="7"/>
        <v>1426.89</v>
      </c>
    </row>
    <row r="6855">
      <c r="A6855" s="10">
        <f t="shared" si="8"/>
        <v>44837.66667</v>
      </c>
      <c r="B6855" s="2" t="str">
        <f t="shared" si="2"/>
        <v/>
      </c>
      <c r="C6855" s="2" t="str">
        <f t="shared" si="3"/>
        <v>SP500</v>
      </c>
      <c r="D6855" s="2">
        <f t="shared" si="4"/>
        <v>10815.44</v>
      </c>
      <c r="E6855" s="2">
        <f t="shared" si="5"/>
        <v>10815.44</v>
      </c>
      <c r="G6855" s="10">
        <f t="shared" si="9"/>
        <v>44837.64583</v>
      </c>
      <c r="H6855" s="6" t="str">
        <f t="shared" si="6"/>
        <v/>
      </c>
      <c r="I6855" s="2">
        <f t="shared" si="7"/>
        <v>1426.89</v>
      </c>
    </row>
    <row r="6856">
      <c r="A6856" s="10">
        <f t="shared" si="8"/>
        <v>44838.66667</v>
      </c>
      <c r="B6856" s="2" t="str">
        <f t="shared" si="2"/>
        <v/>
      </c>
      <c r="C6856" s="2" t="str">
        <f t="shared" si="3"/>
        <v>SP500</v>
      </c>
      <c r="D6856" s="2">
        <f t="shared" si="4"/>
        <v>11176.41</v>
      </c>
      <c r="E6856" s="2">
        <f t="shared" si="5"/>
        <v>11176.41</v>
      </c>
      <c r="G6856" s="10">
        <f t="shared" si="9"/>
        <v>44838.64583</v>
      </c>
      <c r="H6856" s="6" t="str">
        <f t="shared" si="6"/>
        <v/>
      </c>
      <c r="I6856" s="2">
        <f t="shared" si="7"/>
        <v>1426.89</v>
      </c>
    </row>
    <row r="6857">
      <c r="A6857" s="10">
        <f t="shared" si="8"/>
        <v>44839.66667</v>
      </c>
      <c r="B6857" s="2" t="str">
        <f t="shared" si="2"/>
        <v/>
      </c>
      <c r="C6857" s="2" t="str">
        <f t="shared" si="3"/>
        <v>SP500</v>
      </c>
      <c r="D6857" s="2">
        <f t="shared" si="4"/>
        <v>11148.64</v>
      </c>
      <c r="E6857" s="2">
        <f t="shared" si="5"/>
        <v>11148.64</v>
      </c>
      <c r="G6857" s="10">
        <f t="shared" si="9"/>
        <v>44839.64583</v>
      </c>
      <c r="H6857" s="6" t="str">
        <f t="shared" si="6"/>
        <v/>
      </c>
      <c r="I6857" s="2">
        <f t="shared" si="7"/>
        <v>1426.89</v>
      </c>
    </row>
    <row r="6858">
      <c r="A6858" s="10">
        <f t="shared" si="8"/>
        <v>44840.66667</v>
      </c>
      <c r="B6858" s="2" t="str">
        <f t="shared" si="2"/>
        <v/>
      </c>
      <c r="C6858" s="2" t="str">
        <f t="shared" si="3"/>
        <v>SP500</v>
      </c>
      <c r="D6858" s="2">
        <f t="shared" si="4"/>
        <v>11073.31</v>
      </c>
      <c r="E6858" s="2">
        <f t="shared" si="5"/>
        <v>11073.31</v>
      </c>
      <c r="G6858" s="10">
        <f t="shared" si="9"/>
        <v>44840.64583</v>
      </c>
      <c r="H6858" s="6" t="str">
        <f t="shared" si="6"/>
        <v/>
      </c>
      <c r="I6858" s="2">
        <f t="shared" si="7"/>
        <v>1426.89</v>
      </c>
    </row>
    <row r="6859">
      <c r="A6859" s="10">
        <f t="shared" si="8"/>
        <v>44841.66667</v>
      </c>
      <c r="B6859" s="2" t="str">
        <f t="shared" si="2"/>
        <v/>
      </c>
      <c r="C6859" s="2" t="str">
        <f t="shared" si="3"/>
        <v>SP500</v>
      </c>
      <c r="D6859" s="2">
        <f t="shared" si="4"/>
        <v>10652.41</v>
      </c>
      <c r="E6859" s="2">
        <f t="shared" si="5"/>
        <v>10652.41</v>
      </c>
      <c r="G6859" s="10">
        <f t="shared" si="9"/>
        <v>44841.64583</v>
      </c>
      <c r="H6859" s="6" t="str">
        <f t="shared" si="6"/>
        <v/>
      </c>
      <c r="I6859" s="2">
        <f t="shared" si="7"/>
        <v>1426.89</v>
      </c>
    </row>
    <row r="6860">
      <c r="A6860" s="10">
        <f t="shared" si="8"/>
        <v>44842.66667</v>
      </c>
      <c r="B6860" s="2" t="str">
        <f t="shared" si="2"/>
        <v/>
      </c>
      <c r="C6860" s="2" t="str">
        <f t="shared" si="3"/>
        <v>SP500</v>
      </c>
      <c r="D6860" s="2" t="str">
        <f t="shared" si="4"/>
        <v/>
      </c>
      <c r="E6860" s="2">
        <f t="shared" si="5"/>
        <v>10652.41</v>
      </c>
      <c r="G6860" s="10">
        <f t="shared" si="9"/>
        <v>44842.64583</v>
      </c>
      <c r="H6860" s="6" t="str">
        <f t="shared" si="6"/>
        <v/>
      </c>
      <c r="I6860" s="2">
        <f t="shared" si="7"/>
        <v>1426.89</v>
      </c>
    </row>
    <row r="6861">
      <c r="A6861" s="10">
        <f t="shared" si="8"/>
        <v>44843.66667</v>
      </c>
      <c r="B6861" s="2" t="str">
        <f t="shared" si="2"/>
        <v/>
      </c>
      <c r="C6861" s="2" t="str">
        <f t="shared" si="3"/>
        <v>SP500</v>
      </c>
      <c r="D6861" s="2" t="str">
        <f t="shared" si="4"/>
        <v/>
      </c>
      <c r="E6861" s="2">
        <f t="shared" si="5"/>
        <v>10652.41</v>
      </c>
      <c r="G6861" s="10">
        <f t="shared" si="9"/>
        <v>44843.64583</v>
      </c>
      <c r="H6861" s="6" t="str">
        <f t="shared" si="6"/>
        <v/>
      </c>
      <c r="I6861" s="2">
        <f t="shared" si="7"/>
        <v>1426.89</v>
      </c>
    </row>
    <row r="6862">
      <c r="A6862" s="10">
        <f t="shared" si="8"/>
        <v>44844.66667</v>
      </c>
      <c r="B6862" s="2" t="str">
        <f t="shared" si="2"/>
        <v/>
      </c>
      <c r="C6862" s="2" t="str">
        <f t="shared" si="3"/>
        <v>SP500</v>
      </c>
      <c r="D6862" s="2">
        <f t="shared" si="4"/>
        <v>10542.1</v>
      </c>
      <c r="E6862" s="2">
        <f t="shared" si="5"/>
        <v>10542.1</v>
      </c>
      <c r="G6862" s="10">
        <f t="shared" si="9"/>
        <v>44844.64583</v>
      </c>
      <c r="H6862" s="6" t="str">
        <f t="shared" si="6"/>
        <v/>
      </c>
      <c r="I6862" s="2">
        <f t="shared" si="7"/>
        <v>1426.89</v>
      </c>
    </row>
    <row r="6863">
      <c r="A6863" s="10">
        <f t="shared" si="8"/>
        <v>44845.66667</v>
      </c>
      <c r="B6863" s="2" t="str">
        <f t="shared" si="2"/>
        <v/>
      </c>
      <c r="C6863" s="2" t="str">
        <f t="shared" si="3"/>
        <v>SP500</v>
      </c>
      <c r="D6863" s="2">
        <f t="shared" si="4"/>
        <v>10426.19</v>
      </c>
      <c r="E6863" s="2">
        <f t="shared" si="5"/>
        <v>10426.19</v>
      </c>
      <c r="G6863" s="10">
        <f t="shared" si="9"/>
        <v>44845.64583</v>
      </c>
      <c r="H6863" s="6" t="str">
        <f t="shared" si="6"/>
        <v/>
      </c>
      <c r="I6863" s="2">
        <f t="shared" si="7"/>
        <v>1426.89</v>
      </c>
    </row>
    <row r="6864">
      <c r="A6864" s="10">
        <f t="shared" si="8"/>
        <v>44846.66667</v>
      </c>
      <c r="B6864" s="2" t="str">
        <f t="shared" si="2"/>
        <v/>
      </c>
      <c r="C6864" s="2" t="str">
        <f t="shared" si="3"/>
        <v>SP500</v>
      </c>
      <c r="D6864" s="2">
        <f t="shared" si="4"/>
        <v>10417.1</v>
      </c>
      <c r="E6864" s="2">
        <f t="shared" si="5"/>
        <v>10417.1</v>
      </c>
      <c r="G6864" s="10">
        <f t="shared" si="9"/>
        <v>44846.64583</v>
      </c>
      <c r="H6864" s="6" t="str">
        <f t="shared" si="6"/>
        <v/>
      </c>
      <c r="I6864" s="2">
        <f t="shared" si="7"/>
        <v>1426.89</v>
      </c>
    </row>
    <row r="6865">
      <c r="A6865" s="10">
        <f t="shared" si="8"/>
        <v>44847.66667</v>
      </c>
      <c r="B6865" s="2" t="str">
        <f t="shared" si="2"/>
        <v/>
      </c>
      <c r="C6865" s="2" t="str">
        <f t="shared" si="3"/>
        <v>SP500</v>
      </c>
      <c r="D6865" s="2">
        <f t="shared" si="4"/>
        <v>10649.15</v>
      </c>
      <c r="E6865" s="2">
        <f t="shared" si="5"/>
        <v>10649.15</v>
      </c>
      <c r="G6865" s="10">
        <f t="shared" si="9"/>
        <v>44847.64583</v>
      </c>
      <c r="H6865" s="6" t="str">
        <f t="shared" si="6"/>
        <v/>
      </c>
      <c r="I6865" s="2">
        <f t="shared" si="7"/>
        <v>1426.89</v>
      </c>
    </row>
    <row r="6866">
      <c r="A6866" s="10">
        <f t="shared" si="8"/>
        <v>44848.66667</v>
      </c>
      <c r="B6866" s="2" t="str">
        <f t="shared" si="2"/>
        <v/>
      </c>
      <c r="C6866" s="2" t="str">
        <f t="shared" si="3"/>
        <v>SP500</v>
      </c>
      <c r="D6866" s="2">
        <f t="shared" si="4"/>
        <v>10321.39</v>
      </c>
      <c r="E6866" s="2">
        <f t="shared" si="5"/>
        <v>10321.39</v>
      </c>
      <c r="G6866" s="10">
        <f t="shared" si="9"/>
        <v>44848.64583</v>
      </c>
      <c r="H6866" s="6" t="str">
        <f t="shared" si="6"/>
        <v/>
      </c>
      <c r="I6866" s="2">
        <f t="shared" si="7"/>
        <v>1426.89</v>
      </c>
    </row>
    <row r="6867">
      <c r="A6867" s="10">
        <f t="shared" si="8"/>
        <v>44849.66667</v>
      </c>
      <c r="B6867" s="2" t="str">
        <f t="shared" si="2"/>
        <v/>
      </c>
      <c r="C6867" s="2" t="str">
        <f t="shared" si="3"/>
        <v>SP500</v>
      </c>
      <c r="D6867" s="2" t="str">
        <f t="shared" si="4"/>
        <v/>
      </c>
      <c r="E6867" s="2">
        <f t="shared" si="5"/>
        <v>10321.39</v>
      </c>
      <c r="G6867" s="10">
        <f t="shared" si="9"/>
        <v>44849.64583</v>
      </c>
      <c r="H6867" s="6" t="str">
        <f t="shared" si="6"/>
        <v/>
      </c>
      <c r="I6867" s="2">
        <f t="shared" si="7"/>
        <v>1426.89</v>
      </c>
    </row>
    <row r="6868">
      <c r="A6868" s="10">
        <f t="shared" si="8"/>
        <v>44850.66667</v>
      </c>
      <c r="B6868" s="2" t="str">
        <f t="shared" si="2"/>
        <v/>
      </c>
      <c r="C6868" s="2" t="str">
        <f t="shared" si="3"/>
        <v>SP500</v>
      </c>
      <c r="D6868" s="2" t="str">
        <f t="shared" si="4"/>
        <v/>
      </c>
      <c r="E6868" s="2">
        <f t="shared" si="5"/>
        <v>10321.39</v>
      </c>
      <c r="G6868" s="10">
        <f t="shared" si="9"/>
        <v>44850.64583</v>
      </c>
      <c r="H6868" s="6" t="str">
        <f t="shared" si="6"/>
        <v/>
      </c>
      <c r="I6868" s="2">
        <f t="shared" si="7"/>
        <v>1426.89</v>
      </c>
    </row>
    <row r="6869">
      <c r="A6869" s="10">
        <f t="shared" si="8"/>
        <v>44851.66667</v>
      </c>
      <c r="B6869" s="2" t="str">
        <f t="shared" si="2"/>
        <v/>
      </c>
      <c r="C6869" s="2" t="str">
        <f t="shared" si="3"/>
        <v>SP500</v>
      </c>
      <c r="D6869" s="2">
        <f t="shared" si="4"/>
        <v>10675.8</v>
      </c>
      <c r="E6869" s="2">
        <f t="shared" si="5"/>
        <v>10675.8</v>
      </c>
      <c r="G6869" s="10">
        <f t="shared" si="9"/>
        <v>44851.64583</v>
      </c>
      <c r="H6869" s="6" t="str">
        <f t="shared" si="6"/>
        <v/>
      </c>
      <c r="I6869" s="2">
        <f t="shared" si="7"/>
        <v>1426.89</v>
      </c>
    </row>
    <row r="6870">
      <c r="A6870" s="10">
        <f t="shared" si="8"/>
        <v>44852.66667</v>
      </c>
      <c r="B6870" s="2" t="str">
        <f t="shared" si="2"/>
        <v/>
      </c>
      <c r="C6870" s="2" t="str">
        <f t="shared" si="3"/>
        <v>SP500</v>
      </c>
      <c r="D6870" s="2">
        <f t="shared" si="4"/>
        <v>10772.4</v>
      </c>
      <c r="E6870" s="2">
        <f t="shared" si="5"/>
        <v>10772.4</v>
      </c>
      <c r="G6870" s="10">
        <f t="shared" si="9"/>
        <v>44852.64583</v>
      </c>
      <c r="H6870" s="6" t="str">
        <f t="shared" si="6"/>
        <v/>
      </c>
      <c r="I6870" s="2">
        <f t="shared" si="7"/>
        <v>1426.89</v>
      </c>
    </row>
    <row r="6871">
      <c r="A6871" s="10">
        <f t="shared" si="8"/>
        <v>44853.66667</v>
      </c>
      <c r="B6871" s="2" t="str">
        <f t="shared" si="2"/>
        <v/>
      </c>
      <c r="C6871" s="2" t="str">
        <f t="shared" si="3"/>
        <v>SP500</v>
      </c>
      <c r="D6871" s="2">
        <f t="shared" si="4"/>
        <v>10680.51</v>
      </c>
      <c r="E6871" s="2">
        <f t="shared" si="5"/>
        <v>10680.51</v>
      </c>
      <c r="G6871" s="10">
        <f t="shared" si="9"/>
        <v>44853.64583</v>
      </c>
      <c r="H6871" s="6" t="str">
        <f t="shared" si="6"/>
        <v/>
      </c>
      <c r="I6871" s="2">
        <f t="shared" si="7"/>
        <v>1426.89</v>
      </c>
    </row>
    <row r="6872">
      <c r="A6872" s="10">
        <f t="shared" si="8"/>
        <v>44854.66667</v>
      </c>
      <c r="B6872" s="2" t="str">
        <f t="shared" si="2"/>
        <v/>
      </c>
      <c r="C6872" s="2" t="str">
        <f t="shared" si="3"/>
        <v>SP500</v>
      </c>
      <c r="D6872" s="2">
        <f t="shared" si="4"/>
        <v>10614.84</v>
      </c>
      <c r="E6872" s="2">
        <f t="shared" si="5"/>
        <v>10614.84</v>
      </c>
      <c r="G6872" s="10">
        <f t="shared" si="9"/>
        <v>44854.64583</v>
      </c>
      <c r="H6872" s="6" t="str">
        <f t="shared" si="6"/>
        <v/>
      </c>
      <c r="I6872" s="2">
        <f t="shared" si="7"/>
        <v>1426.89</v>
      </c>
    </row>
    <row r="6873">
      <c r="A6873" s="10">
        <f t="shared" si="8"/>
        <v>44855.66667</v>
      </c>
      <c r="B6873" s="2" t="str">
        <f t="shared" si="2"/>
        <v/>
      </c>
      <c r="C6873" s="2" t="str">
        <f t="shared" si="3"/>
        <v>SP500</v>
      </c>
      <c r="D6873" s="2">
        <f t="shared" si="4"/>
        <v>10859.72</v>
      </c>
      <c r="E6873" s="2">
        <f t="shared" si="5"/>
        <v>10859.72</v>
      </c>
      <c r="G6873" s="10">
        <f t="shared" si="9"/>
        <v>44855.64583</v>
      </c>
      <c r="H6873" s="6" t="str">
        <f t="shared" si="6"/>
        <v/>
      </c>
      <c r="I6873" s="2">
        <f t="shared" si="7"/>
        <v>1426.89</v>
      </c>
    </row>
    <row r="6874">
      <c r="A6874" s="10">
        <f t="shared" si="8"/>
        <v>44856.66667</v>
      </c>
      <c r="B6874" s="2" t="str">
        <f t="shared" si="2"/>
        <v/>
      </c>
      <c r="C6874" s="2" t="str">
        <f t="shared" si="3"/>
        <v>SP500</v>
      </c>
      <c r="D6874" s="2" t="str">
        <f t="shared" si="4"/>
        <v/>
      </c>
      <c r="E6874" s="2">
        <f t="shared" si="5"/>
        <v>10859.72</v>
      </c>
      <c r="G6874" s="10">
        <f t="shared" si="9"/>
        <v>44856.64583</v>
      </c>
      <c r="H6874" s="6" t="str">
        <f t="shared" si="6"/>
        <v/>
      </c>
      <c r="I6874" s="2">
        <f t="shared" si="7"/>
        <v>1426.89</v>
      </c>
    </row>
    <row r="6875">
      <c r="A6875" s="10">
        <f t="shared" si="8"/>
        <v>44857.66667</v>
      </c>
      <c r="B6875" s="2" t="str">
        <f t="shared" si="2"/>
        <v/>
      </c>
      <c r="C6875" s="2" t="str">
        <f t="shared" si="3"/>
        <v>SP500</v>
      </c>
      <c r="D6875" s="2" t="str">
        <f t="shared" si="4"/>
        <v/>
      </c>
      <c r="E6875" s="2">
        <f t="shared" si="5"/>
        <v>10859.72</v>
      </c>
      <c r="G6875" s="10">
        <f t="shared" si="9"/>
        <v>44857.64583</v>
      </c>
      <c r="H6875" s="6" t="str">
        <f t="shared" si="6"/>
        <v/>
      </c>
      <c r="I6875" s="2">
        <f t="shared" si="7"/>
        <v>1426.89</v>
      </c>
    </row>
    <row r="6876">
      <c r="A6876" s="10">
        <f t="shared" si="8"/>
        <v>44858.66667</v>
      </c>
      <c r="B6876" s="2" t="str">
        <f t="shared" si="2"/>
        <v/>
      </c>
      <c r="C6876" s="2" t="str">
        <f t="shared" si="3"/>
        <v>SP500</v>
      </c>
      <c r="D6876" s="2">
        <f t="shared" si="4"/>
        <v>10952.61</v>
      </c>
      <c r="E6876" s="2">
        <f t="shared" si="5"/>
        <v>10952.61</v>
      </c>
      <c r="G6876" s="10">
        <f t="shared" si="9"/>
        <v>44858.64583</v>
      </c>
      <c r="H6876" s="6" t="str">
        <f t="shared" si="6"/>
        <v/>
      </c>
      <c r="I6876" s="2">
        <f t="shared" si="7"/>
        <v>1426.89</v>
      </c>
    </row>
    <row r="6877">
      <c r="A6877" s="10">
        <f t="shared" si="8"/>
        <v>44859.66667</v>
      </c>
      <c r="B6877" s="2" t="str">
        <f t="shared" si="2"/>
        <v/>
      </c>
      <c r="C6877" s="2" t="str">
        <f t="shared" si="3"/>
        <v>SP500</v>
      </c>
      <c r="D6877" s="2">
        <f t="shared" si="4"/>
        <v>11199.12</v>
      </c>
      <c r="E6877" s="2">
        <f t="shared" si="5"/>
        <v>11199.12</v>
      </c>
      <c r="G6877" s="10">
        <f t="shared" si="9"/>
        <v>44859.64583</v>
      </c>
      <c r="H6877" s="6" t="str">
        <f t="shared" si="6"/>
        <v/>
      </c>
      <c r="I6877" s="2">
        <f t="shared" si="7"/>
        <v>1426.89</v>
      </c>
    </row>
    <row r="6878">
      <c r="A6878" s="10">
        <f t="shared" si="8"/>
        <v>44860.66667</v>
      </c>
      <c r="B6878" s="2" t="str">
        <f t="shared" si="2"/>
        <v/>
      </c>
      <c r="C6878" s="2" t="str">
        <f t="shared" si="3"/>
        <v>SP500</v>
      </c>
      <c r="D6878" s="2">
        <f t="shared" si="4"/>
        <v>10970.99</v>
      </c>
      <c r="E6878" s="2">
        <f t="shared" si="5"/>
        <v>10970.99</v>
      </c>
      <c r="G6878" s="10">
        <f t="shared" si="9"/>
        <v>44860.64583</v>
      </c>
      <c r="H6878" s="6" t="str">
        <f t="shared" si="6"/>
        <v/>
      </c>
      <c r="I6878" s="2">
        <f t="shared" si="7"/>
        <v>1426.89</v>
      </c>
    </row>
    <row r="6879">
      <c r="A6879" s="10">
        <f t="shared" si="8"/>
        <v>44861.66667</v>
      </c>
      <c r="B6879" s="2" t="str">
        <f t="shared" si="2"/>
        <v/>
      </c>
      <c r="C6879" s="2" t="str">
        <f t="shared" si="3"/>
        <v>SP500</v>
      </c>
      <c r="D6879" s="2">
        <f t="shared" si="4"/>
        <v>10792.68</v>
      </c>
      <c r="E6879" s="2">
        <f t="shared" si="5"/>
        <v>10792.68</v>
      </c>
      <c r="G6879" s="10">
        <f t="shared" si="9"/>
        <v>44861.64583</v>
      </c>
      <c r="H6879" s="6" t="str">
        <f t="shared" si="6"/>
        <v/>
      </c>
      <c r="I6879" s="2">
        <f t="shared" si="7"/>
        <v>1426.89</v>
      </c>
    </row>
    <row r="6880">
      <c r="A6880" s="10">
        <f t="shared" si="8"/>
        <v>44862.66667</v>
      </c>
      <c r="B6880" s="2" t="str">
        <f t="shared" si="2"/>
        <v/>
      </c>
      <c r="C6880" s="2" t="str">
        <f t="shared" si="3"/>
        <v>SP500</v>
      </c>
      <c r="D6880" s="2">
        <f t="shared" si="4"/>
        <v>11102.45</v>
      </c>
      <c r="E6880" s="2">
        <f t="shared" si="5"/>
        <v>11102.45</v>
      </c>
      <c r="G6880" s="10">
        <f t="shared" si="9"/>
        <v>44862.64583</v>
      </c>
      <c r="H6880" s="6" t="str">
        <f t="shared" si="6"/>
        <v/>
      </c>
      <c r="I6880" s="2">
        <f t="shared" si="7"/>
        <v>1426.89</v>
      </c>
    </row>
    <row r="6881">
      <c r="A6881" s="10">
        <f t="shared" si="8"/>
        <v>44863.66667</v>
      </c>
      <c r="B6881" s="2" t="str">
        <f t="shared" si="2"/>
        <v/>
      </c>
      <c r="C6881" s="2" t="str">
        <f t="shared" si="3"/>
        <v>SP500</v>
      </c>
      <c r="D6881" s="2" t="str">
        <f t="shared" si="4"/>
        <v/>
      </c>
      <c r="E6881" s="2">
        <f t="shared" si="5"/>
        <v>11102.45</v>
      </c>
      <c r="G6881" s="10">
        <f t="shared" si="9"/>
        <v>44863.64583</v>
      </c>
      <c r="H6881" s="6" t="str">
        <f t="shared" si="6"/>
        <v/>
      </c>
      <c r="I6881" s="2">
        <f t="shared" si="7"/>
        <v>1426.89</v>
      </c>
    </row>
    <row r="6882">
      <c r="A6882" s="10">
        <f t="shared" si="8"/>
        <v>44864.66667</v>
      </c>
      <c r="B6882" s="2" t="str">
        <f t="shared" si="2"/>
        <v/>
      </c>
      <c r="C6882" s="2" t="str">
        <f t="shared" si="3"/>
        <v>SP500</v>
      </c>
      <c r="D6882" s="2" t="str">
        <f t="shared" si="4"/>
        <v/>
      </c>
      <c r="E6882" s="2">
        <f t="shared" si="5"/>
        <v>11102.45</v>
      </c>
      <c r="G6882" s="10">
        <f t="shared" si="9"/>
        <v>44864.64583</v>
      </c>
      <c r="H6882" s="6" t="str">
        <f t="shared" si="6"/>
        <v/>
      </c>
      <c r="I6882" s="2">
        <f t="shared" si="7"/>
        <v>1426.89</v>
      </c>
    </row>
    <row r="6883">
      <c r="A6883" s="10">
        <f t="shared" si="8"/>
        <v>44865.66667</v>
      </c>
      <c r="B6883" s="2" t="str">
        <f t="shared" si="2"/>
        <v/>
      </c>
      <c r="C6883" s="2" t="str">
        <f t="shared" si="3"/>
        <v>SP500</v>
      </c>
      <c r="D6883" s="2">
        <f t="shared" si="4"/>
        <v>10988.15</v>
      </c>
      <c r="E6883" s="2">
        <f t="shared" si="5"/>
        <v>10988.15</v>
      </c>
      <c r="G6883" s="10">
        <f t="shared" si="9"/>
        <v>44865.64583</v>
      </c>
      <c r="H6883" s="6" t="str">
        <f t="shared" si="6"/>
        <v/>
      </c>
      <c r="I6883" s="2">
        <f t="shared" si="7"/>
        <v>1426.89</v>
      </c>
    </row>
    <row r="6884">
      <c r="A6884" s="10">
        <f t="shared" si="8"/>
        <v>44866.66667</v>
      </c>
      <c r="B6884" s="2" t="str">
        <f t="shared" si="2"/>
        <v/>
      </c>
      <c r="C6884" s="2" t="str">
        <f t="shared" si="3"/>
        <v>SP500</v>
      </c>
      <c r="D6884" s="2">
        <f t="shared" si="4"/>
        <v>10890.85</v>
      </c>
      <c r="E6884" s="2">
        <f t="shared" si="5"/>
        <v>10890.85</v>
      </c>
      <c r="G6884" s="10">
        <f t="shared" si="9"/>
        <v>44866.64583</v>
      </c>
      <c r="H6884" s="6" t="str">
        <f t="shared" si="6"/>
        <v/>
      </c>
      <c r="I6884" s="2">
        <f t="shared" si="7"/>
        <v>1426.89</v>
      </c>
    </row>
    <row r="6885">
      <c r="A6885" s="10">
        <f t="shared" si="8"/>
        <v>44867.66667</v>
      </c>
      <c r="B6885" s="2" t="str">
        <f t="shared" si="2"/>
        <v/>
      </c>
      <c r="C6885" s="2" t="str">
        <f t="shared" si="3"/>
        <v>SP500</v>
      </c>
      <c r="D6885" s="2">
        <f t="shared" si="4"/>
        <v>10524.8</v>
      </c>
      <c r="E6885" s="2">
        <f t="shared" si="5"/>
        <v>10524.8</v>
      </c>
      <c r="G6885" s="10">
        <f t="shared" si="9"/>
        <v>44867.64583</v>
      </c>
      <c r="H6885" s="6" t="str">
        <f t="shared" si="6"/>
        <v/>
      </c>
      <c r="I6885" s="2">
        <f t="shared" si="7"/>
        <v>1426.89</v>
      </c>
    </row>
    <row r="6886">
      <c r="A6886" s="10">
        <f t="shared" si="8"/>
        <v>44868.66667</v>
      </c>
      <c r="B6886" s="2" t="str">
        <f t="shared" si="2"/>
        <v/>
      </c>
      <c r="C6886" s="2" t="str">
        <f t="shared" si="3"/>
        <v>SP500</v>
      </c>
      <c r="D6886" s="2">
        <f t="shared" si="4"/>
        <v>10342.94</v>
      </c>
      <c r="E6886" s="2">
        <f t="shared" si="5"/>
        <v>10342.94</v>
      </c>
      <c r="G6886" s="10">
        <f t="shared" si="9"/>
        <v>44868.64583</v>
      </c>
      <c r="H6886" s="6" t="str">
        <f t="shared" si="6"/>
        <v/>
      </c>
      <c r="I6886" s="2">
        <f t="shared" si="7"/>
        <v>1426.89</v>
      </c>
    </row>
    <row r="6887">
      <c r="A6887" s="10">
        <f t="shared" si="8"/>
        <v>44869.66667</v>
      </c>
      <c r="B6887" s="2" t="str">
        <f t="shared" si="2"/>
        <v/>
      </c>
      <c r="C6887" s="2" t="str">
        <f t="shared" si="3"/>
        <v>SP500</v>
      </c>
      <c r="D6887" s="2">
        <f t="shared" si="4"/>
        <v>10475.25</v>
      </c>
      <c r="E6887" s="2">
        <f t="shared" si="5"/>
        <v>10475.25</v>
      </c>
      <c r="G6887" s="10">
        <f t="shared" si="9"/>
        <v>44869.64583</v>
      </c>
      <c r="H6887" s="6" t="str">
        <f t="shared" si="6"/>
        <v/>
      </c>
      <c r="I6887" s="2">
        <f t="shared" si="7"/>
        <v>1426.89</v>
      </c>
    </row>
    <row r="6888">
      <c r="A6888" s="10">
        <f t="shared" si="8"/>
        <v>44870.66667</v>
      </c>
      <c r="B6888" s="2" t="str">
        <f t="shared" si="2"/>
        <v/>
      </c>
      <c r="C6888" s="2" t="str">
        <f t="shared" si="3"/>
        <v>SP500</v>
      </c>
      <c r="D6888" s="2" t="str">
        <f t="shared" si="4"/>
        <v/>
      </c>
      <c r="E6888" s="2">
        <f t="shared" si="5"/>
        <v>10475.25</v>
      </c>
      <c r="G6888" s="10">
        <f t="shared" si="9"/>
        <v>44870.64583</v>
      </c>
      <c r="H6888" s="6" t="str">
        <f t="shared" si="6"/>
        <v/>
      </c>
      <c r="I6888" s="2">
        <f t="shared" si="7"/>
        <v>1426.89</v>
      </c>
    </row>
    <row r="6889">
      <c r="A6889" s="10">
        <f t="shared" si="8"/>
        <v>44871.66667</v>
      </c>
      <c r="B6889" s="2" t="str">
        <f t="shared" si="2"/>
        <v/>
      </c>
      <c r="C6889" s="2" t="str">
        <f t="shared" si="3"/>
        <v>SP500</v>
      </c>
      <c r="D6889" s="2" t="str">
        <f t="shared" si="4"/>
        <v/>
      </c>
      <c r="E6889" s="2">
        <f t="shared" si="5"/>
        <v>10475.25</v>
      </c>
      <c r="G6889" s="10">
        <f t="shared" si="9"/>
        <v>44871.64583</v>
      </c>
      <c r="H6889" s="6" t="str">
        <f t="shared" si="6"/>
        <v/>
      </c>
      <c r="I6889" s="2">
        <f t="shared" si="7"/>
        <v>1426.89</v>
      </c>
    </row>
    <row r="6890">
      <c r="A6890" s="10">
        <f t="shared" si="8"/>
        <v>44872.66667</v>
      </c>
      <c r="B6890" s="2" t="str">
        <f t="shared" si="2"/>
        <v/>
      </c>
      <c r="C6890" s="2" t="str">
        <f t="shared" si="3"/>
        <v>SP500</v>
      </c>
      <c r="D6890" s="2">
        <f t="shared" si="4"/>
        <v>10564.52</v>
      </c>
      <c r="E6890" s="2">
        <f t="shared" si="5"/>
        <v>10564.52</v>
      </c>
      <c r="G6890" s="10">
        <f t="shared" si="9"/>
        <v>44872.64583</v>
      </c>
      <c r="H6890" s="6" t="str">
        <f t="shared" si="6"/>
        <v/>
      </c>
      <c r="I6890" s="2">
        <f t="shared" si="7"/>
        <v>1426.89</v>
      </c>
    </row>
    <row r="6891">
      <c r="A6891" s="10">
        <f t="shared" si="8"/>
        <v>44873.66667</v>
      </c>
      <c r="B6891" s="2" t="str">
        <f t="shared" si="2"/>
        <v/>
      </c>
      <c r="C6891" s="2" t="str">
        <f t="shared" si="3"/>
        <v>SP500</v>
      </c>
      <c r="D6891" s="2">
        <f t="shared" si="4"/>
        <v>10616.2</v>
      </c>
      <c r="E6891" s="2">
        <f t="shared" si="5"/>
        <v>10616.2</v>
      </c>
      <c r="G6891" s="10">
        <f t="shared" si="9"/>
        <v>44873.64583</v>
      </c>
      <c r="H6891" s="6" t="str">
        <f t="shared" si="6"/>
        <v/>
      </c>
      <c r="I6891" s="2">
        <f t="shared" si="7"/>
        <v>1426.89</v>
      </c>
    </row>
    <row r="6892">
      <c r="A6892" s="10">
        <f t="shared" si="8"/>
        <v>44874.66667</v>
      </c>
      <c r="B6892" s="2" t="str">
        <f t="shared" si="2"/>
        <v/>
      </c>
      <c r="C6892" s="2" t="str">
        <f t="shared" si="3"/>
        <v>SP500</v>
      </c>
      <c r="D6892" s="2">
        <f t="shared" si="4"/>
        <v>10353.17</v>
      </c>
      <c r="E6892" s="2">
        <f t="shared" si="5"/>
        <v>10353.17</v>
      </c>
      <c r="G6892" s="10">
        <f t="shared" si="9"/>
        <v>44874.64583</v>
      </c>
      <c r="H6892" s="6" t="str">
        <f t="shared" si="6"/>
        <v/>
      </c>
      <c r="I6892" s="2">
        <f t="shared" si="7"/>
        <v>1426.89</v>
      </c>
    </row>
    <row r="6893">
      <c r="A6893" s="10">
        <f t="shared" si="8"/>
        <v>44875.66667</v>
      </c>
      <c r="B6893" s="2" t="str">
        <f t="shared" si="2"/>
        <v/>
      </c>
      <c r="C6893" s="2" t="str">
        <f t="shared" si="3"/>
        <v>SP500</v>
      </c>
      <c r="D6893" s="2">
        <f t="shared" si="4"/>
        <v>11114.15</v>
      </c>
      <c r="E6893" s="2">
        <f t="shared" si="5"/>
        <v>11114.15</v>
      </c>
      <c r="G6893" s="10">
        <f t="shared" si="9"/>
        <v>44875.64583</v>
      </c>
      <c r="H6893" s="6" t="str">
        <f t="shared" si="6"/>
        <v/>
      </c>
      <c r="I6893" s="2">
        <f t="shared" si="7"/>
        <v>1426.89</v>
      </c>
    </row>
    <row r="6894">
      <c r="A6894" s="10">
        <f t="shared" si="8"/>
        <v>44876.66667</v>
      </c>
      <c r="B6894" s="2" t="str">
        <f t="shared" si="2"/>
        <v/>
      </c>
      <c r="C6894" s="2" t="str">
        <f t="shared" si="3"/>
        <v>SP500</v>
      </c>
      <c r="D6894" s="2">
        <f t="shared" si="4"/>
        <v>11323.33</v>
      </c>
      <c r="E6894" s="2">
        <f t="shared" si="5"/>
        <v>11323.33</v>
      </c>
      <c r="G6894" s="10">
        <f t="shared" si="9"/>
        <v>44876.64583</v>
      </c>
      <c r="H6894" s="6" t="str">
        <f t="shared" si="6"/>
        <v/>
      </c>
      <c r="I6894" s="2">
        <f t="shared" si="7"/>
        <v>1426.89</v>
      </c>
    </row>
    <row r="6895">
      <c r="A6895" s="10">
        <f t="shared" si="8"/>
        <v>44877.66667</v>
      </c>
      <c r="B6895" s="2" t="str">
        <f t="shared" si="2"/>
        <v/>
      </c>
      <c r="C6895" s="2" t="str">
        <f t="shared" si="3"/>
        <v>SP500</v>
      </c>
      <c r="D6895" s="2" t="str">
        <f t="shared" si="4"/>
        <v/>
      </c>
      <c r="E6895" s="2">
        <f t="shared" si="5"/>
        <v>11323.33</v>
      </c>
      <c r="G6895" s="10">
        <f t="shared" si="9"/>
        <v>44877.64583</v>
      </c>
      <c r="H6895" s="6" t="str">
        <f t="shared" si="6"/>
        <v/>
      </c>
      <c r="I6895" s="2">
        <f t="shared" si="7"/>
        <v>1426.89</v>
      </c>
    </row>
    <row r="6896">
      <c r="A6896" s="10">
        <f t="shared" si="8"/>
        <v>44878.66667</v>
      </c>
      <c r="B6896" s="2" t="str">
        <f t="shared" si="2"/>
        <v/>
      </c>
      <c r="C6896" s="2" t="str">
        <f t="shared" si="3"/>
        <v>SP500</v>
      </c>
      <c r="D6896" s="2" t="str">
        <f t="shared" si="4"/>
        <v/>
      </c>
      <c r="E6896" s="2">
        <f t="shared" si="5"/>
        <v>11323.33</v>
      </c>
      <c r="G6896" s="10">
        <f t="shared" si="9"/>
        <v>44878.64583</v>
      </c>
      <c r="H6896" s="6" t="str">
        <f t="shared" si="6"/>
        <v/>
      </c>
      <c r="I6896" s="2">
        <f t="shared" si="7"/>
        <v>1426.89</v>
      </c>
    </row>
    <row r="6897">
      <c r="A6897" s="10">
        <f t="shared" si="8"/>
        <v>44879.66667</v>
      </c>
      <c r="B6897" s="2" t="str">
        <f t="shared" si="2"/>
        <v/>
      </c>
      <c r="C6897" s="2" t="str">
        <f t="shared" si="3"/>
        <v>SP500</v>
      </c>
      <c r="D6897" s="2">
        <f t="shared" si="4"/>
        <v>11196.22</v>
      </c>
      <c r="E6897" s="2">
        <f t="shared" si="5"/>
        <v>11196.22</v>
      </c>
      <c r="G6897" s="10">
        <f t="shared" si="9"/>
        <v>44879.64583</v>
      </c>
      <c r="H6897" s="6" t="str">
        <f t="shared" si="6"/>
        <v/>
      </c>
      <c r="I6897" s="2">
        <f t="shared" si="7"/>
        <v>1426.89</v>
      </c>
    </row>
    <row r="6898">
      <c r="A6898" s="10">
        <f t="shared" si="8"/>
        <v>44880.66667</v>
      </c>
      <c r="B6898" s="2" t="str">
        <f t="shared" si="2"/>
        <v/>
      </c>
      <c r="C6898" s="2" t="str">
        <f t="shared" si="3"/>
        <v>SP500</v>
      </c>
      <c r="D6898" s="2">
        <f t="shared" si="4"/>
        <v>11358.41</v>
      </c>
      <c r="E6898" s="2">
        <f t="shared" si="5"/>
        <v>11358.41</v>
      </c>
      <c r="G6898" s="10">
        <f t="shared" si="9"/>
        <v>44880.64583</v>
      </c>
      <c r="H6898" s="6" t="str">
        <f t="shared" si="6"/>
        <v/>
      </c>
      <c r="I6898" s="2">
        <f t="shared" si="7"/>
        <v>1426.89</v>
      </c>
    </row>
    <row r="6899">
      <c r="A6899" s="10">
        <f t="shared" si="8"/>
        <v>44881.66667</v>
      </c>
      <c r="B6899" s="2" t="str">
        <f t="shared" si="2"/>
        <v/>
      </c>
      <c r="C6899" s="2" t="str">
        <f t="shared" si="3"/>
        <v>SP500</v>
      </c>
      <c r="D6899" s="2">
        <f t="shared" si="4"/>
        <v>11183.66</v>
      </c>
      <c r="E6899" s="2">
        <f t="shared" si="5"/>
        <v>11183.66</v>
      </c>
      <c r="G6899" s="10">
        <f t="shared" si="9"/>
        <v>44881.64583</v>
      </c>
      <c r="H6899" s="6" t="str">
        <f t="shared" si="6"/>
        <v/>
      </c>
      <c r="I6899" s="2">
        <f t="shared" si="7"/>
        <v>1426.89</v>
      </c>
    </row>
    <row r="6900">
      <c r="A6900" s="10">
        <f t="shared" si="8"/>
        <v>44882.66667</v>
      </c>
      <c r="B6900" s="2" t="str">
        <f t="shared" si="2"/>
        <v/>
      </c>
      <c r="C6900" s="2" t="str">
        <f t="shared" si="3"/>
        <v>SP500</v>
      </c>
      <c r="D6900" s="2">
        <f t="shared" si="4"/>
        <v>11144.96</v>
      </c>
      <c r="E6900" s="2">
        <f t="shared" si="5"/>
        <v>11144.96</v>
      </c>
      <c r="G6900" s="10">
        <f t="shared" si="9"/>
        <v>44882.64583</v>
      </c>
      <c r="H6900" s="6" t="str">
        <f t="shared" si="6"/>
        <v/>
      </c>
      <c r="I6900" s="2">
        <f t="shared" si="7"/>
        <v>1426.89</v>
      </c>
    </row>
    <row r="6901">
      <c r="A6901" s="10">
        <f t="shared" si="8"/>
        <v>44883.66667</v>
      </c>
      <c r="B6901" s="2" t="str">
        <f t="shared" si="2"/>
        <v/>
      </c>
      <c r="C6901" s="2" t="str">
        <f t="shared" si="3"/>
        <v>SP500</v>
      </c>
      <c r="D6901" s="2">
        <f t="shared" si="4"/>
        <v>11146.06</v>
      </c>
      <c r="E6901" s="2">
        <f t="shared" si="5"/>
        <v>11146.06</v>
      </c>
      <c r="G6901" s="10">
        <f t="shared" si="9"/>
        <v>44883.64583</v>
      </c>
      <c r="H6901" s="6" t="str">
        <f t="shared" si="6"/>
        <v/>
      </c>
      <c r="I6901" s="2">
        <f t="shared" si="7"/>
        <v>1426.89</v>
      </c>
    </row>
    <row r="6902">
      <c r="A6902" s="10">
        <f t="shared" si="8"/>
        <v>44884.66667</v>
      </c>
      <c r="B6902" s="2" t="str">
        <f t="shared" si="2"/>
        <v/>
      </c>
      <c r="C6902" s="2" t="str">
        <f t="shared" si="3"/>
        <v>SP500</v>
      </c>
      <c r="D6902" s="2" t="str">
        <f t="shared" si="4"/>
        <v/>
      </c>
      <c r="E6902" s="2">
        <f t="shared" si="5"/>
        <v>11146.06</v>
      </c>
      <c r="G6902" s="10">
        <f t="shared" si="9"/>
        <v>44884.64583</v>
      </c>
      <c r="H6902" s="6" t="str">
        <f t="shared" si="6"/>
        <v/>
      </c>
      <c r="I6902" s="2">
        <f t="shared" si="7"/>
        <v>1426.89</v>
      </c>
    </row>
    <row r="6903">
      <c r="A6903" s="10">
        <f t="shared" si="8"/>
        <v>44885.66667</v>
      </c>
      <c r="B6903" s="2" t="str">
        <f t="shared" si="2"/>
        <v/>
      </c>
      <c r="C6903" s="2" t="str">
        <f t="shared" si="3"/>
        <v>SP500</v>
      </c>
      <c r="D6903" s="2" t="str">
        <f t="shared" si="4"/>
        <v/>
      </c>
      <c r="E6903" s="2">
        <f t="shared" si="5"/>
        <v>11146.06</v>
      </c>
      <c r="G6903" s="10">
        <f t="shared" si="9"/>
        <v>44885.64583</v>
      </c>
      <c r="H6903" s="6" t="str">
        <f t="shared" si="6"/>
        <v/>
      </c>
      <c r="I6903" s="2">
        <f t="shared" si="7"/>
        <v>1426.89</v>
      </c>
    </row>
    <row r="6904">
      <c r="A6904" s="10">
        <f t="shared" si="8"/>
        <v>44886.66667</v>
      </c>
      <c r="B6904" s="2" t="str">
        <f t="shared" si="2"/>
        <v/>
      </c>
      <c r="C6904" s="2" t="str">
        <f t="shared" si="3"/>
        <v>SP500</v>
      </c>
      <c r="D6904" s="2">
        <f t="shared" si="4"/>
        <v>11024.51</v>
      </c>
      <c r="E6904" s="2">
        <f t="shared" si="5"/>
        <v>11024.51</v>
      </c>
      <c r="G6904" s="10">
        <f t="shared" si="9"/>
        <v>44886.64583</v>
      </c>
      <c r="H6904" s="6" t="str">
        <f t="shared" si="6"/>
        <v/>
      </c>
      <c r="I6904" s="2">
        <f t="shared" si="7"/>
        <v>1426.89</v>
      </c>
    </row>
    <row r="6905">
      <c r="A6905" s="10">
        <f t="shared" si="8"/>
        <v>44887.66667</v>
      </c>
      <c r="B6905" s="2" t="str">
        <f t="shared" si="2"/>
        <v/>
      </c>
      <c r="C6905" s="2" t="str">
        <f t="shared" si="3"/>
        <v>SP500</v>
      </c>
      <c r="D6905" s="2">
        <f t="shared" si="4"/>
        <v>11174.41</v>
      </c>
      <c r="E6905" s="2">
        <f t="shared" si="5"/>
        <v>11174.41</v>
      </c>
      <c r="G6905" s="10">
        <f t="shared" si="9"/>
        <v>44887.64583</v>
      </c>
      <c r="H6905" s="6" t="str">
        <f t="shared" si="6"/>
        <v/>
      </c>
      <c r="I6905" s="2">
        <f t="shared" si="7"/>
        <v>1426.89</v>
      </c>
    </row>
    <row r="6906">
      <c r="A6906" s="10">
        <f t="shared" si="8"/>
        <v>44888.66667</v>
      </c>
      <c r="B6906" s="2" t="str">
        <f t="shared" si="2"/>
        <v/>
      </c>
      <c r="C6906" s="2" t="str">
        <f t="shared" si="3"/>
        <v>SP500</v>
      </c>
      <c r="D6906" s="2">
        <f t="shared" si="4"/>
        <v>11285.32</v>
      </c>
      <c r="E6906" s="2">
        <f t="shared" si="5"/>
        <v>11285.32</v>
      </c>
      <c r="G6906" s="10">
        <f t="shared" si="9"/>
        <v>44888.64583</v>
      </c>
      <c r="H6906" s="6" t="str">
        <f t="shared" si="6"/>
        <v/>
      </c>
      <c r="I6906" s="2">
        <f t="shared" si="7"/>
        <v>1426.89</v>
      </c>
    </row>
    <row r="6907">
      <c r="A6907" s="10">
        <f t="shared" si="8"/>
        <v>44889.66667</v>
      </c>
      <c r="B6907" s="2" t="str">
        <f t="shared" si="2"/>
        <v/>
      </c>
      <c r="C6907" s="2" t="str">
        <f t="shared" si="3"/>
        <v>SP500</v>
      </c>
      <c r="D6907" s="2" t="str">
        <f t="shared" si="4"/>
        <v/>
      </c>
      <c r="E6907" s="2">
        <f t="shared" si="5"/>
        <v>11285.32</v>
      </c>
      <c r="G6907" s="10">
        <f t="shared" si="9"/>
        <v>44889.64583</v>
      </c>
      <c r="H6907" s="6" t="str">
        <f t="shared" si="6"/>
        <v/>
      </c>
      <c r="I6907" s="2">
        <f t="shared" si="7"/>
        <v>1426.89</v>
      </c>
    </row>
    <row r="6908">
      <c r="A6908" s="10">
        <f t="shared" si="8"/>
        <v>44890.66667</v>
      </c>
      <c r="B6908" s="2" t="str">
        <f t="shared" si="2"/>
        <v/>
      </c>
      <c r="C6908" s="2" t="str">
        <f t="shared" si="3"/>
        <v>SP500</v>
      </c>
      <c r="D6908" s="2" t="str">
        <f t="shared" si="4"/>
        <v/>
      </c>
      <c r="E6908" s="2">
        <f t="shared" si="5"/>
        <v>11285.32</v>
      </c>
      <c r="G6908" s="10">
        <f t="shared" si="9"/>
        <v>44890.64583</v>
      </c>
      <c r="H6908" s="6" t="str">
        <f t="shared" si="6"/>
        <v/>
      </c>
      <c r="I6908" s="2">
        <f t="shared" si="7"/>
        <v>1426.89</v>
      </c>
    </row>
    <row r="6909">
      <c r="A6909" s="10">
        <f t="shared" si="8"/>
        <v>44891.66667</v>
      </c>
      <c r="B6909" s="2" t="str">
        <f t="shared" si="2"/>
        <v/>
      </c>
      <c r="C6909" s="2" t="str">
        <f t="shared" si="3"/>
        <v>SP500</v>
      </c>
      <c r="D6909" s="2" t="str">
        <f t="shared" si="4"/>
        <v/>
      </c>
      <c r="E6909" s="2">
        <f t="shared" si="5"/>
        <v>11285.32</v>
      </c>
      <c r="G6909" s="10">
        <f t="shared" si="9"/>
        <v>44891.64583</v>
      </c>
      <c r="H6909" s="6" t="str">
        <f t="shared" si="6"/>
        <v/>
      </c>
      <c r="I6909" s="2">
        <f t="shared" si="7"/>
        <v>1426.89</v>
      </c>
    </row>
    <row r="6910">
      <c r="A6910" s="10">
        <f t="shared" si="8"/>
        <v>44892.66667</v>
      </c>
      <c r="B6910" s="2" t="str">
        <f t="shared" si="2"/>
        <v/>
      </c>
      <c r="C6910" s="2" t="str">
        <f t="shared" si="3"/>
        <v>SP500</v>
      </c>
      <c r="D6910" s="2" t="str">
        <f t="shared" si="4"/>
        <v/>
      </c>
      <c r="E6910" s="2">
        <f t="shared" si="5"/>
        <v>11285.32</v>
      </c>
      <c r="G6910" s="10">
        <f t="shared" si="9"/>
        <v>44892.64583</v>
      </c>
      <c r="H6910" s="6" t="str">
        <f t="shared" si="6"/>
        <v/>
      </c>
      <c r="I6910" s="2">
        <f t="shared" si="7"/>
        <v>1426.89</v>
      </c>
    </row>
    <row r="6911">
      <c r="A6911" s="10">
        <f t="shared" si="8"/>
        <v>44893.66667</v>
      </c>
      <c r="B6911" s="2" t="str">
        <f t="shared" si="2"/>
        <v/>
      </c>
      <c r="C6911" s="2" t="str">
        <f t="shared" si="3"/>
        <v>SP500</v>
      </c>
      <c r="D6911" s="2">
        <f t="shared" si="4"/>
        <v>11049.5</v>
      </c>
      <c r="E6911" s="2">
        <f t="shared" si="5"/>
        <v>11049.5</v>
      </c>
      <c r="G6911" s="10">
        <f t="shared" si="9"/>
        <v>44893.64583</v>
      </c>
      <c r="H6911" s="6" t="str">
        <f t="shared" si="6"/>
        <v/>
      </c>
      <c r="I6911" s="2">
        <f t="shared" si="7"/>
        <v>1426.89</v>
      </c>
    </row>
    <row r="6912">
      <c r="A6912" s="10">
        <f t="shared" si="8"/>
        <v>44894.66667</v>
      </c>
      <c r="B6912" s="2" t="str">
        <f t="shared" si="2"/>
        <v/>
      </c>
      <c r="C6912" s="2" t="str">
        <f t="shared" si="3"/>
        <v>SP500</v>
      </c>
      <c r="D6912" s="2">
        <f t="shared" si="4"/>
        <v>10983.78</v>
      </c>
      <c r="E6912" s="2">
        <f t="shared" si="5"/>
        <v>10983.78</v>
      </c>
      <c r="G6912" s="10">
        <f t="shared" si="9"/>
        <v>44894.64583</v>
      </c>
      <c r="H6912" s="6" t="str">
        <f t="shared" si="6"/>
        <v/>
      </c>
      <c r="I6912" s="2">
        <f t="shared" si="7"/>
        <v>1426.89</v>
      </c>
    </row>
    <row r="6913">
      <c r="A6913" s="10">
        <f t="shared" si="8"/>
        <v>44895.66667</v>
      </c>
      <c r="B6913" s="2" t="str">
        <f t="shared" si="2"/>
        <v/>
      </c>
      <c r="C6913" s="2" t="str">
        <f t="shared" si="3"/>
        <v>SP500</v>
      </c>
      <c r="D6913" s="2">
        <f t="shared" si="4"/>
        <v>11468</v>
      </c>
      <c r="E6913" s="2">
        <f t="shared" si="5"/>
        <v>11468</v>
      </c>
      <c r="G6913" s="10">
        <f t="shared" si="9"/>
        <v>44895.64583</v>
      </c>
      <c r="H6913" s="6" t="str">
        <f t="shared" si="6"/>
        <v/>
      </c>
      <c r="I6913" s="2">
        <f t="shared" si="7"/>
        <v>1426.89</v>
      </c>
    </row>
    <row r="6914">
      <c r="A6914" s="10">
        <f t="shared" si="8"/>
        <v>44896.66667</v>
      </c>
      <c r="B6914" s="2" t="str">
        <f t="shared" si="2"/>
        <v/>
      </c>
      <c r="C6914" s="2" t="str">
        <f t="shared" si="3"/>
        <v>SP500</v>
      </c>
      <c r="D6914" s="2">
        <f t="shared" si="4"/>
        <v>11482.45</v>
      </c>
      <c r="E6914" s="2">
        <f t="shared" si="5"/>
        <v>11482.45</v>
      </c>
      <c r="G6914" s="10">
        <f t="shared" si="9"/>
        <v>44896.64583</v>
      </c>
      <c r="H6914" s="6" t="str">
        <f t="shared" si="6"/>
        <v/>
      </c>
      <c r="I6914" s="2">
        <f t="shared" si="7"/>
        <v>1426.89</v>
      </c>
    </row>
    <row r="6915">
      <c r="A6915" s="10">
        <f t="shared" si="8"/>
        <v>44897.66667</v>
      </c>
      <c r="B6915" s="2" t="str">
        <f t="shared" si="2"/>
        <v/>
      </c>
      <c r="C6915" s="2" t="str">
        <f t="shared" si="3"/>
        <v>SP500</v>
      </c>
      <c r="D6915" s="2">
        <f t="shared" si="4"/>
        <v>11461.5</v>
      </c>
      <c r="E6915" s="2">
        <f t="shared" si="5"/>
        <v>11461.5</v>
      </c>
      <c r="G6915" s="10">
        <f t="shared" si="9"/>
        <v>44897.64583</v>
      </c>
      <c r="H6915" s="6" t="str">
        <f t="shared" si="6"/>
        <v/>
      </c>
      <c r="I6915" s="2">
        <f t="shared" si="7"/>
        <v>1426.89</v>
      </c>
    </row>
    <row r="6916">
      <c r="A6916" s="10">
        <f t="shared" si="8"/>
        <v>44898.66667</v>
      </c>
      <c r="B6916" s="2" t="str">
        <f t="shared" si="2"/>
        <v/>
      </c>
      <c r="C6916" s="2" t="str">
        <f t="shared" si="3"/>
        <v>SP500</v>
      </c>
      <c r="D6916" s="2" t="str">
        <f t="shared" si="4"/>
        <v/>
      </c>
      <c r="E6916" s="2">
        <f t="shared" si="5"/>
        <v>11461.5</v>
      </c>
      <c r="G6916" s="10">
        <f t="shared" si="9"/>
        <v>44898.64583</v>
      </c>
      <c r="H6916" s="6" t="str">
        <f t="shared" si="6"/>
        <v/>
      </c>
      <c r="I6916" s="2">
        <f t="shared" si="7"/>
        <v>1426.89</v>
      </c>
    </row>
    <row r="6917">
      <c r="A6917" s="10">
        <f t="shared" si="8"/>
        <v>44899.66667</v>
      </c>
      <c r="B6917" s="2" t="str">
        <f t="shared" si="2"/>
        <v/>
      </c>
      <c r="C6917" s="2" t="str">
        <f t="shared" si="3"/>
        <v>SP500</v>
      </c>
      <c r="D6917" s="2" t="str">
        <f t="shared" si="4"/>
        <v/>
      </c>
      <c r="E6917" s="2">
        <f t="shared" si="5"/>
        <v>11461.5</v>
      </c>
      <c r="G6917" s="10">
        <f t="shared" si="9"/>
        <v>44899.64583</v>
      </c>
      <c r="H6917" s="6" t="str">
        <f t="shared" si="6"/>
        <v/>
      </c>
      <c r="I6917" s="2">
        <f t="shared" si="7"/>
        <v>1426.89</v>
      </c>
    </row>
    <row r="6918">
      <c r="A6918" s="10">
        <f t="shared" si="8"/>
        <v>44900.66667</v>
      </c>
      <c r="B6918" s="2" t="str">
        <f t="shared" si="2"/>
        <v/>
      </c>
      <c r="C6918" s="2" t="str">
        <f t="shared" si="3"/>
        <v>SP500</v>
      </c>
      <c r="D6918" s="2">
        <f t="shared" si="4"/>
        <v>11239.94</v>
      </c>
      <c r="E6918" s="2">
        <f t="shared" si="5"/>
        <v>11239.94</v>
      </c>
      <c r="G6918" s="10">
        <f t="shared" si="9"/>
        <v>44900.64583</v>
      </c>
      <c r="H6918" s="6" t="str">
        <f t="shared" si="6"/>
        <v/>
      </c>
      <c r="I6918" s="2">
        <f t="shared" si="7"/>
        <v>1426.89</v>
      </c>
    </row>
    <row r="6919">
      <c r="A6919" s="10">
        <f t="shared" si="8"/>
        <v>44901.66667</v>
      </c>
      <c r="B6919" s="2" t="str">
        <f t="shared" si="2"/>
        <v/>
      </c>
      <c r="C6919" s="2" t="str">
        <f t="shared" si="3"/>
        <v>SP500</v>
      </c>
      <c r="D6919" s="2">
        <f t="shared" si="4"/>
        <v>11014.89</v>
      </c>
      <c r="E6919" s="2">
        <f t="shared" si="5"/>
        <v>11014.89</v>
      </c>
      <c r="G6919" s="10">
        <f t="shared" si="9"/>
        <v>44901.64583</v>
      </c>
      <c r="H6919" s="6" t="str">
        <f t="shared" si="6"/>
        <v/>
      </c>
      <c r="I6919" s="2">
        <f t="shared" si="7"/>
        <v>1426.89</v>
      </c>
    </row>
    <row r="6920">
      <c r="A6920" s="10">
        <f t="shared" si="8"/>
        <v>44902.66667</v>
      </c>
      <c r="B6920" s="2" t="str">
        <f t="shared" si="2"/>
        <v/>
      </c>
      <c r="C6920" s="2" t="str">
        <f t="shared" si="3"/>
        <v>SP500</v>
      </c>
      <c r="D6920" s="2">
        <f t="shared" si="4"/>
        <v>10958.55</v>
      </c>
      <c r="E6920" s="2">
        <f t="shared" si="5"/>
        <v>10958.55</v>
      </c>
      <c r="G6920" s="10">
        <f t="shared" si="9"/>
        <v>44902.64583</v>
      </c>
      <c r="H6920" s="6" t="str">
        <f t="shared" si="6"/>
        <v/>
      </c>
      <c r="I6920" s="2">
        <f t="shared" si="7"/>
        <v>1426.89</v>
      </c>
    </row>
    <row r="6921">
      <c r="A6921" s="10">
        <f t="shared" si="8"/>
        <v>44903.66667</v>
      </c>
      <c r="B6921" s="2" t="str">
        <f t="shared" si="2"/>
        <v/>
      </c>
      <c r="C6921" s="2" t="str">
        <f t="shared" si="3"/>
        <v>SP500</v>
      </c>
      <c r="D6921" s="2">
        <f t="shared" si="4"/>
        <v>11082</v>
      </c>
      <c r="E6921" s="2">
        <f t="shared" si="5"/>
        <v>11082</v>
      </c>
      <c r="G6921" s="10">
        <f t="shared" si="9"/>
        <v>44903.64583</v>
      </c>
      <c r="H6921" s="6" t="str">
        <f t="shared" si="6"/>
        <v/>
      </c>
      <c r="I6921" s="2">
        <f t="shared" si="7"/>
        <v>1426.89</v>
      </c>
    </row>
    <row r="6922">
      <c r="A6922" s="10">
        <f t="shared" si="8"/>
        <v>44904.66667</v>
      </c>
      <c r="B6922" s="2" t="str">
        <f t="shared" si="2"/>
        <v/>
      </c>
      <c r="C6922" s="2" t="str">
        <f t="shared" si="3"/>
        <v>SP500</v>
      </c>
      <c r="D6922" s="2">
        <f t="shared" si="4"/>
        <v>11004.62</v>
      </c>
      <c r="E6922" s="2">
        <f t="shared" si="5"/>
        <v>11004.62</v>
      </c>
      <c r="G6922" s="10">
        <f t="shared" si="9"/>
        <v>44904.64583</v>
      </c>
      <c r="H6922" s="6" t="str">
        <f t="shared" si="6"/>
        <v/>
      </c>
      <c r="I6922" s="2">
        <f t="shared" si="7"/>
        <v>1426.89</v>
      </c>
    </row>
    <row r="6923">
      <c r="A6923" s="10">
        <f t="shared" si="8"/>
        <v>44905.66667</v>
      </c>
      <c r="B6923" s="2" t="str">
        <f t="shared" si="2"/>
        <v/>
      </c>
      <c r="C6923" s="2" t="str">
        <f t="shared" si="3"/>
        <v>SP500</v>
      </c>
      <c r="D6923" s="2" t="str">
        <f t="shared" si="4"/>
        <v/>
      </c>
      <c r="E6923" s="2">
        <f t="shared" si="5"/>
        <v>11004.62</v>
      </c>
      <c r="G6923" s="10">
        <f t="shared" si="9"/>
        <v>44905.64583</v>
      </c>
      <c r="H6923" s="6" t="str">
        <f t="shared" si="6"/>
        <v/>
      </c>
      <c r="I6923" s="2">
        <f t="shared" si="7"/>
        <v>1426.89</v>
      </c>
    </row>
    <row r="6924">
      <c r="A6924" s="10">
        <f t="shared" si="8"/>
        <v>44906.66667</v>
      </c>
      <c r="B6924" s="2" t="str">
        <f t="shared" si="2"/>
        <v/>
      </c>
      <c r="C6924" s="2" t="str">
        <f t="shared" si="3"/>
        <v>SP500</v>
      </c>
      <c r="D6924" s="2" t="str">
        <f t="shared" si="4"/>
        <v/>
      </c>
      <c r="E6924" s="2">
        <f t="shared" si="5"/>
        <v>11004.62</v>
      </c>
      <c r="G6924" s="10">
        <f t="shared" si="9"/>
        <v>44906.64583</v>
      </c>
      <c r="H6924" s="6" t="str">
        <f t="shared" si="6"/>
        <v/>
      </c>
      <c r="I6924" s="2">
        <f t="shared" si="7"/>
        <v>1426.89</v>
      </c>
    </row>
    <row r="6925">
      <c r="A6925" s="10">
        <f t="shared" si="8"/>
        <v>44907.66667</v>
      </c>
      <c r="B6925" s="2" t="str">
        <f t="shared" si="2"/>
        <v/>
      </c>
      <c r="C6925" s="2" t="str">
        <f t="shared" si="3"/>
        <v>SP500</v>
      </c>
      <c r="D6925" s="2">
        <f t="shared" si="4"/>
        <v>11143.74</v>
      </c>
      <c r="E6925" s="2">
        <f t="shared" si="5"/>
        <v>11143.74</v>
      </c>
      <c r="G6925" s="10">
        <f t="shared" si="9"/>
        <v>44907.64583</v>
      </c>
      <c r="H6925" s="6" t="str">
        <f t="shared" si="6"/>
        <v/>
      </c>
      <c r="I6925" s="2">
        <f t="shared" si="7"/>
        <v>1426.89</v>
      </c>
    </row>
    <row r="6926">
      <c r="A6926" s="10">
        <f t="shared" si="8"/>
        <v>44908.66667</v>
      </c>
      <c r="B6926" s="2" t="str">
        <f t="shared" si="2"/>
        <v/>
      </c>
      <c r="C6926" s="2" t="str">
        <f t="shared" si="3"/>
        <v>SP500</v>
      </c>
      <c r="D6926" s="2">
        <f t="shared" si="4"/>
        <v>11256.81</v>
      </c>
      <c r="E6926" s="2">
        <f t="shared" si="5"/>
        <v>11256.81</v>
      </c>
      <c r="G6926" s="10">
        <f t="shared" si="9"/>
        <v>44908.64583</v>
      </c>
      <c r="H6926" s="6" t="str">
        <f t="shared" si="6"/>
        <v/>
      </c>
      <c r="I6926" s="2">
        <f t="shared" si="7"/>
        <v>1426.89</v>
      </c>
    </row>
    <row r="6927">
      <c r="A6927" s="10">
        <f t="shared" si="8"/>
        <v>44909.66667</v>
      </c>
      <c r="B6927" s="2" t="str">
        <f t="shared" si="2"/>
        <v/>
      </c>
      <c r="C6927" s="2" t="str">
        <f t="shared" si="3"/>
        <v>SP500</v>
      </c>
      <c r="D6927" s="2">
        <f t="shared" si="4"/>
        <v>11170.89</v>
      </c>
      <c r="E6927" s="2">
        <f t="shared" si="5"/>
        <v>11170.89</v>
      </c>
      <c r="G6927" s="10">
        <f t="shared" si="9"/>
        <v>44909.64583</v>
      </c>
      <c r="H6927" s="6" t="str">
        <f t="shared" si="6"/>
        <v/>
      </c>
      <c r="I6927" s="2">
        <f t="shared" si="7"/>
        <v>1426.89</v>
      </c>
    </row>
    <row r="6928">
      <c r="A6928" s="10">
        <f t="shared" si="8"/>
        <v>44910.66667</v>
      </c>
      <c r="B6928" s="2" t="str">
        <f t="shared" si="2"/>
        <v/>
      </c>
      <c r="C6928" s="2" t="str">
        <f t="shared" si="3"/>
        <v>SP500</v>
      </c>
      <c r="D6928" s="2">
        <f t="shared" si="4"/>
        <v>10810.53</v>
      </c>
      <c r="E6928" s="2">
        <f t="shared" si="5"/>
        <v>10810.53</v>
      </c>
      <c r="G6928" s="10">
        <f t="shared" si="9"/>
        <v>44910.64583</v>
      </c>
      <c r="H6928" s="6" t="str">
        <f t="shared" si="6"/>
        <v/>
      </c>
      <c r="I6928" s="2">
        <f t="shared" si="7"/>
        <v>1426.89</v>
      </c>
    </row>
    <row r="6929">
      <c r="A6929" s="10">
        <f t="shared" si="8"/>
        <v>44911.66667</v>
      </c>
      <c r="B6929" s="2" t="str">
        <f t="shared" si="2"/>
        <v/>
      </c>
      <c r="C6929" s="2" t="str">
        <f t="shared" si="3"/>
        <v>SP500</v>
      </c>
      <c r="D6929" s="2">
        <f t="shared" si="4"/>
        <v>10705.41</v>
      </c>
      <c r="E6929" s="2">
        <f t="shared" si="5"/>
        <v>10705.41</v>
      </c>
      <c r="G6929" s="10">
        <f t="shared" si="9"/>
        <v>44911.64583</v>
      </c>
      <c r="H6929" s="6" t="str">
        <f t="shared" si="6"/>
        <v/>
      </c>
      <c r="I6929" s="2">
        <f t="shared" si="7"/>
        <v>1426.89</v>
      </c>
    </row>
    <row r="6930">
      <c r="A6930" s="10">
        <f t="shared" si="8"/>
        <v>44912.66667</v>
      </c>
      <c r="B6930" s="2" t="str">
        <f t="shared" si="2"/>
        <v/>
      </c>
      <c r="C6930" s="2" t="str">
        <f t="shared" si="3"/>
        <v>SP500</v>
      </c>
      <c r="D6930" s="2" t="str">
        <f t="shared" si="4"/>
        <v/>
      </c>
      <c r="E6930" s="2">
        <f t="shared" si="5"/>
        <v>10705.41</v>
      </c>
      <c r="G6930" s="10">
        <f t="shared" si="9"/>
        <v>44912.64583</v>
      </c>
      <c r="H6930" s="6" t="str">
        <f t="shared" si="6"/>
        <v/>
      </c>
      <c r="I6930" s="2">
        <f t="shared" si="7"/>
        <v>1426.89</v>
      </c>
    </row>
    <row r="6931">
      <c r="A6931" s="10">
        <f t="shared" si="8"/>
        <v>44913.66667</v>
      </c>
      <c r="B6931" s="2" t="str">
        <f t="shared" si="2"/>
        <v/>
      </c>
      <c r="C6931" s="2" t="str">
        <f t="shared" si="3"/>
        <v>SP500</v>
      </c>
      <c r="D6931" s="2" t="str">
        <f t="shared" si="4"/>
        <v/>
      </c>
      <c r="E6931" s="2">
        <f t="shared" si="5"/>
        <v>10705.41</v>
      </c>
      <c r="G6931" s="10">
        <f t="shared" si="9"/>
        <v>44913.64583</v>
      </c>
      <c r="H6931" s="6" t="str">
        <f t="shared" si="6"/>
        <v/>
      </c>
      <c r="I6931" s="2">
        <f t="shared" si="7"/>
        <v>1426.89</v>
      </c>
    </row>
    <row r="6932">
      <c r="A6932" s="10">
        <f t="shared" si="8"/>
        <v>44914.66667</v>
      </c>
      <c r="B6932" s="2" t="str">
        <f t="shared" si="2"/>
        <v/>
      </c>
      <c r="C6932" s="2" t="str">
        <f t="shared" si="3"/>
        <v>SP500</v>
      </c>
      <c r="D6932" s="2">
        <f t="shared" si="4"/>
        <v>10546.03</v>
      </c>
      <c r="E6932" s="2">
        <f t="shared" si="5"/>
        <v>10546.03</v>
      </c>
      <c r="G6932" s="10">
        <f t="shared" si="9"/>
        <v>44914.64583</v>
      </c>
      <c r="H6932" s="6" t="str">
        <f t="shared" si="6"/>
        <v/>
      </c>
      <c r="I6932" s="2">
        <f t="shared" si="7"/>
        <v>1426.89</v>
      </c>
    </row>
    <row r="6933">
      <c r="A6933" s="10">
        <f t="shared" si="8"/>
        <v>44915.66667</v>
      </c>
      <c r="B6933" s="2" t="str">
        <f t="shared" si="2"/>
        <v/>
      </c>
      <c r="C6933" s="2" t="str">
        <f t="shared" si="3"/>
        <v>SP500</v>
      </c>
      <c r="D6933" s="2">
        <f t="shared" si="4"/>
        <v>10547.11</v>
      </c>
      <c r="E6933" s="2">
        <f t="shared" si="5"/>
        <v>10547.11</v>
      </c>
      <c r="G6933" s="10">
        <f t="shared" si="9"/>
        <v>44915.64583</v>
      </c>
      <c r="H6933" s="6" t="str">
        <f t="shared" si="6"/>
        <v/>
      </c>
      <c r="I6933" s="2">
        <f t="shared" si="7"/>
        <v>1426.89</v>
      </c>
    </row>
    <row r="6934">
      <c r="A6934" s="10">
        <f t="shared" si="8"/>
        <v>44916.66667</v>
      </c>
      <c r="B6934" s="2" t="str">
        <f t="shared" si="2"/>
        <v/>
      </c>
      <c r="C6934" s="2" t="str">
        <f t="shared" si="3"/>
        <v>SP500</v>
      </c>
      <c r="D6934" s="2">
        <f t="shared" si="4"/>
        <v>10709.37</v>
      </c>
      <c r="E6934" s="2">
        <f t="shared" si="5"/>
        <v>10709.37</v>
      </c>
      <c r="G6934" s="10">
        <f t="shared" si="9"/>
        <v>44916.64583</v>
      </c>
      <c r="H6934" s="6" t="str">
        <f t="shared" si="6"/>
        <v/>
      </c>
      <c r="I6934" s="2">
        <f t="shared" si="7"/>
        <v>1426.89</v>
      </c>
    </row>
    <row r="6935">
      <c r="A6935" s="10">
        <f t="shared" si="8"/>
        <v>44917.66667</v>
      </c>
      <c r="B6935" s="2" t="str">
        <f t="shared" si="2"/>
        <v/>
      </c>
      <c r="C6935" s="2" t="str">
        <f t="shared" si="3"/>
        <v>SP500</v>
      </c>
      <c r="D6935" s="2">
        <f t="shared" si="4"/>
        <v>10476.12</v>
      </c>
      <c r="E6935" s="2">
        <f t="shared" si="5"/>
        <v>10476.12</v>
      </c>
      <c r="G6935" s="10">
        <f t="shared" si="9"/>
        <v>44917.64583</v>
      </c>
      <c r="H6935" s="6" t="str">
        <f t="shared" si="6"/>
        <v/>
      </c>
      <c r="I6935" s="2">
        <f t="shared" si="7"/>
        <v>1426.89</v>
      </c>
    </row>
    <row r="6936">
      <c r="A6936" s="10">
        <f t="shared" si="8"/>
        <v>44918.66667</v>
      </c>
      <c r="B6936" s="2" t="str">
        <f t="shared" si="2"/>
        <v/>
      </c>
      <c r="C6936" s="2" t="str">
        <f t="shared" si="3"/>
        <v>SP500</v>
      </c>
      <c r="D6936" s="2">
        <f t="shared" si="4"/>
        <v>10497.86</v>
      </c>
      <c r="E6936" s="2">
        <f t="shared" si="5"/>
        <v>10497.86</v>
      </c>
      <c r="G6936" s="10">
        <f t="shared" si="9"/>
        <v>44918.64583</v>
      </c>
      <c r="H6936" s="6" t="str">
        <f t="shared" si="6"/>
        <v/>
      </c>
      <c r="I6936" s="2">
        <f t="shared" si="7"/>
        <v>1426.89</v>
      </c>
    </row>
    <row r="6937">
      <c r="A6937" s="10">
        <f t="shared" si="8"/>
        <v>44919.66667</v>
      </c>
      <c r="B6937" s="2" t="str">
        <f t="shared" si="2"/>
        <v/>
      </c>
      <c r="C6937" s="2" t="str">
        <f t="shared" si="3"/>
        <v>SP500</v>
      </c>
      <c r="D6937" s="2" t="str">
        <f t="shared" si="4"/>
        <v/>
      </c>
      <c r="E6937" s="2">
        <f t="shared" si="5"/>
        <v>10497.86</v>
      </c>
      <c r="G6937" s="10">
        <f t="shared" si="9"/>
        <v>44919.64583</v>
      </c>
      <c r="H6937" s="6" t="str">
        <f t="shared" si="6"/>
        <v/>
      </c>
      <c r="I6937" s="2">
        <f t="shared" si="7"/>
        <v>1426.89</v>
      </c>
    </row>
    <row r="6938">
      <c r="A6938" s="10">
        <f t="shared" si="8"/>
        <v>44920.66667</v>
      </c>
      <c r="B6938" s="2" t="str">
        <f t="shared" si="2"/>
        <v/>
      </c>
      <c r="C6938" s="2" t="str">
        <f t="shared" si="3"/>
        <v>SP500</v>
      </c>
      <c r="D6938" s="2" t="str">
        <f t="shared" si="4"/>
        <v/>
      </c>
      <c r="E6938" s="2">
        <f t="shared" si="5"/>
        <v>10497.86</v>
      </c>
      <c r="G6938" s="10">
        <f t="shared" si="9"/>
        <v>44920.64583</v>
      </c>
      <c r="H6938" s="6" t="str">
        <f t="shared" si="6"/>
        <v/>
      </c>
      <c r="I6938" s="2">
        <f t="shared" si="7"/>
        <v>1426.89</v>
      </c>
    </row>
    <row r="6939">
      <c r="A6939" s="10">
        <f t="shared" si="8"/>
        <v>44921.66667</v>
      </c>
      <c r="B6939" s="2" t="str">
        <f t="shared" si="2"/>
        <v/>
      </c>
      <c r="C6939" s="2" t="str">
        <f t="shared" si="3"/>
        <v>SP500</v>
      </c>
      <c r="D6939" s="2" t="str">
        <f t="shared" si="4"/>
        <v/>
      </c>
      <c r="E6939" s="2">
        <f t="shared" si="5"/>
        <v>10497.86</v>
      </c>
      <c r="G6939" s="10">
        <f t="shared" si="9"/>
        <v>44921.64583</v>
      </c>
      <c r="H6939" s="6" t="str">
        <f t="shared" si="6"/>
        <v/>
      </c>
      <c r="I6939" s="2">
        <f t="shared" si="7"/>
        <v>1426.89</v>
      </c>
    </row>
    <row r="6940">
      <c r="A6940" s="10">
        <f t="shared" si="8"/>
        <v>44922.66667</v>
      </c>
      <c r="B6940" s="2" t="str">
        <f t="shared" si="2"/>
        <v/>
      </c>
      <c r="C6940" s="2" t="str">
        <f t="shared" si="3"/>
        <v>SP500</v>
      </c>
      <c r="D6940" s="2">
        <f t="shared" si="4"/>
        <v>10353.23</v>
      </c>
      <c r="E6940" s="2">
        <f t="shared" si="5"/>
        <v>10353.23</v>
      </c>
      <c r="G6940" s="10">
        <f t="shared" si="9"/>
        <v>44922.64583</v>
      </c>
      <c r="H6940" s="6" t="str">
        <f t="shared" si="6"/>
        <v/>
      </c>
      <c r="I6940" s="2">
        <f t="shared" si="7"/>
        <v>1426.89</v>
      </c>
    </row>
    <row r="6941">
      <c r="A6941" s="10">
        <f t="shared" si="8"/>
        <v>44923.66667</v>
      </c>
      <c r="B6941" s="2" t="str">
        <f t="shared" si="2"/>
        <v/>
      </c>
      <c r="C6941" s="2" t="str">
        <f t="shared" si="3"/>
        <v>SP500</v>
      </c>
      <c r="D6941" s="2">
        <f t="shared" si="4"/>
        <v>10213.29</v>
      </c>
      <c r="E6941" s="2">
        <f t="shared" si="5"/>
        <v>10213.29</v>
      </c>
      <c r="G6941" s="10">
        <f t="shared" si="9"/>
        <v>44923.64583</v>
      </c>
      <c r="H6941" s="6" t="str">
        <f t="shared" si="6"/>
        <v/>
      </c>
      <c r="I6941" s="2">
        <f t="shared" si="7"/>
        <v>1426.89</v>
      </c>
    </row>
    <row r="6942">
      <c r="A6942" s="10">
        <f t="shared" si="8"/>
        <v>44924.66667</v>
      </c>
      <c r="B6942" s="2" t="str">
        <f t="shared" si="2"/>
        <v/>
      </c>
      <c r="C6942" s="2" t="str">
        <f t="shared" si="3"/>
        <v>SP500</v>
      </c>
      <c r="D6942" s="2">
        <f t="shared" si="4"/>
        <v>10478.09</v>
      </c>
      <c r="E6942" s="2">
        <f t="shared" si="5"/>
        <v>10478.09</v>
      </c>
      <c r="G6942" s="10">
        <f t="shared" si="9"/>
        <v>44924.64583</v>
      </c>
      <c r="H6942" s="6" t="str">
        <f t="shared" si="6"/>
        <v/>
      </c>
      <c r="I6942" s="2">
        <f t="shared" si="7"/>
        <v>1426.89</v>
      </c>
    </row>
    <row r="6943">
      <c r="A6943" s="10">
        <f t="shared" si="8"/>
        <v>44925.66667</v>
      </c>
      <c r="B6943" s="2" t="str">
        <f t="shared" si="2"/>
        <v/>
      </c>
      <c r="C6943" s="2" t="str">
        <f t="shared" si="3"/>
        <v>SP500</v>
      </c>
      <c r="D6943" s="2">
        <f t="shared" si="4"/>
        <v>10466.48</v>
      </c>
      <c r="E6943" s="2">
        <f t="shared" si="5"/>
        <v>10466.48</v>
      </c>
      <c r="G6943" s="10">
        <f t="shared" si="9"/>
        <v>44925.64583</v>
      </c>
      <c r="H6943" s="6" t="str">
        <f t="shared" si="6"/>
        <v/>
      </c>
      <c r="I6943" s="2">
        <f t="shared" si="7"/>
        <v>1426.89</v>
      </c>
    </row>
    <row r="6944">
      <c r="A6944" s="10">
        <f t="shared" si="8"/>
        <v>44926.66667</v>
      </c>
      <c r="B6944" s="2" t="str">
        <f t="shared" si="2"/>
        <v/>
      </c>
      <c r="C6944" s="2" t="str">
        <f t="shared" si="3"/>
        <v>SP500</v>
      </c>
      <c r="D6944" s="2" t="str">
        <f t="shared" si="4"/>
        <v/>
      </c>
      <c r="E6944" s="2">
        <f t="shared" si="5"/>
        <v>10466.48</v>
      </c>
      <c r="G6944" s="10">
        <f t="shared" si="9"/>
        <v>44926.64583</v>
      </c>
      <c r="H6944" s="6" t="str">
        <f t="shared" si="6"/>
        <v/>
      </c>
      <c r="I6944" s="2">
        <f t="shared" si="7"/>
        <v>1426.89</v>
      </c>
    </row>
    <row r="6945">
      <c r="A6945" s="10">
        <f t="shared" si="8"/>
        <v>44927.66667</v>
      </c>
      <c r="B6945" s="2" t="str">
        <f t="shared" si="2"/>
        <v/>
      </c>
      <c r="C6945" s="2" t="str">
        <f t="shared" si="3"/>
        <v>SP500</v>
      </c>
      <c r="D6945" s="2" t="str">
        <f t="shared" si="4"/>
        <v/>
      </c>
      <c r="E6945" s="2">
        <f t="shared" si="5"/>
        <v>10466.48</v>
      </c>
      <c r="G6945" s="10">
        <f t="shared" si="9"/>
        <v>44927.64583</v>
      </c>
      <c r="H6945" s="6" t="str">
        <f t="shared" si="6"/>
        <v/>
      </c>
      <c r="I6945" s="2">
        <f t="shared" si="7"/>
        <v>1426.89</v>
      </c>
    </row>
    <row r="6946">
      <c r="A6946" s="10">
        <f t="shared" si="8"/>
        <v>44928.66667</v>
      </c>
      <c r="B6946" s="2" t="str">
        <f t="shared" si="2"/>
        <v/>
      </c>
      <c r="C6946" s="2" t="str">
        <f t="shared" si="3"/>
        <v>SP500</v>
      </c>
      <c r="D6946" s="2" t="str">
        <f t="shared" si="4"/>
        <v/>
      </c>
      <c r="E6946" s="2">
        <f t="shared" si="5"/>
        <v>10466.48</v>
      </c>
      <c r="G6946" s="10">
        <f t="shared" si="9"/>
        <v>44928.64583</v>
      </c>
      <c r="H6946" s="6" t="str">
        <f t="shared" si="6"/>
        <v/>
      </c>
      <c r="I6946" s="2">
        <f t="shared" si="7"/>
        <v>1426.89</v>
      </c>
    </row>
    <row r="6947">
      <c r="A6947" s="10">
        <f t="shared" si="8"/>
        <v>44929.66667</v>
      </c>
      <c r="B6947" s="2" t="str">
        <f t="shared" si="2"/>
        <v/>
      </c>
      <c r="C6947" s="2" t="str">
        <f t="shared" si="3"/>
        <v>SP500</v>
      </c>
      <c r="D6947" s="2">
        <f t="shared" si="4"/>
        <v>10386.99</v>
      </c>
      <c r="E6947" s="2">
        <f t="shared" si="5"/>
        <v>10386.99</v>
      </c>
      <c r="G6947" s="10">
        <f t="shared" si="9"/>
        <v>44929.64583</v>
      </c>
      <c r="H6947" s="6" t="str">
        <f t="shared" si="6"/>
        <v/>
      </c>
      <c r="I6947" s="2">
        <f t="shared" si="7"/>
        <v>1426.89</v>
      </c>
    </row>
    <row r="6948">
      <c r="A6948" s="10">
        <f t="shared" si="8"/>
        <v>44930.66667</v>
      </c>
      <c r="B6948" s="2" t="str">
        <f t="shared" si="2"/>
        <v/>
      </c>
      <c r="C6948" s="2" t="str">
        <f t="shared" si="3"/>
        <v>SP500</v>
      </c>
      <c r="D6948" s="2">
        <f t="shared" si="4"/>
        <v>10458.76</v>
      </c>
      <c r="E6948" s="2">
        <f t="shared" si="5"/>
        <v>10458.76</v>
      </c>
      <c r="G6948" s="10">
        <f t="shared" si="9"/>
        <v>44930.64583</v>
      </c>
      <c r="H6948" s="6" t="str">
        <f t="shared" si="6"/>
        <v/>
      </c>
      <c r="I6948" s="2">
        <f t="shared" si="7"/>
        <v>1426.89</v>
      </c>
    </row>
    <row r="6949">
      <c r="A6949" s="10">
        <f t="shared" si="8"/>
        <v>44931.66667</v>
      </c>
      <c r="B6949" s="2" t="str">
        <f t="shared" si="2"/>
        <v/>
      </c>
      <c r="C6949" s="2" t="str">
        <f t="shared" si="3"/>
        <v>SP500</v>
      </c>
      <c r="D6949" s="2">
        <f t="shared" si="4"/>
        <v>10305.24</v>
      </c>
      <c r="E6949" s="2">
        <f t="shared" si="5"/>
        <v>10305.24</v>
      </c>
      <c r="G6949" s="10">
        <f t="shared" si="9"/>
        <v>44931.64583</v>
      </c>
      <c r="H6949" s="6" t="str">
        <f t="shared" si="6"/>
        <v/>
      </c>
      <c r="I6949" s="2">
        <f t="shared" si="7"/>
        <v>1426.89</v>
      </c>
    </row>
    <row r="6950">
      <c r="A6950" s="10">
        <f t="shared" si="8"/>
        <v>44932.66667</v>
      </c>
      <c r="B6950" s="2" t="str">
        <f t="shared" si="2"/>
        <v/>
      </c>
      <c r="C6950" s="2" t="str">
        <f t="shared" si="3"/>
        <v>SP500</v>
      </c>
      <c r="D6950" s="2">
        <f t="shared" si="4"/>
        <v>10569.29</v>
      </c>
      <c r="E6950" s="2">
        <f t="shared" si="5"/>
        <v>10569.29</v>
      </c>
      <c r="G6950" s="10">
        <f t="shared" si="9"/>
        <v>44932.64583</v>
      </c>
      <c r="H6950" s="6" t="str">
        <f t="shared" si="6"/>
        <v/>
      </c>
      <c r="I6950" s="2">
        <f t="shared" si="7"/>
        <v>1426.89</v>
      </c>
    </row>
    <row r="6951">
      <c r="A6951" s="10">
        <f t="shared" si="8"/>
        <v>44933.66667</v>
      </c>
      <c r="B6951" s="2" t="str">
        <f t="shared" si="2"/>
        <v/>
      </c>
      <c r="C6951" s="2" t="str">
        <f t="shared" si="3"/>
        <v>SP500</v>
      </c>
      <c r="D6951" s="2" t="str">
        <f t="shared" si="4"/>
        <v/>
      </c>
      <c r="E6951" s="2">
        <f t="shared" si="5"/>
        <v>10569.29</v>
      </c>
      <c r="G6951" s="10">
        <f t="shared" si="9"/>
        <v>44933.64583</v>
      </c>
      <c r="H6951" s="6" t="str">
        <f t="shared" si="6"/>
        <v/>
      </c>
      <c r="I6951" s="2">
        <f t="shared" si="7"/>
        <v>1426.89</v>
      </c>
    </row>
    <row r="6952">
      <c r="A6952" s="10">
        <f t="shared" si="8"/>
        <v>44934.66667</v>
      </c>
      <c r="B6952" s="2" t="str">
        <f t="shared" si="2"/>
        <v/>
      </c>
      <c r="C6952" s="2" t="str">
        <f t="shared" si="3"/>
        <v>SP500</v>
      </c>
      <c r="D6952" s="2" t="str">
        <f t="shared" si="4"/>
        <v/>
      </c>
      <c r="E6952" s="2">
        <f t="shared" si="5"/>
        <v>10569.29</v>
      </c>
      <c r="G6952" s="10">
        <f t="shared" si="9"/>
        <v>44934.64583</v>
      </c>
      <c r="H6952" s="6" t="str">
        <f t="shared" si="6"/>
        <v/>
      </c>
      <c r="I6952" s="2">
        <f t="shared" si="7"/>
        <v>1426.89</v>
      </c>
    </row>
    <row r="6953">
      <c r="A6953" s="10">
        <f t="shared" si="8"/>
        <v>44935.66667</v>
      </c>
      <c r="B6953" s="2" t="str">
        <f t="shared" si="2"/>
        <v/>
      </c>
      <c r="C6953" s="2" t="str">
        <f t="shared" si="3"/>
        <v>SP500</v>
      </c>
      <c r="D6953" s="2">
        <f t="shared" si="4"/>
        <v>10635.65</v>
      </c>
      <c r="E6953" s="2">
        <f t="shared" si="5"/>
        <v>10635.65</v>
      </c>
      <c r="G6953" s="10">
        <f t="shared" si="9"/>
        <v>44935.64583</v>
      </c>
      <c r="H6953" s="6" t="str">
        <f t="shared" si="6"/>
        <v/>
      </c>
      <c r="I6953" s="2">
        <f t="shared" si="7"/>
        <v>1426.89</v>
      </c>
    </row>
    <row r="6954">
      <c r="A6954" s="10">
        <f t="shared" si="8"/>
        <v>44936.66667</v>
      </c>
      <c r="B6954" s="2" t="str">
        <f t="shared" si="2"/>
        <v/>
      </c>
      <c r="C6954" s="2" t="str">
        <f t="shared" si="3"/>
        <v>SP500</v>
      </c>
      <c r="D6954" s="2">
        <f t="shared" si="4"/>
        <v>10742.63</v>
      </c>
      <c r="E6954" s="2">
        <f t="shared" si="5"/>
        <v>10742.63</v>
      </c>
      <c r="G6954" s="10">
        <f t="shared" si="9"/>
        <v>44936.64583</v>
      </c>
      <c r="H6954" s="6" t="str">
        <f t="shared" si="6"/>
        <v/>
      </c>
      <c r="I6954" s="2">
        <f t="shared" si="7"/>
        <v>1426.89</v>
      </c>
    </row>
    <row r="6955">
      <c r="A6955" s="10">
        <f t="shared" si="8"/>
        <v>44937.66667</v>
      </c>
      <c r="B6955" s="2" t="str">
        <f t="shared" si="2"/>
        <v/>
      </c>
      <c r="C6955" s="2" t="str">
        <f t="shared" si="3"/>
        <v>SP500</v>
      </c>
      <c r="D6955" s="2">
        <f t="shared" si="4"/>
        <v>10931.67</v>
      </c>
      <c r="E6955" s="2">
        <f t="shared" si="5"/>
        <v>10931.67</v>
      </c>
      <c r="G6955" s="10">
        <f t="shared" si="9"/>
        <v>44937.64583</v>
      </c>
      <c r="H6955" s="6" t="str">
        <f t="shared" si="6"/>
        <v/>
      </c>
      <c r="I6955" s="2">
        <f t="shared" si="7"/>
        <v>1426.89</v>
      </c>
    </row>
    <row r="6956">
      <c r="A6956" s="10">
        <f t="shared" si="8"/>
        <v>44938.66667</v>
      </c>
      <c r="B6956" s="2" t="str">
        <f t="shared" si="2"/>
        <v/>
      </c>
      <c r="C6956" s="2" t="str">
        <f t="shared" si="3"/>
        <v>SP500</v>
      </c>
      <c r="D6956" s="2">
        <f t="shared" si="4"/>
        <v>11001.11</v>
      </c>
      <c r="E6956" s="2">
        <f t="shared" si="5"/>
        <v>11001.11</v>
      </c>
      <c r="G6956" s="10">
        <f t="shared" si="9"/>
        <v>44938.64583</v>
      </c>
      <c r="H6956" s="6" t="str">
        <f t="shared" si="6"/>
        <v/>
      </c>
      <c r="I6956" s="2">
        <f t="shared" si="7"/>
        <v>1426.89</v>
      </c>
    </row>
    <row r="6957">
      <c r="A6957" s="10">
        <f t="shared" si="8"/>
        <v>44939.66667</v>
      </c>
      <c r="B6957" s="2" t="str">
        <f t="shared" si="2"/>
        <v/>
      </c>
      <c r="C6957" s="2" t="str">
        <f t="shared" si="3"/>
        <v>SP500</v>
      </c>
      <c r="D6957" s="2">
        <f t="shared" si="4"/>
        <v>11079.16</v>
      </c>
      <c r="E6957" s="2">
        <f t="shared" si="5"/>
        <v>11079.16</v>
      </c>
      <c r="G6957" s="10">
        <f t="shared" si="9"/>
        <v>44939.64583</v>
      </c>
      <c r="H6957" s="6" t="str">
        <f t="shared" si="6"/>
        <v/>
      </c>
      <c r="I6957" s="2">
        <f t="shared" si="7"/>
        <v>1426.89</v>
      </c>
    </row>
    <row r="6958">
      <c r="A6958" s="10">
        <f t="shared" si="8"/>
        <v>44940.66667</v>
      </c>
      <c r="B6958" s="2" t="str">
        <f t="shared" si="2"/>
        <v/>
      </c>
      <c r="C6958" s="2" t="str">
        <f t="shared" si="3"/>
        <v>SP500</v>
      </c>
      <c r="D6958" s="2" t="str">
        <f t="shared" si="4"/>
        <v/>
      </c>
      <c r="E6958" s="2">
        <f t="shared" si="5"/>
        <v>11079.16</v>
      </c>
      <c r="G6958" s="10">
        <f t="shared" si="9"/>
        <v>44940.64583</v>
      </c>
      <c r="H6958" s="6" t="str">
        <f t="shared" si="6"/>
        <v/>
      </c>
      <c r="I6958" s="2">
        <f t="shared" si="7"/>
        <v>1426.89</v>
      </c>
    </row>
    <row r="6959">
      <c r="A6959" s="10">
        <f t="shared" si="8"/>
        <v>44941.66667</v>
      </c>
      <c r="B6959" s="2" t="str">
        <f t="shared" si="2"/>
        <v/>
      </c>
      <c r="C6959" s="2" t="str">
        <f t="shared" si="3"/>
        <v>SP500</v>
      </c>
      <c r="D6959" s="2" t="str">
        <f t="shared" si="4"/>
        <v/>
      </c>
      <c r="E6959" s="2">
        <f t="shared" si="5"/>
        <v>11079.16</v>
      </c>
      <c r="G6959" s="10">
        <f t="shared" si="9"/>
        <v>44941.64583</v>
      </c>
      <c r="H6959" s="6" t="str">
        <f t="shared" si="6"/>
        <v/>
      </c>
      <c r="I6959" s="2">
        <f t="shared" si="7"/>
        <v>1426.89</v>
      </c>
    </row>
    <row r="6960">
      <c r="A6960" s="10">
        <f t="shared" si="8"/>
        <v>44942.66667</v>
      </c>
      <c r="B6960" s="2" t="str">
        <f t="shared" si="2"/>
        <v/>
      </c>
      <c r="C6960" s="2" t="str">
        <f t="shared" si="3"/>
        <v>SP500</v>
      </c>
      <c r="D6960" s="2" t="str">
        <f t="shared" si="4"/>
        <v/>
      </c>
      <c r="E6960" s="2">
        <f t="shared" si="5"/>
        <v>11079.16</v>
      </c>
      <c r="G6960" s="10">
        <f t="shared" si="9"/>
        <v>44942.64583</v>
      </c>
      <c r="H6960" s="6" t="str">
        <f t="shared" si="6"/>
        <v/>
      </c>
      <c r="I6960" s="2">
        <f t="shared" si="7"/>
        <v>1426.89</v>
      </c>
    </row>
    <row r="6961">
      <c r="A6961" s="10">
        <f t="shared" si="8"/>
        <v>44943.66667</v>
      </c>
      <c r="B6961" s="2" t="str">
        <f t="shared" si="2"/>
        <v/>
      </c>
      <c r="C6961" s="2" t="str">
        <f t="shared" si="3"/>
        <v>SP500</v>
      </c>
      <c r="D6961" s="2">
        <f t="shared" si="4"/>
        <v>11095.11</v>
      </c>
      <c r="E6961" s="2">
        <f t="shared" si="5"/>
        <v>11095.11</v>
      </c>
      <c r="G6961" s="10">
        <f t="shared" si="9"/>
        <v>44943.64583</v>
      </c>
      <c r="H6961" s="6" t="str">
        <f t="shared" si="6"/>
        <v/>
      </c>
      <c r="I6961" s="2">
        <f t="shared" si="7"/>
        <v>1426.89</v>
      </c>
    </row>
    <row r="6962">
      <c r="A6962" s="10">
        <f t="shared" si="8"/>
        <v>44944.66667</v>
      </c>
      <c r="B6962" s="2" t="str">
        <f t="shared" si="2"/>
        <v/>
      </c>
      <c r="C6962" s="2" t="str">
        <f t="shared" si="3"/>
        <v>SP500</v>
      </c>
      <c r="D6962" s="2">
        <f t="shared" si="4"/>
        <v>10957.01</v>
      </c>
      <c r="E6962" s="2">
        <f t="shared" si="5"/>
        <v>10957.01</v>
      </c>
      <c r="G6962" s="10">
        <f t="shared" si="9"/>
        <v>44944.64583</v>
      </c>
      <c r="H6962" s="6" t="str">
        <f t="shared" si="6"/>
        <v/>
      </c>
      <c r="I6962" s="2">
        <f t="shared" si="7"/>
        <v>1426.89</v>
      </c>
    </row>
    <row r="6963">
      <c r="A6963" s="10">
        <f t="shared" si="8"/>
        <v>44945.66667</v>
      </c>
      <c r="B6963" s="2" t="str">
        <f t="shared" si="2"/>
        <v/>
      </c>
      <c r="C6963" s="2" t="str">
        <f t="shared" si="3"/>
        <v>SP500</v>
      </c>
      <c r="D6963" s="2">
        <f t="shared" si="4"/>
        <v>10852.27</v>
      </c>
      <c r="E6963" s="2">
        <f t="shared" si="5"/>
        <v>10852.27</v>
      </c>
      <c r="G6963" s="10">
        <f t="shared" si="9"/>
        <v>44945.64583</v>
      </c>
      <c r="H6963" s="6" t="str">
        <f t="shared" si="6"/>
        <v/>
      </c>
      <c r="I6963" s="2">
        <f t="shared" si="7"/>
        <v>1426.89</v>
      </c>
    </row>
    <row r="6964">
      <c r="A6964" s="10">
        <f t="shared" si="8"/>
        <v>44946.66667</v>
      </c>
      <c r="B6964" s="2" t="str">
        <f t="shared" si="2"/>
        <v/>
      </c>
      <c r="C6964" s="2" t="str">
        <f t="shared" si="3"/>
        <v>SP500</v>
      </c>
      <c r="D6964" s="2">
        <f t="shared" si="4"/>
        <v>11140.43</v>
      </c>
      <c r="E6964" s="2">
        <f t="shared" si="5"/>
        <v>11140.43</v>
      </c>
      <c r="G6964" s="10">
        <f t="shared" si="9"/>
        <v>44946.64583</v>
      </c>
      <c r="H6964" s="6" t="str">
        <f t="shared" si="6"/>
        <v/>
      </c>
      <c r="I6964" s="2">
        <f t="shared" si="7"/>
        <v>1426.89</v>
      </c>
    </row>
    <row r="6965">
      <c r="A6965" s="10">
        <f t="shared" si="8"/>
        <v>44947.66667</v>
      </c>
      <c r="B6965" s="2" t="str">
        <f t="shared" si="2"/>
        <v/>
      </c>
      <c r="C6965" s="2" t="str">
        <f t="shared" si="3"/>
        <v>SP500</v>
      </c>
      <c r="D6965" s="2" t="str">
        <f t="shared" si="4"/>
        <v/>
      </c>
      <c r="E6965" s="2">
        <f t="shared" si="5"/>
        <v>11140.43</v>
      </c>
      <c r="G6965" s="10">
        <f t="shared" si="9"/>
        <v>44947.64583</v>
      </c>
      <c r="H6965" s="6" t="str">
        <f t="shared" si="6"/>
        <v/>
      </c>
      <c r="I6965" s="2">
        <f t="shared" si="7"/>
        <v>1426.89</v>
      </c>
    </row>
    <row r="6966">
      <c r="A6966" s="10">
        <f t="shared" si="8"/>
        <v>44948.66667</v>
      </c>
      <c r="B6966" s="2" t="str">
        <f t="shared" si="2"/>
        <v/>
      </c>
      <c r="C6966" s="2" t="str">
        <f t="shared" si="3"/>
        <v>SP500</v>
      </c>
      <c r="D6966" s="2" t="str">
        <f t="shared" si="4"/>
        <v/>
      </c>
      <c r="E6966" s="2">
        <f t="shared" si="5"/>
        <v>11140.43</v>
      </c>
      <c r="G6966" s="10">
        <f t="shared" si="9"/>
        <v>44948.64583</v>
      </c>
      <c r="H6966" s="6" t="str">
        <f t="shared" si="6"/>
        <v/>
      </c>
      <c r="I6966" s="2">
        <f t="shared" si="7"/>
        <v>1426.89</v>
      </c>
    </row>
    <row r="6967">
      <c r="A6967" s="10">
        <f t="shared" si="8"/>
        <v>44949.66667</v>
      </c>
      <c r="B6967" s="2" t="str">
        <f t="shared" si="2"/>
        <v/>
      </c>
      <c r="C6967" s="2" t="str">
        <f t="shared" si="3"/>
        <v>SP500</v>
      </c>
      <c r="D6967" s="2">
        <f t="shared" si="4"/>
        <v>11364.41</v>
      </c>
      <c r="E6967" s="2">
        <f t="shared" si="5"/>
        <v>11364.41</v>
      </c>
      <c r="G6967" s="10">
        <f t="shared" si="9"/>
        <v>44949.64583</v>
      </c>
      <c r="H6967" s="6" t="str">
        <f t="shared" si="6"/>
        <v/>
      </c>
      <c r="I6967" s="2">
        <f t="shared" si="7"/>
        <v>1426.89</v>
      </c>
    </row>
    <row r="6968">
      <c r="A6968" s="10">
        <f t="shared" si="8"/>
        <v>44950.66667</v>
      </c>
      <c r="B6968" s="2" t="str">
        <f t="shared" si="2"/>
        <v/>
      </c>
      <c r="C6968" s="2" t="str">
        <f t="shared" si="3"/>
        <v>SP500</v>
      </c>
      <c r="D6968" s="2">
        <f t="shared" si="4"/>
        <v>11334.27</v>
      </c>
      <c r="E6968" s="2">
        <f t="shared" si="5"/>
        <v>11334.27</v>
      </c>
      <c r="G6968" s="10">
        <f t="shared" si="9"/>
        <v>44950.64583</v>
      </c>
      <c r="H6968" s="6" t="str">
        <f t="shared" si="6"/>
        <v/>
      </c>
      <c r="I6968" s="2">
        <f t="shared" si="7"/>
        <v>1426.89</v>
      </c>
    </row>
    <row r="6969">
      <c r="A6969" s="10">
        <f t="shared" si="8"/>
        <v>44951.66667</v>
      </c>
      <c r="B6969" s="2" t="str">
        <f t="shared" si="2"/>
        <v/>
      </c>
      <c r="C6969" s="2" t="str">
        <f t="shared" si="3"/>
        <v>SP500</v>
      </c>
      <c r="D6969" s="2">
        <f t="shared" si="4"/>
        <v>11313.36</v>
      </c>
      <c r="E6969" s="2">
        <f t="shared" si="5"/>
        <v>11313.36</v>
      </c>
      <c r="G6969" s="10">
        <f t="shared" si="9"/>
        <v>44951.64583</v>
      </c>
      <c r="H6969" s="6" t="str">
        <f t="shared" si="6"/>
        <v/>
      </c>
      <c r="I6969" s="2">
        <f t="shared" si="7"/>
        <v>1426.89</v>
      </c>
    </row>
    <row r="6970">
      <c r="A6970" s="10">
        <f t="shared" si="8"/>
        <v>44952.66667</v>
      </c>
      <c r="B6970" s="2" t="str">
        <f t="shared" si="2"/>
        <v/>
      </c>
      <c r="C6970" s="2" t="str">
        <f t="shared" si="3"/>
        <v>SP500</v>
      </c>
      <c r="D6970" s="2">
        <f t="shared" si="4"/>
        <v>11512.41</v>
      </c>
      <c r="E6970" s="2">
        <f t="shared" si="5"/>
        <v>11512.41</v>
      </c>
      <c r="G6970" s="10">
        <f t="shared" si="9"/>
        <v>44952.64583</v>
      </c>
      <c r="H6970" s="6" t="str">
        <f t="shared" si="6"/>
        <v/>
      </c>
      <c r="I6970" s="2">
        <f t="shared" si="7"/>
        <v>1426.89</v>
      </c>
    </row>
    <row r="6971">
      <c r="A6971" s="10">
        <f t="shared" si="8"/>
        <v>44953.66667</v>
      </c>
      <c r="B6971" s="2" t="str">
        <f t="shared" si="2"/>
        <v/>
      </c>
      <c r="C6971" s="2" t="str">
        <f t="shared" si="3"/>
        <v>SP500</v>
      </c>
      <c r="D6971" s="2">
        <f t="shared" si="4"/>
        <v>11621.71</v>
      </c>
      <c r="E6971" s="2">
        <f t="shared" si="5"/>
        <v>11621.71</v>
      </c>
      <c r="G6971" s="10">
        <f t="shared" si="9"/>
        <v>44953.64583</v>
      </c>
      <c r="H6971" s="6" t="str">
        <f t="shared" si="6"/>
        <v/>
      </c>
      <c r="I6971" s="2">
        <f t="shared" si="7"/>
        <v>1426.89</v>
      </c>
    </row>
    <row r="6972">
      <c r="A6972" s="10">
        <f t="shared" si="8"/>
        <v>44954.66667</v>
      </c>
      <c r="B6972" s="2" t="str">
        <f t="shared" si="2"/>
        <v/>
      </c>
      <c r="C6972" s="2" t="str">
        <f t="shared" si="3"/>
        <v>SP500</v>
      </c>
      <c r="D6972" s="2" t="str">
        <f t="shared" si="4"/>
        <v/>
      </c>
      <c r="E6972" s="2">
        <f t="shared" si="5"/>
        <v>11621.71</v>
      </c>
      <c r="G6972" s="10">
        <f t="shared" si="9"/>
        <v>44954.64583</v>
      </c>
      <c r="H6972" s="6" t="str">
        <f t="shared" si="6"/>
        <v/>
      </c>
      <c r="I6972" s="2">
        <f t="shared" si="7"/>
        <v>1426.89</v>
      </c>
    </row>
    <row r="6973">
      <c r="A6973" s="10">
        <f t="shared" si="8"/>
        <v>44955.66667</v>
      </c>
      <c r="B6973" s="2" t="str">
        <f t="shared" si="2"/>
        <v/>
      </c>
      <c r="C6973" s="2" t="str">
        <f t="shared" si="3"/>
        <v>SP500</v>
      </c>
      <c r="D6973" s="2" t="str">
        <f t="shared" si="4"/>
        <v/>
      </c>
      <c r="E6973" s="2">
        <f t="shared" si="5"/>
        <v>11621.71</v>
      </c>
      <c r="G6973" s="10">
        <f t="shared" si="9"/>
        <v>44955.64583</v>
      </c>
      <c r="H6973" s="6" t="str">
        <f t="shared" si="6"/>
        <v/>
      </c>
      <c r="I6973" s="2">
        <f t="shared" si="7"/>
        <v>1426.89</v>
      </c>
    </row>
    <row r="6974">
      <c r="A6974" s="10">
        <f t="shared" si="8"/>
        <v>44956.66667</v>
      </c>
      <c r="B6974" s="2" t="str">
        <f t="shared" si="2"/>
        <v/>
      </c>
      <c r="C6974" s="2" t="str">
        <f t="shared" si="3"/>
        <v>SP500</v>
      </c>
      <c r="D6974" s="2">
        <f t="shared" si="4"/>
        <v>11393.81</v>
      </c>
      <c r="E6974" s="2">
        <f t="shared" si="5"/>
        <v>11393.81</v>
      </c>
      <c r="G6974" s="10">
        <f t="shared" si="9"/>
        <v>44956.64583</v>
      </c>
      <c r="H6974" s="6" t="str">
        <f t="shared" si="6"/>
        <v/>
      </c>
      <c r="I6974" s="2">
        <f t="shared" si="7"/>
        <v>1426.89</v>
      </c>
    </row>
    <row r="6975">
      <c r="A6975" s="10">
        <f t="shared" si="8"/>
        <v>44957.66667</v>
      </c>
      <c r="B6975" s="2" t="str">
        <f t="shared" si="2"/>
        <v/>
      </c>
      <c r="C6975" s="2" t="str">
        <f t="shared" si="3"/>
        <v>SP500</v>
      </c>
      <c r="D6975" s="2">
        <f t="shared" si="4"/>
        <v>11584.55</v>
      </c>
      <c r="E6975" s="2">
        <f t="shared" si="5"/>
        <v>11584.55</v>
      </c>
      <c r="G6975" s="10">
        <f t="shared" si="9"/>
        <v>44957.64583</v>
      </c>
      <c r="H6975" s="6" t="str">
        <f t="shared" si="6"/>
        <v/>
      </c>
      <c r="I6975" s="2">
        <f t="shared" si="7"/>
        <v>1426.89</v>
      </c>
    </row>
    <row r="6976">
      <c r="A6976" s="10">
        <f t="shared" si="8"/>
        <v>44958.66667</v>
      </c>
      <c r="B6976" s="2" t="str">
        <f t="shared" si="2"/>
        <v/>
      </c>
      <c r="C6976" s="2" t="str">
        <f t="shared" si="3"/>
        <v>SP500</v>
      </c>
      <c r="D6976" s="2">
        <f t="shared" si="4"/>
        <v>11816.32</v>
      </c>
      <c r="E6976" s="2">
        <f t="shared" si="5"/>
        <v>11816.32</v>
      </c>
      <c r="G6976" s="10">
        <f t="shared" si="9"/>
        <v>44958.64583</v>
      </c>
      <c r="H6976" s="6" t="str">
        <f t="shared" si="6"/>
        <v/>
      </c>
      <c r="I6976" s="2">
        <f t="shared" si="7"/>
        <v>1426.89</v>
      </c>
    </row>
    <row r="6977">
      <c r="A6977" s="10">
        <f t="shared" si="8"/>
        <v>44959.66667</v>
      </c>
      <c r="B6977" s="2" t="str">
        <f t="shared" si="2"/>
        <v/>
      </c>
      <c r="C6977" s="2" t="str">
        <f t="shared" si="3"/>
        <v>SP500</v>
      </c>
      <c r="D6977" s="2">
        <f t="shared" si="4"/>
        <v>12200.82</v>
      </c>
      <c r="E6977" s="2">
        <f t="shared" si="5"/>
        <v>12200.82</v>
      </c>
      <c r="G6977" s="10">
        <f t="shared" si="9"/>
        <v>44959.64583</v>
      </c>
      <c r="H6977" s="6" t="str">
        <f t="shared" si="6"/>
        <v/>
      </c>
      <c r="I6977" s="2">
        <f t="shared" si="7"/>
        <v>1426.89</v>
      </c>
    </row>
    <row r="6978">
      <c r="A6978" s="10">
        <f t="shared" si="8"/>
        <v>44960.66667</v>
      </c>
      <c r="B6978" s="2" t="str">
        <f t="shared" si="2"/>
        <v/>
      </c>
      <c r="C6978" s="2" t="str">
        <f t="shared" si="3"/>
        <v>SP500</v>
      </c>
      <c r="D6978" s="2">
        <f t="shared" si="4"/>
        <v>12006.96</v>
      </c>
      <c r="E6978" s="2">
        <f t="shared" si="5"/>
        <v>12006.96</v>
      </c>
      <c r="G6978" s="10">
        <f t="shared" si="9"/>
        <v>44960.64583</v>
      </c>
      <c r="H6978" s="6" t="str">
        <f t="shared" si="6"/>
        <v/>
      </c>
      <c r="I6978" s="2">
        <f t="shared" si="7"/>
        <v>1426.89</v>
      </c>
    </row>
    <row r="6979">
      <c r="A6979" s="10">
        <f t="shared" si="8"/>
        <v>44961.66667</v>
      </c>
      <c r="B6979" s="2" t="str">
        <f t="shared" si="2"/>
        <v/>
      </c>
      <c r="C6979" s="2" t="str">
        <f t="shared" si="3"/>
        <v>SP500</v>
      </c>
      <c r="D6979" s="2" t="str">
        <f t="shared" si="4"/>
        <v/>
      </c>
      <c r="E6979" s="2">
        <f t="shared" si="5"/>
        <v>12006.96</v>
      </c>
      <c r="G6979" s="10">
        <f t="shared" si="9"/>
        <v>44961.64583</v>
      </c>
      <c r="H6979" s="6" t="str">
        <f t="shared" si="6"/>
        <v/>
      </c>
      <c r="I6979" s="2">
        <f t="shared" si="7"/>
        <v>1426.89</v>
      </c>
    </row>
    <row r="6980">
      <c r="A6980" s="10">
        <f t="shared" si="8"/>
        <v>44962.66667</v>
      </c>
      <c r="B6980" s="2" t="str">
        <f t="shared" si="2"/>
        <v/>
      </c>
      <c r="C6980" s="2" t="str">
        <f t="shared" si="3"/>
        <v>SP500</v>
      </c>
      <c r="D6980" s="2" t="str">
        <f t="shared" si="4"/>
        <v/>
      </c>
      <c r="E6980" s="2">
        <f t="shared" si="5"/>
        <v>12006.96</v>
      </c>
      <c r="G6980" s="10">
        <f t="shared" si="9"/>
        <v>44962.64583</v>
      </c>
      <c r="H6980" s="6" t="str">
        <f t="shared" si="6"/>
        <v/>
      </c>
      <c r="I6980" s="2">
        <f t="shared" si="7"/>
        <v>1426.89</v>
      </c>
    </row>
    <row r="6981">
      <c r="A6981" s="10">
        <f t="shared" si="8"/>
        <v>44963.66667</v>
      </c>
      <c r="B6981" s="2" t="str">
        <f t="shared" si="2"/>
        <v/>
      </c>
      <c r="C6981" s="2" t="str">
        <f t="shared" si="3"/>
        <v>SP500</v>
      </c>
      <c r="D6981" s="2">
        <f t="shared" si="4"/>
        <v>11887.45</v>
      </c>
      <c r="E6981" s="2">
        <f t="shared" si="5"/>
        <v>11887.45</v>
      </c>
      <c r="G6981" s="10">
        <f t="shared" si="9"/>
        <v>44963.64583</v>
      </c>
      <c r="H6981" s="6" t="str">
        <f t="shared" si="6"/>
        <v/>
      </c>
      <c r="I6981" s="2">
        <f t="shared" si="7"/>
        <v>1426.89</v>
      </c>
    </row>
    <row r="6982">
      <c r="A6982" s="10">
        <f t="shared" si="8"/>
        <v>44964.66667</v>
      </c>
      <c r="B6982" s="2" t="str">
        <f t="shared" si="2"/>
        <v/>
      </c>
      <c r="C6982" s="2" t="str">
        <f t="shared" si="3"/>
        <v>SP500</v>
      </c>
      <c r="D6982" s="2">
        <f t="shared" si="4"/>
        <v>12113.79</v>
      </c>
      <c r="E6982" s="2">
        <f t="shared" si="5"/>
        <v>12113.79</v>
      </c>
      <c r="G6982" s="10">
        <f t="shared" si="9"/>
        <v>44964.64583</v>
      </c>
      <c r="H6982" s="6" t="str">
        <f t="shared" si="6"/>
        <v/>
      </c>
      <c r="I6982" s="2">
        <f t="shared" si="7"/>
        <v>1426.89</v>
      </c>
    </row>
    <row r="6983">
      <c r="A6983" s="10">
        <f t="shared" si="8"/>
        <v>44965.66667</v>
      </c>
      <c r="B6983" s="2" t="str">
        <f t="shared" si="2"/>
        <v/>
      </c>
      <c r="C6983" s="2" t="str">
        <f t="shared" si="3"/>
        <v>SP500</v>
      </c>
      <c r="D6983" s="2">
        <f t="shared" si="4"/>
        <v>11910.52</v>
      </c>
      <c r="E6983" s="2">
        <f t="shared" si="5"/>
        <v>11910.52</v>
      </c>
      <c r="G6983" s="10">
        <f t="shared" si="9"/>
        <v>44965.64583</v>
      </c>
      <c r="H6983" s="6" t="str">
        <f t="shared" si="6"/>
        <v/>
      </c>
      <c r="I6983" s="2">
        <f t="shared" si="7"/>
        <v>1426.89</v>
      </c>
    </row>
    <row r="6984">
      <c r="A6984" s="10">
        <f t="shared" si="8"/>
        <v>44966.66667</v>
      </c>
      <c r="B6984" s="2" t="str">
        <f t="shared" si="2"/>
        <v/>
      </c>
      <c r="C6984" s="2" t="str">
        <f t="shared" si="3"/>
        <v>SP500</v>
      </c>
      <c r="D6984" s="2">
        <f t="shared" si="4"/>
        <v>11789.58</v>
      </c>
      <c r="E6984" s="2">
        <f t="shared" si="5"/>
        <v>11789.58</v>
      </c>
      <c r="G6984" s="10">
        <f t="shared" si="9"/>
        <v>44966.64583</v>
      </c>
      <c r="H6984" s="6" t="str">
        <f t="shared" si="6"/>
        <v/>
      </c>
      <c r="I6984" s="2">
        <f t="shared" si="7"/>
        <v>1426.89</v>
      </c>
    </row>
    <row r="6985">
      <c r="A6985" s="10">
        <f t="shared" si="8"/>
        <v>44967.66667</v>
      </c>
      <c r="B6985" s="2" t="str">
        <f t="shared" si="2"/>
        <v/>
      </c>
      <c r="C6985" s="2" t="str">
        <f t="shared" si="3"/>
        <v>SP500</v>
      </c>
      <c r="D6985" s="2">
        <f t="shared" si="4"/>
        <v>11718.12</v>
      </c>
      <c r="E6985" s="2">
        <f t="shared" si="5"/>
        <v>11718.12</v>
      </c>
      <c r="G6985" s="10">
        <f t="shared" si="9"/>
        <v>44967.64583</v>
      </c>
      <c r="H6985" s="6" t="str">
        <f t="shared" si="6"/>
        <v/>
      </c>
      <c r="I6985" s="2">
        <f t="shared" si="7"/>
        <v>1426.89</v>
      </c>
    </row>
    <row r="6986">
      <c r="A6986" s="10">
        <f t="shared" si="8"/>
        <v>44968.66667</v>
      </c>
      <c r="B6986" s="2" t="str">
        <f t="shared" si="2"/>
        <v/>
      </c>
      <c r="C6986" s="2" t="str">
        <f t="shared" si="3"/>
        <v>SP500</v>
      </c>
      <c r="D6986" s="2" t="str">
        <f t="shared" si="4"/>
        <v/>
      </c>
      <c r="E6986" s="2">
        <f t="shared" si="5"/>
        <v>11718.12</v>
      </c>
      <c r="G6986" s="10">
        <f t="shared" si="9"/>
        <v>44968.64583</v>
      </c>
      <c r="H6986" s="6" t="str">
        <f t="shared" si="6"/>
        <v/>
      </c>
      <c r="I6986" s="2">
        <f t="shared" si="7"/>
        <v>1426.89</v>
      </c>
    </row>
    <row r="6987">
      <c r="A6987" s="10">
        <f t="shared" si="8"/>
        <v>44969.66667</v>
      </c>
      <c r="B6987" s="2" t="str">
        <f t="shared" si="2"/>
        <v/>
      </c>
      <c r="C6987" s="2" t="str">
        <f t="shared" si="3"/>
        <v>SP500</v>
      </c>
      <c r="D6987" s="2" t="str">
        <f t="shared" si="4"/>
        <v/>
      </c>
      <c r="E6987" s="2">
        <f t="shared" si="5"/>
        <v>11718.12</v>
      </c>
      <c r="G6987" s="10">
        <f t="shared" si="9"/>
        <v>44969.64583</v>
      </c>
      <c r="H6987" s="6" t="str">
        <f t="shared" si="6"/>
        <v/>
      </c>
      <c r="I6987" s="2">
        <f t="shared" si="7"/>
        <v>1426.89</v>
      </c>
    </row>
    <row r="6988">
      <c r="A6988" s="10">
        <f t="shared" si="8"/>
        <v>44970.66667</v>
      </c>
      <c r="B6988" s="2" t="str">
        <f t="shared" si="2"/>
        <v/>
      </c>
      <c r="C6988" s="2" t="str">
        <f t="shared" si="3"/>
        <v>SP500</v>
      </c>
      <c r="D6988" s="2">
        <f t="shared" si="4"/>
        <v>11891.79</v>
      </c>
      <c r="E6988" s="2">
        <f t="shared" si="5"/>
        <v>11891.79</v>
      </c>
      <c r="G6988" s="10">
        <f t="shared" si="9"/>
        <v>44970.64583</v>
      </c>
      <c r="H6988" s="6" t="str">
        <f t="shared" si="6"/>
        <v/>
      </c>
      <c r="I6988" s="2">
        <f t="shared" si="7"/>
        <v>1426.89</v>
      </c>
    </row>
    <row r="6989">
      <c r="A6989" s="10">
        <f t="shared" si="8"/>
        <v>44971.66667</v>
      </c>
      <c r="B6989" s="2" t="str">
        <f t="shared" si="2"/>
        <v/>
      </c>
      <c r="C6989" s="2" t="str">
        <f t="shared" si="3"/>
        <v>SP500</v>
      </c>
      <c r="D6989" s="2">
        <f t="shared" si="4"/>
        <v>11960.15</v>
      </c>
      <c r="E6989" s="2">
        <f t="shared" si="5"/>
        <v>11960.15</v>
      </c>
      <c r="G6989" s="10">
        <f t="shared" si="9"/>
        <v>44971.64583</v>
      </c>
      <c r="H6989" s="6" t="str">
        <f t="shared" si="6"/>
        <v/>
      </c>
      <c r="I6989" s="2">
        <f t="shared" si="7"/>
        <v>1426.89</v>
      </c>
    </row>
    <row r="6990">
      <c r="A6990" s="10">
        <f t="shared" si="8"/>
        <v>44972.66667</v>
      </c>
      <c r="B6990" s="2" t="str">
        <f t="shared" si="2"/>
        <v/>
      </c>
      <c r="C6990" s="2" t="str">
        <f t="shared" si="3"/>
        <v>SP500</v>
      </c>
      <c r="D6990" s="2">
        <f t="shared" si="4"/>
        <v>12070.59</v>
      </c>
      <c r="E6990" s="2">
        <f t="shared" si="5"/>
        <v>12070.59</v>
      </c>
      <c r="G6990" s="10">
        <f t="shared" si="9"/>
        <v>44972.64583</v>
      </c>
      <c r="H6990" s="6" t="str">
        <f t="shared" si="6"/>
        <v/>
      </c>
      <c r="I6990" s="2">
        <f t="shared" si="7"/>
        <v>1426.89</v>
      </c>
    </row>
    <row r="6991">
      <c r="A6991" s="10">
        <f t="shared" si="8"/>
        <v>44973.66667</v>
      </c>
      <c r="B6991" s="2" t="str">
        <f t="shared" si="2"/>
        <v/>
      </c>
      <c r="C6991" s="2" t="str">
        <f t="shared" si="3"/>
        <v>SP500</v>
      </c>
      <c r="D6991" s="2">
        <f t="shared" si="4"/>
        <v>11855.83</v>
      </c>
      <c r="E6991" s="2">
        <f t="shared" si="5"/>
        <v>11855.83</v>
      </c>
      <c r="G6991" s="10">
        <f t="shared" si="9"/>
        <v>44973.64583</v>
      </c>
      <c r="H6991" s="6" t="str">
        <f t="shared" si="6"/>
        <v/>
      </c>
      <c r="I6991" s="2">
        <f t="shared" si="7"/>
        <v>1426.89</v>
      </c>
    </row>
    <row r="6992">
      <c r="A6992" s="10">
        <f t="shared" si="8"/>
        <v>44974.66667</v>
      </c>
      <c r="B6992" s="2" t="str">
        <f t="shared" si="2"/>
        <v/>
      </c>
      <c r="C6992" s="2" t="str">
        <f t="shared" si="3"/>
        <v>SP500</v>
      </c>
      <c r="D6992" s="2">
        <f t="shared" si="4"/>
        <v>11787.27</v>
      </c>
      <c r="E6992" s="2">
        <f t="shared" si="5"/>
        <v>11787.27</v>
      </c>
      <c r="G6992" s="10">
        <f t="shared" si="9"/>
        <v>44974.64583</v>
      </c>
      <c r="H6992" s="6" t="str">
        <f t="shared" si="6"/>
        <v/>
      </c>
      <c r="I6992" s="2">
        <f t="shared" si="7"/>
        <v>1426.89</v>
      </c>
    </row>
    <row r="6993">
      <c r="A6993" s="10">
        <f t="shared" si="8"/>
        <v>44975.66667</v>
      </c>
      <c r="B6993" s="2" t="str">
        <f t="shared" si="2"/>
        <v/>
      </c>
      <c r="C6993" s="2" t="str">
        <f t="shared" si="3"/>
        <v>SP500</v>
      </c>
      <c r="D6993" s="2" t="str">
        <f t="shared" si="4"/>
        <v/>
      </c>
      <c r="E6993" s="2">
        <f t="shared" si="5"/>
        <v>11787.27</v>
      </c>
      <c r="G6993" s="10">
        <f t="shared" si="9"/>
        <v>44975.64583</v>
      </c>
      <c r="H6993" s="6" t="str">
        <f t="shared" si="6"/>
        <v/>
      </c>
      <c r="I6993" s="2">
        <f t="shared" si="7"/>
        <v>1426.89</v>
      </c>
    </row>
    <row r="6994">
      <c r="A6994" s="10">
        <f t="shared" si="8"/>
        <v>44976.66667</v>
      </c>
      <c r="B6994" s="2" t="str">
        <f t="shared" si="2"/>
        <v/>
      </c>
      <c r="C6994" s="2" t="str">
        <f t="shared" si="3"/>
        <v>SP500</v>
      </c>
      <c r="D6994" s="2" t="str">
        <f t="shared" si="4"/>
        <v/>
      </c>
      <c r="E6994" s="2">
        <f t="shared" si="5"/>
        <v>11787.27</v>
      </c>
      <c r="G6994" s="10">
        <f t="shared" si="9"/>
        <v>44976.64583</v>
      </c>
      <c r="H6994" s="6" t="str">
        <f t="shared" si="6"/>
        <v/>
      </c>
      <c r="I6994" s="2">
        <f t="shared" si="7"/>
        <v>1426.89</v>
      </c>
    </row>
    <row r="6995">
      <c r="A6995" s="10">
        <f t="shared" si="8"/>
        <v>44977.66667</v>
      </c>
      <c r="B6995" s="2" t="str">
        <f t="shared" si="2"/>
        <v/>
      </c>
      <c r="C6995" s="2" t="str">
        <f t="shared" si="3"/>
        <v>SP500</v>
      </c>
      <c r="D6995" s="2" t="str">
        <f t="shared" si="4"/>
        <v/>
      </c>
      <c r="E6995" s="2">
        <f t="shared" si="5"/>
        <v>11787.27</v>
      </c>
      <c r="G6995" s="10">
        <f t="shared" si="9"/>
        <v>44977.64583</v>
      </c>
      <c r="H6995" s="6" t="str">
        <f t="shared" si="6"/>
        <v/>
      </c>
      <c r="I6995" s="2">
        <f t="shared" si="7"/>
        <v>1426.89</v>
      </c>
    </row>
    <row r="6996">
      <c r="A6996" s="10">
        <f t="shared" si="8"/>
        <v>44978.66667</v>
      </c>
      <c r="B6996" s="2" t="str">
        <f t="shared" si="2"/>
        <v/>
      </c>
      <c r="C6996" s="2" t="str">
        <f t="shared" si="3"/>
        <v>SP500</v>
      </c>
      <c r="D6996" s="2">
        <f t="shared" si="4"/>
        <v>11492.3</v>
      </c>
      <c r="E6996" s="2">
        <f t="shared" si="5"/>
        <v>11492.3</v>
      </c>
      <c r="G6996" s="10">
        <f t="shared" si="9"/>
        <v>44978.64583</v>
      </c>
      <c r="H6996" s="6" t="str">
        <f t="shared" si="6"/>
        <v/>
      </c>
      <c r="I6996" s="2">
        <f t="shared" si="7"/>
        <v>1426.89</v>
      </c>
    </row>
    <row r="6997">
      <c r="A6997" s="10">
        <f t="shared" si="8"/>
        <v>44979.66667</v>
      </c>
      <c r="B6997" s="2" t="str">
        <f t="shared" si="2"/>
        <v/>
      </c>
      <c r="C6997" s="2" t="str">
        <f t="shared" si="3"/>
        <v>SP500</v>
      </c>
      <c r="D6997" s="2">
        <f t="shared" si="4"/>
        <v>11507.07</v>
      </c>
      <c r="E6997" s="2">
        <f t="shared" si="5"/>
        <v>11507.07</v>
      </c>
      <c r="G6997" s="10">
        <f t="shared" si="9"/>
        <v>44979.64583</v>
      </c>
      <c r="H6997" s="6" t="str">
        <f t="shared" si="6"/>
        <v/>
      </c>
      <c r="I6997" s="2">
        <f t="shared" si="7"/>
        <v>1426.89</v>
      </c>
    </row>
    <row r="6998">
      <c r="A6998" s="10">
        <f t="shared" si="8"/>
        <v>44980.66667</v>
      </c>
      <c r="B6998" s="2" t="str">
        <f t="shared" si="2"/>
        <v/>
      </c>
      <c r="C6998" s="2" t="str">
        <f t="shared" si="3"/>
        <v>SP500</v>
      </c>
      <c r="D6998" s="2">
        <f t="shared" si="4"/>
        <v>11590.4</v>
      </c>
      <c r="E6998" s="2">
        <f t="shared" si="5"/>
        <v>11590.4</v>
      </c>
      <c r="G6998" s="10">
        <f t="shared" si="9"/>
        <v>44980.64583</v>
      </c>
      <c r="H6998" s="6" t="str">
        <f t="shared" si="6"/>
        <v/>
      </c>
      <c r="I6998" s="2">
        <f t="shared" si="7"/>
        <v>1426.89</v>
      </c>
    </row>
    <row r="6999">
      <c r="A6999" s="10">
        <f t="shared" si="8"/>
        <v>44981.66667</v>
      </c>
      <c r="B6999" s="2" t="str">
        <f t="shared" si="2"/>
        <v/>
      </c>
      <c r="C6999" s="2" t="str">
        <f t="shared" si="3"/>
        <v>SP500</v>
      </c>
      <c r="D6999" s="2">
        <f t="shared" si="4"/>
        <v>11394.94</v>
      </c>
      <c r="E6999" s="2">
        <f t="shared" si="5"/>
        <v>11394.94</v>
      </c>
      <c r="G6999" s="10">
        <f t="shared" si="9"/>
        <v>44981.64583</v>
      </c>
      <c r="H6999" s="6" t="str">
        <f t="shared" si="6"/>
        <v/>
      </c>
      <c r="I6999" s="2">
        <f t="shared" si="7"/>
        <v>1426.89</v>
      </c>
    </row>
    <row r="7000">
      <c r="A7000" s="10">
        <f t="shared" si="8"/>
        <v>44982.66667</v>
      </c>
      <c r="B7000" s="2" t="str">
        <f t="shared" si="2"/>
        <v/>
      </c>
      <c r="C7000" s="2" t="str">
        <f t="shared" si="3"/>
        <v>SP500</v>
      </c>
      <c r="D7000" s="2" t="str">
        <f t="shared" si="4"/>
        <v/>
      </c>
      <c r="E7000" s="2">
        <f t="shared" si="5"/>
        <v>11394.94</v>
      </c>
      <c r="G7000" s="10">
        <f t="shared" si="9"/>
        <v>44982.64583</v>
      </c>
      <c r="H7000" s="6" t="str">
        <f t="shared" si="6"/>
        <v/>
      </c>
      <c r="I7000" s="2">
        <f t="shared" si="7"/>
        <v>1426.89</v>
      </c>
    </row>
    <row r="7001">
      <c r="A7001" s="10">
        <f t="shared" si="8"/>
        <v>44983.66667</v>
      </c>
      <c r="B7001" s="2" t="str">
        <f t="shared" si="2"/>
        <v/>
      </c>
      <c r="C7001" s="2" t="str">
        <f t="shared" si="3"/>
        <v>SP500</v>
      </c>
      <c r="D7001" s="2" t="str">
        <f t="shared" si="4"/>
        <v/>
      </c>
      <c r="E7001" s="2">
        <f t="shared" si="5"/>
        <v>11394.94</v>
      </c>
      <c r="G7001" s="10">
        <f t="shared" si="9"/>
        <v>44983.64583</v>
      </c>
      <c r="H7001" s="6" t="str">
        <f t="shared" si="6"/>
        <v/>
      </c>
      <c r="I7001" s="2">
        <f t="shared" si="7"/>
        <v>1426.89</v>
      </c>
    </row>
    <row r="7002">
      <c r="A7002" s="10">
        <f t="shared" si="8"/>
        <v>44984.66667</v>
      </c>
      <c r="B7002" s="2" t="str">
        <f t="shared" si="2"/>
        <v/>
      </c>
      <c r="C7002" s="2" t="str">
        <f t="shared" si="3"/>
        <v>SP500</v>
      </c>
      <c r="D7002" s="2">
        <f t="shared" si="4"/>
        <v>11466.98</v>
      </c>
      <c r="E7002" s="2">
        <f t="shared" si="5"/>
        <v>11466.98</v>
      </c>
      <c r="G7002" s="10">
        <f t="shared" si="9"/>
        <v>44984.64583</v>
      </c>
      <c r="H7002" s="6" t="str">
        <f t="shared" si="6"/>
        <v/>
      </c>
      <c r="I7002" s="2">
        <f t="shared" si="7"/>
        <v>1426.89</v>
      </c>
    </row>
    <row r="7003">
      <c r="A7003" s="10">
        <f t="shared" si="8"/>
        <v>44985.66667</v>
      </c>
      <c r="B7003" s="2" t="str">
        <f t="shared" si="2"/>
        <v/>
      </c>
      <c r="C7003" s="2" t="str">
        <f t="shared" si="3"/>
        <v>SP500</v>
      </c>
      <c r="D7003" s="2">
        <f t="shared" si="4"/>
        <v>11455.54</v>
      </c>
      <c r="E7003" s="2">
        <f t="shared" si="5"/>
        <v>11455.54</v>
      </c>
      <c r="G7003" s="10">
        <f t="shared" si="9"/>
        <v>44985.64583</v>
      </c>
      <c r="H7003" s="6" t="str">
        <f t="shared" si="6"/>
        <v/>
      </c>
      <c r="I7003" s="2">
        <f t="shared" si="7"/>
        <v>1426.89</v>
      </c>
    </row>
    <row r="7004">
      <c r="A7004" s="10">
        <f t="shared" si="8"/>
        <v>44986.66667</v>
      </c>
      <c r="B7004" s="2" t="str">
        <f t="shared" si="2"/>
        <v/>
      </c>
      <c r="C7004" s="2" t="str">
        <f t="shared" si="3"/>
        <v>SP500</v>
      </c>
      <c r="D7004" s="2">
        <f t="shared" si="4"/>
        <v>11379.48</v>
      </c>
      <c r="E7004" s="2">
        <f t="shared" si="5"/>
        <v>11379.48</v>
      </c>
      <c r="G7004" s="10">
        <f t="shared" si="9"/>
        <v>44986.64583</v>
      </c>
      <c r="H7004" s="6" t="str">
        <f t="shared" si="6"/>
        <v/>
      </c>
      <c r="I7004" s="2">
        <f t="shared" si="7"/>
        <v>1426.89</v>
      </c>
    </row>
    <row r="7005">
      <c r="A7005" s="10">
        <f t="shared" si="8"/>
        <v>44987.66667</v>
      </c>
      <c r="B7005" s="2" t="str">
        <f t="shared" si="2"/>
        <v/>
      </c>
      <c r="C7005" s="2" t="str">
        <f t="shared" si="3"/>
        <v>SP500</v>
      </c>
      <c r="D7005" s="2">
        <f t="shared" si="4"/>
        <v>11462.98</v>
      </c>
      <c r="E7005" s="2">
        <f t="shared" si="5"/>
        <v>11462.98</v>
      </c>
      <c r="G7005" s="10">
        <f t="shared" si="9"/>
        <v>44987.64583</v>
      </c>
      <c r="H7005" s="6" t="str">
        <f t="shared" si="6"/>
        <v/>
      </c>
      <c r="I7005" s="2">
        <f t="shared" si="7"/>
        <v>1426.89</v>
      </c>
    </row>
    <row r="7006">
      <c r="A7006" s="10">
        <f t="shared" si="8"/>
        <v>44988.66667</v>
      </c>
      <c r="B7006" s="2" t="str">
        <f t="shared" si="2"/>
        <v/>
      </c>
      <c r="C7006" s="2" t="str">
        <f t="shared" si="3"/>
        <v>SP500</v>
      </c>
      <c r="D7006" s="2">
        <f t="shared" si="4"/>
        <v>11689.01</v>
      </c>
      <c r="E7006" s="2">
        <f t="shared" si="5"/>
        <v>11689.01</v>
      </c>
      <c r="G7006" s="10">
        <f t="shared" si="9"/>
        <v>44988.64583</v>
      </c>
      <c r="H7006" s="6" t="str">
        <f t="shared" si="6"/>
        <v/>
      </c>
      <c r="I7006" s="2">
        <f t="shared" si="7"/>
        <v>1426.89</v>
      </c>
    </row>
    <row r="7007">
      <c r="A7007" s="10">
        <f t="shared" si="8"/>
        <v>44989.66667</v>
      </c>
      <c r="B7007" s="2" t="str">
        <f t="shared" si="2"/>
        <v/>
      </c>
      <c r="C7007" s="2" t="str">
        <f t="shared" si="3"/>
        <v>SP500</v>
      </c>
      <c r="D7007" s="2" t="str">
        <f t="shared" si="4"/>
        <v/>
      </c>
      <c r="E7007" s="2">
        <f t="shared" si="5"/>
        <v>11689.01</v>
      </c>
      <c r="G7007" s="10">
        <f t="shared" si="9"/>
        <v>44989.64583</v>
      </c>
      <c r="H7007" s="6" t="str">
        <f t="shared" si="6"/>
        <v/>
      </c>
      <c r="I7007" s="2">
        <f t="shared" si="7"/>
        <v>1426.89</v>
      </c>
    </row>
    <row r="7008">
      <c r="A7008" s="10">
        <f t="shared" si="8"/>
        <v>44990.66667</v>
      </c>
      <c r="B7008" s="2" t="str">
        <f t="shared" si="2"/>
        <v/>
      </c>
      <c r="C7008" s="2" t="str">
        <f t="shared" si="3"/>
        <v>SP500</v>
      </c>
      <c r="D7008" s="2" t="str">
        <f t="shared" si="4"/>
        <v/>
      </c>
      <c r="E7008" s="2">
        <f t="shared" si="5"/>
        <v>11689.01</v>
      </c>
      <c r="G7008" s="10">
        <f t="shared" si="9"/>
        <v>44990.64583</v>
      </c>
      <c r="H7008" s="6" t="str">
        <f t="shared" si="6"/>
        <v/>
      </c>
      <c r="I7008" s="2">
        <f t="shared" si="7"/>
        <v>1426.89</v>
      </c>
    </row>
    <row r="7009">
      <c r="A7009" s="10">
        <f t="shared" si="8"/>
        <v>44991.66667</v>
      </c>
      <c r="B7009" s="2" t="str">
        <f t="shared" si="2"/>
        <v/>
      </c>
      <c r="C7009" s="2" t="str">
        <f t="shared" si="3"/>
        <v>SP500</v>
      </c>
      <c r="D7009" s="2">
        <f t="shared" si="4"/>
        <v>11675.74</v>
      </c>
      <c r="E7009" s="2">
        <f t="shared" si="5"/>
        <v>11675.74</v>
      </c>
      <c r="G7009" s="10">
        <f t="shared" si="9"/>
        <v>44991.64583</v>
      </c>
      <c r="H7009" s="6" t="str">
        <f t="shared" si="6"/>
        <v/>
      </c>
      <c r="I7009" s="2">
        <f t="shared" si="7"/>
        <v>1426.89</v>
      </c>
    </row>
    <row r="7010">
      <c r="A7010" s="10">
        <f t="shared" si="8"/>
        <v>44992.66667</v>
      </c>
      <c r="B7010" s="2" t="str">
        <f t="shared" si="2"/>
        <v/>
      </c>
      <c r="C7010" s="2" t="str">
        <f t="shared" si="3"/>
        <v>SP500</v>
      </c>
      <c r="D7010" s="2">
        <f t="shared" si="4"/>
        <v>11530.33</v>
      </c>
      <c r="E7010" s="2">
        <f t="shared" si="5"/>
        <v>11530.33</v>
      </c>
      <c r="G7010" s="10">
        <f t="shared" si="9"/>
        <v>44992.64583</v>
      </c>
      <c r="H7010" s="6" t="str">
        <f t="shared" si="6"/>
        <v/>
      </c>
      <c r="I7010" s="2">
        <f t="shared" si="7"/>
        <v>1426.89</v>
      </c>
    </row>
    <row r="7011">
      <c r="A7011" s="10">
        <f t="shared" si="8"/>
        <v>44993.66667</v>
      </c>
      <c r="B7011" s="2" t="str">
        <f t="shared" si="2"/>
        <v/>
      </c>
      <c r="C7011" s="2" t="str">
        <f t="shared" si="3"/>
        <v>SP500</v>
      </c>
      <c r="D7011" s="2">
        <f t="shared" si="4"/>
        <v>11576</v>
      </c>
      <c r="E7011" s="2">
        <f t="shared" si="5"/>
        <v>11576</v>
      </c>
      <c r="G7011" s="10">
        <f t="shared" si="9"/>
        <v>44993.64583</v>
      </c>
      <c r="H7011" s="6" t="str">
        <f t="shared" si="6"/>
        <v/>
      </c>
      <c r="I7011" s="2">
        <f t="shared" si="7"/>
        <v>1426.89</v>
      </c>
    </row>
    <row r="7012">
      <c r="A7012" s="10">
        <f t="shared" si="8"/>
        <v>44994.66667</v>
      </c>
      <c r="B7012" s="2" t="str">
        <f t="shared" si="2"/>
        <v/>
      </c>
      <c r="C7012" s="2" t="str">
        <f t="shared" si="3"/>
        <v>SP500</v>
      </c>
      <c r="D7012" s="2">
        <f t="shared" si="4"/>
        <v>11338.36</v>
      </c>
      <c r="E7012" s="2">
        <f t="shared" si="5"/>
        <v>11338.36</v>
      </c>
      <c r="G7012" s="10">
        <f t="shared" si="9"/>
        <v>44994.64583</v>
      </c>
      <c r="H7012" s="6" t="str">
        <f t="shared" si="6"/>
        <v/>
      </c>
      <c r="I7012" s="2">
        <f t="shared" si="7"/>
        <v>1426.89</v>
      </c>
    </row>
    <row r="7013">
      <c r="A7013" s="10">
        <f t="shared" si="8"/>
        <v>44995.66667</v>
      </c>
      <c r="B7013" s="2" t="str">
        <f t="shared" si="2"/>
        <v/>
      </c>
      <c r="C7013" s="2" t="str">
        <f t="shared" si="3"/>
        <v>SP500</v>
      </c>
      <c r="D7013" s="2">
        <f t="shared" si="4"/>
        <v>11138.89</v>
      </c>
      <c r="E7013" s="2">
        <f t="shared" si="5"/>
        <v>11138.89</v>
      </c>
      <c r="G7013" s="10">
        <f t="shared" si="9"/>
        <v>44995.64583</v>
      </c>
      <c r="H7013" s="6" t="str">
        <f t="shared" si="6"/>
        <v/>
      </c>
      <c r="I7013" s="2">
        <f t="shared" si="7"/>
        <v>1426.89</v>
      </c>
    </row>
    <row r="7014">
      <c r="A7014" s="10">
        <f t="shared" si="8"/>
        <v>44996.66667</v>
      </c>
      <c r="B7014" s="2" t="str">
        <f t="shared" si="2"/>
        <v/>
      </c>
      <c r="C7014" s="2" t="str">
        <f t="shared" si="3"/>
        <v>SP500</v>
      </c>
      <c r="D7014" s="2" t="str">
        <f t="shared" si="4"/>
        <v/>
      </c>
      <c r="E7014" s="2">
        <f t="shared" si="5"/>
        <v>11138.89</v>
      </c>
      <c r="G7014" s="10">
        <f t="shared" si="9"/>
        <v>44996.64583</v>
      </c>
      <c r="H7014" s="6" t="str">
        <f t="shared" si="6"/>
        <v/>
      </c>
      <c r="I7014" s="2">
        <f t="shared" si="7"/>
        <v>1426.89</v>
      </c>
    </row>
    <row r="7015">
      <c r="A7015" s="10">
        <f t="shared" si="8"/>
        <v>44997.66667</v>
      </c>
      <c r="B7015" s="2" t="str">
        <f t="shared" si="2"/>
        <v/>
      </c>
      <c r="C7015" s="2" t="str">
        <f t="shared" si="3"/>
        <v>SP500</v>
      </c>
      <c r="D7015" s="2" t="str">
        <f t="shared" si="4"/>
        <v/>
      </c>
      <c r="E7015" s="2">
        <f t="shared" si="5"/>
        <v>11138.89</v>
      </c>
      <c r="G7015" s="10">
        <f t="shared" si="9"/>
        <v>44997.64583</v>
      </c>
      <c r="H7015" s="6" t="str">
        <f t="shared" si="6"/>
        <v/>
      </c>
      <c r="I7015" s="2">
        <f t="shared" si="7"/>
        <v>1426.89</v>
      </c>
    </row>
    <row r="7016">
      <c r="A7016" s="10">
        <f t="shared" si="8"/>
        <v>44998.66667</v>
      </c>
      <c r="B7016" s="2" t="str">
        <f t="shared" si="2"/>
        <v/>
      </c>
      <c r="C7016" s="2" t="str">
        <f t="shared" si="3"/>
        <v>SP500</v>
      </c>
      <c r="D7016" s="2">
        <f t="shared" si="4"/>
        <v>11188.84</v>
      </c>
      <c r="E7016" s="2">
        <f t="shared" si="5"/>
        <v>11188.84</v>
      </c>
      <c r="G7016" s="10">
        <f t="shared" si="9"/>
        <v>44998.64583</v>
      </c>
      <c r="H7016" s="6" t="str">
        <f t="shared" si="6"/>
        <v/>
      </c>
      <c r="I7016" s="2">
        <f t="shared" si="7"/>
        <v>1426.89</v>
      </c>
    </row>
    <row r="7017">
      <c r="A7017" s="10">
        <f t="shared" si="8"/>
        <v>44999.66667</v>
      </c>
      <c r="B7017" s="2" t="str">
        <f t="shared" si="2"/>
        <v/>
      </c>
      <c r="C7017" s="2" t="str">
        <f t="shared" si="3"/>
        <v>SP500</v>
      </c>
      <c r="D7017" s="2">
        <f t="shared" si="4"/>
        <v>11428.15</v>
      </c>
      <c r="E7017" s="2">
        <f t="shared" si="5"/>
        <v>11428.15</v>
      </c>
      <c r="G7017" s="10">
        <f t="shared" si="9"/>
        <v>44999.64583</v>
      </c>
      <c r="H7017" s="6" t="str">
        <f t="shared" si="6"/>
        <v/>
      </c>
      <c r="I7017" s="2">
        <f t="shared" si="7"/>
        <v>1426.89</v>
      </c>
    </row>
    <row r="7018">
      <c r="A7018" s="10">
        <f t="shared" si="8"/>
        <v>45000.66667</v>
      </c>
      <c r="B7018" s="2" t="str">
        <f t="shared" si="2"/>
        <v/>
      </c>
      <c r="C7018" s="2" t="str">
        <f t="shared" si="3"/>
        <v>SP500</v>
      </c>
      <c r="D7018" s="2">
        <f t="shared" si="4"/>
        <v>11434.05</v>
      </c>
      <c r="E7018" s="2">
        <f t="shared" si="5"/>
        <v>11434.05</v>
      </c>
      <c r="G7018" s="10">
        <f t="shared" si="9"/>
        <v>45000.64583</v>
      </c>
      <c r="H7018" s="6" t="str">
        <f t="shared" si="6"/>
        <v/>
      </c>
      <c r="I7018" s="2">
        <f t="shared" si="7"/>
        <v>1426.89</v>
      </c>
    </row>
    <row r="7019">
      <c r="A7019" s="10">
        <f t="shared" si="8"/>
        <v>45001.66667</v>
      </c>
      <c r="B7019" s="2" t="str">
        <f t="shared" si="2"/>
        <v/>
      </c>
      <c r="C7019" s="2" t="str">
        <f t="shared" si="3"/>
        <v>SP500</v>
      </c>
      <c r="D7019" s="2">
        <f t="shared" si="4"/>
        <v>11717.28</v>
      </c>
      <c r="E7019" s="2">
        <f t="shared" si="5"/>
        <v>11717.28</v>
      </c>
      <c r="G7019" s="10">
        <f t="shared" si="9"/>
        <v>45001.64583</v>
      </c>
      <c r="H7019" s="6" t="str">
        <f t="shared" si="6"/>
        <v/>
      </c>
      <c r="I7019" s="2">
        <f t="shared" si="7"/>
        <v>1426.89</v>
      </c>
    </row>
    <row r="7020">
      <c r="A7020" s="10">
        <f t="shared" si="8"/>
        <v>45002.66667</v>
      </c>
      <c r="B7020" s="2" t="str">
        <f t="shared" si="2"/>
        <v/>
      </c>
      <c r="C7020" s="2" t="str">
        <f t="shared" si="3"/>
        <v>SP500</v>
      </c>
      <c r="D7020" s="2">
        <f t="shared" si="4"/>
        <v>11630.51</v>
      </c>
      <c r="E7020" s="2">
        <f t="shared" si="5"/>
        <v>11630.51</v>
      </c>
      <c r="G7020" s="10">
        <f t="shared" si="9"/>
        <v>45002.64583</v>
      </c>
      <c r="H7020" s="6" t="str">
        <f t="shared" si="6"/>
        <v/>
      </c>
      <c r="I7020" s="2">
        <f t="shared" si="7"/>
        <v>1426.89</v>
      </c>
    </row>
    <row r="7021">
      <c r="A7021" s="10">
        <f t="shared" si="8"/>
        <v>45003.66667</v>
      </c>
      <c r="B7021" s="2" t="str">
        <f t="shared" si="2"/>
        <v/>
      </c>
      <c r="C7021" s="2" t="str">
        <f t="shared" si="3"/>
        <v>SP500</v>
      </c>
      <c r="D7021" s="2" t="str">
        <f t="shared" si="4"/>
        <v/>
      </c>
      <c r="E7021" s="2">
        <f t="shared" si="5"/>
        <v>11630.51</v>
      </c>
      <c r="G7021" s="10">
        <f t="shared" si="9"/>
        <v>45003.64583</v>
      </c>
      <c r="H7021" s="6" t="str">
        <f t="shared" si="6"/>
        <v/>
      </c>
      <c r="I7021" s="2">
        <f t="shared" si="7"/>
        <v>1426.89</v>
      </c>
    </row>
    <row r="7022">
      <c r="A7022" s="10">
        <f t="shared" si="8"/>
        <v>45004.66667</v>
      </c>
      <c r="B7022" s="2" t="str">
        <f t="shared" si="2"/>
        <v/>
      </c>
      <c r="C7022" s="2" t="str">
        <f t="shared" si="3"/>
        <v>SP500</v>
      </c>
      <c r="D7022" s="2" t="str">
        <f t="shared" si="4"/>
        <v/>
      </c>
      <c r="E7022" s="2">
        <f t="shared" si="5"/>
        <v>11630.51</v>
      </c>
      <c r="G7022" s="10">
        <f t="shared" si="9"/>
        <v>45004.64583</v>
      </c>
      <c r="H7022" s="6" t="str">
        <f t="shared" si="6"/>
        <v/>
      </c>
      <c r="I7022" s="2">
        <f t="shared" si="7"/>
        <v>1426.89</v>
      </c>
    </row>
    <row r="7023">
      <c r="A7023" s="10">
        <f t="shared" si="8"/>
        <v>45005.66667</v>
      </c>
      <c r="B7023" s="2" t="str">
        <f t="shared" si="2"/>
        <v/>
      </c>
      <c r="C7023" s="2" t="str">
        <f t="shared" si="3"/>
        <v>SP500</v>
      </c>
      <c r="D7023" s="2">
        <f t="shared" si="4"/>
        <v>11675.54</v>
      </c>
      <c r="E7023" s="2">
        <f t="shared" si="5"/>
        <v>11675.54</v>
      </c>
      <c r="G7023" s="10">
        <f t="shared" si="9"/>
        <v>45005.64583</v>
      </c>
      <c r="H7023" s="6" t="str">
        <f t="shared" si="6"/>
        <v/>
      </c>
      <c r="I7023" s="2">
        <f t="shared" si="7"/>
        <v>1426.89</v>
      </c>
    </row>
    <row r="7024">
      <c r="A7024" s="10">
        <f t="shared" si="8"/>
        <v>45006.66667</v>
      </c>
      <c r="B7024" s="2" t="str">
        <f t="shared" si="2"/>
        <v/>
      </c>
      <c r="C7024" s="2" t="str">
        <f t="shared" si="3"/>
        <v>SP500</v>
      </c>
      <c r="D7024" s="2">
        <f t="shared" si="4"/>
        <v>11860.11</v>
      </c>
      <c r="E7024" s="2">
        <f t="shared" si="5"/>
        <v>11860.11</v>
      </c>
      <c r="G7024" s="10">
        <f t="shared" si="9"/>
        <v>45006.64583</v>
      </c>
      <c r="H7024" s="6" t="str">
        <f t="shared" si="6"/>
        <v/>
      </c>
      <c r="I7024" s="2">
        <f t="shared" si="7"/>
        <v>1426.89</v>
      </c>
    </row>
    <row r="7025">
      <c r="A7025" s="10">
        <f t="shared" si="8"/>
        <v>45007.66667</v>
      </c>
      <c r="B7025" s="2" t="str">
        <f t="shared" si="2"/>
        <v/>
      </c>
      <c r="C7025" s="2" t="str">
        <f t="shared" si="3"/>
        <v>SP500</v>
      </c>
      <c r="D7025" s="2">
        <f t="shared" si="4"/>
        <v>11669.96</v>
      </c>
      <c r="E7025" s="2">
        <f t="shared" si="5"/>
        <v>11669.96</v>
      </c>
      <c r="G7025" s="10">
        <f t="shared" si="9"/>
        <v>45007.64583</v>
      </c>
      <c r="H7025" s="6" t="str">
        <f t="shared" si="6"/>
        <v/>
      </c>
      <c r="I7025" s="2">
        <f t="shared" si="7"/>
        <v>1426.89</v>
      </c>
    </row>
    <row r="7026">
      <c r="A7026" s="10">
        <f t="shared" si="8"/>
        <v>45008.66667</v>
      </c>
      <c r="B7026" s="2" t="str">
        <f t="shared" si="2"/>
        <v/>
      </c>
      <c r="C7026" s="2" t="str">
        <f t="shared" si="3"/>
        <v>SP500</v>
      </c>
      <c r="D7026" s="2">
        <f t="shared" si="4"/>
        <v>11787.4</v>
      </c>
      <c r="E7026" s="2">
        <f t="shared" si="5"/>
        <v>11787.4</v>
      </c>
      <c r="G7026" s="10">
        <f t="shared" si="9"/>
        <v>45008.64583</v>
      </c>
      <c r="H7026" s="6" t="str">
        <f t="shared" si="6"/>
        <v/>
      </c>
      <c r="I7026" s="2">
        <f t="shared" si="7"/>
        <v>1426.89</v>
      </c>
    </row>
    <row r="7027">
      <c r="A7027" s="10">
        <f t="shared" si="8"/>
        <v>45009.66667</v>
      </c>
      <c r="B7027" s="2" t="str">
        <f t="shared" si="2"/>
        <v/>
      </c>
      <c r="C7027" s="2" t="str">
        <f t="shared" si="3"/>
        <v>SP500</v>
      </c>
      <c r="D7027" s="2">
        <f t="shared" si="4"/>
        <v>11823.96</v>
      </c>
      <c r="E7027" s="2">
        <f t="shared" si="5"/>
        <v>11823.96</v>
      </c>
      <c r="G7027" s="10">
        <f t="shared" si="9"/>
        <v>45009.64583</v>
      </c>
      <c r="H7027" s="6" t="str">
        <f t="shared" si="6"/>
        <v/>
      </c>
      <c r="I7027" s="2">
        <f t="shared" si="7"/>
        <v>1426.89</v>
      </c>
    </row>
    <row r="7028">
      <c r="A7028" s="10">
        <f t="shared" si="8"/>
        <v>45010.66667</v>
      </c>
      <c r="B7028" s="2" t="str">
        <f t="shared" si="2"/>
        <v/>
      </c>
      <c r="C7028" s="2" t="str">
        <f t="shared" si="3"/>
        <v>SP500</v>
      </c>
      <c r="D7028" s="2" t="str">
        <f t="shared" si="4"/>
        <v/>
      </c>
      <c r="E7028" s="2">
        <f t="shared" si="5"/>
        <v>11823.96</v>
      </c>
      <c r="G7028" s="10">
        <f t="shared" si="9"/>
        <v>45010.64583</v>
      </c>
      <c r="H7028" s="6" t="str">
        <f t="shared" si="6"/>
        <v/>
      </c>
      <c r="I7028" s="2">
        <f t="shared" si="7"/>
        <v>1426.89</v>
      </c>
    </row>
    <row r="7029">
      <c r="A7029" s="10">
        <f t="shared" si="8"/>
        <v>45011.66667</v>
      </c>
      <c r="B7029" s="2" t="str">
        <f t="shared" si="2"/>
        <v/>
      </c>
      <c r="C7029" s="2" t="str">
        <f t="shared" si="3"/>
        <v>SP500</v>
      </c>
      <c r="D7029" s="2" t="str">
        <f t="shared" si="4"/>
        <v/>
      </c>
      <c r="E7029" s="2">
        <f t="shared" si="5"/>
        <v>11823.96</v>
      </c>
      <c r="G7029" s="10">
        <f t="shared" si="9"/>
        <v>45011.64583</v>
      </c>
      <c r="H7029" s="6" t="str">
        <f t="shared" si="6"/>
        <v/>
      </c>
      <c r="I7029" s="2">
        <f t="shared" si="7"/>
        <v>1426.89</v>
      </c>
    </row>
    <row r="7030">
      <c r="A7030" s="10">
        <f t="shared" si="8"/>
        <v>45012.66667</v>
      </c>
      <c r="B7030" s="2" t="str">
        <f t="shared" si="2"/>
        <v/>
      </c>
      <c r="C7030" s="2" t="str">
        <f t="shared" si="3"/>
        <v>SP500</v>
      </c>
      <c r="D7030" s="2">
        <f t="shared" si="4"/>
        <v>11768.84</v>
      </c>
      <c r="E7030" s="2">
        <f t="shared" si="5"/>
        <v>11768.84</v>
      </c>
      <c r="G7030" s="10">
        <f t="shared" si="9"/>
        <v>45012.64583</v>
      </c>
      <c r="H7030" s="6" t="str">
        <f t="shared" si="6"/>
        <v/>
      </c>
      <c r="I7030" s="2">
        <f t="shared" si="7"/>
        <v>1426.89</v>
      </c>
    </row>
    <row r="7031">
      <c r="A7031" s="10">
        <f t="shared" si="8"/>
        <v>45013.66667</v>
      </c>
      <c r="B7031" s="2" t="str">
        <f t="shared" si="2"/>
        <v/>
      </c>
      <c r="C7031" s="2" t="str">
        <f t="shared" si="3"/>
        <v>SP500</v>
      </c>
      <c r="D7031" s="2">
        <f t="shared" si="4"/>
        <v>11716.08</v>
      </c>
      <c r="E7031" s="2">
        <f t="shared" si="5"/>
        <v>11716.08</v>
      </c>
      <c r="G7031" s="10">
        <f t="shared" si="9"/>
        <v>45013.64583</v>
      </c>
      <c r="H7031" s="6" t="str">
        <f t="shared" si="6"/>
        <v/>
      </c>
      <c r="I7031" s="2">
        <f t="shared" si="7"/>
        <v>1426.89</v>
      </c>
    </row>
    <row r="7032">
      <c r="A7032" s="10">
        <f t="shared" si="8"/>
        <v>45014.66667</v>
      </c>
      <c r="B7032" s="2" t="str">
        <f t="shared" si="2"/>
        <v/>
      </c>
      <c r="C7032" s="2" t="str">
        <f t="shared" si="3"/>
        <v>SP500</v>
      </c>
      <c r="D7032" s="2">
        <f t="shared" si="4"/>
        <v>11926.24</v>
      </c>
      <c r="E7032" s="2">
        <f t="shared" si="5"/>
        <v>11926.24</v>
      </c>
      <c r="G7032" s="10">
        <f t="shared" si="9"/>
        <v>45014.64583</v>
      </c>
      <c r="H7032" s="6" t="str">
        <f t="shared" si="6"/>
        <v/>
      </c>
      <c r="I7032" s="2">
        <f t="shared" si="7"/>
        <v>1426.89</v>
      </c>
    </row>
    <row r="7033">
      <c r="A7033" s="10">
        <f t="shared" si="8"/>
        <v>45015.66667</v>
      </c>
      <c r="B7033" s="2" t="str">
        <f t="shared" si="2"/>
        <v/>
      </c>
      <c r="C7033" s="2" t="str">
        <f t="shared" si="3"/>
        <v>SP500</v>
      </c>
      <c r="D7033" s="2">
        <f t="shared" si="4"/>
        <v>12013.47</v>
      </c>
      <c r="E7033" s="2">
        <f t="shared" si="5"/>
        <v>12013.47</v>
      </c>
      <c r="G7033" s="10">
        <f t="shared" si="9"/>
        <v>45015.64583</v>
      </c>
      <c r="H7033" s="6" t="str">
        <f t="shared" si="6"/>
        <v/>
      </c>
      <c r="I7033" s="2">
        <f t="shared" si="7"/>
        <v>1426.89</v>
      </c>
    </row>
    <row r="7034">
      <c r="A7034" s="10">
        <f t="shared" si="8"/>
        <v>45016.66667</v>
      </c>
      <c r="B7034" s="2" t="str">
        <f t="shared" si="2"/>
        <v/>
      </c>
      <c r="C7034" s="2" t="str">
        <f t="shared" si="3"/>
        <v>SP500</v>
      </c>
      <c r="D7034" s="2">
        <f t="shared" si="4"/>
        <v>12221.91</v>
      </c>
      <c r="E7034" s="2">
        <f t="shared" si="5"/>
        <v>12221.91</v>
      </c>
      <c r="G7034" s="10">
        <f t="shared" si="9"/>
        <v>45016.64583</v>
      </c>
      <c r="H7034" s="6" t="str">
        <f t="shared" si="6"/>
        <v/>
      </c>
      <c r="I7034" s="2">
        <f t="shared" si="7"/>
        <v>1426.89</v>
      </c>
    </row>
    <row r="7035">
      <c r="A7035" s="10">
        <f t="shared" si="8"/>
        <v>45017.66667</v>
      </c>
      <c r="B7035" s="2" t="str">
        <f t="shared" si="2"/>
        <v/>
      </c>
      <c r="C7035" s="2" t="str">
        <f t="shared" si="3"/>
        <v>SP500</v>
      </c>
      <c r="D7035" s="2" t="str">
        <f t="shared" si="4"/>
        <v/>
      </c>
      <c r="E7035" s="2">
        <f t="shared" si="5"/>
        <v>12221.91</v>
      </c>
      <c r="G7035" s="10">
        <f t="shared" si="9"/>
        <v>45017.64583</v>
      </c>
      <c r="H7035" s="6" t="str">
        <f t="shared" si="6"/>
        <v/>
      </c>
      <c r="I7035" s="2">
        <f t="shared" si="7"/>
        <v>1426.89</v>
      </c>
    </row>
    <row r="7036">
      <c r="A7036" s="10">
        <f t="shared" si="8"/>
        <v>45018.66667</v>
      </c>
      <c r="B7036" s="2" t="str">
        <f t="shared" si="2"/>
        <v/>
      </c>
      <c r="C7036" s="2" t="str">
        <f t="shared" si="3"/>
        <v>SP500</v>
      </c>
      <c r="D7036" s="2" t="str">
        <f t="shared" si="4"/>
        <v/>
      </c>
      <c r="E7036" s="2">
        <f t="shared" si="5"/>
        <v>12221.91</v>
      </c>
      <c r="G7036" s="10">
        <f t="shared" si="9"/>
        <v>45018.64583</v>
      </c>
      <c r="H7036" s="6" t="str">
        <f t="shared" si="6"/>
        <v/>
      </c>
      <c r="I7036" s="2">
        <f t="shared" si="7"/>
        <v>1426.89</v>
      </c>
    </row>
    <row r="7037">
      <c r="A7037" s="10">
        <f t="shared" si="8"/>
        <v>45019.66667</v>
      </c>
      <c r="B7037" s="2" t="str">
        <f t="shared" si="2"/>
        <v/>
      </c>
      <c r="C7037" s="2" t="str">
        <f t="shared" si="3"/>
        <v>SP500</v>
      </c>
      <c r="D7037" s="2">
        <f t="shared" si="4"/>
        <v>12189.45</v>
      </c>
      <c r="E7037" s="2">
        <f t="shared" si="5"/>
        <v>12189.45</v>
      </c>
      <c r="G7037" s="10">
        <f t="shared" si="9"/>
        <v>45019.64583</v>
      </c>
      <c r="H7037" s="6" t="str">
        <f t="shared" si="6"/>
        <v/>
      </c>
      <c r="I7037" s="2">
        <f t="shared" si="7"/>
        <v>1426.89</v>
      </c>
    </row>
    <row r="7038">
      <c r="A7038" s="10">
        <f t="shared" si="8"/>
        <v>45020.66667</v>
      </c>
      <c r="B7038" s="2" t="str">
        <f t="shared" si="2"/>
        <v/>
      </c>
      <c r="C7038" s="2" t="str">
        <f t="shared" si="3"/>
        <v>SP500</v>
      </c>
      <c r="D7038" s="2">
        <f t="shared" si="4"/>
        <v>12126.33</v>
      </c>
      <c r="E7038" s="2">
        <f t="shared" si="5"/>
        <v>12126.33</v>
      </c>
      <c r="G7038" s="10">
        <f t="shared" si="9"/>
        <v>45020.64583</v>
      </c>
      <c r="H7038" s="6" t="str">
        <f t="shared" si="6"/>
        <v/>
      </c>
      <c r="I7038" s="2">
        <f t="shared" si="7"/>
        <v>1426.89</v>
      </c>
    </row>
    <row r="7039">
      <c r="A7039" s="10">
        <f t="shared" si="8"/>
        <v>45021.66667</v>
      </c>
      <c r="B7039" s="2" t="str">
        <f t="shared" si="2"/>
        <v/>
      </c>
      <c r="C7039" s="2" t="str">
        <f t="shared" si="3"/>
        <v>SP500</v>
      </c>
      <c r="D7039" s="2">
        <f t="shared" si="4"/>
        <v>11996.86</v>
      </c>
      <c r="E7039" s="2">
        <f t="shared" si="5"/>
        <v>11996.86</v>
      </c>
      <c r="G7039" s="10">
        <f t="shared" si="9"/>
        <v>45021.64583</v>
      </c>
      <c r="H7039" s="6" t="str">
        <f t="shared" si="6"/>
        <v/>
      </c>
      <c r="I7039" s="2">
        <f t="shared" si="7"/>
        <v>1426.89</v>
      </c>
    </row>
    <row r="7040">
      <c r="A7040" s="10">
        <f t="shared" si="8"/>
        <v>45022.66667</v>
      </c>
      <c r="B7040" s="2" t="str">
        <f t="shared" si="2"/>
        <v/>
      </c>
      <c r="C7040" s="2" t="str">
        <f t="shared" si="3"/>
        <v>SP500</v>
      </c>
      <c r="D7040" s="2">
        <f t="shared" si="4"/>
        <v>12087.96</v>
      </c>
      <c r="E7040" s="2">
        <f t="shared" si="5"/>
        <v>12087.96</v>
      </c>
      <c r="G7040" s="10">
        <f t="shared" si="9"/>
        <v>45022.64583</v>
      </c>
      <c r="H7040" s="6" t="str">
        <f t="shared" si="6"/>
        <v/>
      </c>
      <c r="I7040" s="2">
        <f t="shared" si="7"/>
        <v>1426.89</v>
      </c>
    </row>
    <row r="7041">
      <c r="A7041" s="10">
        <f t="shared" si="8"/>
        <v>45023.66667</v>
      </c>
      <c r="B7041" s="2" t="str">
        <f t="shared" si="2"/>
        <v/>
      </c>
      <c r="C7041" s="2" t="str">
        <f t="shared" si="3"/>
        <v>SP500</v>
      </c>
      <c r="D7041" s="2" t="str">
        <f t="shared" si="4"/>
        <v/>
      </c>
      <c r="E7041" s="2">
        <f t="shared" si="5"/>
        <v>12087.96</v>
      </c>
      <c r="G7041" s="10">
        <f t="shared" si="9"/>
        <v>45023.64583</v>
      </c>
      <c r="H7041" s="6" t="str">
        <f t="shared" si="6"/>
        <v/>
      </c>
      <c r="I7041" s="2">
        <f t="shared" si="7"/>
        <v>1426.89</v>
      </c>
    </row>
    <row r="7042">
      <c r="A7042" s="10">
        <f t="shared" si="8"/>
        <v>45024.66667</v>
      </c>
      <c r="B7042" s="2" t="str">
        <f t="shared" si="2"/>
        <v/>
      </c>
      <c r="C7042" s="2" t="str">
        <f t="shared" si="3"/>
        <v>SP500</v>
      </c>
      <c r="D7042" s="2" t="str">
        <f t="shared" si="4"/>
        <v/>
      </c>
      <c r="E7042" s="2">
        <f t="shared" si="5"/>
        <v>12087.96</v>
      </c>
      <c r="G7042" s="10">
        <f t="shared" si="9"/>
        <v>45024.64583</v>
      </c>
      <c r="H7042" s="6" t="str">
        <f t="shared" si="6"/>
        <v/>
      </c>
      <c r="I7042" s="2">
        <f t="shared" si="7"/>
        <v>1426.89</v>
      </c>
    </row>
    <row r="7043">
      <c r="A7043" s="10">
        <f t="shared" si="8"/>
        <v>45025.66667</v>
      </c>
      <c r="B7043" s="2" t="str">
        <f t="shared" si="2"/>
        <v/>
      </c>
      <c r="C7043" s="2" t="str">
        <f t="shared" si="3"/>
        <v>SP500</v>
      </c>
      <c r="D7043" s="2" t="str">
        <f t="shared" si="4"/>
        <v/>
      </c>
      <c r="E7043" s="2">
        <f t="shared" si="5"/>
        <v>12087.96</v>
      </c>
      <c r="G7043" s="10">
        <f t="shared" si="9"/>
        <v>45025.64583</v>
      </c>
      <c r="H7043" s="6" t="str">
        <f t="shared" si="6"/>
        <v/>
      </c>
      <c r="I7043" s="2">
        <f t="shared" si="7"/>
        <v>1426.89</v>
      </c>
    </row>
    <row r="7044">
      <c r="A7044" s="10">
        <f t="shared" si="8"/>
        <v>45026.66667</v>
      </c>
      <c r="B7044" s="2" t="str">
        <f t="shared" si="2"/>
        <v/>
      </c>
      <c r="C7044" s="2" t="str">
        <f t="shared" si="3"/>
        <v>SP500</v>
      </c>
      <c r="D7044" s="2">
        <f t="shared" si="4"/>
        <v>12084.36</v>
      </c>
      <c r="E7044" s="2">
        <f t="shared" si="5"/>
        <v>12084.36</v>
      </c>
      <c r="G7044" s="10">
        <f t="shared" si="9"/>
        <v>45026.64583</v>
      </c>
      <c r="H7044" s="6" t="str">
        <f t="shared" si="6"/>
        <v/>
      </c>
      <c r="I7044" s="2">
        <f t="shared" si="7"/>
        <v>1426.89</v>
      </c>
    </row>
    <row r="7045">
      <c r="A7045" s="10">
        <f t="shared" si="8"/>
        <v>45027.66667</v>
      </c>
      <c r="B7045" s="2" t="str">
        <f t="shared" si="2"/>
        <v/>
      </c>
      <c r="C7045" s="2" t="str">
        <f t="shared" si="3"/>
        <v>SP500</v>
      </c>
      <c r="D7045" s="2">
        <f t="shared" si="4"/>
        <v>12031.88</v>
      </c>
      <c r="E7045" s="2">
        <f t="shared" si="5"/>
        <v>12031.88</v>
      </c>
      <c r="G7045" s="10">
        <f t="shared" si="9"/>
        <v>45027.64583</v>
      </c>
      <c r="H7045" s="6" t="str">
        <f t="shared" si="6"/>
        <v/>
      </c>
      <c r="I7045" s="2">
        <f t="shared" si="7"/>
        <v>1426.89</v>
      </c>
    </row>
    <row r="7046">
      <c r="A7046" s="10">
        <f t="shared" si="8"/>
        <v>45028.66667</v>
      </c>
      <c r="B7046" s="2" t="str">
        <f t="shared" si="2"/>
        <v/>
      </c>
      <c r="C7046" s="2" t="str">
        <f t="shared" si="3"/>
        <v>SP500</v>
      </c>
      <c r="D7046" s="2">
        <f t="shared" si="4"/>
        <v>11929.34</v>
      </c>
      <c r="E7046" s="2">
        <f t="shared" si="5"/>
        <v>11929.34</v>
      </c>
      <c r="G7046" s="10">
        <f t="shared" si="9"/>
        <v>45028.64583</v>
      </c>
      <c r="H7046" s="6" t="str">
        <f t="shared" si="6"/>
        <v/>
      </c>
      <c r="I7046" s="2">
        <f t="shared" si="7"/>
        <v>1426.89</v>
      </c>
    </row>
    <row r="7047">
      <c r="A7047" s="10">
        <f t="shared" si="8"/>
        <v>45029.66667</v>
      </c>
      <c r="B7047" s="2" t="str">
        <f t="shared" si="2"/>
        <v/>
      </c>
      <c r="C7047" s="2" t="str">
        <f t="shared" si="3"/>
        <v>SP500</v>
      </c>
      <c r="D7047" s="2">
        <f t="shared" si="4"/>
        <v>12166.27</v>
      </c>
      <c r="E7047" s="2">
        <f t="shared" si="5"/>
        <v>12166.27</v>
      </c>
      <c r="G7047" s="10">
        <f t="shared" si="9"/>
        <v>45029.64583</v>
      </c>
      <c r="H7047" s="6" t="str">
        <f t="shared" si="6"/>
        <v/>
      </c>
      <c r="I7047" s="2">
        <f t="shared" si="7"/>
        <v>1426.89</v>
      </c>
    </row>
    <row r="7048">
      <c r="A7048" s="10">
        <f t="shared" si="8"/>
        <v>45030.66667</v>
      </c>
      <c r="B7048" s="2" t="str">
        <f t="shared" si="2"/>
        <v/>
      </c>
      <c r="C7048" s="2" t="str">
        <f t="shared" si="3"/>
        <v>SP500</v>
      </c>
      <c r="D7048" s="2">
        <f t="shared" si="4"/>
        <v>12123.47</v>
      </c>
      <c r="E7048" s="2">
        <f t="shared" si="5"/>
        <v>12123.47</v>
      </c>
      <c r="G7048" s="10">
        <f t="shared" si="9"/>
        <v>45030.64583</v>
      </c>
      <c r="H7048" s="6" t="str">
        <f t="shared" si="6"/>
        <v/>
      </c>
      <c r="I7048" s="2">
        <f t="shared" si="7"/>
        <v>1426.89</v>
      </c>
    </row>
    <row r="7049">
      <c r="A7049" s="10">
        <f t="shared" si="8"/>
        <v>45031.66667</v>
      </c>
      <c r="B7049" s="2" t="str">
        <f t="shared" si="2"/>
        <v/>
      </c>
      <c r="C7049" s="2" t="str">
        <f t="shared" si="3"/>
        <v>SP500</v>
      </c>
      <c r="D7049" s="2" t="str">
        <f t="shared" si="4"/>
        <v/>
      </c>
      <c r="E7049" s="2">
        <f t="shared" si="5"/>
        <v>12123.47</v>
      </c>
      <c r="G7049" s="10">
        <f t="shared" si="9"/>
        <v>45031.64583</v>
      </c>
      <c r="H7049" s="6" t="str">
        <f t="shared" si="6"/>
        <v/>
      </c>
      <c r="I7049" s="2">
        <f t="shared" si="7"/>
        <v>1426.89</v>
      </c>
    </row>
    <row r="7050">
      <c r="A7050" s="10">
        <f t="shared" si="8"/>
        <v>45032.66667</v>
      </c>
      <c r="B7050" s="2" t="str">
        <f t="shared" si="2"/>
        <v/>
      </c>
      <c r="C7050" s="2" t="str">
        <f t="shared" si="3"/>
        <v>SP500</v>
      </c>
      <c r="D7050" s="2" t="str">
        <f t="shared" si="4"/>
        <v/>
      </c>
      <c r="E7050" s="2">
        <f t="shared" si="5"/>
        <v>12123.47</v>
      </c>
      <c r="G7050" s="10">
        <f t="shared" si="9"/>
        <v>45032.64583</v>
      </c>
      <c r="H7050" s="6" t="str">
        <f t="shared" si="6"/>
        <v/>
      </c>
      <c r="I7050" s="2">
        <f t="shared" si="7"/>
        <v>1426.89</v>
      </c>
    </row>
    <row r="7051">
      <c r="A7051" s="10">
        <f t="shared" si="8"/>
        <v>45033.66667</v>
      </c>
      <c r="B7051" s="2" t="str">
        <f t="shared" si="2"/>
        <v/>
      </c>
      <c r="C7051" s="2" t="str">
        <f t="shared" si="3"/>
        <v>SP500</v>
      </c>
      <c r="D7051" s="2">
        <f t="shared" si="4"/>
        <v>12157.72</v>
      </c>
      <c r="E7051" s="2">
        <f t="shared" si="5"/>
        <v>12157.72</v>
      </c>
      <c r="G7051" s="10">
        <f t="shared" si="9"/>
        <v>45033.64583</v>
      </c>
      <c r="H7051" s="6" t="str">
        <f t="shared" si="6"/>
        <v/>
      </c>
      <c r="I7051" s="2">
        <f t="shared" si="7"/>
        <v>1426.89</v>
      </c>
    </row>
    <row r="7052">
      <c r="A7052" s="10">
        <f t="shared" si="8"/>
        <v>45034.66667</v>
      </c>
      <c r="B7052" s="2" t="str">
        <f t="shared" si="2"/>
        <v/>
      </c>
      <c r="C7052" s="2" t="str">
        <f t="shared" si="3"/>
        <v>SP500</v>
      </c>
      <c r="D7052" s="2">
        <f t="shared" si="4"/>
        <v>12153.41</v>
      </c>
      <c r="E7052" s="2">
        <f t="shared" si="5"/>
        <v>12153.41</v>
      </c>
      <c r="G7052" s="10">
        <f t="shared" si="9"/>
        <v>45034.64583</v>
      </c>
      <c r="H7052" s="6" t="str">
        <f t="shared" si="6"/>
        <v/>
      </c>
      <c r="I7052" s="2">
        <f t="shared" si="7"/>
        <v>1426.89</v>
      </c>
    </row>
    <row r="7053">
      <c r="A7053" s="10">
        <f t="shared" si="8"/>
        <v>45035.66667</v>
      </c>
      <c r="B7053" s="2" t="str">
        <f t="shared" si="2"/>
        <v/>
      </c>
      <c r="C7053" s="2" t="str">
        <f t="shared" si="3"/>
        <v>SP500</v>
      </c>
      <c r="D7053" s="2">
        <f t="shared" si="4"/>
        <v>12157.23</v>
      </c>
      <c r="E7053" s="2">
        <f t="shared" si="5"/>
        <v>12157.23</v>
      </c>
      <c r="G7053" s="10">
        <f t="shared" si="9"/>
        <v>45035.64583</v>
      </c>
      <c r="H7053" s="6" t="str">
        <f t="shared" si="6"/>
        <v/>
      </c>
      <c r="I7053" s="2">
        <f t="shared" si="7"/>
        <v>1426.89</v>
      </c>
    </row>
    <row r="7054">
      <c r="A7054" s="10">
        <f t="shared" si="8"/>
        <v>45036.66667</v>
      </c>
      <c r="B7054" s="2" t="str">
        <f t="shared" si="2"/>
        <v/>
      </c>
      <c r="C7054" s="2" t="str">
        <f t="shared" si="3"/>
        <v>SP500</v>
      </c>
      <c r="D7054" s="2">
        <f t="shared" si="4"/>
        <v>12059.56</v>
      </c>
      <c r="E7054" s="2">
        <f t="shared" si="5"/>
        <v>12059.56</v>
      </c>
      <c r="G7054" s="10">
        <f t="shared" si="9"/>
        <v>45036.64583</v>
      </c>
      <c r="H7054" s="6" t="str">
        <f t="shared" si="6"/>
        <v/>
      </c>
      <c r="I7054" s="2">
        <f t="shared" si="7"/>
        <v>1426.89</v>
      </c>
    </row>
    <row r="7055">
      <c r="A7055" s="10">
        <f t="shared" si="8"/>
        <v>45037.66667</v>
      </c>
      <c r="B7055" s="2" t="str">
        <f t="shared" si="2"/>
        <v/>
      </c>
      <c r="C7055" s="2" t="str">
        <f t="shared" si="3"/>
        <v>SP500</v>
      </c>
      <c r="D7055" s="2">
        <f t="shared" si="4"/>
        <v>12072.46</v>
      </c>
      <c r="E7055" s="2">
        <f t="shared" si="5"/>
        <v>12072.46</v>
      </c>
      <c r="G7055" s="10">
        <f t="shared" si="9"/>
        <v>45037.64583</v>
      </c>
      <c r="H7055" s="6" t="str">
        <f t="shared" si="6"/>
        <v/>
      </c>
      <c r="I7055" s="2">
        <f t="shared" si="7"/>
        <v>1426.89</v>
      </c>
    </row>
    <row r="7056">
      <c r="A7056" s="10">
        <f t="shared" si="8"/>
        <v>45038.66667</v>
      </c>
      <c r="B7056" s="2" t="str">
        <f t="shared" si="2"/>
        <v/>
      </c>
      <c r="C7056" s="2" t="str">
        <f t="shared" si="3"/>
        <v>SP500</v>
      </c>
      <c r="D7056" s="2" t="str">
        <f t="shared" si="4"/>
        <v/>
      </c>
      <c r="E7056" s="2">
        <f t="shared" si="5"/>
        <v>12072.46</v>
      </c>
      <c r="G7056" s="10">
        <f t="shared" si="9"/>
        <v>45038.64583</v>
      </c>
      <c r="H7056" s="6" t="str">
        <f t="shared" si="6"/>
        <v/>
      </c>
      <c r="I7056" s="2">
        <f t="shared" si="7"/>
        <v>1426.89</v>
      </c>
    </row>
    <row r="7057">
      <c r="A7057" s="10">
        <f t="shared" si="8"/>
        <v>45039.66667</v>
      </c>
      <c r="B7057" s="2" t="str">
        <f t="shared" si="2"/>
        <v/>
      </c>
      <c r="C7057" s="2" t="str">
        <f t="shared" si="3"/>
        <v>SP500</v>
      </c>
      <c r="D7057" s="2" t="str">
        <f t="shared" si="4"/>
        <v/>
      </c>
      <c r="E7057" s="2">
        <f t="shared" si="5"/>
        <v>12072.46</v>
      </c>
      <c r="G7057" s="10">
        <f t="shared" si="9"/>
        <v>45039.64583</v>
      </c>
      <c r="H7057" s="6" t="str">
        <f t="shared" si="6"/>
        <v/>
      </c>
      <c r="I7057" s="2">
        <f t="shared" si="7"/>
        <v>1426.89</v>
      </c>
    </row>
    <row r="7058">
      <c r="A7058" s="10">
        <f t="shared" si="8"/>
        <v>45040.66667</v>
      </c>
      <c r="B7058" s="2" t="str">
        <f t="shared" si="2"/>
        <v/>
      </c>
      <c r="C7058" s="2" t="str">
        <f t="shared" si="3"/>
        <v>SP500</v>
      </c>
      <c r="D7058" s="2">
        <f t="shared" si="4"/>
        <v>12037.2</v>
      </c>
      <c r="E7058" s="2">
        <f t="shared" si="5"/>
        <v>12037.2</v>
      </c>
      <c r="G7058" s="10">
        <f t="shared" si="9"/>
        <v>45040.64583</v>
      </c>
      <c r="H7058" s="6" t="str">
        <f t="shared" si="6"/>
        <v/>
      </c>
      <c r="I7058" s="2">
        <f t="shared" si="7"/>
        <v>1426.89</v>
      </c>
    </row>
    <row r="7059">
      <c r="A7059" s="10">
        <f t="shared" si="8"/>
        <v>45041.66667</v>
      </c>
      <c r="B7059" s="2" t="str">
        <f t="shared" si="2"/>
        <v/>
      </c>
      <c r="C7059" s="2" t="str">
        <f t="shared" si="3"/>
        <v>SP500</v>
      </c>
      <c r="D7059" s="2">
        <f t="shared" si="4"/>
        <v>11799.16</v>
      </c>
      <c r="E7059" s="2">
        <f t="shared" si="5"/>
        <v>11799.16</v>
      </c>
      <c r="G7059" s="10">
        <f t="shared" si="9"/>
        <v>45041.64583</v>
      </c>
      <c r="H7059" s="6" t="str">
        <f t="shared" si="6"/>
        <v/>
      </c>
      <c r="I7059" s="2">
        <f t="shared" si="7"/>
        <v>1426.89</v>
      </c>
    </row>
    <row r="7060">
      <c r="A7060" s="10">
        <f t="shared" si="8"/>
        <v>45042.66667</v>
      </c>
      <c r="B7060" s="2" t="str">
        <f t="shared" si="2"/>
        <v/>
      </c>
      <c r="C7060" s="2" t="str">
        <f t="shared" si="3"/>
        <v>SP500</v>
      </c>
      <c r="D7060" s="2">
        <f t="shared" si="4"/>
        <v>11854.35</v>
      </c>
      <c r="E7060" s="2">
        <f t="shared" si="5"/>
        <v>11854.35</v>
      </c>
      <c r="G7060" s="10">
        <f t="shared" si="9"/>
        <v>45042.64583</v>
      </c>
      <c r="H7060" s="6" t="str">
        <f t="shared" si="6"/>
        <v/>
      </c>
      <c r="I7060" s="2">
        <f t="shared" si="7"/>
        <v>1426.89</v>
      </c>
    </row>
    <row r="7061">
      <c r="A7061" s="10">
        <f t="shared" si="8"/>
        <v>45043.66667</v>
      </c>
      <c r="B7061" s="2" t="str">
        <f t="shared" si="2"/>
        <v/>
      </c>
      <c r="C7061" s="2" t="str">
        <f t="shared" si="3"/>
        <v>SP500</v>
      </c>
      <c r="D7061" s="2">
        <f t="shared" si="4"/>
        <v>12142.24</v>
      </c>
      <c r="E7061" s="2">
        <f t="shared" si="5"/>
        <v>12142.24</v>
      </c>
      <c r="G7061" s="10">
        <f t="shared" si="9"/>
        <v>45043.64583</v>
      </c>
      <c r="H7061" s="6" t="str">
        <f t="shared" si="6"/>
        <v/>
      </c>
      <c r="I7061" s="2">
        <f t="shared" si="7"/>
        <v>1426.89</v>
      </c>
    </row>
    <row r="7062">
      <c r="A7062" s="10">
        <f t="shared" si="8"/>
        <v>45044.66667</v>
      </c>
      <c r="B7062" s="2" t="str">
        <f t="shared" si="2"/>
        <v/>
      </c>
      <c r="C7062" s="2" t="str">
        <f t="shared" si="3"/>
        <v>SP500</v>
      </c>
      <c r="D7062" s="2">
        <f t="shared" si="4"/>
        <v>12226.58</v>
      </c>
      <c r="E7062" s="2">
        <f t="shared" si="5"/>
        <v>12226.58</v>
      </c>
      <c r="G7062" s="10">
        <f t="shared" si="9"/>
        <v>45044.64583</v>
      </c>
      <c r="H7062" s="6" t="str">
        <f t="shared" si="6"/>
        <v/>
      </c>
      <c r="I7062" s="2">
        <f t="shared" si="7"/>
        <v>1426.89</v>
      </c>
    </row>
    <row r="7063">
      <c r="A7063" s="10">
        <f t="shared" si="8"/>
        <v>45045.66667</v>
      </c>
      <c r="B7063" s="2" t="str">
        <f t="shared" si="2"/>
        <v/>
      </c>
      <c r="C7063" s="2" t="str">
        <f t="shared" si="3"/>
        <v>SP500</v>
      </c>
      <c r="D7063" s="2" t="str">
        <f t="shared" si="4"/>
        <v/>
      </c>
      <c r="E7063" s="2">
        <f t="shared" si="5"/>
        <v>12226.58</v>
      </c>
      <c r="G7063" s="10">
        <f t="shared" si="9"/>
        <v>45045.64583</v>
      </c>
      <c r="H7063" s="6" t="str">
        <f t="shared" si="6"/>
        <v/>
      </c>
      <c r="I7063" s="2">
        <f t="shared" si="7"/>
        <v>1426.89</v>
      </c>
    </row>
    <row r="7064">
      <c r="A7064" s="10">
        <f t="shared" si="8"/>
        <v>45046.66667</v>
      </c>
      <c r="B7064" s="2" t="str">
        <f t="shared" si="2"/>
        <v/>
      </c>
      <c r="C7064" s="2" t="str">
        <f t="shared" si="3"/>
        <v>SP500</v>
      </c>
      <c r="D7064" s="2" t="str">
        <f t="shared" si="4"/>
        <v/>
      </c>
      <c r="E7064" s="2">
        <f t="shared" si="5"/>
        <v>12226.58</v>
      </c>
      <c r="G7064" s="10">
        <f t="shared" si="9"/>
        <v>45046.64583</v>
      </c>
      <c r="H7064" s="6" t="str">
        <f t="shared" si="6"/>
        <v/>
      </c>
      <c r="I7064" s="2">
        <f t="shared" si="7"/>
        <v>1426.89</v>
      </c>
    </row>
    <row r="7065">
      <c r="A7065" s="10">
        <f t="shared" si="8"/>
        <v>45047.66667</v>
      </c>
      <c r="B7065" s="2" t="str">
        <f t="shared" si="2"/>
        <v/>
      </c>
      <c r="C7065" s="2" t="str">
        <f t="shared" si="3"/>
        <v>SP500</v>
      </c>
      <c r="D7065" s="2">
        <f t="shared" si="4"/>
        <v>12212.6</v>
      </c>
      <c r="E7065" s="2">
        <f t="shared" si="5"/>
        <v>12212.6</v>
      </c>
      <c r="G7065" s="10">
        <f t="shared" si="9"/>
        <v>45047.64583</v>
      </c>
      <c r="H7065" s="6" t="str">
        <f t="shared" si="6"/>
        <v/>
      </c>
      <c r="I7065" s="2">
        <f t="shared" si="7"/>
        <v>1426.89</v>
      </c>
    </row>
    <row r="7066">
      <c r="A7066" s="10">
        <f t="shared" si="8"/>
        <v>45048.66667</v>
      </c>
      <c r="B7066" s="2" t="str">
        <f t="shared" si="2"/>
        <v/>
      </c>
      <c r="C7066" s="2" t="str">
        <f t="shared" si="3"/>
        <v>SP500</v>
      </c>
      <c r="D7066" s="2">
        <f t="shared" si="4"/>
        <v>12080.51</v>
      </c>
      <c r="E7066" s="2">
        <f t="shared" si="5"/>
        <v>12080.51</v>
      </c>
      <c r="G7066" s="10">
        <f t="shared" si="9"/>
        <v>45048.64583</v>
      </c>
      <c r="H7066" s="6" t="str">
        <f t="shared" si="6"/>
        <v/>
      </c>
      <c r="I7066" s="2">
        <f t="shared" si="7"/>
        <v>1426.89</v>
      </c>
    </row>
    <row r="7067">
      <c r="A7067" s="10">
        <f t="shared" si="8"/>
        <v>45049.66667</v>
      </c>
      <c r="B7067" s="2" t="str">
        <f t="shared" si="2"/>
        <v/>
      </c>
      <c r="C7067" s="2" t="str">
        <f t="shared" si="3"/>
        <v>SP500</v>
      </c>
      <c r="D7067" s="2">
        <f t="shared" si="4"/>
        <v>12025.33</v>
      </c>
      <c r="E7067" s="2">
        <f t="shared" si="5"/>
        <v>12025.33</v>
      </c>
      <c r="G7067" s="10">
        <f t="shared" si="9"/>
        <v>45049.64583</v>
      </c>
      <c r="H7067" s="6" t="str">
        <f t="shared" si="6"/>
        <v/>
      </c>
      <c r="I7067" s="2">
        <f t="shared" si="7"/>
        <v>1426.89</v>
      </c>
    </row>
    <row r="7068">
      <c r="A7068" s="10">
        <f t="shared" si="8"/>
        <v>45050.66667</v>
      </c>
      <c r="B7068" s="2" t="str">
        <f t="shared" si="2"/>
        <v/>
      </c>
      <c r="C7068" s="2" t="str">
        <f t="shared" si="3"/>
        <v>SP500</v>
      </c>
      <c r="D7068" s="2">
        <f t="shared" si="4"/>
        <v>11966.4</v>
      </c>
      <c r="E7068" s="2">
        <f t="shared" si="5"/>
        <v>11966.4</v>
      </c>
      <c r="G7068" s="10">
        <f t="shared" si="9"/>
        <v>45050.64583</v>
      </c>
      <c r="H7068" s="6" t="str">
        <f t="shared" si="6"/>
        <v/>
      </c>
      <c r="I7068" s="2">
        <f t="shared" si="7"/>
        <v>1426.89</v>
      </c>
    </row>
    <row r="7069">
      <c r="A7069" s="10">
        <f t="shared" si="8"/>
        <v>45051.66667</v>
      </c>
      <c r="B7069" s="2" t="str">
        <f t="shared" si="2"/>
        <v/>
      </c>
      <c r="C7069" s="2" t="str">
        <f t="shared" si="3"/>
        <v>SP500</v>
      </c>
      <c r="D7069" s="2">
        <f t="shared" si="4"/>
        <v>12235.41</v>
      </c>
      <c r="E7069" s="2">
        <f t="shared" si="5"/>
        <v>12235.41</v>
      </c>
      <c r="G7069" s="10">
        <f t="shared" si="9"/>
        <v>45051.64583</v>
      </c>
      <c r="H7069" s="6" t="str">
        <f t="shared" si="6"/>
        <v/>
      </c>
      <c r="I7069" s="2">
        <f t="shared" si="7"/>
        <v>1426.89</v>
      </c>
    </row>
    <row r="7070">
      <c r="A7070" s="10">
        <f t="shared" si="8"/>
        <v>45052.66667</v>
      </c>
      <c r="B7070" s="2" t="str">
        <f t="shared" si="2"/>
        <v/>
      </c>
      <c r="C7070" s="2" t="str">
        <f t="shared" si="3"/>
        <v>SP500</v>
      </c>
      <c r="D7070" s="2" t="str">
        <f t="shared" si="4"/>
        <v/>
      </c>
      <c r="E7070" s="2">
        <f t="shared" si="5"/>
        <v>12235.41</v>
      </c>
      <c r="G7070" s="10">
        <f t="shared" si="9"/>
        <v>45052.64583</v>
      </c>
      <c r="H7070" s="6" t="str">
        <f t="shared" si="6"/>
        <v/>
      </c>
      <c r="I7070" s="2">
        <f t="shared" si="7"/>
        <v>1426.89</v>
      </c>
    </row>
    <row r="7071">
      <c r="A7071" s="10">
        <f t="shared" si="8"/>
        <v>45053.66667</v>
      </c>
      <c r="B7071" s="2" t="str">
        <f t="shared" si="2"/>
        <v/>
      </c>
      <c r="C7071" s="2" t="str">
        <f t="shared" si="3"/>
        <v>SP500</v>
      </c>
      <c r="D7071" s="2" t="str">
        <f t="shared" si="4"/>
        <v/>
      </c>
      <c r="E7071" s="2">
        <f t="shared" si="5"/>
        <v>12235.41</v>
      </c>
      <c r="G7071" s="10">
        <f t="shared" si="9"/>
        <v>45053.64583</v>
      </c>
      <c r="H7071" s="6" t="str">
        <f t="shared" si="6"/>
        <v/>
      </c>
      <c r="I7071" s="2">
        <f t="shared" si="7"/>
        <v>1426.89</v>
      </c>
    </row>
    <row r="7072">
      <c r="A7072" s="10">
        <f t="shared" si="8"/>
        <v>45054.66667</v>
      </c>
      <c r="B7072" s="2" t="str">
        <f t="shared" si="2"/>
        <v/>
      </c>
      <c r="C7072" s="2" t="str">
        <f t="shared" si="3"/>
        <v>SP500</v>
      </c>
      <c r="D7072" s="2">
        <f t="shared" si="4"/>
        <v>12256.92</v>
      </c>
      <c r="E7072" s="2">
        <f t="shared" si="5"/>
        <v>12256.92</v>
      </c>
      <c r="G7072" s="10">
        <f t="shared" si="9"/>
        <v>45054.64583</v>
      </c>
      <c r="H7072" s="6" t="str">
        <f t="shared" si="6"/>
        <v/>
      </c>
      <c r="I7072" s="2">
        <f t="shared" si="7"/>
        <v>1426.89</v>
      </c>
    </row>
    <row r="7073">
      <c r="A7073" s="10">
        <f t="shared" si="8"/>
        <v>45055.66667</v>
      </c>
      <c r="B7073" s="2" t="str">
        <f t="shared" si="2"/>
        <v/>
      </c>
      <c r="C7073" s="2" t="str">
        <f t="shared" si="3"/>
        <v>SP500</v>
      </c>
      <c r="D7073" s="2">
        <f t="shared" si="4"/>
        <v>12179.55</v>
      </c>
      <c r="E7073" s="2">
        <f t="shared" si="5"/>
        <v>12179.55</v>
      </c>
      <c r="G7073" s="10">
        <f t="shared" si="9"/>
        <v>45055.64583</v>
      </c>
      <c r="H7073" s="6" t="str">
        <f t="shared" si="6"/>
        <v/>
      </c>
      <c r="I7073" s="2">
        <f t="shared" si="7"/>
        <v>1426.89</v>
      </c>
    </row>
    <row r="7074">
      <c r="A7074" s="10">
        <f t="shared" si="8"/>
        <v>45056.66667</v>
      </c>
      <c r="B7074" s="2" t="str">
        <f t="shared" si="2"/>
        <v/>
      </c>
      <c r="C7074" s="2" t="str">
        <f t="shared" si="3"/>
        <v>SP500</v>
      </c>
      <c r="D7074" s="2">
        <f t="shared" si="4"/>
        <v>12306.44</v>
      </c>
      <c r="E7074" s="2">
        <f t="shared" si="5"/>
        <v>12306.44</v>
      </c>
      <c r="G7074" s="10">
        <f t="shared" si="9"/>
        <v>45056.64583</v>
      </c>
      <c r="H7074" s="6" t="str">
        <f t="shared" si="6"/>
        <v/>
      </c>
      <c r="I7074" s="2">
        <f t="shared" si="7"/>
        <v>1426.89</v>
      </c>
    </row>
    <row r="7075">
      <c r="A7075" s="10">
        <f t="shared" si="8"/>
        <v>45057.66667</v>
      </c>
      <c r="B7075" s="2" t="str">
        <f t="shared" si="2"/>
        <v/>
      </c>
      <c r="C7075" s="2" t="str">
        <f t="shared" si="3"/>
        <v>SP500</v>
      </c>
      <c r="D7075" s="2">
        <f t="shared" si="4"/>
        <v>12328.51</v>
      </c>
      <c r="E7075" s="2">
        <f t="shared" si="5"/>
        <v>12328.51</v>
      </c>
      <c r="G7075" s="10">
        <f t="shared" si="9"/>
        <v>45057.64583</v>
      </c>
      <c r="H7075" s="6" t="str">
        <f t="shared" si="6"/>
        <v/>
      </c>
      <c r="I7075" s="2">
        <f t="shared" si="7"/>
        <v>1426.89</v>
      </c>
    </row>
    <row r="7076">
      <c r="A7076" s="10">
        <f t="shared" si="8"/>
        <v>45058.66667</v>
      </c>
      <c r="B7076" s="2" t="str">
        <f t="shared" si="2"/>
        <v/>
      </c>
      <c r="C7076" s="2" t="str">
        <f t="shared" si="3"/>
        <v>SP500</v>
      </c>
      <c r="D7076" s="2">
        <f t="shared" si="4"/>
        <v>12284.74</v>
      </c>
      <c r="E7076" s="2">
        <f t="shared" si="5"/>
        <v>12284.74</v>
      </c>
      <c r="G7076" s="10">
        <f t="shared" si="9"/>
        <v>45058.64583</v>
      </c>
      <c r="H7076" s="6" t="str">
        <f t="shared" si="6"/>
        <v/>
      </c>
      <c r="I7076" s="2">
        <f t="shared" si="7"/>
        <v>1426.89</v>
      </c>
    </row>
    <row r="7077">
      <c r="A7077" s="10">
        <f t="shared" si="8"/>
        <v>45059.66667</v>
      </c>
      <c r="B7077" s="2" t="str">
        <f t="shared" si="2"/>
        <v/>
      </c>
      <c r="C7077" s="2" t="str">
        <f t="shared" si="3"/>
        <v>SP500</v>
      </c>
      <c r="D7077" s="2" t="str">
        <f t="shared" si="4"/>
        <v/>
      </c>
      <c r="E7077" s="2">
        <f t="shared" si="5"/>
        <v>12284.74</v>
      </c>
      <c r="G7077" s="10">
        <f t="shared" si="9"/>
        <v>45059.64583</v>
      </c>
      <c r="H7077" s="6" t="str">
        <f t="shared" si="6"/>
        <v/>
      </c>
      <c r="I7077" s="2">
        <f t="shared" si="7"/>
        <v>1426.89</v>
      </c>
    </row>
    <row r="7078">
      <c r="A7078" s="10">
        <f t="shared" si="8"/>
        <v>45060.66667</v>
      </c>
      <c r="B7078" s="2" t="str">
        <f t="shared" si="2"/>
        <v/>
      </c>
      <c r="C7078" s="2" t="str">
        <f t="shared" si="3"/>
        <v>SP500</v>
      </c>
      <c r="D7078" s="2" t="str">
        <f t="shared" si="4"/>
        <v/>
      </c>
      <c r="E7078" s="2">
        <f t="shared" si="5"/>
        <v>12284.74</v>
      </c>
      <c r="G7078" s="10">
        <f t="shared" si="9"/>
        <v>45060.64583</v>
      </c>
      <c r="H7078" s="6" t="str">
        <f t="shared" si="6"/>
        <v/>
      </c>
      <c r="I7078" s="2">
        <f t="shared" si="7"/>
        <v>1426.89</v>
      </c>
    </row>
    <row r="7079">
      <c r="A7079" s="10">
        <f t="shared" si="8"/>
        <v>45061.66667</v>
      </c>
      <c r="B7079" s="2" t="str">
        <f t="shared" si="2"/>
        <v/>
      </c>
      <c r="C7079" s="2" t="str">
        <f t="shared" si="3"/>
        <v>SP500</v>
      </c>
      <c r="D7079" s="2">
        <f t="shared" si="4"/>
        <v>12365.21</v>
      </c>
      <c r="E7079" s="2">
        <f t="shared" si="5"/>
        <v>12365.21</v>
      </c>
      <c r="G7079" s="10">
        <f t="shared" si="9"/>
        <v>45061.64583</v>
      </c>
      <c r="H7079" s="6" t="str">
        <f t="shared" si="6"/>
        <v/>
      </c>
      <c r="I7079" s="2">
        <f t="shared" si="7"/>
        <v>1426.89</v>
      </c>
    </row>
    <row r="7080">
      <c r="A7080" s="10">
        <f t="shared" si="8"/>
        <v>45062.66667</v>
      </c>
      <c r="B7080" s="2" t="str">
        <f t="shared" si="2"/>
        <v/>
      </c>
      <c r="C7080" s="2" t="str">
        <f t="shared" si="3"/>
        <v>SP500</v>
      </c>
      <c r="D7080" s="2">
        <f t="shared" si="4"/>
        <v>12343.05</v>
      </c>
      <c r="E7080" s="2">
        <f t="shared" si="5"/>
        <v>12343.05</v>
      </c>
      <c r="G7080" s="10">
        <f t="shared" si="9"/>
        <v>45062.64583</v>
      </c>
      <c r="H7080" s="6" t="str">
        <f t="shared" si="6"/>
        <v/>
      </c>
      <c r="I7080" s="2">
        <f t="shared" si="7"/>
        <v>1426.89</v>
      </c>
    </row>
    <row r="7081">
      <c r="A7081" s="10">
        <f t="shared" si="8"/>
        <v>45063.66667</v>
      </c>
      <c r="B7081" s="2" t="str">
        <f t="shared" si="2"/>
        <v/>
      </c>
      <c r="C7081" s="2" t="str">
        <f t="shared" si="3"/>
        <v>SP500</v>
      </c>
      <c r="D7081" s="2">
        <f t="shared" si="4"/>
        <v>12500.57</v>
      </c>
      <c r="E7081" s="2">
        <f t="shared" si="5"/>
        <v>12500.57</v>
      </c>
      <c r="G7081" s="10">
        <f t="shared" si="9"/>
        <v>45063.64583</v>
      </c>
      <c r="H7081" s="6" t="str">
        <f t="shared" si="6"/>
        <v/>
      </c>
      <c r="I7081" s="2">
        <f t="shared" si="7"/>
        <v>1426.89</v>
      </c>
    </row>
    <row r="7082">
      <c r="A7082" s="10">
        <f t="shared" si="8"/>
        <v>45064.66667</v>
      </c>
      <c r="B7082" s="2" t="str">
        <f t="shared" si="2"/>
        <v/>
      </c>
      <c r="C7082" s="2" t="str">
        <f t="shared" si="3"/>
        <v>SP500</v>
      </c>
      <c r="D7082" s="2">
        <f t="shared" si="4"/>
        <v>12688.84</v>
      </c>
      <c r="E7082" s="2">
        <f t="shared" si="5"/>
        <v>12688.84</v>
      </c>
      <c r="G7082" s="10">
        <f t="shared" si="9"/>
        <v>45064.64583</v>
      </c>
      <c r="H7082" s="6" t="str">
        <f t="shared" si="6"/>
        <v/>
      </c>
      <c r="I7082" s="2">
        <f t="shared" si="7"/>
        <v>1426.89</v>
      </c>
    </row>
    <row r="7083">
      <c r="A7083" s="10">
        <f t="shared" si="8"/>
        <v>45065.66667</v>
      </c>
      <c r="B7083" s="2" t="str">
        <f t="shared" si="2"/>
        <v/>
      </c>
      <c r="C7083" s="2" t="str">
        <f t="shared" si="3"/>
        <v>SP500</v>
      </c>
      <c r="D7083" s="2">
        <f t="shared" si="4"/>
        <v>12657.9</v>
      </c>
      <c r="E7083" s="2">
        <f t="shared" si="5"/>
        <v>12657.9</v>
      </c>
      <c r="G7083" s="10">
        <f t="shared" si="9"/>
        <v>45065.64583</v>
      </c>
      <c r="H7083" s="6" t="str">
        <f t="shared" si="6"/>
        <v/>
      </c>
      <c r="I7083" s="2">
        <f t="shared" si="7"/>
        <v>1426.89</v>
      </c>
    </row>
    <row r="7084">
      <c r="A7084" s="10">
        <f t="shared" si="8"/>
        <v>45066.66667</v>
      </c>
      <c r="B7084" s="2" t="str">
        <f t="shared" si="2"/>
        <v/>
      </c>
      <c r="C7084" s="2" t="str">
        <f t="shared" si="3"/>
        <v>SP500</v>
      </c>
      <c r="D7084" s="2" t="str">
        <f t="shared" si="4"/>
        <v/>
      </c>
      <c r="E7084" s="2">
        <f t="shared" si="5"/>
        <v>12657.9</v>
      </c>
      <c r="G7084" s="10">
        <f t="shared" si="9"/>
        <v>45066.64583</v>
      </c>
      <c r="H7084" s="6" t="str">
        <f t="shared" si="6"/>
        <v/>
      </c>
      <c r="I7084" s="2">
        <f t="shared" si="7"/>
        <v>1426.89</v>
      </c>
    </row>
    <row r="7085">
      <c r="A7085" s="10">
        <f t="shared" si="8"/>
        <v>45067.66667</v>
      </c>
      <c r="B7085" s="2" t="str">
        <f t="shared" si="2"/>
        <v/>
      </c>
      <c r="C7085" s="2" t="str">
        <f t="shared" si="3"/>
        <v>SP500</v>
      </c>
      <c r="D7085" s="2" t="str">
        <f t="shared" si="4"/>
        <v/>
      </c>
      <c r="E7085" s="2">
        <f t="shared" si="5"/>
        <v>12657.9</v>
      </c>
      <c r="G7085" s="10">
        <f t="shared" si="9"/>
        <v>45067.64583</v>
      </c>
      <c r="H7085" s="6" t="str">
        <f t="shared" si="6"/>
        <v/>
      </c>
      <c r="I7085" s="2">
        <f t="shared" si="7"/>
        <v>1426.89</v>
      </c>
    </row>
    <row r="7086">
      <c r="A7086" s="10">
        <f t="shared" si="8"/>
        <v>45068.66667</v>
      </c>
      <c r="B7086" s="2" t="str">
        <f t="shared" si="2"/>
        <v/>
      </c>
      <c r="C7086" s="2" t="str">
        <f t="shared" si="3"/>
        <v>SP500</v>
      </c>
      <c r="D7086" s="2">
        <f t="shared" si="4"/>
        <v>12720.78</v>
      </c>
      <c r="E7086" s="2">
        <f t="shared" si="5"/>
        <v>12720.78</v>
      </c>
      <c r="G7086" s="10">
        <f t="shared" si="9"/>
        <v>45068.64583</v>
      </c>
      <c r="H7086" s="6" t="str">
        <f t="shared" si="6"/>
        <v/>
      </c>
      <c r="I7086" s="2">
        <f t="shared" si="7"/>
        <v>1426.89</v>
      </c>
    </row>
    <row r="7087">
      <c r="A7087" s="10">
        <f t="shared" si="8"/>
        <v>45069.66667</v>
      </c>
      <c r="B7087" s="2" t="str">
        <f t="shared" si="2"/>
        <v/>
      </c>
      <c r="C7087" s="2" t="str">
        <f t="shared" si="3"/>
        <v>SP500</v>
      </c>
      <c r="D7087" s="2">
        <f t="shared" si="4"/>
        <v>12560.25</v>
      </c>
      <c r="E7087" s="2">
        <f t="shared" si="5"/>
        <v>12560.25</v>
      </c>
      <c r="G7087" s="10">
        <f t="shared" si="9"/>
        <v>45069.64583</v>
      </c>
      <c r="H7087" s="6" t="str">
        <f t="shared" si="6"/>
        <v/>
      </c>
      <c r="I7087" s="2">
        <f t="shared" si="7"/>
        <v>1426.89</v>
      </c>
    </row>
    <row r="7088">
      <c r="A7088" s="10">
        <f t="shared" si="8"/>
        <v>45070.66667</v>
      </c>
      <c r="B7088" s="2" t="str">
        <f t="shared" si="2"/>
        <v/>
      </c>
      <c r="C7088" s="2" t="str">
        <f t="shared" si="3"/>
        <v>SP500</v>
      </c>
      <c r="D7088" s="2">
        <f t="shared" si="4"/>
        <v>12484.16</v>
      </c>
      <c r="E7088" s="2">
        <f t="shared" si="5"/>
        <v>12484.16</v>
      </c>
      <c r="G7088" s="10">
        <f t="shared" si="9"/>
        <v>45070.64583</v>
      </c>
      <c r="H7088" s="6" t="str">
        <f t="shared" si="6"/>
        <v/>
      </c>
      <c r="I7088" s="2">
        <f t="shared" si="7"/>
        <v>1426.89</v>
      </c>
    </row>
    <row r="7089">
      <c r="A7089" s="10">
        <f t="shared" si="8"/>
        <v>45071.66667</v>
      </c>
      <c r="B7089" s="2" t="str">
        <f t="shared" si="2"/>
        <v/>
      </c>
      <c r="C7089" s="2" t="str">
        <f t="shared" si="3"/>
        <v>SP500</v>
      </c>
      <c r="D7089" s="2">
        <f t="shared" si="4"/>
        <v>12698.09</v>
      </c>
      <c r="E7089" s="2">
        <f t="shared" si="5"/>
        <v>12698.09</v>
      </c>
      <c r="G7089" s="10">
        <f t="shared" si="9"/>
        <v>45071.64583</v>
      </c>
      <c r="H7089" s="6" t="str">
        <f t="shared" si="6"/>
        <v/>
      </c>
      <c r="I7089" s="2">
        <f t="shared" si="7"/>
        <v>1426.89</v>
      </c>
    </row>
    <row r="7090">
      <c r="A7090" s="10">
        <f t="shared" si="8"/>
        <v>45072.66667</v>
      </c>
      <c r="B7090" s="2" t="str">
        <f t="shared" si="2"/>
        <v/>
      </c>
      <c r="C7090" s="2" t="str">
        <f t="shared" si="3"/>
        <v>SP500</v>
      </c>
      <c r="D7090" s="2">
        <f t="shared" si="4"/>
        <v>12975.69</v>
      </c>
      <c r="E7090" s="2">
        <f t="shared" si="5"/>
        <v>12975.69</v>
      </c>
      <c r="G7090" s="10">
        <f t="shared" si="9"/>
        <v>45072.64583</v>
      </c>
      <c r="H7090" s="6" t="str">
        <f t="shared" si="6"/>
        <v/>
      </c>
      <c r="I7090" s="2">
        <f t="shared" si="7"/>
        <v>1426.89</v>
      </c>
    </row>
    <row r="7091">
      <c r="A7091" s="10">
        <f t="shared" si="8"/>
        <v>45073.66667</v>
      </c>
      <c r="B7091" s="2" t="str">
        <f t="shared" si="2"/>
        <v/>
      </c>
      <c r="C7091" s="2" t="str">
        <f t="shared" si="3"/>
        <v>SP500</v>
      </c>
      <c r="D7091" s="2" t="str">
        <f t="shared" si="4"/>
        <v/>
      </c>
      <c r="E7091" s="2">
        <f t="shared" si="5"/>
        <v>12975.69</v>
      </c>
      <c r="G7091" s="10">
        <f t="shared" si="9"/>
        <v>45073.64583</v>
      </c>
      <c r="H7091" s="6" t="str">
        <f t="shared" si="6"/>
        <v/>
      </c>
      <c r="I7091" s="2">
        <f t="shared" si="7"/>
        <v>1426.89</v>
      </c>
    </row>
    <row r="7092">
      <c r="A7092" s="10">
        <f t="shared" si="8"/>
        <v>45074.66667</v>
      </c>
      <c r="B7092" s="2" t="str">
        <f t="shared" si="2"/>
        <v/>
      </c>
      <c r="C7092" s="2" t="str">
        <f t="shared" si="3"/>
        <v>SP500</v>
      </c>
      <c r="D7092" s="2" t="str">
        <f t="shared" si="4"/>
        <v/>
      </c>
      <c r="E7092" s="2">
        <f t="shared" si="5"/>
        <v>12975.69</v>
      </c>
      <c r="G7092" s="10">
        <f t="shared" si="9"/>
        <v>45074.64583</v>
      </c>
      <c r="H7092" s="6" t="str">
        <f t="shared" si="6"/>
        <v/>
      </c>
      <c r="I7092" s="2">
        <f t="shared" si="7"/>
        <v>1426.89</v>
      </c>
    </row>
    <row r="7093">
      <c r="A7093" s="10">
        <f t="shared" si="8"/>
        <v>45075.66667</v>
      </c>
      <c r="B7093" s="2" t="str">
        <f t="shared" si="2"/>
        <v/>
      </c>
      <c r="C7093" s="2" t="str">
        <f t="shared" si="3"/>
        <v>SP500</v>
      </c>
      <c r="D7093" s="2" t="str">
        <f t="shared" si="4"/>
        <v/>
      </c>
      <c r="E7093" s="2">
        <f t="shared" si="5"/>
        <v>12975.69</v>
      </c>
      <c r="G7093" s="10">
        <f t="shared" si="9"/>
        <v>45075.64583</v>
      </c>
      <c r="H7093" s="6" t="str">
        <f t="shared" si="6"/>
        <v/>
      </c>
      <c r="I7093" s="2">
        <f t="shared" si="7"/>
        <v>1426.89</v>
      </c>
    </row>
    <row r="7094">
      <c r="A7094" s="10">
        <f t="shared" si="8"/>
        <v>45076.66667</v>
      </c>
      <c r="B7094" s="2" t="str">
        <f t="shared" si="2"/>
        <v/>
      </c>
      <c r="C7094" s="2" t="str">
        <f t="shared" si="3"/>
        <v>SP500</v>
      </c>
      <c r="D7094" s="2">
        <f t="shared" si="4"/>
        <v>13017.43</v>
      </c>
      <c r="E7094" s="2">
        <f t="shared" si="5"/>
        <v>13017.43</v>
      </c>
      <c r="G7094" s="10">
        <f t="shared" si="9"/>
        <v>45076.64583</v>
      </c>
      <c r="H7094" s="6" t="str">
        <f t="shared" si="6"/>
        <v/>
      </c>
      <c r="I7094" s="2">
        <f t="shared" si="7"/>
        <v>1426.89</v>
      </c>
    </row>
    <row r="7095">
      <c r="A7095" s="10">
        <f t="shared" si="8"/>
        <v>45077.66667</v>
      </c>
      <c r="B7095" s="2" t="str">
        <f t="shared" si="2"/>
        <v/>
      </c>
      <c r="C7095" s="2" t="str">
        <f t="shared" si="3"/>
        <v>SP500</v>
      </c>
      <c r="D7095" s="2">
        <f t="shared" si="4"/>
        <v>12935.29</v>
      </c>
      <c r="E7095" s="2">
        <f t="shared" si="5"/>
        <v>12935.29</v>
      </c>
      <c r="G7095" s="10">
        <f t="shared" si="9"/>
        <v>45077.64583</v>
      </c>
      <c r="H7095" s="6" t="str">
        <f t="shared" si="6"/>
        <v/>
      </c>
      <c r="I7095" s="2">
        <f t="shared" si="7"/>
        <v>1426.89</v>
      </c>
    </row>
    <row r="7096">
      <c r="A7096" s="10">
        <f t="shared" si="8"/>
        <v>45078.66667</v>
      </c>
      <c r="B7096" s="2" t="str">
        <f t="shared" si="2"/>
        <v/>
      </c>
      <c r="C7096" s="2" t="str">
        <f t="shared" si="3"/>
        <v>SP500</v>
      </c>
      <c r="D7096" s="2">
        <f t="shared" si="4"/>
        <v>13100.98</v>
      </c>
      <c r="E7096" s="2">
        <f t="shared" si="5"/>
        <v>13100.98</v>
      </c>
      <c r="G7096" s="10">
        <f t="shared" si="9"/>
        <v>45078.64583</v>
      </c>
      <c r="H7096" s="6" t="str">
        <f t="shared" si="6"/>
        <v/>
      </c>
      <c r="I7096" s="2">
        <f t="shared" si="7"/>
        <v>1426.89</v>
      </c>
    </row>
    <row r="7097">
      <c r="A7097" s="10">
        <f t="shared" si="8"/>
        <v>45079.66667</v>
      </c>
      <c r="B7097" s="2" t="str">
        <f t="shared" si="2"/>
        <v/>
      </c>
      <c r="C7097" s="2" t="str">
        <f t="shared" si="3"/>
        <v>SP500</v>
      </c>
      <c r="D7097" s="2">
        <f t="shared" si="4"/>
        <v>13240.77</v>
      </c>
      <c r="E7097" s="2">
        <f t="shared" si="5"/>
        <v>13240.77</v>
      </c>
      <c r="G7097" s="10">
        <f t="shared" si="9"/>
        <v>45079.64583</v>
      </c>
      <c r="H7097" s="6" t="str">
        <f t="shared" si="6"/>
        <v/>
      </c>
      <c r="I7097" s="2">
        <f t="shared" si="7"/>
        <v>1426.89</v>
      </c>
    </row>
    <row r="7098">
      <c r="A7098" s="10">
        <f t="shared" si="8"/>
        <v>45080.66667</v>
      </c>
      <c r="B7098" s="2" t="str">
        <f t="shared" si="2"/>
        <v/>
      </c>
      <c r="C7098" s="2" t="str">
        <f t="shared" si="3"/>
        <v>SP500</v>
      </c>
      <c r="D7098" s="2" t="str">
        <f t="shared" si="4"/>
        <v/>
      </c>
      <c r="E7098" s="2">
        <f t="shared" si="5"/>
        <v>13240.77</v>
      </c>
      <c r="G7098" s="10">
        <f t="shared" si="9"/>
        <v>45080.64583</v>
      </c>
      <c r="H7098" s="6" t="str">
        <f t="shared" si="6"/>
        <v/>
      </c>
      <c r="I7098" s="2">
        <f t="shared" si="7"/>
        <v>1426.89</v>
      </c>
    </row>
    <row r="7099">
      <c r="A7099" s="10">
        <f t="shared" si="8"/>
        <v>45081.66667</v>
      </c>
      <c r="B7099" s="2" t="str">
        <f t="shared" si="2"/>
        <v/>
      </c>
      <c r="C7099" s="2" t="str">
        <f t="shared" si="3"/>
        <v>SP500</v>
      </c>
      <c r="D7099" s="2" t="str">
        <f t="shared" si="4"/>
        <v/>
      </c>
      <c r="E7099" s="2">
        <f t="shared" si="5"/>
        <v>13240.77</v>
      </c>
      <c r="G7099" s="10">
        <f t="shared" si="9"/>
        <v>45081.64583</v>
      </c>
      <c r="H7099" s="6" t="str">
        <f t="shared" si="6"/>
        <v/>
      </c>
      <c r="I7099" s="2">
        <f t="shared" si="7"/>
        <v>1426.89</v>
      </c>
    </row>
    <row r="7100">
      <c r="A7100" s="10">
        <f t="shared" si="8"/>
        <v>45082.66667</v>
      </c>
      <c r="B7100" s="2" t="str">
        <f t="shared" si="2"/>
        <v/>
      </c>
      <c r="C7100" s="2" t="str">
        <f t="shared" si="3"/>
        <v>SP500</v>
      </c>
      <c r="D7100" s="2">
        <f t="shared" si="4"/>
        <v>13229.43</v>
      </c>
      <c r="E7100" s="2">
        <f t="shared" si="5"/>
        <v>13229.43</v>
      </c>
      <c r="G7100" s="10">
        <f t="shared" si="9"/>
        <v>45082.64583</v>
      </c>
      <c r="H7100" s="6" t="str">
        <f t="shared" si="6"/>
        <v/>
      </c>
      <c r="I7100" s="2">
        <f t="shared" si="7"/>
        <v>1426.89</v>
      </c>
    </row>
    <row r="7101">
      <c r="A7101" s="10">
        <f t="shared" si="8"/>
        <v>45083.66667</v>
      </c>
      <c r="B7101" s="2" t="str">
        <f t="shared" si="2"/>
        <v/>
      </c>
      <c r="C7101" s="2" t="str">
        <f t="shared" si="3"/>
        <v>SP500</v>
      </c>
      <c r="D7101" s="2">
        <f t="shared" si="4"/>
        <v>13276.42</v>
      </c>
      <c r="E7101" s="2">
        <f t="shared" si="5"/>
        <v>13276.42</v>
      </c>
      <c r="G7101" s="10">
        <f t="shared" si="9"/>
        <v>45083.64583</v>
      </c>
      <c r="H7101" s="6" t="str">
        <f t="shared" si="6"/>
        <v/>
      </c>
      <c r="I7101" s="2">
        <f t="shared" si="7"/>
        <v>1426.89</v>
      </c>
    </row>
    <row r="7102">
      <c r="A7102" s="10">
        <f t="shared" si="8"/>
        <v>45084.66667</v>
      </c>
      <c r="B7102" s="2" t="str">
        <f t="shared" si="2"/>
        <v/>
      </c>
      <c r="C7102" s="2" t="str">
        <f t="shared" si="3"/>
        <v>SP500</v>
      </c>
      <c r="D7102" s="2">
        <f t="shared" si="4"/>
        <v>13104.9</v>
      </c>
      <c r="E7102" s="2">
        <f t="shared" si="5"/>
        <v>13104.9</v>
      </c>
      <c r="G7102" s="10">
        <f t="shared" si="9"/>
        <v>45084.64583</v>
      </c>
      <c r="H7102" s="6" t="str">
        <f t="shared" si="6"/>
        <v/>
      </c>
      <c r="I7102" s="2">
        <f t="shared" si="7"/>
        <v>1426.89</v>
      </c>
    </row>
    <row r="7103">
      <c r="A7103" s="10">
        <f t="shared" si="8"/>
        <v>45085.66667</v>
      </c>
      <c r="B7103" s="2" t="str">
        <f t="shared" si="2"/>
        <v/>
      </c>
      <c r="C7103" s="2" t="str">
        <f t="shared" si="3"/>
        <v>SP500</v>
      </c>
      <c r="D7103" s="2">
        <f t="shared" si="4"/>
        <v>13238.52</v>
      </c>
      <c r="E7103" s="2">
        <f t="shared" si="5"/>
        <v>13238.52</v>
      </c>
      <c r="G7103" s="10">
        <f t="shared" si="9"/>
        <v>45085.64583</v>
      </c>
      <c r="H7103" s="6" t="str">
        <f t="shared" si="6"/>
        <v/>
      </c>
      <c r="I7103" s="2">
        <f t="shared" si="7"/>
        <v>1426.89</v>
      </c>
    </row>
    <row r="7104">
      <c r="A7104" s="10">
        <f t="shared" si="8"/>
        <v>45086.66667</v>
      </c>
      <c r="B7104" s="2" t="str">
        <f t="shared" si="2"/>
        <v/>
      </c>
      <c r="C7104" s="2" t="str">
        <f t="shared" si="3"/>
        <v>SP500</v>
      </c>
      <c r="D7104" s="2">
        <f t="shared" si="4"/>
        <v>13259.14</v>
      </c>
      <c r="E7104" s="2">
        <f t="shared" si="5"/>
        <v>13259.14</v>
      </c>
      <c r="G7104" s="10">
        <f t="shared" si="9"/>
        <v>45086.64583</v>
      </c>
      <c r="H7104" s="6" t="str">
        <f t="shared" si="6"/>
        <v/>
      </c>
      <c r="I7104" s="2">
        <f t="shared" si="7"/>
        <v>1426.89</v>
      </c>
    </row>
    <row r="7105">
      <c r="A7105" s="10">
        <f t="shared" si="8"/>
        <v>45087.66667</v>
      </c>
      <c r="B7105" s="2" t="str">
        <f t="shared" si="2"/>
        <v/>
      </c>
      <c r="C7105" s="2" t="str">
        <f t="shared" si="3"/>
        <v>SP500</v>
      </c>
      <c r="D7105" s="2" t="str">
        <f t="shared" si="4"/>
        <v/>
      </c>
      <c r="E7105" s="2">
        <f t="shared" si="5"/>
        <v>13259.14</v>
      </c>
      <c r="G7105" s="10">
        <f t="shared" si="9"/>
        <v>45087.64583</v>
      </c>
      <c r="H7105" s="6" t="str">
        <f t="shared" si="6"/>
        <v/>
      </c>
      <c r="I7105" s="2">
        <f t="shared" si="7"/>
        <v>1426.89</v>
      </c>
    </row>
    <row r="7106">
      <c r="A7106" s="10">
        <f t="shared" si="8"/>
        <v>45088.66667</v>
      </c>
      <c r="B7106" s="2" t="str">
        <f t="shared" si="2"/>
        <v/>
      </c>
      <c r="C7106" s="2" t="str">
        <f t="shared" si="3"/>
        <v>SP500</v>
      </c>
      <c r="D7106" s="2" t="str">
        <f t="shared" si="4"/>
        <v/>
      </c>
      <c r="E7106" s="2">
        <f t="shared" si="5"/>
        <v>13259.14</v>
      </c>
      <c r="G7106" s="10">
        <f t="shared" si="9"/>
        <v>45088.64583</v>
      </c>
      <c r="H7106" s="6" t="str">
        <f t="shared" si="6"/>
        <v/>
      </c>
      <c r="I7106" s="2">
        <f t="shared" si="7"/>
        <v>1426.89</v>
      </c>
    </row>
    <row r="7107">
      <c r="A7107" s="10">
        <f t="shared" si="8"/>
        <v>45089.66667</v>
      </c>
      <c r="B7107" s="2" t="str">
        <f t="shared" si="2"/>
        <v/>
      </c>
      <c r="C7107" s="2" t="str">
        <f t="shared" si="3"/>
        <v>SP500</v>
      </c>
      <c r="D7107" s="2">
        <f t="shared" si="4"/>
        <v>13461.92</v>
      </c>
      <c r="E7107" s="2">
        <f t="shared" si="5"/>
        <v>13461.92</v>
      </c>
      <c r="G7107" s="10">
        <f t="shared" si="9"/>
        <v>45089.64583</v>
      </c>
      <c r="H7107" s="6" t="str">
        <f t="shared" si="6"/>
        <v/>
      </c>
      <c r="I7107" s="2">
        <f t="shared" si="7"/>
        <v>1426.89</v>
      </c>
    </row>
    <row r="7108">
      <c r="A7108" s="10">
        <f t="shared" si="8"/>
        <v>45090.66667</v>
      </c>
      <c r="B7108" s="2" t="str">
        <f t="shared" si="2"/>
        <v/>
      </c>
      <c r="C7108" s="2" t="str">
        <f t="shared" si="3"/>
        <v>SP500</v>
      </c>
      <c r="D7108" s="2">
        <f t="shared" si="4"/>
        <v>13573.32</v>
      </c>
      <c r="E7108" s="2">
        <f t="shared" si="5"/>
        <v>13573.32</v>
      </c>
      <c r="G7108" s="10">
        <f t="shared" si="9"/>
        <v>45090.64583</v>
      </c>
      <c r="H7108" s="6" t="str">
        <f t="shared" si="6"/>
        <v/>
      </c>
      <c r="I7108" s="2">
        <f t="shared" si="7"/>
        <v>1426.89</v>
      </c>
    </row>
    <row r="7109">
      <c r="A7109" s="10">
        <f t="shared" si="8"/>
        <v>45091.66667</v>
      </c>
      <c r="B7109" s="2" t="str">
        <f t="shared" si="2"/>
        <v/>
      </c>
      <c r="C7109" s="2" t="str">
        <f t="shared" si="3"/>
        <v>SP500</v>
      </c>
      <c r="D7109" s="2">
        <f t="shared" si="4"/>
        <v>13626.48</v>
      </c>
      <c r="E7109" s="2">
        <f t="shared" si="5"/>
        <v>13626.48</v>
      </c>
      <c r="G7109" s="10">
        <f t="shared" si="9"/>
        <v>45091.64583</v>
      </c>
      <c r="H7109" s="6" t="str">
        <f t="shared" si="6"/>
        <v/>
      </c>
      <c r="I7109" s="2">
        <f t="shared" si="7"/>
        <v>1426.89</v>
      </c>
    </row>
    <row r="7110">
      <c r="A7110" s="10">
        <f t="shared" si="8"/>
        <v>45092.66667</v>
      </c>
      <c r="B7110" s="2" t="str">
        <f t="shared" si="2"/>
        <v/>
      </c>
      <c r="C7110" s="2" t="str">
        <f t="shared" si="3"/>
        <v>SP500</v>
      </c>
      <c r="D7110" s="2">
        <f t="shared" si="4"/>
        <v>13782.82</v>
      </c>
      <c r="E7110" s="2">
        <f t="shared" si="5"/>
        <v>13782.82</v>
      </c>
      <c r="G7110" s="10">
        <f t="shared" si="9"/>
        <v>45092.64583</v>
      </c>
      <c r="H7110" s="6" t="str">
        <f t="shared" si="6"/>
        <v/>
      </c>
      <c r="I7110" s="2">
        <f t="shared" si="7"/>
        <v>1426.89</v>
      </c>
    </row>
    <row r="7111">
      <c r="A7111" s="10">
        <f t="shared" si="8"/>
        <v>45093.66667</v>
      </c>
      <c r="B7111" s="2" t="str">
        <f t="shared" si="2"/>
        <v/>
      </c>
      <c r="C7111" s="2" t="str">
        <f t="shared" si="3"/>
        <v>SP500</v>
      </c>
      <c r="D7111" s="2">
        <f t="shared" si="4"/>
        <v>13689.57</v>
      </c>
      <c r="E7111" s="2">
        <f t="shared" si="5"/>
        <v>13689.57</v>
      </c>
      <c r="G7111" s="10">
        <f t="shared" si="9"/>
        <v>45093.64583</v>
      </c>
      <c r="H7111" s="6" t="str">
        <f t="shared" si="6"/>
        <v/>
      </c>
      <c r="I7111" s="2">
        <f t="shared" si="7"/>
        <v>1426.89</v>
      </c>
    </row>
    <row r="7112">
      <c r="A7112" s="10">
        <f t="shared" si="8"/>
        <v>45094.66667</v>
      </c>
      <c r="B7112" s="2" t="str">
        <f t="shared" si="2"/>
        <v/>
      </c>
      <c r="C7112" s="2" t="str">
        <f t="shared" si="3"/>
        <v>SP500</v>
      </c>
      <c r="D7112" s="2" t="str">
        <f t="shared" si="4"/>
        <v/>
      </c>
      <c r="E7112" s="2">
        <f t="shared" si="5"/>
        <v>13689.57</v>
      </c>
      <c r="G7112" s="10">
        <f t="shared" si="9"/>
        <v>45094.64583</v>
      </c>
      <c r="H7112" s="6" t="str">
        <f t="shared" si="6"/>
        <v/>
      </c>
      <c r="I7112" s="2">
        <f t="shared" si="7"/>
        <v>1426.89</v>
      </c>
    </row>
    <row r="7113">
      <c r="A7113" s="10">
        <f t="shared" si="8"/>
        <v>45095.66667</v>
      </c>
      <c r="B7113" s="2" t="str">
        <f t="shared" si="2"/>
        <v/>
      </c>
      <c r="C7113" s="2" t="str">
        <f t="shared" si="3"/>
        <v>SP500</v>
      </c>
      <c r="D7113" s="2" t="str">
        <f t="shared" si="4"/>
        <v/>
      </c>
      <c r="E7113" s="2">
        <f t="shared" si="5"/>
        <v>13689.57</v>
      </c>
      <c r="G7113" s="10">
        <f t="shared" si="9"/>
        <v>45095.64583</v>
      </c>
      <c r="H7113" s="6" t="str">
        <f t="shared" si="6"/>
        <v/>
      </c>
      <c r="I7113" s="2">
        <f t="shared" si="7"/>
        <v>1426.89</v>
      </c>
    </row>
    <row r="7114">
      <c r="A7114" s="10">
        <f t="shared" si="8"/>
        <v>45096.66667</v>
      </c>
      <c r="B7114" s="2" t="str">
        <f t="shared" si="2"/>
        <v/>
      </c>
      <c r="C7114" s="2" t="str">
        <f t="shared" si="3"/>
        <v>SP500</v>
      </c>
      <c r="D7114" s="2" t="str">
        <f t="shared" si="4"/>
        <v/>
      </c>
      <c r="E7114" s="2">
        <f t="shared" si="5"/>
        <v>13689.57</v>
      </c>
      <c r="G7114" s="10">
        <f t="shared" si="9"/>
        <v>45096.64583</v>
      </c>
      <c r="H7114" s="6" t="str">
        <f t="shared" si="6"/>
        <v/>
      </c>
      <c r="I7114" s="2">
        <f t="shared" si="7"/>
        <v>1426.89</v>
      </c>
    </row>
    <row r="7115">
      <c r="A7115" s="10">
        <f t="shared" si="8"/>
        <v>45097.66667</v>
      </c>
      <c r="B7115" s="2" t="str">
        <f t="shared" si="2"/>
        <v/>
      </c>
      <c r="C7115" s="2" t="str">
        <f t="shared" si="3"/>
        <v>SP500</v>
      </c>
      <c r="D7115" s="2">
        <f t="shared" si="4"/>
        <v>13667.29</v>
      </c>
      <c r="E7115" s="2">
        <f t="shared" si="5"/>
        <v>13667.29</v>
      </c>
      <c r="G7115" s="10">
        <f t="shared" si="9"/>
        <v>45097.64583</v>
      </c>
      <c r="H7115" s="6" t="str">
        <f t="shared" si="6"/>
        <v/>
      </c>
      <c r="I7115" s="2">
        <f t="shared" si="7"/>
        <v>1426.89</v>
      </c>
    </row>
    <row r="7116">
      <c r="A7116" s="10">
        <f t="shared" si="8"/>
        <v>45098.66667</v>
      </c>
      <c r="B7116" s="2" t="str">
        <f t="shared" si="2"/>
        <v/>
      </c>
      <c r="C7116" s="2" t="str">
        <f t="shared" si="3"/>
        <v>SP500</v>
      </c>
      <c r="D7116" s="2">
        <f t="shared" si="4"/>
        <v>13502.2</v>
      </c>
      <c r="E7116" s="2">
        <f t="shared" si="5"/>
        <v>13502.2</v>
      </c>
      <c r="G7116" s="10">
        <f t="shared" si="9"/>
        <v>45098.64583</v>
      </c>
      <c r="H7116" s="6" t="str">
        <f t="shared" si="6"/>
        <v/>
      </c>
      <c r="I7116" s="2">
        <f t="shared" si="7"/>
        <v>1426.89</v>
      </c>
    </row>
    <row r="7117">
      <c r="A7117" s="10">
        <f t="shared" si="8"/>
        <v>45099.66667</v>
      </c>
      <c r="B7117" s="2" t="str">
        <f t="shared" si="2"/>
        <v/>
      </c>
      <c r="C7117" s="2" t="str">
        <f t="shared" si="3"/>
        <v>SP500</v>
      </c>
      <c r="D7117" s="2">
        <f t="shared" si="4"/>
        <v>13630.61</v>
      </c>
      <c r="E7117" s="2">
        <f t="shared" si="5"/>
        <v>13630.61</v>
      </c>
      <c r="G7117" s="10">
        <f t="shared" si="9"/>
        <v>45099.64583</v>
      </c>
      <c r="H7117" s="6" t="str">
        <f t="shared" si="6"/>
        <v/>
      </c>
      <c r="I7117" s="2">
        <f t="shared" si="7"/>
        <v>1426.89</v>
      </c>
    </row>
    <row r="7118">
      <c r="A7118" s="10">
        <f t="shared" si="8"/>
        <v>45100.66667</v>
      </c>
      <c r="B7118" s="2" t="str">
        <f t="shared" si="2"/>
        <v/>
      </c>
      <c r="C7118" s="2" t="str">
        <f t="shared" si="3"/>
        <v>SP500</v>
      </c>
      <c r="D7118" s="2">
        <f t="shared" si="4"/>
        <v>13492.52</v>
      </c>
      <c r="E7118" s="2">
        <f t="shared" si="5"/>
        <v>13492.52</v>
      </c>
      <c r="G7118" s="10">
        <f t="shared" si="9"/>
        <v>45100.64583</v>
      </c>
      <c r="H7118" s="6" t="str">
        <f t="shared" si="6"/>
        <v/>
      </c>
      <c r="I7118" s="2">
        <f t="shared" si="7"/>
        <v>1426.89</v>
      </c>
    </row>
    <row r="7119">
      <c r="A7119" s="10">
        <f t="shared" si="8"/>
        <v>45101.66667</v>
      </c>
      <c r="B7119" s="2" t="str">
        <f t="shared" si="2"/>
        <v/>
      </c>
      <c r="C7119" s="2" t="str">
        <f t="shared" si="3"/>
        <v>SP500</v>
      </c>
      <c r="D7119" s="2" t="str">
        <f t="shared" si="4"/>
        <v/>
      </c>
      <c r="E7119" s="2">
        <f t="shared" si="5"/>
        <v>13492.52</v>
      </c>
      <c r="G7119" s="10">
        <f t="shared" si="9"/>
        <v>45101.64583</v>
      </c>
      <c r="H7119" s="6" t="str">
        <f t="shared" si="6"/>
        <v/>
      </c>
      <c r="I7119" s="2">
        <f t="shared" si="7"/>
        <v>1426.89</v>
      </c>
    </row>
    <row r="7120">
      <c r="A7120" s="10">
        <f t="shared" si="8"/>
        <v>45102.66667</v>
      </c>
      <c r="B7120" s="2" t="str">
        <f t="shared" si="2"/>
        <v/>
      </c>
      <c r="C7120" s="2" t="str">
        <f t="shared" si="3"/>
        <v>SP500</v>
      </c>
      <c r="D7120" s="2" t="str">
        <f t="shared" si="4"/>
        <v/>
      </c>
      <c r="E7120" s="2">
        <f t="shared" si="5"/>
        <v>13492.52</v>
      </c>
      <c r="G7120" s="10">
        <f t="shared" si="9"/>
        <v>45102.64583</v>
      </c>
      <c r="H7120" s="6" t="str">
        <f t="shared" si="6"/>
        <v/>
      </c>
      <c r="I7120" s="2">
        <f t="shared" si="7"/>
        <v>1426.89</v>
      </c>
    </row>
    <row r="7121">
      <c r="A7121" s="10">
        <f t="shared" si="8"/>
        <v>45103.66667</v>
      </c>
      <c r="B7121" s="2" t="str">
        <f t="shared" si="2"/>
        <v/>
      </c>
      <c r="C7121" s="2" t="str">
        <f t="shared" si="3"/>
        <v>SP500</v>
      </c>
      <c r="D7121" s="2">
        <f t="shared" si="4"/>
        <v>13335.78</v>
      </c>
      <c r="E7121" s="2">
        <f t="shared" si="5"/>
        <v>13335.78</v>
      </c>
      <c r="G7121" s="10">
        <f t="shared" si="9"/>
        <v>45103.64583</v>
      </c>
      <c r="H7121" s="6" t="str">
        <f t="shared" si="6"/>
        <v/>
      </c>
      <c r="I7121" s="2">
        <f t="shared" si="7"/>
        <v>1426.89</v>
      </c>
    </row>
    <row r="7122">
      <c r="A7122" s="10">
        <f t="shared" si="8"/>
        <v>45104.66667</v>
      </c>
      <c r="B7122" s="2" t="str">
        <f t="shared" si="2"/>
        <v/>
      </c>
      <c r="C7122" s="2" t="str">
        <f t="shared" si="3"/>
        <v>SP500</v>
      </c>
      <c r="D7122" s="2">
        <f t="shared" si="4"/>
        <v>13555.67</v>
      </c>
      <c r="E7122" s="2">
        <f t="shared" si="5"/>
        <v>13555.67</v>
      </c>
      <c r="G7122" s="10">
        <f t="shared" si="9"/>
        <v>45104.64583</v>
      </c>
      <c r="H7122" s="6" t="str">
        <f t="shared" si="6"/>
        <v/>
      </c>
      <c r="I7122" s="2">
        <f t="shared" si="7"/>
        <v>1426.89</v>
      </c>
    </row>
    <row r="7123">
      <c r="A7123" s="10">
        <f t="shared" si="8"/>
        <v>45105.66667</v>
      </c>
      <c r="B7123" s="2" t="str">
        <f t="shared" si="2"/>
        <v/>
      </c>
      <c r="C7123" s="2" t="str">
        <f t="shared" si="3"/>
        <v>SP500</v>
      </c>
      <c r="D7123" s="2">
        <f t="shared" si="4"/>
        <v>13591.75</v>
      </c>
      <c r="E7123" s="2">
        <f t="shared" si="5"/>
        <v>13591.75</v>
      </c>
      <c r="G7123" s="10">
        <f t="shared" si="9"/>
        <v>45105.64583</v>
      </c>
      <c r="H7123" s="6" t="str">
        <f t="shared" si="6"/>
        <v/>
      </c>
      <c r="I7123" s="2">
        <f t="shared" si="7"/>
        <v>1426.89</v>
      </c>
    </row>
    <row r="7124">
      <c r="A7124" s="10">
        <f t="shared" si="8"/>
        <v>45106.66667</v>
      </c>
      <c r="B7124" s="2" t="str">
        <f t="shared" si="2"/>
        <v/>
      </c>
      <c r="C7124" s="2" t="str">
        <f t="shared" si="3"/>
        <v>SP500</v>
      </c>
      <c r="D7124" s="2">
        <f t="shared" si="4"/>
        <v>13591.33</v>
      </c>
      <c r="E7124" s="2">
        <f t="shared" si="5"/>
        <v>13591.33</v>
      </c>
      <c r="G7124" s="10">
        <f t="shared" si="9"/>
        <v>45106.64583</v>
      </c>
      <c r="H7124" s="6" t="str">
        <f t="shared" si="6"/>
        <v/>
      </c>
      <c r="I7124" s="2">
        <f t="shared" si="7"/>
        <v>1426.89</v>
      </c>
    </row>
    <row r="7125">
      <c r="A7125" s="10">
        <f t="shared" si="8"/>
        <v>45107.66667</v>
      </c>
      <c r="B7125" s="2" t="str">
        <f t="shared" si="2"/>
        <v/>
      </c>
      <c r="C7125" s="2" t="str">
        <f t="shared" si="3"/>
        <v>SP500</v>
      </c>
      <c r="D7125" s="2">
        <f t="shared" si="4"/>
        <v>13787.92</v>
      </c>
      <c r="E7125" s="2">
        <f t="shared" si="5"/>
        <v>13787.92</v>
      </c>
      <c r="G7125" s="10">
        <f t="shared" si="9"/>
        <v>45107.64583</v>
      </c>
      <c r="H7125" s="6" t="str">
        <f t="shared" si="6"/>
        <v/>
      </c>
      <c r="I7125" s="2">
        <f t="shared" si="7"/>
        <v>1426.89</v>
      </c>
    </row>
    <row r="7126">
      <c r="A7126" s="10">
        <f t="shared" si="8"/>
        <v>45108.66667</v>
      </c>
      <c r="B7126" s="2" t="str">
        <f t="shared" si="2"/>
        <v/>
      </c>
      <c r="C7126" s="2" t="str">
        <f t="shared" si="3"/>
        <v>SP500</v>
      </c>
      <c r="D7126" s="2" t="str">
        <f t="shared" si="4"/>
        <v/>
      </c>
      <c r="E7126" s="2">
        <f t="shared" si="5"/>
        <v>13787.92</v>
      </c>
      <c r="G7126" s="10">
        <f t="shared" si="9"/>
        <v>45108.64583</v>
      </c>
      <c r="H7126" s="6" t="str">
        <f t="shared" si="6"/>
        <v/>
      </c>
      <c r="I7126" s="2">
        <f t="shared" si="7"/>
        <v>1426.89</v>
      </c>
    </row>
    <row r="7127">
      <c r="A7127" s="10">
        <f t="shared" si="8"/>
        <v>45109.66667</v>
      </c>
      <c r="B7127" s="2" t="str">
        <f t="shared" si="2"/>
        <v/>
      </c>
      <c r="C7127" s="2" t="str">
        <f t="shared" si="3"/>
        <v>SP500</v>
      </c>
      <c r="D7127" s="2" t="str">
        <f t="shared" si="4"/>
        <v/>
      </c>
      <c r="E7127" s="2">
        <f t="shared" si="5"/>
        <v>13787.92</v>
      </c>
      <c r="G7127" s="10">
        <f t="shared" si="9"/>
        <v>45109.64583</v>
      </c>
      <c r="H7127" s="6" t="str">
        <f t="shared" si="6"/>
        <v/>
      </c>
      <c r="I7127" s="2">
        <f t="shared" si="7"/>
        <v>1426.89</v>
      </c>
    </row>
    <row r="7128">
      <c r="A7128" s="10">
        <f t="shared" si="8"/>
        <v>45110.66667</v>
      </c>
      <c r="B7128" s="2" t="str">
        <f t="shared" si="2"/>
        <v/>
      </c>
      <c r="C7128" s="2" t="str">
        <f t="shared" si="3"/>
        <v>SP500</v>
      </c>
      <c r="D7128" s="2" t="str">
        <f t="shared" si="4"/>
        <v/>
      </c>
      <c r="E7128" s="2">
        <f t="shared" si="5"/>
        <v>13787.92</v>
      </c>
      <c r="G7128" s="10">
        <f t="shared" si="9"/>
        <v>45110.64583</v>
      </c>
      <c r="H7128" s="6" t="str">
        <f t="shared" si="6"/>
        <v/>
      </c>
      <c r="I7128" s="2">
        <f t="shared" si="7"/>
        <v>1426.89</v>
      </c>
    </row>
    <row r="7129">
      <c r="A7129" s="10">
        <f t="shared" si="8"/>
        <v>45111.66667</v>
      </c>
      <c r="B7129" s="2" t="str">
        <f t="shared" si="2"/>
        <v/>
      </c>
      <c r="C7129" s="2" t="str">
        <f t="shared" si="3"/>
        <v>SP500</v>
      </c>
      <c r="D7129" s="2" t="str">
        <f t="shared" si="4"/>
        <v/>
      </c>
      <c r="E7129" s="2">
        <f t="shared" si="5"/>
        <v>13787.92</v>
      </c>
      <c r="G7129" s="10">
        <f t="shared" si="9"/>
        <v>45111.64583</v>
      </c>
      <c r="H7129" s="6" t="str">
        <f t="shared" si="6"/>
        <v/>
      </c>
      <c r="I7129" s="2">
        <f t="shared" si="7"/>
        <v>1426.89</v>
      </c>
    </row>
    <row r="7130">
      <c r="A7130" s="10">
        <f t="shared" si="8"/>
        <v>45112.66667</v>
      </c>
      <c r="B7130" s="2" t="str">
        <f t="shared" si="2"/>
        <v/>
      </c>
      <c r="C7130" s="2" t="str">
        <f t="shared" si="3"/>
        <v>SP500</v>
      </c>
      <c r="D7130" s="2">
        <f t="shared" si="4"/>
        <v>13791.65</v>
      </c>
      <c r="E7130" s="2">
        <f t="shared" si="5"/>
        <v>13791.65</v>
      </c>
      <c r="G7130" s="10">
        <f t="shared" si="9"/>
        <v>45112.64583</v>
      </c>
      <c r="H7130" s="6" t="str">
        <f t="shared" si="6"/>
        <v/>
      </c>
      <c r="I7130" s="2">
        <f t="shared" si="7"/>
        <v>1426.89</v>
      </c>
    </row>
    <row r="7131">
      <c r="A7131" s="10">
        <f t="shared" si="8"/>
        <v>45113.66667</v>
      </c>
      <c r="B7131" s="2" t="str">
        <f t="shared" si="2"/>
        <v/>
      </c>
      <c r="C7131" s="2" t="str">
        <f t="shared" si="3"/>
        <v>SP500</v>
      </c>
      <c r="D7131" s="2">
        <f t="shared" si="4"/>
        <v>13679.04</v>
      </c>
      <c r="E7131" s="2">
        <f t="shared" si="5"/>
        <v>13679.04</v>
      </c>
      <c r="G7131" s="10">
        <f t="shared" si="9"/>
        <v>45113.64583</v>
      </c>
      <c r="H7131" s="6" t="str">
        <f t="shared" si="6"/>
        <v/>
      </c>
      <c r="I7131" s="2">
        <f t="shared" si="7"/>
        <v>1426.89</v>
      </c>
    </row>
    <row r="7132">
      <c r="A7132" s="10">
        <f t="shared" si="8"/>
        <v>45114.66667</v>
      </c>
      <c r="B7132" s="2" t="str">
        <f t="shared" si="2"/>
        <v/>
      </c>
      <c r="C7132" s="2" t="str">
        <f t="shared" si="3"/>
        <v>SP500</v>
      </c>
      <c r="D7132" s="2">
        <f t="shared" si="4"/>
        <v>13660.72</v>
      </c>
      <c r="E7132" s="2">
        <f t="shared" si="5"/>
        <v>13660.72</v>
      </c>
      <c r="G7132" s="10">
        <f t="shared" si="9"/>
        <v>45114.64583</v>
      </c>
      <c r="H7132" s="6" t="str">
        <f t="shared" si="6"/>
        <v/>
      </c>
      <c r="I7132" s="2">
        <f t="shared" si="7"/>
        <v>1426.89</v>
      </c>
    </row>
    <row r="7133">
      <c r="A7133" s="10">
        <f t="shared" si="8"/>
        <v>45115.66667</v>
      </c>
      <c r="B7133" s="2" t="str">
        <f t="shared" si="2"/>
        <v/>
      </c>
      <c r="C7133" s="2" t="str">
        <f t="shared" si="3"/>
        <v>SP500</v>
      </c>
      <c r="D7133" s="2" t="str">
        <f t="shared" si="4"/>
        <v/>
      </c>
      <c r="E7133" s="2">
        <f t="shared" si="5"/>
        <v>13660.72</v>
      </c>
      <c r="G7133" s="10">
        <f t="shared" si="9"/>
        <v>45115.64583</v>
      </c>
      <c r="H7133" s="6" t="str">
        <f t="shared" si="6"/>
        <v/>
      </c>
      <c r="I7133" s="2">
        <f t="shared" si="7"/>
        <v>1426.89</v>
      </c>
    </row>
    <row r="7134">
      <c r="A7134" s="10">
        <f t="shared" si="8"/>
        <v>45116.66667</v>
      </c>
      <c r="B7134" s="2" t="str">
        <f t="shared" si="2"/>
        <v/>
      </c>
      <c r="C7134" s="2" t="str">
        <f t="shared" si="3"/>
        <v>SP500</v>
      </c>
      <c r="D7134" s="2" t="str">
        <f t="shared" si="4"/>
        <v/>
      </c>
      <c r="E7134" s="2">
        <f t="shared" si="5"/>
        <v>13660.72</v>
      </c>
      <c r="G7134" s="10">
        <f t="shared" si="9"/>
        <v>45116.64583</v>
      </c>
      <c r="H7134" s="6" t="str">
        <f t="shared" si="6"/>
        <v/>
      </c>
      <c r="I7134" s="2">
        <f t="shared" si="7"/>
        <v>1426.89</v>
      </c>
    </row>
    <row r="7135">
      <c r="A7135" s="10">
        <f t="shared" si="8"/>
        <v>45117.66667</v>
      </c>
      <c r="B7135" s="2" t="str">
        <f t="shared" si="2"/>
        <v/>
      </c>
      <c r="C7135" s="2" t="str">
        <f t="shared" si="3"/>
        <v>SP500</v>
      </c>
      <c r="D7135" s="2">
        <f t="shared" si="4"/>
        <v>13685.48</v>
      </c>
      <c r="E7135" s="2">
        <f t="shared" si="5"/>
        <v>13685.48</v>
      </c>
      <c r="G7135" s="10">
        <f t="shared" si="9"/>
        <v>45117.64583</v>
      </c>
      <c r="H7135" s="6" t="str">
        <f t="shared" si="6"/>
        <v/>
      </c>
      <c r="I7135" s="2">
        <f t="shared" si="7"/>
        <v>1426.89</v>
      </c>
    </row>
    <row r="7136">
      <c r="A7136" s="10">
        <f t="shared" si="8"/>
        <v>45118.66667</v>
      </c>
      <c r="B7136" s="2" t="str">
        <f t="shared" si="2"/>
        <v/>
      </c>
      <c r="C7136" s="2" t="str">
        <f t="shared" si="3"/>
        <v>SP500</v>
      </c>
      <c r="D7136" s="2">
        <f t="shared" si="4"/>
        <v>13760.7</v>
      </c>
      <c r="E7136" s="2">
        <f t="shared" si="5"/>
        <v>13760.7</v>
      </c>
      <c r="G7136" s="10">
        <f t="shared" si="9"/>
        <v>45118.64583</v>
      </c>
      <c r="H7136" s="6" t="str">
        <f t="shared" si="6"/>
        <v/>
      </c>
      <c r="I7136" s="2">
        <f t="shared" si="7"/>
        <v>1426.89</v>
      </c>
    </row>
    <row r="7137">
      <c r="A7137" s="10">
        <f t="shared" si="8"/>
        <v>45119.66667</v>
      </c>
      <c r="B7137" s="2" t="str">
        <f t="shared" si="2"/>
        <v/>
      </c>
      <c r="C7137" s="2" t="str">
        <f t="shared" si="3"/>
        <v>SP500</v>
      </c>
      <c r="D7137" s="2">
        <f t="shared" si="4"/>
        <v>13918.96</v>
      </c>
      <c r="E7137" s="2">
        <f t="shared" si="5"/>
        <v>13918.96</v>
      </c>
      <c r="G7137" s="10">
        <f t="shared" si="9"/>
        <v>45119.64583</v>
      </c>
      <c r="H7137" s="6" t="str">
        <f t="shared" si="6"/>
        <v/>
      </c>
      <c r="I7137" s="2">
        <f t="shared" si="7"/>
        <v>1426.89</v>
      </c>
    </row>
    <row r="7138">
      <c r="A7138" s="10">
        <f t="shared" si="8"/>
        <v>45120.66667</v>
      </c>
      <c r="B7138" s="2" t="str">
        <f t="shared" si="2"/>
        <v/>
      </c>
      <c r="C7138" s="2" t="str">
        <f t="shared" si="3"/>
        <v>SP500</v>
      </c>
      <c r="D7138" s="2">
        <f t="shared" si="4"/>
        <v>14138.57</v>
      </c>
      <c r="E7138" s="2">
        <f t="shared" si="5"/>
        <v>14138.57</v>
      </c>
      <c r="G7138" s="10">
        <f t="shared" si="9"/>
        <v>45120.64583</v>
      </c>
      <c r="H7138" s="6" t="str">
        <f t="shared" si="6"/>
        <v/>
      </c>
      <c r="I7138" s="2">
        <f t="shared" si="7"/>
        <v>1426.89</v>
      </c>
    </row>
    <row r="7139">
      <c r="A7139" s="10">
        <f t="shared" si="8"/>
        <v>45121.66667</v>
      </c>
      <c r="B7139" s="2" t="str">
        <f t="shared" si="2"/>
        <v/>
      </c>
      <c r="C7139" s="2" t="str">
        <f t="shared" si="3"/>
        <v>SP500</v>
      </c>
      <c r="D7139" s="2">
        <f t="shared" si="4"/>
        <v>14113.7</v>
      </c>
      <c r="E7139" s="2">
        <f t="shared" si="5"/>
        <v>14113.7</v>
      </c>
      <c r="G7139" s="10">
        <f t="shared" si="9"/>
        <v>45121.64583</v>
      </c>
      <c r="H7139" s="6" t="str">
        <f t="shared" si="6"/>
        <v/>
      </c>
      <c r="I7139" s="2">
        <f t="shared" si="7"/>
        <v>1426.89</v>
      </c>
    </row>
    <row r="7140">
      <c r="A7140" s="10">
        <f t="shared" si="8"/>
        <v>45122.66667</v>
      </c>
      <c r="B7140" s="2" t="str">
        <f t="shared" si="2"/>
        <v/>
      </c>
      <c r="C7140" s="2" t="str">
        <f t="shared" si="3"/>
        <v>SP500</v>
      </c>
      <c r="D7140" s="2" t="str">
        <f t="shared" si="4"/>
        <v/>
      </c>
      <c r="E7140" s="2">
        <f t="shared" si="5"/>
        <v>14113.7</v>
      </c>
      <c r="G7140" s="10">
        <f t="shared" si="9"/>
        <v>45122.64583</v>
      </c>
      <c r="H7140" s="6" t="str">
        <f t="shared" si="6"/>
        <v/>
      </c>
      <c r="I7140" s="2">
        <f t="shared" si="7"/>
        <v>1426.89</v>
      </c>
    </row>
    <row r="7141">
      <c r="A7141" s="10">
        <f t="shared" si="8"/>
        <v>45123.66667</v>
      </c>
      <c r="B7141" s="2" t="str">
        <f t="shared" si="2"/>
        <v/>
      </c>
      <c r="C7141" s="2" t="str">
        <f t="shared" si="3"/>
        <v>SP500</v>
      </c>
      <c r="D7141" s="2" t="str">
        <f t="shared" si="4"/>
        <v/>
      </c>
      <c r="E7141" s="2">
        <f t="shared" si="5"/>
        <v>14113.7</v>
      </c>
      <c r="G7141" s="10">
        <f t="shared" si="9"/>
        <v>45123.64583</v>
      </c>
      <c r="H7141" s="6" t="str">
        <f t="shared" si="6"/>
        <v/>
      </c>
      <c r="I7141" s="2">
        <f t="shared" si="7"/>
        <v>1426.89</v>
      </c>
    </row>
    <row r="7142">
      <c r="A7142" s="10">
        <f t="shared" si="8"/>
        <v>45124.66667</v>
      </c>
      <c r="B7142" s="2" t="str">
        <f t="shared" si="2"/>
        <v/>
      </c>
      <c r="C7142" s="2" t="str">
        <f t="shared" si="3"/>
        <v>SP500</v>
      </c>
      <c r="D7142" s="2">
        <f t="shared" si="4"/>
        <v>14244.95</v>
      </c>
      <c r="E7142" s="2">
        <f t="shared" si="5"/>
        <v>14244.95</v>
      </c>
      <c r="G7142" s="10">
        <f t="shared" si="9"/>
        <v>45124.64583</v>
      </c>
      <c r="H7142" s="6" t="str">
        <f t="shared" si="6"/>
        <v/>
      </c>
      <c r="I7142" s="2">
        <f t="shared" si="7"/>
        <v>1426.89</v>
      </c>
    </row>
    <row r="7143">
      <c r="A7143" s="10">
        <f t="shared" si="8"/>
        <v>45125.66667</v>
      </c>
      <c r="B7143" s="2" t="str">
        <f t="shared" si="2"/>
        <v/>
      </c>
      <c r="C7143" s="2" t="str">
        <f t="shared" si="3"/>
        <v>SP500</v>
      </c>
      <c r="D7143" s="2">
        <f t="shared" si="4"/>
        <v>14353.64</v>
      </c>
      <c r="E7143" s="2">
        <f t="shared" si="5"/>
        <v>14353.64</v>
      </c>
      <c r="G7143" s="10">
        <f t="shared" si="9"/>
        <v>45125.64583</v>
      </c>
      <c r="H7143" s="6" t="str">
        <f t="shared" si="6"/>
        <v/>
      </c>
      <c r="I7143" s="2">
        <f t="shared" si="7"/>
        <v>1426.89</v>
      </c>
    </row>
    <row r="7144">
      <c r="A7144" s="10">
        <f t="shared" si="8"/>
        <v>45126.66667</v>
      </c>
      <c r="B7144" s="2" t="str">
        <f t="shared" si="2"/>
        <v/>
      </c>
      <c r="C7144" s="2" t="str">
        <f t="shared" si="3"/>
        <v>SP500</v>
      </c>
      <c r="D7144" s="2">
        <f t="shared" si="4"/>
        <v>14358.02</v>
      </c>
      <c r="E7144" s="2">
        <f t="shared" si="5"/>
        <v>14358.02</v>
      </c>
      <c r="G7144" s="10">
        <f t="shared" si="9"/>
        <v>45126.64583</v>
      </c>
      <c r="H7144" s="6" t="str">
        <f t="shared" si="6"/>
        <v/>
      </c>
      <c r="I7144" s="2">
        <f t="shared" si="7"/>
        <v>1426.89</v>
      </c>
    </row>
    <row r="7145">
      <c r="A7145" s="10">
        <f t="shared" si="8"/>
        <v>45127.66667</v>
      </c>
      <c r="B7145" s="2" t="str">
        <f t="shared" si="2"/>
        <v/>
      </c>
      <c r="C7145" s="2" t="str">
        <f t="shared" si="3"/>
        <v>SP500</v>
      </c>
      <c r="D7145" s="2">
        <f t="shared" si="4"/>
        <v>14063.31</v>
      </c>
      <c r="E7145" s="2">
        <f t="shared" si="5"/>
        <v>14063.31</v>
      </c>
      <c r="G7145" s="10">
        <f t="shared" si="9"/>
        <v>45127.64583</v>
      </c>
      <c r="H7145" s="6" t="str">
        <f t="shared" si="6"/>
        <v/>
      </c>
      <c r="I7145" s="2">
        <f t="shared" si="7"/>
        <v>1426.89</v>
      </c>
    </row>
    <row r="7146">
      <c r="A7146" s="10">
        <f t="shared" si="8"/>
        <v>45128.66667</v>
      </c>
      <c r="B7146" s="2" t="str">
        <f t="shared" si="2"/>
        <v/>
      </c>
      <c r="C7146" s="2" t="str">
        <f t="shared" si="3"/>
        <v>SP500</v>
      </c>
      <c r="D7146" s="2">
        <f t="shared" si="4"/>
        <v>14032.81</v>
      </c>
      <c r="E7146" s="2">
        <f t="shared" si="5"/>
        <v>14032.81</v>
      </c>
      <c r="G7146" s="10">
        <f t="shared" si="9"/>
        <v>45128.64583</v>
      </c>
      <c r="H7146" s="6" t="str">
        <f t="shared" si="6"/>
        <v/>
      </c>
      <c r="I7146" s="2">
        <f t="shared" si="7"/>
        <v>1426.89</v>
      </c>
    </row>
    <row r="7147">
      <c r="A7147" s="10">
        <f t="shared" si="8"/>
        <v>45129.66667</v>
      </c>
      <c r="B7147" s="2" t="str">
        <f t="shared" si="2"/>
        <v/>
      </c>
      <c r="C7147" s="2" t="str">
        <f t="shared" si="3"/>
        <v>SP500</v>
      </c>
      <c r="D7147" s="2" t="str">
        <f t="shared" si="4"/>
        <v/>
      </c>
      <c r="E7147" s="2">
        <f t="shared" si="5"/>
        <v>14032.81</v>
      </c>
      <c r="G7147" s="10">
        <f t="shared" si="9"/>
        <v>45129.64583</v>
      </c>
      <c r="H7147" s="6" t="str">
        <f t="shared" si="6"/>
        <v/>
      </c>
      <c r="I7147" s="2">
        <f t="shared" si="7"/>
        <v>1426.89</v>
      </c>
    </row>
    <row r="7148">
      <c r="A7148" s="10">
        <f t="shared" si="8"/>
        <v>45130.66667</v>
      </c>
      <c r="B7148" s="2" t="str">
        <f t="shared" si="2"/>
        <v/>
      </c>
      <c r="C7148" s="2" t="str">
        <f t="shared" si="3"/>
        <v>SP500</v>
      </c>
      <c r="D7148" s="2" t="str">
        <f t="shared" si="4"/>
        <v/>
      </c>
      <c r="E7148" s="2">
        <f t="shared" si="5"/>
        <v>14032.81</v>
      </c>
      <c r="G7148" s="10">
        <f t="shared" si="9"/>
        <v>45130.64583</v>
      </c>
      <c r="H7148" s="6" t="str">
        <f t="shared" si="6"/>
        <v/>
      </c>
      <c r="I7148" s="2">
        <f t="shared" si="7"/>
        <v>1426.89</v>
      </c>
    </row>
    <row r="7149">
      <c r="A7149" s="10">
        <f t="shared" si="8"/>
        <v>45131.66667</v>
      </c>
      <c r="B7149" s="2" t="str">
        <f t="shared" si="2"/>
        <v/>
      </c>
      <c r="C7149" s="2" t="str">
        <f t="shared" si="3"/>
        <v>SP500</v>
      </c>
      <c r="D7149" s="2">
        <f t="shared" si="4"/>
        <v>14058.87</v>
      </c>
      <c r="E7149" s="2">
        <f t="shared" si="5"/>
        <v>14058.87</v>
      </c>
      <c r="G7149" s="10">
        <f t="shared" si="9"/>
        <v>45131.64583</v>
      </c>
      <c r="H7149" s="6" t="str">
        <f t="shared" si="6"/>
        <v/>
      </c>
      <c r="I7149" s="2">
        <f t="shared" si="7"/>
        <v>1426.89</v>
      </c>
    </row>
    <row r="7150">
      <c r="A7150" s="10">
        <f t="shared" si="8"/>
        <v>45132.66667</v>
      </c>
      <c r="B7150" s="2" t="str">
        <f t="shared" si="2"/>
        <v/>
      </c>
      <c r="C7150" s="2" t="str">
        <f t="shared" si="3"/>
        <v>SP500</v>
      </c>
      <c r="D7150" s="2">
        <f t="shared" si="4"/>
        <v>14144.56</v>
      </c>
      <c r="E7150" s="2">
        <f t="shared" si="5"/>
        <v>14144.56</v>
      </c>
      <c r="G7150" s="10">
        <f t="shared" si="9"/>
        <v>45132.64583</v>
      </c>
      <c r="H7150" s="6" t="str">
        <f t="shared" si="6"/>
        <v/>
      </c>
      <c r="I7150" s="2">
        <f t="shared" si="7"/>
        <v>1426.89</v>
      </c>
    </row>
    <row r="7151">
      <c r="A7151" s="10">
        <f t="shared" si="8"/>
        <v>45133.66667</v>
      </c>
      <c r="B7151" s="2" t="str">
        <f t="shared" si="2"/>
        <v/>
      </c>
      <c r="C7151" s="2" t="str">
        <f t="shared" si="3"/>
        <v>SP500</v>
      </c>
      <c r="D7151" s="2">
        <f t="shared" si="4"/>
        <v>14127.28</v>
      </c>
      <c r="E7151" s="2">
        <f t="shared" si="5"/>
        <v>14127.28</v>
      </c>
      <c r="G7151" s="10">
        <f t="shared" si="9"/>
        <v>45133.64583</v>
      </c>
      <c r="H7151" s="6" t="str">
        <f t="shared" si="6"/>
        <v/>
      </c>
      <c r="I7151" s="2">
        <f t="shared" si="7"/>
        <v>1426.89</v>
      </c>
    </row>
    <row r="7152">
      <c r="A7152" s="10">
        <f t="shared" si="8"/>
        <v>45134.66667</v>
      </c>
      <c r="B7152" s="2" t="str">
        <f t="shared" si="2"/>
        <v/>
      </c>
      <c r="C7152" s="2" t="str">
        <f t="shared" si="3"/>
        <v>SP500</v>
      </c>
      <c r="D7152" s="2">
        <f t="shared" si="4"/>
        <v>14050.11</v>
      </c>
      <c r="E7152" s="2">
        <f t="shared" si="5"/>
        <v>14050.11</v>
      </c>
      <c r="G7152" s="10">
        <f t="shared" si="9"/>
        <v>45134.64583</v>
      </c>
      <c r="H7152" s="6" t="str">
        <f t="shared" si="6"/>
        <v/>
      </c>
      <c r="I7152" s="2">
        <f t="shared" si="7"/>
        <v>1426.89</v>
      </c>
    </row>
    <row r="7153">
      <c r="A7153" s="10">
        <f t="shared" si="8"/>
        <v>45135.66667</v>
      </c>
      <c r="B7153" s="2" t="str">
        <f t="shared" si="2"/>
        <v/>
      </c>
      <c r="C7153" s="2" t="str">
        <f t="shared" si="3"/>
        <v>SP500</v>
      </c>
      <c r="D7153" s="2">
        <f t="shared" si="4"/>
        <v>14316.66</v>
      </c>
      <c r="E7153" s="2">
        <f t="shared" si="5"/>
        <v>14316.66</v>
      </c>
      <c r="G7153" s="10">
        <f t="shared" si="9"/>
        <v>45135.64583</v>
      </c>
      <c r="H7153" s="6" t="str">
        <f t="shared" si="6"/>
        <v/>
      </c>
      <c r="I7153" s="2">
        <f t="shared" si="7"/>
        <v>1426.89</v>
      </c>
    </row>
    <row r="7154">
      <c r="A7154" s="10">
        <f t="shared" si="8"/>
        <v>45136.66667</v>
      </c>
      <c r="B7154" s="2" t="str">
        <f t="shared" si="2"/>
        <v/>
      </c>
      <c r="C7154" s="2" t="str">
        <f t="shared" si="3"/>
        <v>SP500</v>
      </c>
      <c r="D7154" s="2" t="str">
        <f t="shared" si="4"/>
        <v/>
      </c>
      <c r="E7154" s="2">
        <f t="shared" si="5"/>
        <v>14316.66</v>
      </c>
      <c r="G7154" s="10">
        <f t="shared" si="9"/>
        <v>45136.64583</v>
      </c>
      <c r="H7154" s="6" t="str">
        <f t="shared" si="6"/>
        <v/>
      </c>
      <c r="I7154" s="2">
        <f t="shared" si="7"/>
        <v>1426.89</v>
      </c>
    </row>
    <row r="7155">
      <c r="A7155" s="10">
        <f t="shared" si="8"/>
        <v>45137.66667</v>
      </c>
      <c r="B7155" s="2" t="str">
        <f t="shared" si="2"/>
        <v/>
      </c>
      <c r="C7155" s="2" t="str">
        <f t="shared" si="3"/>
        <v>SP500</v>
      </c>
      <c r="D7155" s="2" t="str">
        <f t="shared" si="4"/>
        <v/>
      </c>
      <c r="E7155" s="2">
        <f t="shared" si="5"/>
        <v>14316.66</v>
      </c>
      <c r="G7155" s="10">
        <f t="shared" si="9"/>
        <v>45137.64583</v>
      </c>
      <c r="H7155" s="6" t="str">
        <f t="shared" si="6"/>
        <v/>
      </c>
      <c r="I7155" s="2">
        <f t="shared" si="7"/>
        <v>1426.89</v>
      </c>
    </row>
    <row r="7156">
      <c r="A7156" s="10">
        <f t="shared" si="8"/>
        <v>45138.66667</v>
      </c>
      <c r="B7156" s="2" t="str">
        <f t="shared" si="2"/>
        <v/>
      </c>
      <c r="C7156" s="2" t="str">
        <f t="shared" si="3"/>
        <v>SP500</v>
      </c>
      <c r="D7156" s="2">
        <f t="shared" si="4"/>
        <v>14346.02</v>
      </c>
      <c r="E7156" s="2">
        <f t="shared" si="5"/>
        <v>14346.02</v>
      </c>
      <c r="G7156" s="10">
        <f t="shared" si="9"/>
        <v>45138.64583</v>
      </c>
      <c r="H7156" s="6" t="str">
        <f t="shared" si="6"/>
        <v/>
      </c>
      <c r="I7156" s="2">
        <f t="shared" si="7"/>
        <v>1426.89</v>
      </c>
    </row>
    <row r="7157">
      <c r="A7157" s="10">
        <f t="shared" si="8"/>
        <v>45139.66667</v>
      </c>
      <c r="B7157" s="2" t="str">
        <f t="shared" si="2"/>
        <v/>
      </c>
      <c r="C7157" s="2" t="str">
        <f t="shared" si="3"/>
        <v>SP500</v>
      </c>
      <c r="D7157" s="2">
        <f t="shared" si="4"/>
        <v>14283.91</v>
      </c>
      <c r="E7157" s="2">
        <f t="shared" si="5"/>
        <v>14283.91</v>
      </c>
      <c r="G7157" s="10">
        <f t="shared" si="9"/>
        <v>45139.64583</v>
      </c>
      <c r="H7157" s="6" t="str">
        <f t="shared" si="6"/>
        <v/>
      </c>
      <c r="I7157" s="2">
        <f t="shared" si="7"/>
        <v>1426.89</v>
      </c>
    </row>
    <row r="7158">
      <c r="A7158" s="10">
        <f t="shared" si="8"/>
        <v>45140.66667</v>
      </c>
      <c r="B7158" s="2" t="str">
        <f t="shared" si="2"/>
        <v/>
      </c>
      <c r="C7158" s="2" t="str">
        <f t="shared" si="3"/>
        <v>SP500</v>
      </c>
      <c r="D7158" s="2">
        <f t="shared" si="4"/>
        <v>13973.45</v>
      </c>
      <c r="E7158" s="2">
        <f t="shared" si="5"/>
        <v>13973.45</v>
      </c>
      <c r="G7158" s="10">
        <f t="shared" si="9"/>
        <v>45140.64583</v>
      </c>
      <c r="H7158" s="6" t="str">
        <f t="shared" si="6"/>
        <v/>
      </c>
      <c r="I7158" s="2">
        <f t="shared" si="7"/>
        <v>1426.89</v>
      </c>
    </row>
    <row r="7159">
      <c r="A7159" s="10">
        <f t="shared" si="8"/>
        <v>45141.66667</v>
      </c>
      <c r="B7159" s="2" t="str">
        <f t="shared" si="2"/>
        <v/>
      </c>
      <c r="C7159" s="2" t="str">
        <f t="shared" si="3"/>
        <v>SP500</v>
      </c>
      <c r="D7159" s="2">
        <f t="shared" si="4"/>
        <v>13959.72</v>
      </c>
      <c r="E7159" s="2">
        <f t="shared" si="5"/>
        <v>13959.72</v>
      </c>
      <c r="G7159" s="10">
        <f t="shared" si="9"/>
        <v>45141.64583</v>
      </c>
      <c r="H7159" s="6" t="str">
        <f t="shared" si="6"/>
        <v/>
      </c>
      <c r="I7159" s="2">
        <f t="shared" si="7"/>
        <v>1426.89</v>
      </c>
    </row>
    <row r="7160">
      <c r="A7160" s="10">
        <f t="shared" si="8"/>
        <v>45142.66667</v>
      </c>
      <c r="B7160" s="2" t="str">
        <f t="shared" si="2"/>
        <v/>
      </c>
      <c r="C7160" s="2" t="str">
        <f t="shared" si="3"/>
        <v>SP500</v>
      </c>
      <c r="D7160" s="2">
        <f t="shared" si="4"/>
        <v>13892.07</v>
      </c>
      <c r="E7160" s="2">
        <f t="shared" si="5"/>
        <v>13892.07</v>
      </c>
      <c r="G7160" s="10">
        <f t="shared" si="9"/>
        <v>45142.64583</v>
      </c>
      <c r="H7160" s="6" t="str">
        <f t="shared" si="6"/>
        <v/>
      </c>
      <c r="I7160" s="2">
        <f t="shared" si="7"/>
        <v>1426.89</v>
      </c>
    </row>
    <row r="7161">
      <c r="A7161" s="10">
        <f t="shared" si="8"/>
        <v>45143.66667</v>
      </c>
      <c r="B7161" s="2" t="str">
        <f t="shared" si="2"/>
        <v/>
      </c>
      <c r="C7161" s="2" t="str">
        <f t="shared" si="3"/>
        <v>SP500</v>
      </c>
      <c r="D7161" s="2" t="str">
        <f t="shared" si="4"/>
        <v/>
      </c>
      <c r="E7161" s="2">
        <f t="shared" si="5"/>
        <v>13892.07</v>
      </c>
      <c r="G7161" s="10">
        <f t="shared" si="9"/>
        <v>45143.64583</v>
      </c>
      <c r="H7161" s="6" t="str">
        <f t="shared" si="6"/>
        <v/>
      </c>
      <c r="I7161" s="2">
        <f t="shared" si="7"/>
        <v>1426.89</v>
      </c>
    </row>
    <row r="7162">
      <c r="A7162" s="10">
        <f t="shared" si="8"/>
        <v>45144.66667</v>
      </c>
      <c r="B7162" s="2" t="str">
        <f t="shared" si="2"/>
        <v/>
      </c>
      <c r="C7162" s="2" t="str">
        <f t="shared" si="3"/>
        <v>SP500</v>
      </c>
      <c r="D7162" s="2" t="str">
        <f t="shared" si="4"/>
        <v/>
      </c>
      <c r="E7162" s="2">
        <f t="shared" si="5"/>
        <v>13892.07</v>
      </c>
      <c r="G7162" s="10">
        <f t="shared" si="9"/>
        <v>45144.64583</v>
      </c>
      <c r="H7162" s="6" t="str">
        <f t="shared" si="6"/>
        <v/>
      </c>
      <c r="I7162" s="2">
        <f t="shared" si="7"/>
        <v>1426.89</v>
      </c>
    </row>
    <row r="7163">
      <c r="A7163" s="10">
        <f t="shared" si="8"/>
        <v>45145.66667</v>
      </c>
      <c r="B7163" s="2" t="str">
        <f t="shared" si="2"/>
        <v/>
      </c>
      <c r="C7163" s="2" t="str">
        <f t="shared" si="3"/>
        <v>SP500</v>
      </c>
      <c r="D7163" s="2">
        <f t="shared" si="4"/>
        <v>13977.12</v>
      </c>
      <c r="E7163" s="2">
        <f t="shared" si="5"/>
        <v>13977.12</v>
      </c>
      <c r="G7163" s="10">
        <f t="shared" si="9"/>
        <v>45145.64583</v>
      </c>
      <c r="H7163" s="6" t="str">
        <f t="shared" si="6"/>
        <v/>
      </c>
      <c r="I7163" s="2">
        <f t="shared" si="7"/>
        <v>1426.89</v>
      </c>
    </row>
    <row r="7164">
      <c r="A7164" s="10">
        <f t="shared" si="8"/>
        <v>45146.66667</v>
      </c>
      <c r="B7164" s="2" t="str">
        <f t="shared" si="2"/>
        <v/>
      </c>
      <c r="C7164" s="2" t="str">
        <f t="shared" si="3"/>
        <v>SP500</v>
      </c>
      <c r="D7164" s="2">
        <f t="shared" si="4"/>
        <v>13867.19</v>
      </c>
      <c r="E7164" s="2">
        <f t="shared" si="5"/>
        <v>13867.19</v>
      </c>
      <c r="G7164" s="10">
        <f t="shared" si="9"/>
        <v>45146.64583</v>
      </c>
      <c r="H7164" s="6" t="str">
        <f t="shared" si="6"/>
        <v/>
      </c>
      <c r="I7164" s="2">
        <f t="shared" si="7"/>
        <v>1426.89</v>
      </c>
    </row>
    <row r="7165">
      <c r="A7165" s="10">
        <f t="shared" si="8"/>
        <v>45147.66667</v>
      </c>
      <c r="B7165" s="2" t="str">
        <f t="shared" si="2"/>
        <v/>
      </c>
      <c r="C7165" s="2" t="str">
        <f t="shared" si="3"/>
        <v>SP500</v>
      </c>
      <c r="D7165" s="2">
        <f t="shared" si="4"/>
        <v>13705.08</v>
      </c>
      <c r="E7165" s="2">
        <f t="shared" si="5"/>
        <v>13705.08</v>
      </c>
      <c r="G7165" s="10">
        <f t="shared" si="9"/>
        <v>45147.64583</v>
      </c>
      <c r="H7165" s="6" t="str">
        <f t="shared" si="6"/>
        <v/>
      </c>
      <c r="I7165" s="2">
        <f t="shared" si="7"/>
        <v>1426.89</v>
      </c>
    </row>
    <row r="7166">
      <c r="A7166" s="10">
        <f t="shared" si="8"/>
        <v>45148.66667</v>
      </c>
      <c r="B7166" s="2" t="str">
        <f t="shared" si="2"/>
        <v/>
      </c>
      <c r="C7166" s="2" t="str">
        <f t="shared" si="3"/>
        <v>SP500</v>
      </c>
      <c r="D7166" s="2">
        <f t="shared" si="4"/>
        <v>13721.03</v>
      </c>
      <c r="E7166" s="2">
        <f t="shared" si="5"/>
        <v>13721.03</v>
      </c>
      <c r="G7166" s="10">
        <f t="shared" si="9"/>
        <v>45148.64583</v>
      </c>
      <c r="H7166" s="6" t="str">
        <f t="shared" si="6"/>
        <v/>
      </c>
      <c r="I7166" s="2">
        <f t="shared" si="7"/>
        <v>1426.89</v>
      </c>
    </row>
    <row r="7167">
      <c r="A7167" s="10">
        <f t="shared" si="8"/>
        <v>45149.66667</v>
      </c>
      <c r="B7167" s="2" t="str">
        <f t="shared" si="2"/>
        <v/>
      </c>
      <c r="C7167" s="2" t="str">
        <f t="shared" si="3"/>
        <v>SP500</v>
      </c>
      <c r="D7167" s="2">
        <f t="shared" si="4"/>
        <v>13644.85</v>
      </c>
      <c r="E7167" s="2">
        <f t="shared" si="5"/>
        <v>13644.85</v>
      </c>
      <c r="G7167" s="10">
        <f t="shared" si="9"/>
        <v>45149.64583</v>
      </c>
      <c r="H7167" s="6" t="str">
        <f t="shared" si="6"/>
        <v/>
      </c>
      <c r="I7167" s="2">
        <f t="shared" si="7"/>
        <v>1426.89</v>
      </c>
    </row>
    <row r="7168">
      <c r="A7168" s="10">
        <f t="shared" si="8"/>
        <v>45150.66667</v>
      </c>
      <c r="B7168" s="2" t="str">
        <f t="shared" si="2"/>
        <v/>
      </c>
      <c r="C7168" s="2" t="str">
        <f t="shared" si="3"/>
        <v>SP500</v>
      </c>
      <c r="D7168" s="2" t="str">
        <f t="shared" si="4"/>
        <v/>
      </c>
      <c r="E7168" s="2">
        <f t="shared" si="5"/>
        <v>13644.85</v>
      </c>
      <c r="G7168" s="10">
        <f t="shared" si="9"/>
        <v>45150.64583</v>
      </c>
      <c r="H7168" s="6" t="str">
        <f t="shared" si="6"/>
        <v/>
      </c>
      <c r="I7168" s="2">
        <f t="shared" si="7"/>
        <v>1426.89</v>
      </c>
    </row>
    <row r="7169">
      <c r="A7169" s="10">
        <f t="shared" si="8"/>
        <v>45151.66667</v>
      </c>
      <c r="B7169" s="2" t="str">
        <f t="shared" si="2"/>
        <v/>
      </c>
      <c r="C7169" s="2" t="str">
        <f t="shared" si="3"/>
        <v>SP500</v>
      </c>
      <c r="D7169" s="2" t="str">
        <f t="shared" si="4"/>
        <v/>
      </c>
      <c r="E7169" s="2">
        <f t="shared" si="5"/>
        <v>13644.85</v>
      </c>
      <c r="G7169" s="10">
        <f t="shared" si="9"/>
        <v>45151.64583</v>
      </c>
      <c r="H7169" s="6" t="str">
        <f t="shared" si="6"/>
        <v/>
      </c>
      <c r="I7169" s="2">
        <f t="shared" si="7"/>
        <v>1426.89</v>
      </c>
    </row>
    <row r="7170">
      <c r="A7170" s="10">
        <f t="shared" si="8"/>
        <v>45152.66667</v>
      </c>
      <c r="B7170" s="2" t="str">
        <f t="shared" si="2"/>
        <v/>
      </c>
      <c r="C7170" s="2" t="str">
        <f t="shared" si="3"/>
        <v>SP500</v>
      </c>
      <c r="D7170" s="2">
        <f t="shared" si="4"/>
        <v>13788.33</v>
      </c>
      <c r="E7170" s="2">
        <f t="shared" si="5"/>
        <v>13788.33</v>
      </c>
      <c r="G7170" s="10">
        <f t="shared" si="9"/>
        <v>45152.64583</v>
      </c>
      <c r="H7170" s="6" t="str">
        <f t="shared" si="6"/>
        <v/>
      </c>
      <c r="I7170" s="2">
        <f t="shared" si="7"/>
        <v>1426.89</v>
      </c>
    </row>
    <row r="7171">
      <c r="A7171" s="10">
        <f t="shared" si="8"/>
        <v>45153.66667</v>
      </c>
      <c r="B7171" s="2" t="str">
        <f t="shared" si="2"/>
        <v/>
      </c>
      <c r="C7171" s="2" t="str">
        <f t="shared" si="3"/>
        <v>SP500</v>
      </c>
      <c r="D7171" s="2">
        <f t="shared" si="4"/>
        <v>13631.05</v>
      </c>
      <c r="E7171" s="2">
        <f t="shared" si="5"/>
        <v>13631.05</v>
      </c>
      <c r="G7171" s="10">
        <f t="shared" si="9"/>
        <v>45153.64583</v>
      </c>
      <c r="H7171" s="6" t="str">
        <f t="shared" si="6"/>
        <v/>
      </c>
      <c r="I7171" s="2">
        <f t="shared" si="7"/>
        <v>1426.89</v>
      </c>
    </row>
    <row r="7172">
      <c r="A7172" s="10">
        <f t="shared" si="8"/>
        <v>45154.66667</v>
      </c>
      <c r="B7172" s="2" t="str">
        <f t="shared" si="2"/>
        <v/>
      </c>
      <c r="C7172" s="2" t="str">
        <f t="shared" si="3"/>
        <v>SP500</v>
      </c>
      <c r="D7172" s="2">
        <f t="shared" si="4"/>
        <v>13474.63</v>
      </c>
      <c r="E7172" s="2">
        <f t="shared" si="5"/>
        <v>13474.63</v>
      </c>
      <c r="G7172" s="10">
        <f t="shared" si="9"/>
        <v>45154.64583</v>
      </c>
      <c r="H7172" s="6" t="str">
        <f t="shared" si="6"/>
        <v/>
      </c>
      <c r="I7172" s="2">
        <f t="shared" si="7"/>
        <v>1426.89</v>
      </c>
    </row>
    <row r="7173">
      <c r="A7173" s="10">
        <f t="shared" si="8"/>
        <v>45155.66667</v>
      </c>
      <c r="B7173" s="2" t="str">
        <f t="shared" si="2"/>
        <v/>
      </c>
      <c r="C7173" s="2" t="str">
        <f t="shared" si="3"/>
        <v>SP500</v>
      </c>
      <c r="D7173" s="2">
        <f t="shared" si="4"/>
        <v>13316.93</v>
      </c>
      <c r="E7173" s="2">
        <f t="shared" si="5"/>
        <v>13316.93</v>
      </c>
      <c r="G7173" s="10">
        <f t="shared" si="9"/>
        <v>45155.64583</v>
      </c>
      <c r="H7173" s="6" t="str">
        <f t="shared" si="6"/>
        <v/>
      </c>
      <c r="I7173" s="2">
        <f t="shared" si="7"/>
        <v>1426.89</v>
      </c>
    </row>
    <row r="7174">
      <c r="A7174" s="10">
        <f t="shared" si="8"/>
        <v>45156.66667</v>
      </c>
      <c r="B7174" s="2" t="str">
        <f t="shared" si="2"/>
        <v/>
      </c>
      <c r="C7174" s="2" t="str">
        <f t="shared" si="3"/>
        <v>SP500</v>
      </c>
      <c r="D7174" s="2">
        <f t="shared" si="4"/>
        <v>13290.78</v>
      </c>
      <c r="E7174" s="2">
        <f t="shared" si="5"/>
        <v>13290.78</v>
      </c>
      <c r="G7174" s="10">
        <f t="shared" si="9"/>
        <v>45156.64583</v>
      </c>
      <c r="H7174" s="6" t="str">
        <f t="shared" si="6"/>
        <v/>
      </c>
      <c r="I7174" s="2">
        <f t="shared" si="7"/>
        <v>1426.89</v>
      </c>
    </row>
    <row r="7175">
      <c r="A7175" s="10">
        <f t="shared" si="8"/>
        <v>45157.66667</v>
      </c>
      <c r="B7175" s="2" t="str">
        <f t="shared" si="2"/>
        <v/>
      </c>
      <c r="C7175" s="2" t="str">
        <f t="shared" si="3"/>
        <v>SP500</v>
      </c>
      <c r="D7175" s="2" t="str">
        <f t="shared" si="4"/>
        <v/>
      </c>
      <c r="E7175" s="2">
        <f t="shared" si="5"/>
        <v>13290.78</v>
      </c>
      <c r="G7175" s="10">
        <f t="shared" si="9"/>
        <v>45157.64583</v>
      </c>
      <c r="H7175" s="6" t="str">
        <f t="shared" si="6"/>
        <v/>
      </c>
      <c r="I7175" s="2">
        <f t="shared" si="7"/>
        <v>1426.89</v>
      </c>
    </row>
    <row r="7176">
      <c r="A7176" s="10">
        <f t="shared" si="8"/>
        <v>45158.66667</v>
      </c>
      <c r="B7176" s="2" t="str">
        <f t="shared" si="2"/>
        <v/>
      </c>
      <c r="C7176" s="2" t="str">
        <f t="shared" si="3"/>
        <v>SP500</v>
      </c>
      <c r="D7176" s="2" t="str">
        <f t="shared" si="4"/>
        <v/>
      </c>
      <c r="E7176" s="2">
        <f t="shared" si="5"/>
        <v>13290.78</v>
      </c>
      <c r="G7176" s="10">
        <f t="shared" si="9"/>
        <v>45158.64583</v>
      </c>
      <c r="H7176" s="6" t="str">
        <f t="shared" si="6"/>
        <v/>
      </c>
      <c r="I7176" s="2">
        <f t="shared" si="7"/>
        <v>1426.89</v>
      </c>
    </row>
    <row r="7177">
      <c r="A7177" s="10">
        <f t="shared" si="8"/>
        <v>45159.66667</v>
      </c>
      <c r="B7177" s="2" t="str">
        <f t="shared" si="2"/>
        <v/>
      </c>
      <c r="C7177" s="2" t="str">
        <f t="shared" si="3"/>
        <v>SP500</v>
      </c>
      <c r="D7177" s="2">
        <f t="shared" si="4"/>
        <v>13497.59</v>
      </c>
      <c r="E7177" s="2">
        <f t="shared" si="5"/>
        <v>13497.59</v>
      </c>
      <c r="G7177" s="10">
        <f t="shared" si="9"/>
        <v>45159.64583</v>
      </c>
      <c r="H7177" s="6" t="str">
        <f t="shared" si="6"/>
        <v/>
      </c>
      <c r="I7177" s="2">
        <f t="shared" si="7"/>
        <v>1426.89</v>
      </c>
    </row>
    <row r="7178">
      <c r="A7178" s="10">
        <f t="shared" si="8"/>
        <v>45160.66667</v>
      </c>
      <c r="B7178" s="2" t="str">
        <f t="shared" si="2"/>
        <v/>
      </c>
      <c r="C7178" s="2" t="str">
        <f t="shared" si="3"/>
        <v>SP500</v>
      </c>
      <c r="D7178" s="2">
        <f t="shared" si="4"/>
        <v>13505.87</v>
      </c>
      <c r="E7178" s="2">
        <f t="shared" si="5"/>
        <v>13505.87</v>
      </c>
      <c r="G7178" s="10">
        <f t="shared" si="9"/>
        <v>45160.64583</v>
      </c>
      <c r="H7178" s="6" t="str">
        <f t="shared" si="6"/>
        <v/>
      </c>
      <c r="I7178" s="2">
        <f t="shared" si="7"/>
        <v>1426.89</v>
      </c>
    </row>
    <row r="7179">
      <c r="A7179" s="10">
        <f t="shared" si="8"/>
        <v>45161.66667</v>
      </c>
      <c r="B7179" s="2" t="str">
        <f t="shared" si="2"/>
        <v/>
      </c>
      <c r="C7179" s="2" t="str">
        <f t="shared" si="3"/>
        <v>SP500</v>
      </c>
      <c r="D7179" s="2">
        <f t="shared" si="4"/>
        <v>13721.03</v>
      </c>
      <c r="E7179" s="2">
        <f t="shared" si="5"/>
        <v>13721.03</v>
      </c>
      <c r="G7179" s="10">
        <f t="shared" si="9"/>
        <v>45161.64583</v>
      </c>
      <c r="H7179" s="6" t="str">
        <f t="shared" si="6"/>
        <v/>
      </c>
      <c r="I7179" s="2">
        <f t="shared" si="7"/>
        <v>1426.89</v>
      </c>
    </row>
    <row r="7180">
      <c r="A7180" s="10">
        <f t="shared" si="8"/>
        <v>45162.66667</v>
      </c>
      <c r="B7180" s="2" t="str">
        <f t="shared" si="2"/>
        <v/>
      </c>
      <c r="C7180" s="2" t="str">
        <f t="shared" si="3"/>
        <v>SP500</v>
      </c>
      <c r="D7180" s="2">
        <f t="shared" si="4"/>
        <v>13463.97</v>
      </c>
      <c r="E7180" s="2">
        <f t="shared" si="5"/>
        <v>13463.97</v>
      </c>
      <c r="G7180" s="10">
        <f t="shared" si="9"/>
        <v>45162.64583</v>
      </c>
      <c r="H7180" s="6" t="str">
        <f t="shared" si="6"/>
        <v/>
      </c>
      <c r="I7180" s="2">
        <f t="shared" si="7"/>
        <v>1426.89</v>
      </c>
    </row>
    <row r="7181">
      <c r="A7181" s="10">
        <f t="shared" si="8"/>
        <v>45163.66667</v>
      </c>
      <c r="B7181" s="2" t="str">
        <f t="shared" si="2"/>
        <v/>
      </c>
      <c r="C7181" s="2" t="str">
        <f t="shared" si="3"/>
        <v>SP500</v>
      </c>
      <c r="D7181" s="2">
        <f t="shared" si="4"/>
        <v>13590.65</v>
      </c>
      <c r="E7181" s="2">
        <f t="shared" si="5"/>
        <v>13590.65</v>
      </c>
      <c r="G7181" s="10">
        <f t="shared" si="9"/>
        <v>45163.64583</v>
      </c>
      <c r="H7181" s="6" t="str">
        <f t="shared" si="6"/>
        <v/>
      </c>
      <c r="I7181" s="2">
        <f t="shared" si="7"/>
        <v>1426.89</v>
      </c>
    </row>
    <row r="7182">
      <c r="A7182" s="10">
        <f t="shared" si="8"/>
        <v>45164.66667</v>
      </c>
      <c r="B7182" s="2" t="str">
        <f t="shared" si="2"/>
        <v/>
      </c>
      <c r="C7182" s="2" t="str">
        <f t="shared" si="3"/>
        <v>SP500</v>
      </c>
      <c r="D7182" s="2" t="str">
        <f t="shared" si="4"/>
        <v/>
      </c>
      <c r="E7182" s="2">
        <f t="shared" si="5"/>
        <v>13590.65</v>
      </c>
      <c r="G7182" s="10">
        <f t="shared" si="9"/>
        <v>45164.64583</v>
      </c>
      <c r="H7182" s="6" t="str">
        <f t="shared" si="6"/>
        <v/>
      </c>
      <c r="I7182" s="2">
        <f t="shared" si="7"/>
        <v>1426.89</v>
      </c>
    </row>
    <row r="7183">
      <c r="A7183" s="10">
        <f t="shared" si="8"/>
        <v>45165.66667</v>
      </c>
      <c r="B7183" s="2" t="str">
        <f t="shared" si="2"/>
        <v/>
      </c>
      <c r="C7183" s="2" t="str">
        <f t="shared" si="3"/>
        <v>SP500</v>
      </c>
      <c r="D7183" s="2" t="str">
        <f t="shared" si="4"/>
        <v/>
      </c>
      <c r="E7183" s="2">
        <f t="shared" si="5"/>
        <v>13590.65</v>
      </c>
      <c r="G7183" s="10">
        <f t="shared" si="9"/>
        <v>45165.64583</v>
      </c>
      <c r="H7183" s="6" t="str">
        <f t="shared" si="6"/>
        <v/>
      </c>
      <c r="I7183" s="2">
        <f t="shared" si="7"/>
        <v>1426.89</v>
      </c>
    </row>
    <row r="7184">
      <c r="A7184" s="10">
        <f t="shared" si="8"/>
        <v>45166.66667</v>
      </c>
      <c r="B7184" s="2" t="str">
        <f t="shared" si="2"/>
        <v/>
      </c>
      <c r="C7184" s="2" t="str">
        <f t="shared" si="3"/>
        <v>SP500</v>
      </c>
      <c r="D7184" s="2">
        <f t="shared" si="4"/>
        <v>13705.13</v>
      </c>
      <c r="E7184" s="2">
        <f t="shared" si="5"/>
        <v>13705.13</v>
      </c>
      <c r="G7184" s="10">
        <f t="shared" si="9"/>
        <v>45166.64583</v>
      </c>
      <c r="H7184" s="6" t="str">
        <f t="shared" si="6"/>
        <v/>
      </c>
      <c r="I7184" s="2">
        <f t="shared" si="7"/>
        <v>1426.89</v>
      </c>
    </row>
    <row r="7185">
      <c r="A7185" s="10">
        <f t="shared" si="8"/>
        <v>45167.66667</v>
      </c>
      <c r="B7185" s="2" t="str">
        <f t="shared" si="2"/>
        <v/>
      </c>
      <c r="C7185" s="2" t="str">
        <f t="shared" si="3"/>
        <v>SP500</v>
      </c>
      <c r="D7185" s="2">
        <f t="shared" si="4"/>
        <v>13943.76</v>
      </c>
      <c r="E7185" s="2">
        <f t="shared" si="5"/>
        <v>13943.76</v>
      </c>
      <c r="G7185" s="10">
        <f t="shared" si="9"/>
        <v>45167.64583</v>
      </c>
      <c r="H7185" s="6" t="str">
        <f t="shared" si="6"/>
        <v/>
      </c>
      <c r="I7185" s="2">
        <f t="shared" si="7"/>
        <v>1426.89</v>
      </c>
    </row>
    <row r="7186">
      <c r="A7186" s="10">
        <f t="shared" si="8"/>
        <v>45168.66667</v>
      </c>
      <c r="B7186" s="2" t="str">
        <f t="shared" si="2"/>
        <v/>
      </c>
      <c r="C7186" s="2" t="str">
        <f t="shared" si="3"/>
        <v>SP500</v>
      </c>
      <c r="D7186" s="2">
        <f t="shared" si="4"/>
        <v>14019.31</v>
      </c>
      <c r="E7186" s="2">
        <f t="shared" si="5"/>
        <v>14019.31</v>
      </c>
      <c r="G7186" s="10">
        <f t="shared" si="9"/>
        <v>45168.64583</v>
      </c>
      <c r="H7186" s="6" t="str">
        <f t="shared" si="6"/>
        <v/>
      </c>
      <c r="I7186" s="2">
        <f t="shared" si="7"/>
        <v>1426.89</v>
      </c>
    </row>
    <row r="7187">
      <c r="A7187" s="10">
        <f t="shared" si="8"/>
        <v>45169.66667</v>
      </c>
      <c r="B7187" s="2" t="str">
        <f t="shared" si="2"/>
        <v/>
      </c>
      <c r="C7187" s="2" t="str">
        <f t="shared" si="3"/>
        <v>SP500</v>
      </c>
      <c r="D7187" s="2">
        <f t="shared" si="4"/>
        <v>14034.97</v>
      </c>
      <c r="E7187" s="2">
        <f t="shared" si="5"/>
        <v>14034.97</v>
      </c>
      <c r="G7187" s="10">
        <f t="shared" si="9"/>
        <v>45169.64583</v>
      </c>
      <c r="H7187" s="6" t="str">
        <f t="shared" si="6"/>
        <v/>
      </c>
      <c r="I7187" s="2">
        <f t="shared" si="7"/>
        <v>1426.89</v>
      </c>
    </row>
    <row r="7188">
      <c r="A7188" s="10">
        <f t="shared" si="8"/>
        <v>45170.66667</v>
      </c>
      <c r="B7188" s="2" t="str">
        <f t="shared" si="2"/>
        <v/>
      </c>
      <c r="C7188" s="2" t="str">
        <f t="shared" si="3"/>
        <v>SP500</v>
      </c>
      <c r="D7188" s="2">
        <f t="shared" si="4"/>
        <v>14031.82</v>
      </c>
      <c r="E7188" s="2">
        <f t="shared" si="5"/>
        <v>14031.82</v>
      </c>
      <c r="G7188" s="10">
        <f t="shared" si="9"/>
        <v>45170.64583</v>
      </c>
      <c r="H7188" s="6" t="str">
        <f t="shared" si="6"/>
        <v/>
      </c>
      <c r="I7188" s="2">
        <f t="shared" si="7"/>
        <v>1426.89</v>
      </c>
    </row>
    <row r="7189">
      <c r="A7189" s="10">
        <f t="shared" si="8"/>
        <v>45171.66667</v>
      </c>
      <c r="B7189" s="2" t="str">
        <f t="shared" si="2"/>
        <v/>
      </c>
      <c r="C7189" s="2" t="str">
        <f t="shared" si="3"/>
        <v>SP500</v>
      </c>
      <c r="D7189" s="2" t="str">
        <f t="shared" si="4"/>
        <v/>
      </c>
      <c r="E7189" s="2">
        <f t="shared" si="5"/>
        <v>14031.82</v>
      </c>
      <c r="G7189" s="10">
        <f t="shared" si="9"/>
        <v>45171.64583</v>
      </c>
      <c r="H7189" s="6" t="str">
        <f t="shared" si="6"/>
        <v/>
      </c>
      <c r="I7189" s="2">
        <f t="shared" si="7"/>
        <v>1426.89</v>
      </c>
    </row>
    <row r="7190">
      <c r="A7190" s="10">
        <f t="shared" si="8"/>
        <v>45172.66667</v>
      </c>
      <c r="B7190" s="2" t="str">
        <f t="shared" si="2"/>
        <v/>
      </c>
      <c r="C7190" s="2" t="str">
        <f t="shared" si="3"/>
        <v>SP500</v>
      </c>
      <c r="D7190" s="2" t="str">
        <f t="shared" si="4"/>
        <v/>
      </c>
      <c r="E7190" s="2">
        <f t="shared" si="5"/>
        <v>14031.82</v>
      </c>
      <c r="G7190" s="10">
        <f t="shared" si="9"/>
        <v>45172.64583</v>
      </c>
      <c r="H7190" s="6" t="str">
        <f t="shared" si="6"/>
        <v/>
      </c>
      <c r="I7190" s="2">
        <f t="shared" si="7"/>
        <v>1426.89</v>
      </c>
    </row>
    <row r="7191">
      <c r="A7191" s="10">
        <f t="shared" si="8"/>
        <v>45173.66667</v>
      </c>
      <c r="B7191" s="2" t="str">
        <f t="shared" si="2"/>
        <v/>
      </c>
      <c r="C7191" s="2" t="str">
        <f t="shared" si="3"/>
        <v>SP500</v>
      </c>
      <c r="D7191" s="2" t="str">
        <f t="shared" si="4"/>
        <v/>
      </c>
      <c r="E7191" s="2">
        <f t="shared" si="5"/>
        <v>14031.82</v>
      </c>
      <c r="G7191" s="10">
        <f t="shared" si="9"/>
        <v>45173.64583</v>
      </c>
      <c r="H7191" s="6" t="str">
        <f t="shared" si="6"/>
        <v/>
      </c>
      <c r="I7191" s="2">
        <f t="shared" si="7"/>
        <v>1426.89</v>
      </c>
    </row>
    <row r="7192">
      <c r="A7192" s="10">
        <f t="shared" si="8"/>
        <v>45174.66667</v>
      </c>
      <c r="B7192" s="2" t="str">
        <f t="shared" si="2"/>
        <v/>
      </c>
      <c r="C7192" s="2" t="str">
        <f t="shared" si="3"/>
        <v>SP500</v>
      </c>
      <c r="D7192" s="2">
        <f t="shared" si="4"/>
        <v>14020.95</v>
      </c>
      <c r="E7192" s="2">
        <f t="shared" si="5"/>
        <v>14020.95</v>
      </c>
      <c r="G7192" s="10">
        <f t="shared" si="9"/>
        <v>45174.64583</v>
      </c>
      <c r="H7192" s="6" t="str">
        <f t="shared" si="6"/>
        <v/>
      </c>
      <c r="I7192" s="2">
        <f t="shared" si="7"/>
        <v>1426.89</v>
      </c>
    </row>
    <row r="7193">
      <c r="A7193" s="10">
        <f t="shared" si="8"/>
        <v>45175.66667</v>
      </c>
      <c r="B7193" s="2" t="str">
        <f t="shared" si="2"/>
        <v/>
      </c>
      <c r="C7193" s="2" t="str">
        <f t="shared" si="3"/>
        <v>SP500</v>
      </c>
      <c r="D7193" s="2">
        <f t="shared" si="4"/>
        <v>13872.47</v>
      </c>
      <c r="E7193" s="2">
        <f t="shared" si="5"/>
        <v>13872.47</v>
      </c>
      <c r="G7193" s="10">
        <f t="shared" si="9"/>
        <v>45175.64583</v>
      </c>
      <c r="H7193" s="6" t="str">
        <f t="shared" si="6"/>
        <v/>
      </c>
      <c r="I7193" s="2">
        <f t="shared" si="7"/>
        <v>1426.89</v>
      </c>
    </row>
    <row r="7194">
      <c r="A7194" s="10">
        <f t="shared" si="8"/>
        <v>45176.66667</v>
      </c>
      <c r="B7194" s="2" t="str">
        <f t="shared" si="2"/>
        <v/>
      </c>
      <c r="C7194" s="2" t="str">
        <f t="shared" si="3"/>
        <v>SP500</v>
      </c>
      <c r="D7194" s="2">
        <f t="shared" si="4"/>
        <v>13748.83</v>
      </c>
      <c r="E7194" s="2">
        <f t="shared" si="5"/>
        <v>13748.83</v>
      </c>
      <c r="G7194" s="10">
        <f t="shared" si="9"/>
        <v>45176.64583</v>
      </c>
      <c r="H7194" s="6" t="str">
        <f t="shared" si="6"/>
        <v/>
      </c>
      <c r="I7194" s="2">
        <f t="shared" si="7"/>
        <v>1426.89</v>
      </c>
    </row>
    <row r="7195">
      <c r="A7195" s="10">
        <f t="shared" si="8"/>
        <v>45177.66667</v>
      </c>
      <c r="B7195" s="2" t="str">
        <f t="shared" si="2"/>
        <v/>
      </c>
      <c r="C7195" s="2" t="str">
        <f t="shared" si="3"/>
        <v>SP500</v>
      </c>
      <c r="D7195" s="2">
        <f t="shared" si="4"/>
        <v>13761.53</v>
      </c>
      <c r="E7195" s="2">
        <f t="shared" si="5"/>
        <v>13761.53</v>
      </c>
      <c r="G7195" s="10">
        <f t="shared" si="9"/>
        <v>45177.64583</v>
      </c>
      <c r="H7195" s="6" t="str">
        <f t="shared" si="6"/>
        <v/>
      </c>
      <c r="I7195" s="2">
        <f t="shared" si="7"/>
        <v>1426.89</v>
      </c>
    </row>
    <row r="7196">
      <c r="A7196" s="10">
        <f t="shared" si="8"/>
        <v>45178.66667</v>
      </c>
      <c r="B7196" s="2" t="str">
        <f t="shared" si="2"/>
        <v/>
      </c>
      <c r="C7196" s="2" t="str">
        <f t="shared" si="3"/>
        <v>SP500</v>
      </c>
      <c r="D7196" s="2" t="str">
        <f t="shared" si="4"/>
        <v/>
      </c>
      <c r="E7196" s="2">
        <f t="shared" si="5"/>
        <v>13761.53</v>
      </c>
      <c r="G7196" s="10">
        <f t="shared" si="9"/>
        <v>45178.64583</v>
      </c>
      <c r="H7196" s="6" t="str">
        <f t="shared" si="6"/>
        <v/>
      </c>
      <c r="I7196" s="2">
        <f t="shared" si="7"/>
        <v>1426.89</v>
      </c>
    </row>
    <row r="7197">
      <c r="A7197" s="10">
        <f t="shared" si="8"/>
        <v>45179.66667</v>
      </c>
      <c r="B7197" s="2" t="str">
        <f t="shared" si="2"/>
        <v/>
      </c>
      <c r="C7197" s="2" t="str">
        <f t="shared" si="3"/>
        <v>SP500</v>
      </c>
      <c r="D7197" s="2" t="str">
        <f t="shared" si="4"/>
        <v/>
      </c>
      <c r="E7197" s="2">
        <f t="shared" si="5"/>
        <v>13761.53</v>
      </c>
      <c r="G7197" s="10">
        <f t="shared" si="9"/>
        <v>45179.64583</v>
      </c>
      <c r="H7197" s="6" t="str">
        <f t="shared" si="6"/>
        <v/>
      </c>
      <c r="I7197" s="2">
        <f t="shared" si="7"/>
        <v>1426.89</v>
      </c>
    </row>
    <row r="7198">
      <c r="A7198" s="10">
        <f t="shared" si="8"/>
        <v>45180.66667</v>
      </c>
      <c r="B7198" s="2" t="str">
        <f t="shared" si="2"/>
        <v/>
      </c>
      <c r="C7198" s="2" t="str">
        <f t="shared" si="3"/>
        <v>SP500</v>
      </c>
      <c r="D7198" s="2">
        <f t="shared" si="4"/>
        <v>13917.91</v>
      </c>
      <c r="E7198" s="2">
        <f t="shared" si="5"/>
        <v>13917.91</v>
      </c>
      <c r="G7198" s="10">
        <f t="shared" si="9"/>
        <v>45180.64583</v>
      </c>
      <c r="H7198" s="6" t="str">
        <f t="shared" si="6"/>
        <v/>
      </c>
      <c r="I7198" s="2">
        <f t="shared" si="7"/>
        <v>1426.89</v>
      </c>
    </row>
    <row r="7199">
      <c r="A7199" s="10">
        <f t="shared" si="8"/>
        <v>45181.66667</v>
      </c>
      <c r="B7199" s="2" t="str">
        <f t="shared" si="2"/>
        <v/>
      </c>
      <c r="C7199" s="2" t="str">
        <f t="shared" si="3"/>
        <v>SP500</v>
      </c>
      <c r="D7199" s="2">
        <f t="shared" si="4"/>
        <v>13773.63</v>
      </c>
      <c r="E7199" s="2">
        <f t="shared" si="5"/>
        <v>13773.63</v>
      </c>
      <c r="G7199" s="10">
        <f t="shared" si="9"/>
        <v>45181.64583</v>
      </c>
      <c r="H7199" s="6" t="str">
        <f t="shared" si="6"/>
        <v/>
      </c>
      <c r="I7199" s="2">
        <f t="shared" si="7"/>
        <v>1426.89</v>
      </c>
    </row>
    <row r="7200">
      <c r="A7200" s="10">
        <f t="shared" si="8"/>
        <v>45182.66667</v>
      </c>
      <c r="B7200" s="2" t="str">
        <f t="shared" si="2"/>
        <v/>
      </c>
      <c r="C7200" s="2" t="str">
        <f t="shared" si="3"/>
        <v>SP500</v>
      </c>
      <c r="D7200" s="2">
        <f t="shared" si="4"/>
        <v>13813.59</v>
      </c>
      <c r="E7200" s="2">
        <f t="shared" si="5"/>
        <v>13813.59</v>
      </c>
      <c r="G7200" s="10">
        <f t="shared" si="9"/>
        <v>45182.64583</v>
      </c>
      <c r="H7200" s="6" t="str">
        <f t="shared" si="6"/>
        <v/>
      </c>
      <c r="I7200" s="2">
        <f t="shared" si="7"/>
        <v>1426.89</v>
      </c>
    </row>
    <row r="7201">
      <c r="A7201" s="10">
        <f t="shared" si="8"/>
        <v>45183.66667</v>
      </c>
      <c r="B7201" s="2" t="str">
        <f t="shared" si="2"/>
        <v/>
      </c>
      <c r="C7201" s="2" t="str">
        <f t="shared" si="3"/>
        <v>SP500</v>
      </c>
      <c r="D7201" s="2">
        <f t="shared" si="4"/>
        <v>13926.05</v>
      </c>
      <c r="E7201" s="2">
        <f t="shared" si="5"/>
        <v>13926.05</v>
      </c>
      <c r="G7201" s="10">
        <f t="shared" si="9"/>
        <v>45183.64583</v>
      </c>
      <c r="H7201" s="6" t="str">
        <f t="shared" si="6"/>
        <v/>
      </c>
      <c r="I7201" s="2">
        <f t="shared" si="7"/>
        <v>1426.89</v>
      </c>
    </row>
    <row r="7202">
      <c r="A7202" s="10">
        <f t="shared" si="8"/>
        <v>45184.66667</v>
      </c>
      <c r="B7202" s="2" t="str">
        <f t="shared" si="2"/>
        <v/>
      </c>
      <c r="C7202" s="2" t="str">
        <f t="shared" si="3"/>
        <v>SP500</v>
      </c>
      <c r="D7202" s="2">
        <f t="shared" si="4"/>
        <v>13708.34</v>
      </c>
      <c r="E7202" s="2">
        <f t="shared" si="5"/>
        <v>13708.34</v>
      </c>
      <c r="G7202" s="10">
        <f t="shared" si="9"/>
        <v>45184.64583</v>
      </c>
      <c r="H7202" s="6" t="str">
        <f t="shared" si="6"/>
        <v/>
      </c>
      <c r="I7202" s="2">
        <f t="shared" si="7"/>
        <v>1426.89</v>
      </c>
    </row>
    <row r="7203">
      <c r="A7203" s="10">
        <f t="shared" si="8"/>
        <v>45185.66667</v>
      </c>
      <c r="B7203" s="2" t="str">
        <f t="shared" si="2"/>
        <v/>
      </c>
      <c r="C7203" s="2" t="str">
        <f t="shared" si="3"/>
        <v>SP500</v>
      </c>
      <c r="D7203" s="2" t="str">
        <f t="shared" si="4"/>
        <v/>
      </c>
      <c r="E7203" s="2">
        <f t="shared" si="5"/>
        <v>13708.34</v>
      </c>
      <c r="G7203" s="10">
        <f t="shared" si="9"/>
        <v>45185.64583</v>
      </c>
      <c r="H7203" s="6" t="str">
        <f t="shared" si="6"/>
        <v/>
      </c>
      <c r="I7203" s="2">
        <f t="shared" si="7"/>
        <v>1426.89</v>
      </c>
    </row>
    <row r="7204">
      <c r="A7204" s="10">
        <f t="shared" si="8"/>
        <v>45186.66667</v>
      </c>
      <c r="B7204" s="2" t="str">
        <f t="shared" si="2"/>
        <v/>
      </c>
      <c r="C7204" s="2" t="str">
        <f t="shared" si="3"/>
        <v>SP500</v>
      </c>
      <c r="D7204" s="2" t="str">
        <f t="shared" si="4"/>
        <v/>
      </c>
      <c r="E7204" s="2">
        <f t="shared" si="5"/>
        <v>13708.34</v>
      </c>
      <c r="G7204" s="10">
        <f t="shared" si="9"/>
        <v>45186.64583</v>
      </c>
      <c r="H7204" s="6" t="str">
        <f t="shared" si="6"/>
        <v/>
      </c>
      <c r="I7204" s="2">
        <f t="shared" si="7"/>
        <v>1426.89</v>
      </c>
    </row>
    <row r="7205">
      <c r="A7205" s="10">
        <f t="shared" si="8"/>
        <v>45187.66667</v>
      </c>
      <c r="B7205" s="2" t="str">
        <f t="shared" si="2"/>
        <v/>
      </c>
      <c r="C7205" s="2" t="str">
        <f t="shared" si="3"/>
        <v>SP500</v>
      </c>
      <c r="D7205" s="2">
        <f t="shared" si="4"/>
        <v>13710.24</v>
      </c>
      <c r="E7205" s="2">
        <f t="shared" si="5"/>
        <v>13710.24</v>
      </c>
      <c r="G7205" s="10">
        <f t="shared" si="9"/>
        <v>45187.64583</v>
      </c>
      <c r="H7205" s="6" t="str">
        <f t="shared" si="6"/>
        <v/>
      </c>
      <c r="I7205" s="2">
        <f t="shared" si="7"/>
        <v>1426.89</v>
      </c>
    </row>
    <row r="7206">
      <c r="A7206" s="10">
        <f t="shared" si="8"/>
        <v>45188.66667</v>
      </c>
      <c r="B7206" s="2" t="str">
        <f t="shared" si="2"/>
        <v/>
      </c>
      <c r="C7206" s="2" t="str">
        <f t="shared" si="3"/>
        <v>SP500</v>
      </c>
      <c r="D7206" s="2">
        <f t="shared" si="4"/>
        <v>13678.19</v>
      </c>
      <c r="E7206" s="2">
        <f t="shared" si="5"/>
        <v>13678.19</v>
      </c>
      <c r="G7206" s="10">
        <f t="shared" si="9"/>
        <v>45188.64583</v>
      </c>
      <c r="H7206" s="6" t="str">
        <f t="shared" si="6"/>
        <v/>
      </c>
      <c r="I7206" s="2">
        <f t="shared" si="7"/>
        <v>1426.89</v>
      </c>
    </row>
    <row r="7207">
      <c r="A7207" s="10">
        <f t="shared" si="8"/>
        <v>45189.66667</v>
      </c>
      <c r="B7207" s="2" t="str">
        <f t="shared" si="2"/>
        <v/>
      </c>
      <c r="C7207" s="2" t="str">
        <f t="shared" si="3"/>
        <v>SP500</v>
      </c>
      <c r="D7207" s="2">
        <f t="shared" si="4"/>
        <v>13469.13</v>
      </c>
      <c r="E7207" s="2">
        <f t="shared" si="5"/>
        <v>13469.13</v>
      </c>
      <c r="G7207" s="10">
        <f t="shared" si="9"/>
        <v>45189.64583</v>
      </c>
      <c r="H7207" s="6" t="str">
        <f t="shared" si="6"/>
        <v/>
      </c>
      <c r="I7207" s="2">
        <f t="shared" si="7"/>
        <v>1426.89</v>
      </c>
    </row>
    <row r="7208">
      <c r="A7208" s="10">
        <f t="shared" si="8"/>
        <v>45190.66667</v>
      </c>
      <c r="B7208" s="2" t="str">
        <f t="shared" si="2"/>
        <v/>
      </c>
      <c r="C7208" s="2" t="str">
        <f t="shared" si="3"/>
        <v>SP500</v>
      </c>
      <c r="D7208" s="2">
        <f t="shared" si="4"/>
        <v>13223.99</v>
      </c>
      <c r="E7208" s="2">
        <f t="shared" si="5"/>
        <v>13223.99</v>
      </c>
      <c r="G7208" s="10">
        <f t="shared" si="9"/>
        <v>45190.64583</v>
      </c>
      <c r="H7208" s="6" t="str">
        <f t="shared" si="6"/>
        <v/>
      </c>
      <c r="I7208" s="2">
        <f t="shared" si="7"/>
        <v>1426.89</v>
      </c>
    </row>
    <row r="7209">
      <c r="A7209" s="10">
        <f t="shared" si="8"/>
        <v>45191.66667</v>
      </c>
      <c r="B7209" s="2" t="str">
        <f t="shared" si="2"/>
        <v/>
      </c>
      <c r="C7209" s="2" t="str">
        <f t="shared" si="3"/>
        <v>SP500</v>
      </c>
      <c r="D7209" s="2">
        <f t="shared" si="4"/>
        <v>13211.81</v>
      </c>
      <c r="E7209" s="2">
        <f t="shared" si="5"/>
        <v>13211.81</v>
      </c>
      <c r="G7209" s="10">
        <f t="shared" si="9"/>
        <v>45191.64583</v>
      </c>
      <c r="H7209" s="6" t="str">
        <f t="shared" si="6"/>
        <v/>
      </c>
      <c r="I7209" s="2">
        <f t="shared" si="7"/>
        <v>1426.89</v>
      </c>
    </row>
    <row r="7210">
      <c r="A7210" s="10">
        <f t="shared" si="8"/>
        <v>45192.66667</v>
      </c>
      <c r="B7210" s="2" t="str">
        <f t="shared" si="2"/>
        <v/>
      </c>
      <c r="C7210" s="2" t="str">
        <f t="shared" si="3"/>
        <v>SP500</v>
      </c>
      <c r="D7210" s="2" t="str">
        <f t="shared" si="4"/>
        <v/>
      </c>
      <c r="E7210" s="2">
        <f t="shared" si="5"/>
        <v>13211.81</v>
      </c>
      <c r="G7210" s="10">
        <f t="shared" si="9"/>
        <v>45192.64583</v>
      </c>
      <c r="H7210" s="6" t="str">
        <f t="shared" si="6"/>
        <v/>
      </c>
      <c r="I7210" s="2">
        <f t="shared" si="7"/>
        <v>1426.89</v>
      </c>
    </row>
    <row r="7211">
      <c r="A7211" s="10">
        <f t="shared" si="8"/>
        <v>45193.66667</v>
      </c>
      <c r="B7211" s="2" t="str">
        <f t="shared" si="2"/>
        <v/>
      </c>
      <c r="C7211" s="2" t="str">
        <f t="shared" si="3"/>
        <v>SP500</v>
      </c>
      <c r="D7211" s="2" t="str">
        <f t="shared" si="4"/>
        <v/>
      </c>
      <c r="E7211" s="2">
        <f t="shared" si="5"/>
        <v>13211.81</v>
      </c>
      <c r="G7211" s="10">
        <f t="shared" si="9"/>
        <v>45193.64583</v>
      </c>
      <c r="H7211" s="6" t="str">
        <f t="shared" si="6"/>
        <v/>
      </c>
      <c r="I7211" s="2">
        <f t="shared" si="7"/>
        <v>1426.89</v>
      </c>
    </row>
    <row r="7212">
      <c r="A7212" s="10">
        <f t="shared" si="8"/>
        <v>45194.66667</v>
      </c>
      <c r="B7212" s="2" t="str">
        <f t="shared" si="2"/>
        <v/>
      </c>
      <c r="C7212" s="2" t="str">
        <f t="shared" si="3"/>
        <v>SP500</v>
      </c>
      <c r="D7212" s="2">
        <f t="shared" si="4"/>
        <v>13271.32</v>
      </c>
      <c r="E7212" s="2">
        <f t="shared" si="5"/>
        <v>13271.32</v>
      </c>
      <c r="G7212" s="10">
        <f t="shared" si="9"/>
        <v>45194.64583</v>
      </c>
      <c r="H7212" s="6" t="str">
        <f t="shared" si="6"/>
        <v/>
      </c>
      <c r="I7212" s="2">
        <f t="shared" si="7"/>
        <v>1426.89</v>
      </c>
    </row>
    <row r="7213">
      <c r="A7213" s="10">
        <f t="shared" si="8"/>
        <v>45195.66667</v>
      </c>
      <c r="B7213" s="2" t="str">
        <f t="shared" si="2"/>
        <v/>
      </c>
      <c r="C7213" s="2" t="str">
        <f t="shared" si="3"/>
        <v>SP500</v>
      </c>
      <c r="D7213" s="2">
        <f t="shared" si="4"/>
        <v>13063.61</v>
      </c>
      <c r="E7213" s="2">
        <f t="shared" si="5"/>
        <v>13063.61</v>
      </c>
      <c r="G7213" s="10">
        <f t="shared" si="9"/>
        <v>45195.64583</v>
      </c>
      <c r="H7213" s="6" t="str">
        <f t="shared" si="6"/>
        <v/>
      </c>
      <c r="I7213" s="2">
        <f t="shared" si="7"/>
        <v>1426.89</v>
      </c>
    </row>
    <row r="7214">
      <c r="A7214" s="10">
        <f t="shared" si="8"/>
        <v>45196.66667</v>
      </c>
      <c r="B7214" s="2" t="str">
        <f t="shared" si="2"/>
        <v/>
      </c>
      <c r="C7214" s="2" t="str">
        <f t="shared" si="3"/>
        <v>SP500</v>
      </c>
      <c r="D7214" s="2">
        <f t="shared" si="4"/>
        <v>13092.85</v>
      </c>
      <c r="E7214" s="2">
        <f t="shared" si="5"/>
        <v>13092.85</v>
      </c>
      <c r="G7214" s="10">
        <f t="shared" si="9"/>
        <v>45196.64583</v>
      </c>
      <c r="H7214" s="6" t="str">
        <f t="shared" si="6"/>
        <v/>
      </c>
      <c r="I7214" s="2">
        <f t="shared" si="7"/>
        <v>1426.89</v>
      </c>
    </row>
    <row r="7215">
      <c r="A7215" s="10">
        <f t="shared" si="8"/>
        <v>45197.66667</v>
      </c>
      <c r="B7215" s="2" t="str">
        <f t="shared" si="2"/>
        <v/>
      </c>
      <c r="C7215" s="2" t="str">
        <f t="shared" si="3"/>
        <v>SP500</v>
      </c>
      <c r="D7215" s="2">
        <f t="shared" si="4"/>
        <v>13201.28</v>
      </c>
      <c r="E7215" s="2">
        <f t="shared" si="5"/>
        <v>13201.28</v>
      </c>
      <c r="G7215" s="10">
        <f t="shared" si="9"/>
        <v>45197.64583</v>
      </c>
      <c r="H7215" s="6" t="str">
        <f t="shared" si="6"/>
        <v/>
      </c>
      <c r="I7215" s="2">
        <f t="shared" si="7"/>
        <v>1426.89</v>
      </c>
    </row>
    <row r="7216">
      <c r="A7216" s="10">
        <f t="shared" si="8"/>
        <v>45198.66667</v>
      </c>
      <c r="B7216" s="2" t="str">
        <f t="shared" si="2"/>
        <v/>
      </c>
      <c r="C7216" s="2" t="str">
        <f t="shared" si="3"/>
        <v>SP500</v>
      </c>
      <c r="D7216" s="2">
        <f t="shared" si="4"/>
        <v>13219.32</v>
      </c>
      <c r="E7216" s="2">
        <f t="shared" si="5"/>
        <v>13219.32</v>
      </c>
      <c r="G7216" s="10">
        <f t="shared" si="9"/>
        <v>45198.64583</v>
      </c>
      <c r="H7216" s="6" t="str">
        <f t="shared" si="6"/>
        <v/>
      </c>
      <c r="I7216" s="2">
        <f t="shared" si="7"/>
        <v>1426.89</v>
      </c>
    </row>
    <row r="7217">
      <c r="A7217" s="10">
        <f t="shared" si="8"/>
        <v>45199.66667</v>
      </c>
      <c r="B7217" s="2" t="str">
        <f t="shared" si="2"/>
        <v/>
      </c>
      <c r="C7217" s="2" t="str">
        <f t="shared" si="3"/>
        <v>SP500</v>
      </c>
      <c r="D7217" s="2" t="str">
        <f t="shared" si="4"/>
        <v/>
      </c>
      <c r="E7217" s="2">
        <f t="shared" si="5"/>
        <v>13219.32</v>
      </c>
      <c r="G7217" s="10">
        <f t="shared" si="9"/>
        <v>45199.64583</v>
      </c>
      <c r="H7217" s="6" t="str">
        <f t="shared" si="6"/>
        <v/>
      </c>
      <c r="I7217" s="2">
        <f t="shared" si="7"/>
        <v>1426.89</v>
      </c>
    </row>
    <row r="7218">
      <c r="A7218" s="10">
        <f t="shared" si="8"/>
        <v>45200.66667</v>
      </c>
      <c r="B7218" s="2" t="str">
        <f t="shared" si="2"/>
        <v/>
      </c>
      <c r="C7218" s="2" t="str">
        <f t="shared" si="3"/>
        <v>SP500</v>
      </c>
      <c r="D7218" s="2" t="str">
        <f t="shared" si="4"/>
        <v/>
      </c>
      <c r="E7218" s="2">
        <f t="shared" si="5"/>
        <v>13219.32</v>
      </c>
      <c r="G7218" s="10">
        <f t="shared" si="9"/>
        <v>45200.64583</v>
      </c>
      <c r="H7218" s="6" t="str">
        <f t="shared" si="6"/>
        <v/>
      </c>
      <c r="I7218" s="2">
        <f t="shared" si="7"/>
        <v>1426.89</v>
      </c>
    </row>
    <row r="7219">
      <c r="A7219" s="10">
        <f t="shared" si="8"/>
        <v>45201.66667</v>
      </c>
      <c r="B7219" s="2" t="str">
        <f t="shared" si="2"/>
        <v/>
      </c>
      <c r="C7219" s="2" t="str">
        <f t="shared" si="3"/>
        <v>SP500</v>
      </c>
      <c r="D7219" s="2">
        <f t="shared" si="4"/>
        <v>13307.77</v>
      </c>
      <c r="E7219" s="2">
        <f t="shared" si="5"/>
        <v>13307.77</v>
      </c>
      <c r="G7219" s="10">
        <f t="shared" si="9"/>
        <v>45201.64583</v>
      </c>
      <c r="H7219" s="6" t="str">
        <f t="shared" si="6"/>
        <v/>
      </c>
      <c r="I7219" s="2">
        <f t="shared" si="7"/>
        <v>1426.89</v>
      </c>
    </row>
    <row r="7220">
      <c r="A7220" s="10">
        <f t="shared" si="8"/>
        <v>45202.66667</v>
      </c>
      <c r="B7220" s="2" t="str">
        <f t="shared" si="2"/>
        <v/>
      </c>
      <c r="C7220" s="2" t="str">
        <f t="shared" si="3"/>
        <v>SP500</v>
      </c>
      <c r="D7220" s="2">
        <f t="shared" si="4"/>
        <v>13059.47</v>
      </c>
      <c r="E7220" s="2">
        <f t="shared" si="5"/>
        <v>13059.47</v>
      </c>
      <c r="G7220" s="10">
        <f t="shared" si="9"/>
        <v>45202.64583</v>
      </c>
      <c r="H7220" s="6" t="str">
        <f t="shared" si="6"/>
        <v/>
      </c>
      <c r="I7220" s="2">
        <f t="shared" si="7"/>
        <v>1426.89</v>
      </c>
    </row>
    <row r="7221">
      <c r="A7221" s="10">
        <f t="shared" si="8"/>
        <v>45203.66667</v>
      </c>
      <c r="B7221" s="2" t="str">
        <f t="shared" si="2"/>
        <v/>
      </c>
      <c r="C7221" s="2" t="str">
        <f t="shared" si="3"/>
        <v>SP500</v>
      </c>
      <c r="D7221" s="2">
        <f t="shared" si="4"/>
        <v>13236.01</v>
      </c>
      <c r="E7221" s="2">
        <f t="shared" si="5"/>
        <v>13236.01</v>
      </c>
      <c r="G7221" s="10">
        <f t="shared" si="9"/>
        <v>45203.64583</v>
      </c>
      <c r="H7221" s="6" t="str">
        <f t="shared" si="6"/>
        <v/>
      </c>
      <c r="I7221" s="2">
        <f t="shared" si="7"/>
        <v>1426.89</v>
      </c>
    </row>
    <row r="7222">
      <c r="A7222" s="10">
        <f t="shared" si="8"/>
        <v>45204.66667</v>
      </c>
      <c r="B7222" s="2" t="str">
        <f t="shared" si="2"/>
        <v/>
      </c>
      <c r="C7222" s="2" t="str">
        <f t="shared" si="3"/>
        <v>SP500</v>
      </c>
      <c r="D7222" s="2">
        <f t="shared" si="4"/>
        <v>13219.83</v>
      </c>
      <c r="E7222" s="2">
        <f t="shared" si="5"/>
        <v>13219.83</v>
      </c>
      <c r="G7222" s="10">
        <f t="shared" si="9"/>
        <v>45204.64583</v>
      </c>
      <c r="H7222" s="6" t="str">
        <f t="shared" si="6"/>
        <v/>
      </c>
      <c r="I7222" s="2">
        <f t="shared" si="7"/>
        <v>1426.89</v>
      </c>
    </row>
    <row r="7223">
      <c r="A7223" s="10">
        <f t="shared" si="8"/>
        <v>45205.66667</v>
      </c>
      <c r="B7223" s="2" t="str">
        <f t="shared" si="2"/>
        <v/>
      </c>
      <c r="C7223" s="2" t="str">
        <f t="shared" si="3"/>
        <v>SP500</v>
      </c>
      <c r="D7223" s="2">
        <f t="shared" si="4"/>
        <v>13431.34</v>
      </c>
      <c r="E7223" s="2">
        <f t="shared" si="5"/>
        <v>13431.34</v>
      </c>
      <c r="G7223" s="10">
        <f t="shared" si="9"/>
        <v>45205.64583</v>
      </c>
      <c r="H7223" s="6" t="str">
        <f t="shared" si="6"/>
        <v/>
      </c>
      <c r="I7223" s="2">
        <f t="shared" si="7"/>
        <v>1426.89</v>
      </c>
    </row>
    <row r="7224">
      <c r="A7224" s="10">
        <f t="shared" si="8"/>
        <v>45206.66667</v>
      </c>
      <c r="B7224" s="2" t="str">
        <f t="shared" si="2"/>
        <v/>
      </c>
      <c r="C7224" s="2" t="str">
        <f t="shared" si="3"/>
        <v>SP500</v>
      </c>
      <c r="D7224" s="2" t="str">
        <f t="shared" si="4"/>
        <v/>
      </c>
      <c r="E7224" s="2">
        <f t="shared" si="5"/>
        <v>13431.34</v>
      </c>
      <c r="G7224" s="10">
        <f t="shared" si="9"/>
        <v>45206.64583</v>
      </c>
      <c r="H7224" s="6" t="str">
        <f t="shared" si="6"/>
        <v/>
      </c>
      <c r="I7224" s="2">
        <f t="shared" si="7"/>
        <v>1426.89</v>
      </c>
    </row>
    <row r="7225">
      <c r="A7225" s="10">
        <f t="shared" si="8"/>
        <v>45207.66667</v>
      </c>
      <c r="B7225" s="2" t="str">
        <f t="shared" si="2"/>
        <v/>
      </c>
      <c r="C7225" s="2" t="str">
        <f t="shared" si="3"/>
        <v>SP500</v>
      </c>
      <c r="D7225" s="2" t="str">
        <f t="shared" si="4"/>
        <v/>
      </c>
      <c r="E7225" s="2">
        <f t="shared" si="5"/>
        <v>13431.34</v>
      </c>
      <c r="G7225" s="10">
        <f t="shared" si="9"/>
        <v>45207.64583</v>
      </c>
      <c r="H7225" s="6" t="str">
        <f t="shared" si="6"/>
        <v/>
      </c>
      <c r="I7225" s="2">
        <f t="shared" si="7"/>
        <v>1426.89</v>
      </c>
    </row>
    <row r="7226">
      <c r="A7226" s="10">
        <f t="shared" si="8"/>
        <v>45208.66667</v>
      </c>
      <c r="B7226" s="2" t="str">
        <f t="shared" si="2"/>
        <v/>
      </c>
      <c r="C7226" s="2" t="str">
        <f t="shared" si="3"/>
        <v>SP500</v>
      </c>
      <c r="D7226" s="2">
        <f t="shared" si="4"/>
        <v>13484.24</v>
      </c>
      <c r="E7226" s="2">
        <f t="shared" si="5"/>
        <v>13484.24</v>
      </c>
      <c r="G7226" s="10">
        <f t="shared" si="9"/>
        <v>45208.64583</v>
      </c>
      <c r="H7226" s="6" t="str">
        <f t="shared" si="6"/>
        <v/>
      </c>
      <c r="I7226" s="2">
        <f t="shared" si="7"/>
        <v>1426.89</v>
      </c>
    </row>
    <row r="7227">
      <c r="A7227" s="10">
        <f t="shared" si="8"/>
        <v>45209.66667</v>
      </c>
      <c r="B7227" s="2" t="str">
        <f t="shared" si="2"/>
        <v/>
      </c>
      <c r="C7227" s="2" t="str">
        <f t="shared" si="3"/>
        <v>SP500</v>
      </c>
      <c r="D7227" s="2">
        <f t="shared" si="4"/>
        <v>13562.84</v>
      </c>
      <c r="E7227" s="2">
        <f t="shared" si="5"/>
        <v>13562.84</v>
      </c>
      <c r="G7227" s="10">
        <f t="shared" si="9"/>
        <v>45209.64583</v>
      </c>
      <c r="H7227" s="6" t="str">
        <f t="shared" si="6"/>
        <v/>
      </c>
      <c r="I7227" s="2">
        <f t="shared" si="7"/>
        <v>1426.89</v>
      </c>
    </row>
    <row r="7228">
      <c r="A7228" s="10">
        <f t="shared" si="8"/>
        <v>45210.66667</v>
      </c>
      <c r="B7228" s="2" t="str">
        <f t="shared" si="2"/>
        <v/>
      </c>
      <c r="C7228" s="2" t="str">
        <f t="shared" si="3"/>
        <v>SP500</v>
      </c>
      <c r="D7228" s="2">
        <f t="shared" si="4"/>
        <v>13659.68</v>
      </c>
      <c r="E7228" s="2">
        <f t="shared" si="5"/>
        <v>13659.68</v>
      </c>
      <c r="G7228" s="10">
        <f t="shared" si="9"/>
        <v>45210.64583</v>
      </c>
      <c r="H7228" s="6" t="str">
        <f t="shared" si="6"/>
        <v/>
      </c>
      <c r="I7228" s="2">
        <f t="shared" si="7"/>
        <v>1426.89</v>
      </c>
    </row>
    <row r="7229">
      <c r="A7229" s="10">
        <f t="shared" si="8"/>
        <v>45211.66667</v>
      </c>
      <c r="B7229" s="2" t="str">
        <f t="shared" si="2"/>
        <v/>
      </c>
      <c r="C7229" s="2" t="str">
        <f t="shared" si="3"/>
        <v>SP500</v>
      </c>
      <c r="D7229" s="2">
        <f t="shared" si="4"/>
        <v>13574.22</v>
      </c>
      <c r="E7229" s="2">
        <f t="shared" si="5"/>
        <v>13574.22</v>
      </c>
      <c r="G7229" s="10">
        <f t="shared" si="9"/>
        <v>45211.64583</v>
      </c>
      <c r="H7229" s="6" t="str">
        <f t="shared" si="6"/>
        <v/>
      </c>
      <c r="I7229" s="2">
        <f t="shared" si="7"/>
        <v>1426.89</v>
      </c>
    </row>
    <row r="7230">
      <c r="A7230" s="10">
        <f t="shared" si="8"/>
        <v>45212.66667</v>
      </c>
      <c r="B7230" s="2" t="str">
        <f t="shared" si="2"/>
        <v/>
      </c>
      <c r="C7230" s="2" t="str">
        <f t="shared" si="3"/>
        <v>SP500</v>
      </c>
      <c r="D7230" s="2">
        <f t="shared" si="4"/>
        <v>13407.23</v>
      </c>
      <c r="E7230" s="2">
        <f t="shared" si="5"/>
        <v>13407.23</v>
      </c>
      <c r="G7230" s="10">
        <f t="shared" si="9"/>
        <v>45212.64583</v>
      </c>
      <c r="H7230" s="6" t="str">
        <f t="shared" si="6"/>
        <v/>
      </c>
      <c r="I7230" s="2">
        <f t="shared" si="7"/>
        <v>1426.89</v>
      </c>
    </row>
    <row r="7231">
      <c r="A7231" s="10">
        <f t="shared" si="8"/>
        <v>45213.66667</v>
      </c>
      <c r="B7231" s="2" t="str">
        <f t="shared" si="2"/>
        <v/>
      </c>
      <c r="C7231" s="2" t="str">
        <f t="shared" si="3"/>
        <v>SP500</v>
      </c>
      <c r="D7231" s="2" t="str">
        <f t="shared" si="4"/>
        <v/>
      </c>
      <c r="E7231" s="2">
        <f t="shared" si="5"/>
        <v>13407.23</v>
      </c>
      <c r="G7231" s="10">
        <f t="shared" si="9"/>
        <v>45213.64583</v>
      </c>
      <c r="H7231" s="6" t="str">
        <f t="shared" si="6"/>
        <v/>
      </c>
      <c r="I7231" s="2">
        <f t="shared" si="7"/>
        <v>1426.89</v>
      </c>
    </row>
    <row r="7232">
      <c r="A7232" s="10">
        <f t="shared" si="8"/>
        <v>45214.66667</v>
      </c>
      <c r="B7232" s="2" t="str">
        <f t="shared" si="2"/>
        <v/>
      </c>
      <c r="C7232" s="2" t="str">
        <f t="shared" si="3"/>
        <v>SP500</v>
      </c>
      <c r="D7232" s="2" t="str">
        <f t="shared" si="4"/>
        <v/>
      </c>
      <c r="E7232" s="2">
        <f t="shared" si="5"/>
        <v>13407.23</v>
      </c>
      <c r="G7232" s="10">
        <f t="shared" si="9"/>
        <v>45214.64583</v>
      </c>
      <c r="H7232" s="6" t="str">
        <f t="shared" si="6"/>
        <v/>
      </c>
      <c r="I7232" s="2">
        <f t="shared" si="7"/>
        <v>1426.89</v>
      </c>
    </row>
    <row r="7233">
      <c r="A7233" s="10">
        <f t="shared" si="8"/>
        <v>45215.66667</v>
      </c>
      <c r="B7233" s="2" t="str">
        <f t="shared" si="2"/>
        <v/>
      </c>
      <c r="C7233" s="2" t="str">
        <f t="shared" si="3"/>
        <v>SP500</v>
      </c>
      <c r="D7233" s="2">
        <f t="shared" si="4"/>
        <v>13567.98</v>
      </c>
      <c r="E7233" s="2">
        <f t="shared" si="5"/>
        <v>13567.98</v>
      </c>
      <c r="G7233" s="10">
        <f t="shared" si="9"/>
        <v>45215.64583</v>
      </c>
      <c r="H7233" s="6" t="str">
        <f t="shared" si="6"/>
        <v/>
      </c>
      <c r="I7233" s="2">
        <f t="shared" si="7"/>
        <v>1426.89</v>
      </c>
    </row>
    <row r="7234">
      <c r="A7234" s="10">
        <f t="shared" si="8"/>
        <v>45216.66667</v>
      </c>
      <c r="B7234" s="2" t="str">
        <f t="shared" si="2"/>
        <v/>
      </c>
      <c r="C7234" s="2" t="str">
        <f t="shared" si="3"/>
        <v>SP500</v>
      </c>
      <c r="D7234" s="2">
        <f t="shared" si="4"/>
        <v>13533.75</v>
      </c>
      <c r="E7234" s="2">
        <f t="shared" si="5"/>
        <v>13533.75</v>
      </c>
      <c r="G7234" s="10">
        <f t="shared" si="9"/>
        <v>45216.64583</v>
      </c>
      <c r="H7234" s="6" t="str">
        <f t="shared" si="6"/>
        <v/>
      </c>
      <c r="I7234" s="2">
        <f t="shared" si="7"/>
        <v>1426.89</v>
      </c>
    </row>
    <row r="7235">
      <c r="A7235" s="10">
        <f t="shared" si="8"/>
        <v>45217.66667</v>
      </c>
      <c r="B7235" s="2" t="str">
        <f t="shared" si="2"/>
        <v/>
      </c>
      <c r="C7235" s="2" t="str">
        <f t="shared" si="3"/>
        <v>SP500</v>
      </c>
      <c r="D7235" s="2">
        <f t="shared" si="4"/>
        <v>13314.3</v>
      </c>
      <c r="E7235" s="2">
        <f t="shared" si="5"/>
        <v>13314.3</v>
      </c>
      <c r="G7235" s="10">
        <f t="shared" si="9"/>
        <v>45217.64583</v>
      </c>
      <c r="H7235" s="6" t="str">
        <f t="shared" si="6"/>
        <v/>
      </c>
      <c r="I7235" s="2">
        <f t="shared" si="7"/>
        <v>1426.89</v>
      </c>
    </row>
    <row r="7236">
      <c r="A7236" s="10">
        <f t="shared" si="8"/>
        <v>45218.66667</v>
      </c>
      <c r="B7236" s="2" t="str">
        <f t="shared" si="2"/>
        <v/>
      </c>
      <c r="C7236" s="2" t="str">
        <f t="shared" si="3"/>
        <v>SP500</v>
      </c>
      <c r="D7236" s="2">
        <f t="shared" si="4"/>
        <v>13186.18</v>
      </c>
      <c r="E7236" s="2">
        <f t="shared" si="5"/>
        <v>13186.18</v>
      </c>
      <c r="G7236" s="10">
        <f t="shared" si="9"/>
        <v>45218.64583</v>
      </c>
      <c r="H7236" s="6" t="str">
        <f t="shared" si="6"/>
        <v/>
      </c>
      <c r="I7236" s="2">
        <f t="shared" si="7"/>
        <v>1426.89</v>
      </c>
    </row>
    <row r="7237">
      <c r="A7237" s="10">
        <f t="shared" si="8"/>
        <v>45219.66667</v>
      </c>
      <c r="B7237" s="2" t="str">
        <f t="shared" si="2"/>
        <v/>
      </c>
      <c r="C7237" s="2" t="str">
        <f t="shared" si="3"/>
        <v>SP500</v>
      </c>
      <c r="D7237" s="2">
        <f t="shared" si="4"/>
        <v>12983.81</v>
      </c>
      <c r="E7237" s="2">
        <f t="shared" si="5"/>
        <v>12983.81</v>
      </c>
      <c r="G7237" s="10">
        <f t="shared" si="9"/>
        <v>45219.64583</v>
      </c>
      <c r="H7237" s="6" t="str">
        <f t="shared" si="6"/>
        <v/>
      </c>
      <c r="I7237" s="2">
        <f t="shared" si="7"/>
        <v>1426.89</v>
      </c>
    </row>
    <row r="7238">
      <c r="A7238" s="10">
        <f t="shared" si="8"/>
        <v>45220.66667</v>
      </c>
      <c r="B7238" s="2" t="str">
        <f t="shared" si="2"/>
        <v/>
      </c>
      <c r="C7238" s="2" t="str">
        <f t="shared" si="3"/>
        <v>SP500</v>
      </c>
      <c r="D7238" s="2" t="str">
        <f t="shared" si="4"/>
        <v/>
      </c>
      <c r="E7238" s="2">
        <f t="shared" si="5"/>
        <v>12983.81</v>
      </c>
      <c r="G7238" s="10">
        <f t="shared" si="9"/>
        <v>45220.64583</v>
      </c>
      <c r="H7238" s="6" t="str">
        <f t="shared" si="6"/>
        <v/>
      </c>
      <c r="I7238" s="2">
        <f t="shared" si="7"/>
        <v>1426.89</v>
      </c>
    </row>
    <row r="7239">
      <c r="A7239" s="10">
        <f t="shared" si="8"/>
        <v>45221.66667</v>
      </c>
      <c r="B7239" s="2" t="str">
        <f t="shared" si="2"/>
        <v/>
      </c>
      <c r="C7239" s="2" t="str">
        <f t="shared" si="3"/>
        <v>SP500</v>
      </c>
      <c r="D7239" s="2" t="str">
        <f t="shared" si="4"/>
        <v/>
      </c>
      <c r="E7239" s="2">
        <f t="shared" si="5"/>
        <v>12983.81</v>
      </c>
      <c r="G7239" s="10">
        <f t="shared" si="9"/>
        <v>45221.64583</v>
      </c>
      <c r="H7239" s="6" t="str">
        <f t="shared" si="6"/>
        <v/>
      </c>
      <c r="I7239" s="2">
        <f t="shared" si="7"/>
        <v>1426.89</v>
      </c>
    </row>
    <row r="7240">
      <c r="A7240" s="10">
        <f t="shared" si="8"/>
        <v>45222.66667</v>
      </c>
      <c r="B7240" s="2" t="str">
        <f t="shared" si="2"/>
        <v/>
      </c>
      <c r="C7240" s="2" t="str">
        <f t="shared" si="3"/>
        <v>SP500</v>
      </c>
      <c r="D7240" s="2">
        <f t="shared" si="4"/>
        <v>13018.33</v>
      </c>
      <c r="E7240" s="2">
        <f t="shared" si="5"/>
        <v>13018.33</v>
      </c>
      <c r="G7240" s="10">
        <f t="shared" si="9"/>
        <v>45222.64583</v>
      </c>
      <c r="H7240" s="6" t="str">
        <f t="shared" si="6"/>
        <v/>
      </c>
      <c r="I7240" s="2">
        <f t="shared" si="7"/>
        <v>1426.89</v>
      </c>
    </row>
    <row r="7241">
      <c r="A7241" s="10">
        <f t="shared" si="8"/>
        <v>45223.66667</v>
      </c>
      <c r="B7241" s="2" t="str">
        <f t="shared" si="2"/>
        <v/>
      </c>
      <c r="C7241" s="2" t="str">
        <f t="shared" si="3"/>
        <v>SP500</v>
      </c>
      <c r="D7241" s="2">
        <f t="shared" si="4"/>
        <v>13139.88</v>
      </c>
      <c r="E7241" s="2">
        <f t="shared" si="5"/>
        <v>13139.88</v>
      </c>
      <c r="G7241" s="10">
        <f t="shared" si="9"/>
        <v>45223.64583</v>
      </c>
      <c r="H7241" s="6" t="str">
        <f t="shared" si="6"/>
        <v/>
      </c>
      <c r="I7241" s="2">
        <f t="shared" si="7"/>
        <v>1426.89</v>
      </c>
    </row>
    <row r="7242">
      <c r="A7242" s="10">
        <f t="shared" si="8"/>
        <v>45224.66667</v>
      </c>
      <c r="B7242" s="2" t="str">
        <f t="shared" si="2"/>
        <v/>
      </c>
      <c r="C7242" s="2" t="str">
        <f t="shared" si="3"/>
        <v>SP500</v>
      </c>
      <c r="D7242" s="2">
        <f t="shared" si="4"/>
        <v>12821.22</v>
      </c>
      <c r="E7242" s="2">
        <f t="shared" si="5"/>
        <v>12821.22</v>
      </c>
      <c r="G7242" s="10">
        <f t="shared" si="9"/>
        <v>45224.64583</v>
      </c>
      <c r="H7242" s="6" t="str">
        <f t="shared" si="6"/>
        <v/>
      </c>
      <c r="I7242" s="2">
        <f t="shared" si="7"/>
        <v>1426.89</v>
      </c>
    </row>
    <row r="7243">
      <c r="A7243" s="10">
        <f t="shared" si="8"/>
        <v>45225.66667</v>
      </c>
      <c r="B7243" s="2" t="str">
        <f t="shared" si="2"/>
        <v/>
      </c>
      <c r="C7243" s="2" t="str">
        <f t="shared" si="3"/>
        <v>SP500</v>
      </c>
      <c r="D7243" s="2">
        <f t="shared" si="4"/>
        <v>12595.61</v>
      </c>
      <c r="E7243" s="2">
        <f t="shared" si="5"/>
        <v>12595.61</v>
      </c>
      <c r="G7243" s="10">
        <f t="shared" si="9"/>
        <v>45225.64583</v>
      </c>
      <c r="H7243" s="6" t="str">
        <f t="shared" si="6"/>
        <v/>
      </c>
      <c r="I7243" s="2">
        <f t="shared" si="7"/>
        <v>1426.89</v>
      </c>
    </row>
    <row r="7244">
      <c r="A7244" s="10">
        <f t="shared" si="8"/>
        <v>45226.66667</v>
      </c>
      <c r="B7244" s="2" t="str">
        <f t="shared" si="2"/>
        <v/>
      </c>
      <c r="C7244" s="2" t="str">
        <f t="shared" si="3"/>
        <v>SP500</v>
      </c>
      <c r="D7244" s="2">
        <f t="shared" si="4"/>
        <v>12643.01</v>
      </c>
      <c r="E7244" s="2">
        <f t="shared" si="5"/>
        <v>12643.01</v>
      </c>
      <c r="G7244" s="10">
        <f t="shared" si="9"/>
        <v>45226.64583</v>
      </c>
      <c r="H7244" s="6" t="str">
        <f t="shared" si="6"/>
        <v/>
      </c>
      <c r="I7244" s="2">
        <f t="shared" si="7"/>
        <v>1426.89</v>
      </c>
    </row>
    <row r="7245">
      <c r="A7245" s="10">
        <f t="shared" si="8"/>
        <v>45227.66667</v>
      </c>
      <c r="B7245" s="2" t="str">
        <f t="shared" si="2"/>
        <v/>
      </c>
      <c r="C7245" s="2" t="str">
        <f t="shared" si="3"/>
        <v>SP500</v>
      </c>
      <c r="D7245" s="2" t="str">
        <f t="shared" si="4"/>
        <v/>
      </c>
      <c r="E7245" s="2">
        <f t="shared" si="5"/>
        <v>12643.01</v>
      </c>
      <c r="G7245" s="10">
        <f t="shared" si="9"/>
        <v>45227.64583</v>
      </c>
      <c r="H7245" s="6" t="str">
        <f t="shared" si="6"/>
        <v/>
      </c>
      <c r="I7245" s="2">
        <f t="shared" si="7"/>
        <v>1426.89</v>
      </c>
    </row>
    <row r="7246">
      <c r="A7246" s="10">
        <f t="shared" si="8"/>
        <v>45228.66667</v>
      </c>
      <c r="B7246" s="2" t="str">
        <f t="shared" si="2"/>
        <v/>
      </c>
      <c r="C7246" s="2" t="str">
        <f t="shared" si="3"/>
        <v>SP500</v>
      </c>
      <c r="D7246" s="2" t="str">
        <f t="shared" si="4"/>
        <v/>
      </c>
      <c r="E7246" s="2">
        <f t="shared" si="5"/>
        <v>12643.01</v>
      </c>
      <c r="G7246" s="10">
        <f t="shared" si="9"/>
        <v>45228.64583</v>
      </c>
      <c r="H7246" s="6" t="str">
        <f t="shared" si="6"/>
        <v/>
      </c>
      <c r="I7246" s="2">
        <f t="shared" si="7"/>
        <v>1426.89</v>
      </c>
    </row>
    <row r="7247">
      <c r="A7247" s="10">
        <f t="shared" si="8"/>
        <v>45229.66667</v>
      </c>
      <c r="B7247" s="2" t="str">
        <f t="shared" si="2"/>
        <v/>
      </c>
      <c r="C7247" s="2" t="str">
        <f t="shared" si="3"/>
        <v>SP500</v>
      </c>
      <c r="D7247" s="2">
        <f t="shared" si="4"/>
        <v>12789.48</v>
      </c>
      <c r="E7247" s="2">
        <f t="shared" si="5"/>
        <v>12789.48</v>
      </c>
      <c r="G7247" s="10">
        <f t="shared" si="9"/>
        <v>45229.64583</v>
      </c>
      <c r="H7247" s="6" t="str">
        <f t="shared" si="6"/>
        <v/>
      </c>
      <c r="I7247" s="2">
        <f t="shared" si="7"/>
        <v>1426.89</v>
      </c>
    </row>
    <row r="7248">
      <c r="A7248" s="10">
        <f t="shared" si="8"/>
        <v>45230.66667</v>
      </c>
      <c r="B7248" s="2" t="str">
        <f t="shared" si="2"/>
        <v/>
      </c>
      <c r="C7248" s="2" t="str">
        <f t="shared" si="3"/>
        <v>SP500</v>
      </c>
      <c r="D7248" s="2">
        <f t="shared" si="4"/>
        <v>12851.24</v>
      </c>
      <c r="E7248" s="2">
        <f t="shared" si="5"/>
        <v>12851.24</v>
      </c>
      <c r="G7248" s="10">
        <f t="shared" si="9"/>
        <v>45230.64583</v>
      </c>
      <c r="H7248" s="6" t="str">
        <f t="shared" si="6"/>
        <v/>
      </c>
      <c r="I7248" s="2">
        <f t="shared" si="7"/>
        <v>1426.89</v>
      </c>
    </row>
    <row r="7249">
      <c r="A7249" s="10">
        <f t="shared" si="8"/>
        <v>45231.66667</v>
      </c>
      <c r="B7249" s="2" t="str">
        <f t="shared" si="2"/>
        <v/>
      </c>
      <c r="C7249" s="2" t="str">
        <f t="shared" si="3"/>
        <v>SP500</v>
      </c>
      <c r="D7249" s="2">
        <f t="shared" si="4"/>
        <v>13061.47</v>
      </c>
      <c r="E7249" s="2">
        <f t="shared" si="5"/>
        <v>13061.47</v>
      </c>
      <c r="G7249" s="10">
        <f t="shared" si="9"/>
        <v>45231.64583</v>
      </c>
      <c r="H7249" s="6" t="str">
        <f t="shared" si="6"/>
        <v/>
      </c>
      <c r="I7249" s="2">
        <f t="shared" si="7"/>
        <v>1426.89</v>
      </c>
    </row>
    <row r="7250">
      <c r="A7250" s="10">
        <f t="shared" si="8"/>
        <v>45232.66667</v>
      </c>
      <c r="B7250" s="2" t="str">
        <f t="shared" si="2"/>
        <v/>
      </c>
      <c r="C7250" s="2" t="str">
        <f t="shared" si="3"/>
        <v>SP500</v>
      </c>
      <c r="D7250" s="2">
        <f t="shared" si="4"/>
        <v>13294.19</v>
      </c>
      <c r="E7250" s="2">
        <f t="shared" si="5"/>
        <v>13294.19</v>
      </c>
      <c r="G7250" s="10">
        <f t="shared" si="9"/>
        <v>45232.64583</v>
      </c>
      <c r="H7250" s="6" t="str">
        <f t="shared" si="6"/>
        <v/>
      </c>
      <c r="I7250" s="2">
        <f t="shared" si="7"/>
        <v>1426.89</v>
      </c>
    </row>
    <row r="7251">
      <c r="A7251" s="10">
        <f t="shared" si="8"/>
        <v>45233.66667</v>
      </c>
      <c r="B7251" s="2" t="str">
        <f t="shared" si="2"/>
        <v/>
      </c>
      <c r="C7251" s="2" t="str">
        <f t="shared" si="3"/>
        <v>SP500</v>
      </c>
      <c r="D7251" s="2">
        <f t="shared" si="4"/>
        <v>13478.28</v>
      </c>
      <c r="E7251" s="2">
        <f t="shared" si="5"/>
        <v>13478.28</v>
      </c>
      <c r="G7251" s="10">
        <f t="shared" si="9"/>
        <v>45233.64583</v>
      </c>
      <c r="H7251" s="6" t="str">
        <f t="shared" si="6"/>
        <v/>
      </c>
      <c r="I7251" s="2">
        <f t="shared" si="7"/>
        <v>1426.89</v>
      </c>
    </row>
    <row r="7252">
      <c r="A7252" s="10">
        <f t="shared" si="8"/>
        <v>45234.66667</v>
      </c>
      <c r="B7252" s="2" t="str">
        <f t="shared" si="2"/>
        <v/>
      </c>
      <c r="C7252" s="2" t="str">
        <f t="shared" si="3"/>
        <v>SP500</v>
      </c>
      <c r="D7252" s="2" t="str">
        <f t="shared" si="4"/>
        <v/>
      </c>
      <c r="E7252" s="2">
        <f t="shared" si="5"/>
        <v>13478.28</v>
      </c>
      <c r="G7252" s="10">
        <f t="shared" si="9"/>
        <v>45234.64583</v>
      </c>
      <c r="H7252" s="6" t="str">
        <f t="shared" si="6"/>
        <v/>
      </c>
      <c r="I7252" s="2">
        <f t="shared" si="7"/>
        <v>1426.89</v>
      </c>
    </row>
    <row r="7253">
      <c r="A7253" s="10">
        <f t="shared" si="8"/>
        <v>45235.66667</v>
      </c>
      <c r="B7253" s="2" t="str">
        <f t="shared" si="2"/>
        <v/>
      </c>
      <c r="C7253" s="2" t="str">
        <f t="shared" si="3"/>
        <v>SP500</v>
      </c>
      <c r="D7253" s="2" t="str">
        <f t="shared" si="4"/>
        <v/>
      </c>
      <c r="E7253" s="2">
        <f t="shared" si="5"/>
        <v>13478.28</v>
      </c>
      <c r="G7253" s="10">
        <f t="shared" si="9"/>
        <v>45235.64583</v>
      </c>
      <c r="H7253" s="6" t="str">
        <f t="shared" si="6"/>
        <v/>
      </c>
      <c r="I7253" s="2">
        <f t="shared" si="7"/>
        <v>1426.89</v>
      </c>
    </row>
    <row r="7254">
      <c r="A7254" s="10">
        <f t="shared" si="8"/>
        <v>45236.66667</v>
      </c>
      <c r="B7254" s="2" t="str">
        <f t="shared" si="2"/>
        <v/>
      </c>
      <c r="C7254" s="2" t="str">
        <f t="shared" si="3"/>
        <v>SP500</v>
      </c>
      <c r="D7254" s="2">
        <f t="shared" si="4"/>
        <v>13518.78</v>
      </c>
      <c r="E7254" s="2">
        <f t="shared" si="5"/>
        <v>13518.78</v>
      </c>
      <c r="G7254" s="10">
        <f t="shared" si="9"/>
        <v>45236.64583</v>
      </c>
      <c r="H7254" s="6" t="str">
        <f t="shared" si="6"/>
        <v/>
      </c>
      <c r="I7254" s="2">
        <f t="shared" si="7"/>
        <v>1426.89</v>
      </c>
    </row>
    <row r="7255">
      <c r="A7255" s="10">
        <f t="shared" si="8"/>
        <v>45237.66667</v>
      </c>
      <c r="B7255" s="2" t="str">
        <f t="shared" si="2"/>
        <v/>
      </c>
      <c r="C7255" s="2" t="str">
        <f t="shared" si="3"/>
        <v>SP500</v>
      </c>
      <c r="D7255" s="2">
        <f t="shared" si="4"/>
        <v>13639.86</v>
      </c>
      <c r="E7255" s="2">
        <f t="shared" si="5"/>
        <v>13639.86</v>
      </c>
      <c r="G7255" s="10">
        <f t="shared" si="9"/>
        <v>45237.64583</v>
      </c>
      <c r="H7255" s="6" t="str">
        <f t="shared" si="6"/>
        <v/>
      </c>
      <c r="I7255" s="2">
        <f t="shared" si="7"/>
        <v>1426.89</v>
      </c>
    </row>
    <row r="7256">
      <c r="A7256" s="10">
        <f t="shared" si="8"/>
        <v>45238.66667</v>
      </c>
      <c r="B7256" s="2" t="str">
        <f t="shared" si="2"/>
        <v/>
      </c>
      <c r="C7256" s="2" t="str">
        <f t="shared" si="3"/>
        <v>SP500</v>
      </c>
      <c r="D7256" s="2">
        <f t="shared" si="4"/>
        <v>13650.41</v>
      </c>
      <c r="E7256" s="2">
        <f t="shared" si="5"/>
        <v>13650.41</v>
      </c>
      <c r="G7256" s="10">
        <f t="shared" si="9"/>
        <v>45238.64583</v>
      </c>
      <c r="H7256" s="6" t="str">
        <f t="shared" si="6"/>
        <v/>
      </c>
      <c r="I7256" s="2">
        <f t="shared" si="7"/>
        <v>1426.89</v>
      </c>
    </row>
    <row r="7257">
      <c r="A7257" s="10">
        <f t="shared" si="8"/>
        <v>45239.66667</v>
      </c>
      <c r="B7257" s="2" t="str">
        <f t="shared" si="2"/>
        <v/>
      </c>
      <c r="C7257" s="2" t="str">
        <f t="shared" si="3"/>
        <v>SP500</v>
      </c>
      <c r="D7257" s="2">
        <f t="shared" si="4"/>
        <v>13521.45</v>
      </c>
      <c r="E7257" s="2">
        <f t="shared" si="5"/>
        <v>13521.45</v>
      </c>
      <c r="G7257" s="10">
        <f t="shared" si="9"/>
        <v>45239.64583</v>
      </c>
      <c r="H7257" s="6" t="str">
        <f t="shared" si="6"/>
        <v/>
      </c>
      <c r="I7257" s="2">
        <f t="shared" si="7"/>
        <v>1426.89</v>
      </c>
    </row>
    <row r="7258">
      <c r="A7258" s="10">
        <f t="shared" si="8"/>
        <v>45240.66667</v>
      </c>
      <c r="B7258" s="2" t="str">
        <f t="shared" si="2"/>
        <v/>
      </c>
      <c r="C7258" s="2" t="str">
        <f t="shared" si="3"/>
        <v>SP500</v>
      </c>
      <c r="D7258" s="2">
        <f t="shared" si="4"/>
        <v>13798.11</v>
      </c>
      <c r="E7258" s="2">
        <f t="shared" si="5"/>
        <v>13798.11</v>
      </c>
      <c r="G7258" s="10">
        <f t="shared" si="9"/>
        <v>45240.64583</v>
      </c>
      <c r="H7258" s="6" t="str">
        <f t="shared" si="6"/>
        <v/>
      </c>
      <c r="I7258" s="2">
        <f t="shared" si="7"/>
        <v>1426.89</v>
      </c>
    </row>
    <row r="7259">
      <c r="A7259" s="10">
        <f t="shared" si="8"/>
        <v>45241.66667</v>
      </c>
      <c r="B7259" s="2" t="str">
        <f t="shared" si="2"/>
        <v/>
      </c>
      <c r="C7259" s="2" t="str">
        <f t="shared" si="3"/>
        <v>SP500</v>
      </c>
      <c r="D7259" s="2" t="str">
        <f t="shared" si="4"/>
        <v/>
      </c>
      <c r="E7259" s="2">
        <f t="shared" si="5"/>
        <v>13798.11</v>
      </c>
      <c r="G7259" s="10">
        <f t="shared" si="9"/>
        <v>45241.64583</v>
      </c>
      <c r="H7259" s="6" t="str">
        <f t="shared" si="6"/>
        <v/>
      </c>
      <c r="I7259" s="2">
        <f t="shared" si="7"/>
        <v>1426.89</v>
      </c>
    </row>
    <row r="7260">
      <c r="A7260" s="10">
        <f t="shared" si="8"/>
        <v>45242.66667</v>
      </c>
      <c r="B7260" s="2" t="str">
        <f t="shared" si="2"/>
        <v/>
      </c>
      <c r="C7260" s="2" t="str">
        <f t="shared" si="3"/>
        <v>SP500</v>
      </c>
      <c r="D7260" s="2" t="str">
        <f t="shared" si="4"/>
        <v/>
      </c>
      <c r="E7260" s="2">
        <f t="shared" si="5"/>
        <v>13798.11</v>
      </c>
      <c r="G7260" s="10">
        <f t="shared" si="9"/>
        <v>45242.64583</v>
      </c>
      <c r="H7260" s="6" t="str">
        <f t="shared" si="6"/>
        <v/>
      </c>
      <c r="I7260" s="2">
        <f t="shared" si="7"/>
        <v>1426.89</v>
      </c>
    </row>
    <row r="7261">
      <c r="A7261" s="10">
        <f t="shared" si="8"/>
        <v>45243.66667</v>
      </c>
      <c r="B7261" s="2" t="str">
        <f t="shared" si="2"/>
        <v/>
      </c>
      <c r="C7261" s="2" t="str">
        <f t="shared" si="3"/>
        <v>SP500</v>
      </c>
      <c r="D7261" s="2">
        <f t="shared" si="4"/>
        <v>13767.74</v>
      </c>
      <c r="E7261" s="2">
        <f t="shared" si="5"/>
        <v>13767.74</v>
      </c>
      <c r="G7261" s="10">
        <f t="shared" si="9"/>
        <v>45243.64583</v>
      </c>
      <c r="H7261" s="6" t="str">
        <f t="shared" si="6"/>
        <v/>
      </c>
      <c r="I7261" s="2">
        <f t="shared" si="7"/>
        <v>1426.89</v>
      </c>
    </row>
    <row r="7262">
      <c r="A7262" s="10">
        <f t="shared" si="8"/>
        <v>45244.66667</v>
      </c>
      <c r="B7262" s="2" t="str">
        <f t="shared" si="2"/>
        <v/>
      </c>
      <c r="C7262" s="2" t="str">
        <f t="shared" si="3"/>
        <v>SP500</v>
      </c>
      <c r="D7262" s="2">
        <f t="shared" si="4"/>
        <v>14094.38</v>
      </c>
      <c r="E7262" s="2">
        <f t="shared" si="5"/>
        <v>14094.38</v>
      </c>
      <c r="G7262" s="10">
        <f t="shared" si="9"/>
        <v>45244.64583</v>
      </c>
      <c r="H7262" s="6" t="str">
        <f t="shared" si="6"/>
        <v/>
      </c>
      <c r="I7262" s="2">
        <f t="shared" si="7"/>
        <v>1426.89</v>
      </c>
    </row>
    <row r="7263">
      <c r="A7263" s="10">
        <f t="shared" si="8"/>
        <v>45245.66667</v>
      </c>
      <c r="B7263" s="2" t="str">
        <f t="shared" si="2"/>
        <v/>
      </c>
      <c r="C7263" s="2" t="str">
        <f t="shared" si="3"/>
        <v>SP500</v>
      </c>
      <c r="D7263" s="2">
        <f t="shared" si="4"/>
        <v>14103.84</v>
      </c>
      <c r="E7263" s="2">
        <f t="shared" si="5"/>
        <v>14103.84</v>
      </c>
      <c r="G7263" s="10">
        <f t="shared" si="9"/>
        <v>45245.64583</v>
      </c>
      <c r="H7263" s="6" t="str">
        <f t="shared" si="6"/>
        <v/>
      </c>
      <c r="I7263" s="2">
        <f t="shared" si="7"/>
        <v>1426.89</v>
      </c>
    </row>
    <row r="7264">
      <c r="A7264" s="10">
        <f t="shared" si="8"/>
        <v>45246.66667</v>
      </c>
      <c r="B7264" s="2" t="str">
        <f t="shared" si="2"/>
        <v/>
      </c>
      <c r="C7264" s="2" t="str">
        <f t="shared" si="3"/>
        <v>SP500</v>
      </c>
      <c r="D7264" s="2">
        <f t="shared" si="4"/>
        <v>14113.67</v>
      </c>
      <c r="E7264" s="2">
        <f t="shared" si="5"/>
        <v>14113.67</v>
      </c>
      <c r="G7264" s="10">
        <f t="shared" si="9"/>
        <v>45246.64583</v>
      </c>
      <c r="H7264" s="6" t="str">
        <f t="shared" si="6"/>
        <v/>
      </c>
      <c r="I7264" s="2">
        <f t="shared" si="7"/>
        <v>1426.89</v>
      </c>
    </row>
    <row r="7265">
      <c r="A7265" s="10">
        <f t="shared" si="8"/>
        <v>45247.66667</v>
      </c>
      <c r="B7265" s="2" t="str">
        <f t="shared" si="2"/>
        <v/>
      </c>
      <c r="C7265" s="2" t="str">
        <f t="shared" si="3"/>
        <v>SP500</v>
      </c>
      <c r="D7265" s="2">
        <f t="shared" si="4"/>
        <v>14125.48</v>
      </c>
      <c r="E7265" s="2">
        <f t="shared" si="5"/>
        <v>14125.48</v>
      </c>
      <c r="G7265" s="10">
        <f t="shared" si="9"/>
        <v>45247.64583</v>
      </c>
      <c r="H7265" s="6" t="str">
        <f t="shared" si="6"/>
        <v/>
      </c>
      <c r="I7265" s="2">
        <f t="shared" si="7"/>
        <v>1426.89</v>
      </c>
    </row>
    <row r="7266">
      <c r="A7266" s="10">
        <f t="shared" si="8"/>
        <v>45248.66667</v>
      </c>
      <c r="B7266" s="2" t="str">
        <f t="shared" si="2"/>
        <v/>
      </c>
      <c r="C7266" s="2" t="str">
        <f t="shared" si="3"/>
        <v>SP500</v>
      </c>
      <c r="D7266" s="2" t="str">
        <f t="shared" si="4"/>
        <v/>
      </c>
      <c r="E7266" s="2">
        <f t="shared" si="5"/>
        <v>14125.48</v>
      </c>
      <c r="G7266" s="10">
        <f t="shared" si="9"/>
        <v>45248.64583</v>
      </c>
      <c r="H7266" s="6" t="str">
        <f t="shared" si="6"/>
        <v/>
      </c>
      <c r="I7266" s="2">
        <f t="shared" si="7"/>
        <v>1426.89</v>
      </c>
    </row>
    <row r="7267">
      <c r="A7267" s="10">
        <f t="shared" si="8"/>
        <v>45249.66667</v>
      </c>
      <c r="B7267" s="2" t="str">
        <f t="shared" si="2"/>
        <v/>
      </c>
      <c r="C7267" s="2" t="str">
        <f t="shared" si="3"/>
        <v>SP500</v>
      </c>
      <c r="D7267" s="2" t="str">
        <f t="shared" si="4"/>
        <v/>
      </c>
      <c r="E7267" s="2">
        <f t="shared" si="5"/>
        <v>14125.48</v>
      </c>
      <c r="G7267" s="10">
        <f t="shared" si="9"/>
        <v>45249.64583</v>
      </c>
      <c r="H7267" s="6" t="str">
        <f t="shared" si="6"/>
        <v/>
      </c>
      <c r="I7267" s="2">
        <f t="shared" si="7"/>
        <v>1426.89</v>
      </c>
    </row>
    <row r="7268">
      <c r="A7268" s="10">
        <f t="shared" si="8"/>
        <v>45250.66667</v>
      </c>
      <c r="B7268" s="2" t="str">
        <f t="shared" si="2"/>
        <v/>
      </c>
      <c r="C7268" s="2" t="str">
        <f t="shared" si="3"/>
        <v>SP500</v>
      </c>
      <c r="D7268" s="2">
        <f t="shared" si="4"/>
        <v>14284.53</v>
      </c>
      <c r="E7268" s="2">
        <f t="shared" si="5"/>
        <v>14284.53</v>
      </c>
      <c r="G7268" s="10">
        <f t="shared" si="9"/>
        <v>45250.64583</v>
      </c>
      <c r="H7268" s="6" t="str">
        <f t="shared" si="6"/>
        <v/>
      </c>
      <c r="I7268" s="2">
        <f t="shared" si="7"/>
        <v>1426.89</v>
      </c>
    </row>
    <row r="7269">
      <c r="A7269" s="10">
        <f t="shared" si="8"/>
        <v>45251.66667</v>
      </c>
      <c r="B7269" s="2" t="str">
        <f t="shared" si="2"/>
        <v/>
      </c>
      <c r="C7269" s="2" t="str">
        <f t="shared" si="3"/>
        <v>SP500</v>
      </c>
      <c r="D7269" s="2">
        <f t="shared" si="4"/>
        <v>14199.98</v>
      </c>
      <c r="E7269" s="2">
        <f t="shared" si="5"/>
        <v>14199.98</v>
      </c>
      <c r="G7269" s="10">
        <f t="shared" si="9"/>
        <v>45251.64583</v>
      </c>
      <c r="H7269" s="6" t="str">
        <f t="shared" si="6"/>
        <v/>
      </c>
      <c r="I7269" s="2">
        <f t="shared" si="7"/>
        <v>1426.89</v>
      </c>
    </row>
    <row r="7270">
      <c r="A7270" s="10">
        <f t="shared" si="8"/>
        <v>45252.66667</v>
      </c>
      <c r="B7270" s="2" t="str">
        <f t="shared" si="2"/>
        <v/>
      </c>
      <c r="C7270" s="2" t="str">
        <f t="shared" si="3"/>
        <v>SP500</v>
      </c>
      <c r="D7270" s="2">
        <f t="shared" si="4"/>
        <v>14265.86</v>
      </c>
      <c r="E7270" s="2">
        <f t="shared" si="5"/>
        <v>14265.86</v>
      </c>
      <c r="G7270" s="10">
        <f t="shared" si="9"/>
        <v>45252.64583</v>
      </c>
      <c r="H7270" s="6" t="str">
        <f t="shared" si="6"/>
        <v/>
      </c>
      <c r="I7270" s="2">
        <f t="shared" si="7"/>
        <v>1426.89</v>
      </c>
    </row>
    <row r="7271">
      <c r="A7271" s="10">
        <f t="shared" si="8"/>
        <v>45253.66667</v>
      </c>
      <c r="B7271" s="2" t="str">
        <f t="shared" si="2"/>
        <v/>
      </c>
      <c r="C7271" s="2" t="str">
        <f t="shared" si="3"/>
        <v>SP500</v>
      </c>
      <c r="D7271" s="2" t="str">
        <f t="shared" si="4"/>
        <v/>
      </c>
      <c r="E7271" s="2">
        <f t="shared" si="5"/>
        <v>14265.86</v>
      </c>
      <c r="G7271" s="10">
        <f t="shared" si="9"/>
        <v>45253.64583</v>
      </c>
      <c r="H7271" s="6" t="str">
        <f t="shared" si="6"/>
        <v/>
      </c>
      <c r="I7271" s="2">
        <f t="shared" si="7"/>
        <v>1426.89</v>
      </c>
    </row>
    <row r="7272">
      <c r="A7272" s="10">
        <f t="shared" si="8"/>
        <v>45254.66667</v>
      </c>
      <c r="B7272" s="2" t="str">
        <f t="shared" si="2"/>
        <v/>
      </c>
      <c r="C7272" s="2" t="str">
        <f t="shared" si="3"/>
        <v>SP500</v>
      </c>
      <c r="D7272" s="2" t="str">
        <f t="shared" si="4"/>
        <v/>
      </c>
      <c r="E7272" s="2">
        <f t="shared" si="5"/>
        <v>14265.86</v>
      </c>
      <c r="G7272" s="10">
        <f t="shared" si="9"/>
        <v>45254.64583</v>
      </c>
      <c r="H7272" s="6" t="str">
        <f t="shared" si="6"/>
        <v/>
      </c>
      <c r="I7272" s="2">
        <f t="shared" si="7"/>
        <v>1426.89</v>
      </c>
    </row>
    <row r="7273">
      <c r="A7273" s="10">
        <f t="shared" si="8"/>
        <v>45255.66667</v>
      </c>
      <c r="B7273" s="2" t="str">
        <f t="shared" si="2"/>
        <v/>
      </c>
      <c r="C7273" s="2" t="str">
        <f t="shared" si="3"/>
        <v>SP500</v>
      </c>
      <c r="D7273" s="2" t="str">
        <f t="shared" si="4"/>
        <v/>
      </c>
      <c r="E7273" s="2">
        <f t="shared" si="5"/>
        <v>14265.86</v>
      </c>
      <c r="G7273" s="10">
        <f t="shared" si="9"/>
        <v>45255.64583</v>
      </c>
      <c r="H7273" s="6" t="str">
        <f t="shared" si="6"/>
        <v/>
      </c>
      <c r="I7273" s="2">
        <f t="shared" si="7"/>
        <v>1426.89</v>
      </c>
    </row>
    <row r="7274">
      <c r="A7274" s="10">
        <f t="shared" si="8"/>
        <v>45256.66667</v>
      </c>
      <c r="B7274" s="2" t="str">
        <f t="shared" si="2"/>
        <v/>
      </c>
      <c r="C7274" s="2" t="str">
        <f t="shared" si="3"/>
        <v>SP500</v>
      </c>
      <c r="D7274" s="2" t="str">
        <f t="shared" si="4"/>
        <v/>
      </c>
      <c r="E7274" s="2">
        <f t="shared" si="5"/>
        <v>14265.86</v>
      </c>
      <c r="G7274" s="10">
        <f t="shared" si="9"/>
        <v>45256.64583</v>
      </c>
      <c r="H7274" s="6" t="str">
        <f t="shared" si="6"/>
        <v/>
      </c>
      <c r="I7274" s="2">
        <f t="shared" si="7"/>
        <v>1426.89</v>
      </c>
    </row>
    <row r="7275">
      <c r="A7275" s="10">
        <f t="shared" si="8"/>
        <v>45257.66667</v>
      </c>
      <c r="B7275" s="2" t="str">
        <f t="shared" si="2"/>
        <v/>
      </c>
      <c r="C7275" s="2" t="str">
        <f t="shared" si="3"/>
        <v>SP500</v>
      </c>
      <c r="D7275" s="2">
        <f t="shared" si="4"/>
        <v>14241.02</v>
      </c>
      <c r="E7275" s="2">
        <f t="shared" si="5"/>
        <v>14241.02</v>
      </c>
      <c r="G7275" s="10">
        <f t="shared" si="9"/>
        <v>45257.64583</v>
      </c>
      <c r="H7275" s="6" t="str">
        <f t="shared" si="6"/>
        <v/>
      </c>
      <c r="I7275" s="2">
        <f t="shared" si="7"/>
        <v>1426.89</v>
      </c>
    </row>
    <row r="7276">
      <c r="A7276" s="10">
        <f t="shared" si="8"/>
        <v>45258.66667</v>
      </c>
      <c r="B7276" s="2" t="str">
        <f t="shared" si="2"/>
        <v/>
      </c>
      <c r="C7276" s="2" t="str">
        <f t="shared" si="3"/>
        <v>SP500</v>
      </c>
      <c r="D7276" s="2">
        <f t="shared" si="4"/>
        <v>14281.76</v>
      </c>
      <c r="E7276" s="2">
        <f t="shared" si="5"/>
        <v>14281.76</v>
      </c>
      <c r="G7276" s="10">
        <f t="shared" si="9"/>
        <v>45258.64583</v>
      </c>
      <c r="H7276" s="6" t="str">
        <f t="shared" si="6"/>
        <v/>
      </c>
      <c r="I7276" s="2">
        <f t="shared" si="7"/>
        <v>1426.89</v>
      </c>
    </row>
    <row r="7277">
      <c r="A7277" s="10">
        <f t="shared" si="8"/>
        <v>45259.66667</v>
      </c>
      <c r="B7277" s="2" t="str">
        <f t="shared" si="2"/>
        <v/>
      </c>
      <c r="C7277" s="2" t="str">
        <f t="shared" si="3"/>
        <v>SP500</v>
      </c>
      <c r="D7277" s="2">
        <f t="shared" si="4"/>
        <v>14258.49</v>
      </c>
      <c r="E7277" s="2">
        <f t="shared" si="5"/>
        <v>14258.49</v>
      </c>
      <c r="G7277" s="10">
        <f t="shared" si="9"/>
        <v>45259.64583</v>
      </c>
      <c r="H7277" s="6" t="str">
        <f t="shared" si="6"/>
        <v/>
      </c>
      <c r="I7277" s="2">
        <f t="shared" si="7"/>
        <v>1426.89</v>
      </c>
    </row>
    <row r="7278">
      <c r="A7278" s="10">
        <f t="shared" si="8"/>
        <v>45260.66667</v>
      </c>
      <c r="B7278" s="2" t="str">
        <f t="shared" si="2"/>
        <v/>
      </c>
      <c r="C7278" s="2" t="str">
        <f t="shared" si="3"/>
        <v>SP500</v>
      </c>
      <c r="D7278" s="2">
        <f t="shared" si="4"/>
        <v>14226.22</v>
      </c>
      <c r="E7278" s="2">
        <f t="shared" si="5"/>
        <v>14226.22</v>
      </c>
      <c r="G7278" s="10">
        <f t="shared" si="9"/>
        <v>45260.64583</v>
      </c>
      <c r="H7278" s="6" t="str">
        <f t="shared" si="6"/>
        <v/>
      </c>
      <c r="I7278" s="2">
        <f t="shared" si="7"/>
        <v>1426.89</v>
      </c>
    </row>
    <row r="7279">
      <c r="A7279" s="10">
        <f t="shared" si="8"/>
        <v>45261.66667</v>
      </c>
      <c r="B7279" s="2" t="str">
        <f t="shared" si="2"/>
        <v/>
      </c>
      <c r="C7279" s="2" t="str">
        <f t="shared" si="3"/>
        <v>SP500</v>
      </c>
      <c r="D7279" s="2">
        <f t="shared" si="4"/>
        <v>14305.03</v>
      </c>
      <c r="E7279" s="2">
        <f t="shared" si="5"/>
        <v>14305.03</v>
      </c>
      <c r="G7279" s="10">
        <f t="shared" si="9"/>
        <v>45261.64583</v>
      </c>
      <c r="H7279" s="6" t="str">
        <f t="shared" si="6"/>
        <v/>
      </c>
      <c r="I7279" s="2">
        <f t="shared" si="7"/>
        <v>1426.89</v>
      </c>
    </row>
    <row r="7280">
      <c r="A7280" s="10">
        <f t="shared" si="8"/>
        <v>45262.66667</v>
      </c>
      <c r="B7280" s="2" t="str">
        <f t="shared" si="2"/>
        <v/>
      </c>
      <c r="C7280" s="2" t="str">
        <f t="shared" si="3"/>
        <v>SP500</v>
      </c>
      <c r="D7280" s="2" t="str">
        <f t="shared" si="4"/>
        <v/>
      </c>
      <c r="E7280" s="2">
        <f t="shared" si="5"/>
        <v>14305.03</v>
      </c>
      <c r="G7280" s="10">
        <f t="shared" si="9"/>
        <v>45262.64583</v>
      </c>
      <c r="H7280" s="6" t="str">
        <f t="shared" si="6"/>
        <v/>
      </c>
      <c r="I7280" s="2">
        <f t="shared" si="7"/>
        <v>1426.89</v>
      </c>
    </row>
    <row r="7281">
      <c r="A7281" s="10">
        <f t="shared" si="8"/>
        <v>45263.66667</v>
      </c>
      <c r="B7281" s="2" t="str">
        <f t="shared" si="2"/>
        <v/>
      </c>
      <c r="C7281" s="2" t="str">
        <f t="shared" si="3"/>
        <v>SP500</v>
      </c>
      <c r="D7281" s="2" t="str">
        <f t="shared" si="4"/>
        <v/>
      </c>
      <c r="E7281" s="2">
        <f t="shared" si="5"/>
        <v>14305.03</v>
      </c>
      <c r="G7281" s="10">
        <f t="shared" si="9"/>
        <v>45263.64583</v>
      </c>
      <c r="H7281" s="6" t="str">
        <f t="shared" si="6"/>
        <v/>
      </c>
      <c r="I7281" s="2">
        <f t="shared" si="7"/>
        <v>1426.89</v>
      </c>
    </row>
    <row r="7282">
      <c r="A7282" s="10">
        <f t="shared" si="8"/>
        <v>45264.66667</v>
      </c>
      <c r="B7282" s="2" t="str">
        <f t="shared" si="2"/>
        <v/>
      </c>
      <c r="C7282" s="2" t="str">
        <f t="shared" si="3"/>
        <v>SP500</v>
      </c>
      <c r="D7282" s="2">
        <f t="shared" si="4"/>
        <v>14185.49</v>
      </c>
      <c r="E7282" s="2">
        <f t="shared" si="5"/>
        <v>14185.49</v>
      </c>
      <c r="G7282" s="10">
        <f t="shared" si="9"/>
        <v>45264.64583</v>
      </c>
      <c r="H7282" s="6" t="str">
        <f t="shared" si="6"/>
        <v/>
      </c>
      <c r="I7282" s="2">
        <f t="shared" si="7"/>
        <v>1426.89</v>
      </c>
    </row>
    <row r="7283">
      <c r="A7283" s="10">
        <f t="shared" si="8"/>
        <v>45265.66667</v>
      </c>
      <c r="B7283" s="2" t="str">
        <f t="shared" si="2"/>
        <v/>
      </c>
      <c r="C7283" s="2" t="str">
        <f t="shared" si="3"/>
        <v>SP500</v>
      </c>
      <c r="D7283" s="2">
        <f t="shared" si="4"/>
        <v>14229.91</v>
      </c>
      <c r="E7283" s="2">
        <f t="shared" si="5"/>
        <v>14229.91</v>
      </c>
      <c r="G7283" s="10">
        <f t="shared" si="9"/>
        <v>45265.64583</v>
      </c>
      <c r="H7283" s="6" t="str">
        <f t="shared" si="6"/>
        <v/>
      </c>
      <c r="I7283" s="2">
        <f t="shared" si="7"/>
        <v>1426.89</v>
      </c>
    </row>
    <row r="7284">
      <c r="A7284" s="10">
        <f t="shared" si="8"/>
        <v>45266.66667</v>
      </c>
      <c r="B7284" s="2" t="str">
        <f t="shared" si="2"/>
        <v/>
      </c>
      <c r="C7284" s="2" t="str">
        <f t="shared" si="3"/>
        <v>SP500</v>
      </c>
      <c r="D7284" s="2">
        <f t="shared" si="4"/>
        <v>14146.71</v>
      </c>
      <c r="E7284" s="2">
        <f t="shared" si="5"/>
        <v>14146.71</v>
      </c>
      <c r="G7284" s="10">
        <f t="shared" si="9"/>
        <v>45266.64583</v>
      </c>
      <c r="H7284" s="6" t="str">
        <f t="shared" si="6"/>
        <v/>
      </c>
      <c r="I7284" s="2">
        <f t="shared" si="7"/>
        <v>1426.89</v>
      </c>
    </row>
    <row r="7285">
      <c r="A7285" s="10">
        <f t="shared" si="8"/>
        <v>45267.66667</v>
      </c>
      <c r="B7285" s="2" t="str">
        <f t="shared" si="2"/>
        <v/>
      </c>
      <c r="C7285" s="2" t="str">
        <f t="shared" si="3"/>
        <v>SP500</v>
      </c>
      <c r="D7285" s="2">
        <f t="shared" si="4"/>
        <v>14339.99</v>
      </c>
      <c r="E7285" s="2">
        <f t="shared" si="5"/>
        <v>14339.99</v>
      </c>
      <c r="G7285" s="10">
        <f t="shared" si="9"/>
        <v>45267.64583</v>
      </c>
      <c r="H7285" s="6" t="str">
        <f t="shared" si="6"/>
        <v/>
      </c>
      <c r="I7285" s="2">
        <f t="shared" si="7"/>
        <v>1426.89</v>
      </c>
    </row>
    <row r="7286">
      <c r="A7286" s="10">
        <f t="shared" si="8"/>
        <v>45268.66667</v>
      </c>
      <c r="B7286" s="2" t="str">
        <f t="shared" si="2"/>
        <v/>
      </c>
      <c r="C7286" s="2" t="str">
        <f t="shared" si="3"/>
        <v>SP500</v>
      </c>
      <c r="D7286" s="2">
        <f t="shared" si="4"/>
        <v>14403.97</v>
      </c>
      <c r="E7286" s="2">
        <f t="shared" si="5"/>
        <v>14403.97</v>
      </c>
      <c r="G7286" s="10">
        <f t="shared" si="9"/>
        <v>45268.64583</v>
      </c>
      <c r="H7286" s="6" t="str">
        <f t="shared" si="6"/>
        <v/>
      </c>
      <c r="I7286" s="2">
        <f t="shared" si="7"/>
        <v>1426.89</v>
      </c>
    </row>
    <row r="7287">
      <c r="A7287" s="10">
        <f t="shared" si="8"/>
        <v>45269.66667</v>
      </c>
      <c r="B7287" s="2" t="str">
        <f t="shared" si="2"/>
        <v/>
      </c>
      <c r="C7287" s="2" t="str">
        <f t="shared" si="3"/>
        <v>SP500</v>
      </c>
      <c r="D7287" s="2" t="str">
        <f t="shared" si="4"/>
        <v/>
      </c>
      <c r="E7287" s="2">
        <f t="shared" si="5"/>
        <v>14403.97</v>
      </c>
      <c r="G7287" s="10">
        <f t="shared" si="9"/>
        <v>45269.64583</v>
      </c>
      <c r="H7287" s="6" t="str">
        <f t="shared" si="6"/>
        <v/>
      </c>
      <c r="I7287" s="2">
        <f t="shared" si="7"/>
        <v>1426.89</v>
      </c>
    </row>
    <row r="7288">
      <c r="A7288" s="10">
        <f t="shared" si="8"/>
        <v>45270.66667</v>
      </c>
      <c r="B7288" s="2" t="str">
        <f t="shared" si="2"/>
        <v/>
      </c>
      <c r="C7288" s="2" t="str">
        <f t="shared" si="3"/>
        <v>SP500</v>
      </c>
      <c r="D7288" s="2" t="str">
        <f t="shared" si="4"/>
        <v/>
      </c>
      <c r="E7288" s="2">
        <f t="shared" si="5"/>
        <v>14403.97</v>
      </c>
      <c r="G7288" s="10">
        <f t="shared" si="9"/>
        <v>45270.64583</v>
      </c>
      <c r="H7288" s="6" t="str">
        <f t="shared" si="6"/>
        <v/>
      </c>
      <c r="I7288" s="2">
        <f t="shared" si="7"/>
        <v>1426.89</v>
      </c>
    </row>
    <row r="7289">
      <c r="A7289" s="10">
        <f t="shared" si="8"/>
        <v>45271.66667</v>
      </c>
      <c r="B7289" s="2" t="str">
        <f t="shared" si="2"/>
        <v/>
      </c>
      <c r="C7289" s="2" t="str">
        <f t="shared" si="3"/>
        <v>SP500</v>
      </c>
      <c r="D7289" s="2">
        <f t="shared" si="4"/>
        <v>14432.49</v>
      </c>
      <c r="E7289" s="2">
        <f t="shared" si="5"/>
        <v>14432.49</v>
      </c>
      <c r="G7289" s="10">
        <f t="shared" si="9"/>
        <v>45271.64583</v>
      </c>
      <c r="H7289" s="6" t="str">
        <f t="shared" si="6"/>
        <v/>
      </c>
      <c r="I7289" s="2">
        <f t="shared" si="7"/>
        <v>1426.89</v>
      </c>
    </row>
    <row r="7290">
      <c r="A7290" s="10">
        <f t="shared" si="8"/>
        <v>45272.66667</v>
      </c>
      <c r="B7290" s="2" t="str">
        <f t="shared" si="2"/>
        <v/>
      </c>
      <c r="C7290" s="2" t="str">
        <f t="shared" si="3"/>
        <v>SP500</v>
      </c>
      <c r="D7290" s="2">
        <f t="shared" si="4"/>
        <v>14533.4</v>
      </c>
      <c r="E7290" s="2">
        <f t="shared" si="5"/>
        <v>14533.4</v>
      </c>
      <c r="G7290" s="10">
        <f t="shared" si="9"/>
        <v>45272.64583</v>
      </c>
      <c r="H7290" s="6" t="str">
        <f t="shared" si="6"/>
        <v/>
      </c>
      <c r="I7290" s="2">
        <f t="shared" si="7"/>
        <v>1426.89</v>
      </c>
    </row>
    <row r="7291">
      <c r="A7291" s="10">
        <f t="shared" si="8"/>
        <v>45273.66667</v>
      </c>
      <c r="B7291" s="2" t="str">
        <f t="shared" si="2"/>
        <v/>
      </c>
      <c r="C7291" s="2" t="str">
        <f t="shared" si="3"/>
        <v>SP500</v>
      </c>
      <c r="D7291" s="2">
        <f t="shared" si="4"/>
        <v>14733.96</v>
      </c>
      <c r="E7291" s="2">
        <f t="shared" si="5"/>
        <v>14733.96</v>
      </c>
      <c r="G7291" s="10">
        <f t="shared" si="9"/>
        <v>45273.64583</v>
      </c>
      <c r="H7291" s="6" t="str">
        <f t="shared" si="6"/>
        <v/>
      </c>
      <c r="I7291" s="2">
        <f t="shared" si="7"/>
        <v>1426.89</v>
      </c>
    </row>
    <row r="7292">
      <c r="A7292" s="10">
        <f t="shared" si="8"/>
        <v>45274.66667</v>
      </c>
      <c r="B7292" s="2" t="str">
        <f t="shared" si="2"/>
        <v/>
      </c>
      <c r="C7292" s="2" t="str">
        <f t="shared" si="3"/>
        <v>SP500</v>
      </c>
      <c r="D7292" s="2">
        <f t="shared" si="4"/>
        <v>14761.56</v>
      </c>
      <c r="E7292" s="2">
        <f t="shared" si="5"/>
        <v>14761.56</v>
      </c>
      <c r="G7292" s="10">
        <f t="shared" si="9"/>
        <v>45274.64583</v>
      </c>
      <c r="H7292" s="6" t="str">
        <f t="shared" si="6"/>
        <v/>
      </c>
      <c r="I7292" s="2">
        <f t="shared" si="7"/>
        <v>1426.89</v>
      </c>
    </row>
    <row r="7293">
      <c r="A7293" s="10">
        <f t="shared" si="8"/>
        <v>45275.66667</v>
      </c>
      <c r="B7293" s="2" t="str">
        <f t="shared" si="2"/>
        <v/>
      </c>
      <c r="C7293" s="2" t="str">
        <f t="shared" si="3"/>
        <v>SP500</v>
      </c>
      <c r="D7293" s="2">
        <f t="shared" si="4"/>
        <v>14813.92</v>
      </c>
      <c r="E7293" s="2">
        <f t="shared" si="5"/>
        <v>14813.92</v>
      </c>
      <c r="G7293" s="10">
        <f t="shared" si="9"/>
        <v>45275.64583</v>
      </c>
      <c r="H7293" s="6" t="str">
        <f t="shared" si="6"/>
        <v/>
      </c>
      <c r="I7293" s="2">
        <f t="shared" si="7"/>
        <v>1426.89</v>
      </c>
    </row>
    <row r="7294">
      <c r="A7294" s="10">
        <f t="shared" si="8"/>
        <v>45276.66667</v>
      </c>
      <c r="B7294" s="2" t="str">
        <f t="shared" si="2"/>
        <v/>
      </c>
      <c r="C7294" s="2" t="str">
        <f t="shared" si="3"/>
        <v>SP500</v>
      </c>
      <c r="D7294" s="2" t="str">
        <f t="shared" si="4"/>
        <v/>
      </c>
      <c r="E7294" s="2">
        <f t="shared" si="5"/>
        <v>14813.92</v>
      </c>
      <c r="G7294" s="10">
        <f t="shared" si="9"/>
        <v>45276.64583</v>
      </c>
      <c r="H7294" s="6" t="str">
        <f t="shared" si="6"/>
        <v/>
      </c>
      <c r="I7294" s="2">
        <f t="shared" si="7"/>
        <v>1426.89</v>
      </c>
    </row>
    <row r="7295">
      <c r="A7295" s="10">
        <f t="shared" si="8"/>
        <v>45277.66667</v>
      </c>
      <c r="B7295" s="2" t="str">
        <f t="shared" si="2"/>
        <v/>
      </c>
      <c r="C7295" s="2" t="str">
        <f t="shared" si="3"/>
        <v>SP500</v>
      </c>
      <c r="D7295" s="2" t="str">
        <f t="shared" si="4"/>
        <v/>
      </c>
      <c r="E7295" s="2">
        <f t="shared" si="5"/>
        <v>14813.92</v>
      </c>
      <c r="G7295" s="10">
        <f t="shared" si="9"/>
        <v>45277.64583</v>
      </c>
      <c r="H7295" s="6" t="str">
        <f t="shared" si="6"/>
        <v/>
      </c>
      <c r="I7295" s="2">
        <f t="shared" si="7"/>
        <v>1426.89</v>
      </c>
    </row>
    <row r="7296">
      <c r="A7296" s="10">
        <f t="shared" si="8"/>
        <v>45278.66667</v>
      </c>
      <c r="B7296" s="2" t="str">
        <f t="shared" si="2"/>
        <v/>
      </c>
      <c r="C7296" s="2" t="str">
        <f t="shared" si="3"/>
        <v>SP500</v>
      </c>
      <c r="D7296" s="2">
        <f t="shared" si="4"/>
        <v>14905.19</v>
      </c>
      <c r="E7296" s="2">
        <f t="shared" si="5"/>
        <v>14905.19</v>
      </c>
      <c r="G7296" s="10">
        <f t="shared" si="9"/>
        <v>45278.64583</v>
      </c>
      <c r="H7296" s="6" t="str">
        <f t="shared" si="6"/>
        <v/>
      </c>
      <c r="I7296" s="2">
        <f t="shared" si="7"/>
        <v>1426.89</v>
      </c>
    </row>
    <row r="7297">
      <c r="A7297" s="10">
        <f t="shared" si="8"/>
        <v>45279.66667</v>
      </c>
      <c r="B7297" s="2" t="str">
        <f t="shared" si="2"/>
        <v/>
      </c>
      <c r="C7297" s="2" t="str">
        <f t="shared" si="3"/>
        <v>SP500</v>
      </c>
      <c r="D7297" s="2">
        <f t="shared" si="4"/>
        <v>15003.22</v>
      </c>
      <c r="E7297" s="2">
        <f t="shared" si="5"/>
        <v>15003.22</v>
      </c>
      <c r="G7297" s="10">
        <f t="shared" si="9"/>
        <v>45279.64583</v>
      </c>
      <c r="H7297" s="6" t="str">
        <f t="shared" si="6"/>
        <v/>
      </c>
      <c r="I7297" s="2">
        <f t="shared" si="7"/>
        <v>1426.89</v>
      </c>
    </row>
    <row r="7298">
      <c r="A7298" s="10">
        <f t="shared" si="8"/>
        <v>45280.66667</v>
      </c>
      <c r="B7298" s="2" t="str">
        <f t="shared" si="2"/>
        <v/>
      </c>
      <c r="C7298" s="2" t="str">
        <f t="shared" si="3"/>
        <v>SP500</v>
      </c>
      <c r="D7298" s="2">
        <f t="shared" si="4"/>
        <v>14777.94</v>
      </c>
      <c r="E7298" s="2">
        <f t="shared" si="5"/>
        <v>14777.94</v>
      </c>
      <c r="G7298" s="10">
        <f t="shared" si="9"/>
        <v>45280.64583</v>
      </c>
      <c r="H7298" s="6" t="str">
        <f t="shared" si="6"/>
        <v/>
      </c>
      <c r="I7298" s="2">
        <f t="shared" si="7"/>
        <v>1426.89</v>
      </c>
    </row>
    <row r="7299">
      <c r="A7299" s="10">
        <f t="shared" si="8"/>
        <v>45281.66667</v>
      </c>
      <c r="B7299" s="2" t="str">
        <f t="shared" si="2"/>
        <v/>
      </c>
      <c r="C7299" s="2" t="str">
        <f t="shared" si="3"/>
        <v>SP500</v>
      </c>
      <c r="D7299" s="2">
        <f t="shared" si="4"/>
        <v>14963.87</v>
      </c>
      <c r="E7299" s="2">
        <f t="shared" si="5"/>
        <v>14963.87</v>
      </c>
      <c r="G7299" s="10">
        <f t="shared" si="9"/>
        <v>45281.64583</v>
      </c>
      <c r="H7299" s="6" t="str">
        <f t="shared" si="6"/>
        <v/>
      </c>
      <c r="I7299" s="2">
        <f t="shared" si="7"/>
        <v>1426.89</v>
      </c>
    </row>
    <row r="7300">
      <c r="A7300" s="10">
        <f t="shared" si="8"/>
        <v>45282.66667</v>
      </c>
      <c r="B7300" s="2" t="str">
        <f t="shared" si="2"/>
        <v/>
      </c>
      <c r="C7300" s="2" t="str">
        <f t="shared" si="3"/>
        <v>SP500</v>
      </c>
      <c r="D7300" s="2">
        <f t="shared" si="4"/>
        <v>14992.97</v>
      </c>
      <c r="E7300" s="2">
        <f t="shared" si="5"/>
        <v>14992.97</v>
      </c>
      <c r="G7300" s="10">
        <f t="shared" si="9"/>
        <v>45282.64583</v>
      </c>
      <c r="H7300" s="6" t="str">
        <f t="shared" si="6"/>
        <v/>
      </c>
      <c r="I7300" s="2">
        <f t="shared" si="7"/>
        <v>1426.89</v>
      </c>
    </row>
    <row r="7301">
      <c r="A7301" s="10">
        <f t="shared" si="8"/>
        <v>45283.66667</v>
      </c>
      <c r="B7301" s="2" t="str">
        <f t="shared" si="2"/>
        <v/>
      </c>
      <c r="C7301" s="2" t="str">
        <f t="shared" si="3"/>
        <v>SP500</v>
      </c>
      <c r="D7301" s="2" t="str">
        <f t="shared" si="4"/>
        <v/>
      </c>
      <c r="E7301" s="2">
        <f t="shared" si="5"/>
        <v>14992.97</v>
      </c>
      <c r="G7301" s="10">
        <f t="shared" si="9"/>
        <v>45283.64583</v>
      </c>
      <c r="H7301" s="6" t="str">
        <f t="shared" si="6"/>
        <v/>
      </c>
      <c r="I7301" s="2">
        <f t="shared" si="7"/>
        <v>1426.89</v>
      </c>
    </row>
    <row r="7302">
      <c r="A7302" s="10">
        <f t="shared" si="8"/>
        <v>45284.66667</v>
      </c>
      <c r="B7302" s="2" t="str">
        <f t="shared" si="2"/>
        <v/>
      </c>
      <c r="C7302" s="2" t="str">
        <f t="shared" si="3"/>
        <v>SP500</v>
      </c>
      <c r="D7302" s="2" t="str">
        <f t="shared" si="4"/>
        <v/>
      </c>
      <c r="E7302" s="2">
        <f t="shared" si="5"/>
        <v>14992.97</v>
      </c>
      <c r="G7302" s="10">
        <f t="shared" si="9"/>
        <v>45284.64583</v>
      </c>
      <c r="H7302" s="6" t="str">
        <f t="shared" si="6"/>
        <v/>
      </c>
      <c r="I7302" s="2">
        <f t="shared" si="7"/>
        <v>1426.89</v>
      </c>
    </row>
    <row r="7303">
      <c r="A7303" s="10">
        <f t="shared" si="8"/>
        <v>45285.66667</v>
      </c>
      <c r="B7303" s="2" t="str">
        <f t="shared" si="2"/>
        <v/>
      </c>
      <c r="C7303" s="2" t="str">
        <f t="shared" si="3"/>
        <v>SP500</v>
      </c>
      <c r="D7303" s="2" t="str">
        <f t="shared" si="4"/>
        <v/>
      </c>
      <c r="E7303" s="2">
        <f t="shared" si="5"/>
        <v>14992.97</v>
      </c>
      <c r="G7303" s="10">
        <f t="shared" si="9"/>
        <v>45285.64583</v>
      </c>
      <c r="H7303" s="6" t="str">
        <f t="shared" si="6"/>
        <v/>
      </c>
      <c r="I7303" s="2">
        <f t="shared" si="7"/>
        <v>1426.89</v>
      </c>
    </row>
    <row r="7304">
      <c r="A7304" s="10">
        <f t="shared" si="8"/>
        <v>45286.66667</v>
      </c>
      <c r="B7304" s="2" t="str">
        <f t="shared" si="2"/>
        <v/>
      </c>
      <c r="C7304" s="2" t="str">
        <f t="shared" si="3"/>
        <v>SP500</v>
      </c>
      <c r="D7304" s="2">
        <f t="shared" si="4"/>
        <v>15074.57</v>
      </c>
      <c r="E7304" s="2">
        <f t="shared" si="5"/>
        <v>15074.57</v>
      </c>
      <c r="G7304" s="10">
        <f t="shared" si="9"/>
        <v>45286.64583</v>
      </c>
      <c r="H7304" s="6" t="str">
        <f t="shared" si="6"/>
        <v/>
      </c>
      <c r="I7304" s="2">
        <f t="shared" si="7"/>
        <v>1426.89</v>
      </c>
    </row>
    <row r="7305">
      <c r="A7305" s="10">
        <f t="shared" si="8"/>
        <v>45287.66667</v>
      </c>
      <c r="B7305" s="2" t="str">
        <f t="shared" si="2"/>
        <v/>
      </c>
      <c r="C7305" s="2" t="str">
        <f t="shared" si="3"/>
        <v>SP500</v>
      </c>
      <c r="D7305" s="2">
        <f t="shared" si="4"/>
        <v>15099.18</v>
      </c>
      <c r="E7305" s="2">
        <f t="shared" si="5"/>
        <v>15099.18</v>
      </c>
      <c r="G7305" s="10">
        <f t="shared" si="9"/>
        <v>45287.64583</v>
      </c>
      <c r="H7305" s="6" t="str">
        <f t="shared" si="6"/>
        <v/>
      </c>
      <c r="I7305" s="2">
        <f t="shared" si="7"/>
        <v>1426.89</v>
      </c>
    </row>
    <row r="7306">
      <c r="A7306" s="10">
        <f t="shared" si="8"/>
        <v>45288.66667</v>
      </c>
      <c r="B7306" s="2" t="str">
        <f t="shared" si="2"/>
        <v/>
      </c>
      <c r="C7306" s="2" t="str">
        <f t="shared" si="3"/>
        <v>SP500</v>
      </c>
      <c r="D7306" s="2">
        <f t="shared" si="4"/>
        <v>15095.14</v>
      </c>
      <c r="E7306" s="2">
        <f t="shared" si="5"/>
        <v>15095.14</v>
      </c>
      <c r="G7306" s="10">
        <f t="shared" si="9"/>
        <v>45288.64583</v>
      </c>
      <c r="H7306" s="6" t="str">
        <f t="shared" si="6"/>
        <v/>
      </c>
      <c r="I7306" s="2">
        <f t="shared" si="7"/>
        <v>1426.89</v>
      </c>
    </row>
    <row r="7307">
      <c r="A7307" s="10">
        <f t="shared" si="8"/>
        <v>45289.66667</v>
      </c>
      <c r="B7307" s="2" t="str">
        <f t="shared" si="2"/>
        <v/>
      </c>
      <c r="C7307" s="2" t="str">
        <f t="shared" si="3"/>
        <v>SP500</v>
      </c>
      <c r="D7307" s="2">
        <f t="shared" si="4"/>
        <v>15011.35</v>
      </c>
      <c r="E7307" s="2">
        <f t="shared" si="5"/>
        <v>15011.35</v>
      </c>
      <c r="G7307" s="10">
        <f t="shared" si="9"/>
        <v>45289.64583</v>
      </c>
      <c r="H7307" s="6" t="str">
        <f t="shared" si="6"/>
        <v/>
      </c>
      <c r="I7307" s="2">
        <f t="shared" si="7"/>
        <v>1426.89</v>
      </c>
    </row>
    <row r="7308">
      <c r="A7308" s="10">
        <f t="shared" si="8"/>
        <v>45290.66667</v>
      </c>
      <c r="B7308" s="2" t="str">
        <f t="shared" si="2"/>
        <v/>
      </c>
      <c r="C7308" s="2" t="str">
        <f t="shared" si="3"/>
        <v>SP500</v>
      </c>
      <c r="D7308" s="2" t="str">
        <f t="shared" si="4"/>
        <v/>
      </c>
      <c r="E7308" s="2">
        <f t="shared" si="5"/>
        <v>15011.35</v>
      </c>
      <c r="G7308" s="10">
        <f t="shared" si="9"/>
        <v>45290.64583</v>
      </c>
      <c r="H7308" s="6" t="str">
        <f t="shared" si="6"/>
        <v/>
      </c>
      <c r="I7308" s="2">
        <f t="shared" si="7"/>
        <v>1426.89</v>
      </c>
    </row>
    <row r="7309">
      <c r="A7309" s="10">
        <f t="shared" si="8"/>
        <v>45291.66667</v>
      </c>
      <c r="B7309" s="2" t="str">
        <f t="shared" si="2"/>
        <v/>
      </c>
      <c r="C7309" s="2" t="str">
        <f t="shared" si="3"/>
        <v>SP500</v>
      </c>
      <c r="D7309" s="2" t="str">
        <f t="shared" si="4"/>
        <v/>
      </c>
      <c r="E7309" s="2">
        <f t="shared" si="5"/>
        <v>15011.35</v>
      </c>
      <c r="G7309" s="10">
        <f t="shared" si="9"/>
        <v>45291.64583</v>
      </c>
      <c r="H7309" s="6" t="str">
        <f t="shared" si="6"/>
        <v/>
      </c>
      <c r="I7309" s="2">
        <f t="shared" si="7"/>
        <v>1426.89</v>
      </c>
    </row>
    <row r="7310">
      <c r="A7310" s="10">
        <f t="shared" si="8"/>
        <v>45292.66667</v>
      </c>
      <c r="B7310" s="2" t="str">
        <f t="shared" si="2"/>
        <v/>
      </c>
      <c r="C7310" s="2" t="str">
        <f t="shared" si="3"/>
        <v>SP500</v>
      </c>
      <c r="D7310" s="2" t="str">
        <f t="shared" si="4"/>
        <v/>
      </c>
      <c r="E7310" s="2">
        <f t="shared" si="5"/>
        <v>15011.35</v>
      </c>
      <c r="G7310" s="10">
        <f t="shared" si="9"/>
        <v>45292.64583</v>
      </c>
      <c r="H7310" s="6" t="str">
        <f t="shared" si="6"/>
        <v/>
      </c>
      <c r="I7310" s="2">
        <f t="shared" si="7"/>
        <v>1426.89</v>
      </c>
    </row>
    <row r="7311">
      <c r="A7311" s="10">
        <f t="shared" si="8"/>
        <v>45293.66667</v>
      </c>
      <c r="B7311" s="2" t="str">
        <f t="shared" si="2"/>
        <v/>
      </c>
      <c r="C7311" s="2" t="str">
        <f t="shared" si="3"/>
        <v>SP500</v>
      </c>
      <c r="D7311" s="2">
        <f t="shared" si="4"/>
        <v>14765.94</v>
      </c>
      <c r="E7311" s="2">
        <f t="shared" si="5"/>
        <v>14765.94</v>
      </c>
      <c r="G7311" s="10">
        <f t="shared" si="9"/>
        <v>45293.64583</v>
      </c>
      <c r="H7311" s="6" t="str">
        <f t="shared" si="6"/>
        <v/>
      </c>
      <c r="I7311" s="2">
        <f t="shared" si="7"/>
        <v>1426.89</v>
      </c>
    </row>
    <row r="7312">
      <c r="A7312" s="10">
        <f t="shared" si="8"/>
        <v>45294.66667</v>
      </c>
      <c r="B7312" s="2" t="str">
        <f t="shared" si="2"/>
        <v/>
      </c>
      <c r="C7312" s="2" t="str">
        <f t="shared" si="3"/>
        <v>SP500</v>
      </c>
      <c r="D7312" s="2">
        <f t="shared" si="4"/>
        <v>14592.21</v>
      </c>
      <c r="E7312" s="2">
        <f t="shared" si="5"/>
        <v>14592.21</v>
      </c>
      <c r="G7312" s="10">
        <f t="shared" si="9"/>
        <v>45294.64583</v>
      </c>
      <c r="H7312" s="6" t="str">
        <f t="shared" si="6"/>
        <v/>
      </c>
      <c r="I7312" s="2">
        <f t="shared" si="7"/>
        <v>1426.89</v>
      </c>
    </row>
    <row r="7313">
      <c r="A7313" s="10">
        <f t="shared" si="8"/>
        <v>45295.66667</v>
      </c>
      <c r="B7313" s="2" t="str">
        <f t="shared" si="2"/>
        <v/>
      </c>
      <c r="C7313" s="2" t="str">
        <f t="shared" si="3"/>
        <v>SP500</v>
      </c>
      <c r="D7313" s="2">
        <f t="shared" si="4"/>
        <v>14510.3</v>
      </c>
      <c r="E7313" s="2">
        <f t="shared" si="5"/>
        <v>14510.3</v>
      </c>
      <c r="G7313" s="10">
        <f t="shared" si="9"/>
        <v>45295.64583</v>
      </c>
      <c r="H7313" s="6" t="str">
        <f t="shared" si="6"/>
        <v/>
      </c>
      <c r="I7313" s="2">
        <f t="shared" si="7"/>
        <v>1426.89</v>
      </c>
    </row>
    <row r="7314">
      <c r="A7314" s="10">
        <f t="shared" si="8"/>
        <v>45296.66667</v>
      </c>
      <c r="B7314" s="2" t="str">
        <f t="shared" si="2"/>
        <v/>
      </c>
      <c r="C7314" s="2" t="str">
        <f t="shared" si="3"/>
        <v>SP500</v>
      </c>
      <c r="D7314" s="2">
        <f t="shared" si="4"/>
        <v>14524.07</v>
      </c>
      <c r="E7314" s="2">
        <f t="shared" si="5"/>
        <v>14524.07</v>
      </c>
      <c r="G7314" s="10">
        <f t="shared" si="9"/>
        <v>45296.64583</v>
      </c>
      <c r="H7314" s="6" t="str">
        <f t="shared" si="6"/>
        <v/>
      </c>
      <c r="I7314" s="2">
        <f t="shared" si="7"/>
        <v>1426.89</v>
      </c>
    </row>
    <row r="7315">
      <c r="A7315" s="10">
        <f t="shared" si="8"/>
        <v>45297.66667</v>
      </c>
      <c r="B7315" s="2" t="str">
        <f t="shared" si="2"/>
        <v/>
      </c>
      <c r="C7315" s="2" t="str">
        <f t="shared" si="3"/>
        <v>SP500</v>
      </c>
      <c r="D7315" s="2" t="str">
        <f t="shared" si="4"/>
        <v/>
      </c>
      <c r="E7315" s="2">
        <f t="shared" si="5"/>
        <v>14524.07</v>
      </c>
      <c r="G7315" s="10">
        <f t="shared" si="9"/>
        <v>45297.64583</v>
      </c>
      <c r="H7315" s="6" t="str">
        <f t="shared" si="6"/>
        <v/>
      </c>
      <c r="I7315" s="2">
        <f t="shared" si="7"/>
        <v>1426.89</v>
      </c>
    </row>
    <row r="7316">
      <c r="A7316" s="10">
        <f t="shared" si="8"/>
        <v>45298.66667</v>
      </c>
      <c r="B7316" s="2" t="str">
        <f t="shared" si="2"/>
        <v/>
      </c>
      <c r="C7316" s="2" t="str">
        <f t="shared" si="3"/>
        <v>SP500</v>
      </c>
      <c r="D7316" s="2" t="str">
        <f t="shared" si="4"/>
        <v/>
      </c>
      <c r="E7316" s="2">
        <f t="shared" si="5"/>
        <v>14524.07</v>
      </c>
      <c r="G7316" s="10">
        <f t="shared" si="9"/>
        <v>45298.64583</v>
      </c>
      <c r="H7316" s="6" t="str">
        <f t="shared" si="6"/>
        <v/>
      </c>
      <c r="I7316" s="2">
        <f t="shared" si="7"/>
        <v>1426.89</v>
      </c>
    </row>
    <row r="7317">
      <c r="A7317" s="10">
        <f t="shared" si="8"/>
        <v>45299.66667</v>
      </c>
      <c r="B7317" s="2" t="str">
        <f t="shared" si="2"/>
        <v/>
      </c>
      <c r="C7317" s="2" t="str">
        <f t="shared" si="3"/>
        <v>SP500</v>
      </c>
      <c r="D7317" s="2">
        <f t="shared" si="4"/>
        <v>14843.77</v>
      </c>
      <c r="E7317" s="2">
        <f t="shared" si="5"/>
        <v>14843.77</v>
      </c>
      <c r="G7317" s="10">
        <f t="shared" si="9"/>
        <v>45299.64583</v>
      </c>
      <c r="H7317" s="6" t="str">
        <f t="shared" si="6"/>
        <v/>
      </c>
      <c r="I7317" s="2">
        <f t="shared" si="7"/>
        <v>1426.89</v>
      </c>
    </row>
    <row r="7318">
      <c r="A7318" s="10">
        <f t="shared" si="8"/>
        <v>45300.66667</v>
      </c>
      <c r="B7318" s="2" t="str">
        <f t="shared" si="2"/>
        <v/>
      </c>
      <c r="C7318" s="2" t="str">
        <f t="shared" si="3"/>
        <v>SP500</v>
      </c>
      <c r="D7318" s="2">
        <f t="shared" si="4"/>
        <v>14857.71</v>
      </c>
      <c r="E7318" s="2">
        <f t="shared" si="5"/>
        <v>14857.71</v>
      </c>
      <c r="G7318" s="10">
        <f t="shared" si="9"/>
        <v>45300.64583</v>
      </c>
      <c r="H7318" s="6" t="str">
        <f t="shared" si="6"/>
        <v/>
      </c>
      <c r="I7318" s="2">
        <f t="shared" si="7"/>
        <v>1426.89</v>
      </c>
    </row>
    <row r="7319">
      <c r="A7319" s="10">
        <f t="shared" si="8"/>
        <v>45301.66667</v>
      </c>
      <c r="B7319" s="2" t="str">
        <f t="shared" si="2"/>
        <v/>
      </c>
      <c r="C7319" s="2" t="str">
        <f t="shared" si="3"/>
        <v>SP500</v>
      </c>
      <c r="D7319" s="2">
        <f t="shared" si="4"/>
        <v>14969.65</v>
      </c>
      <c r="E7319" s="2">
        <f t="shared" si="5"/>
        <v>14969.65</v>
      </c>
      <c r="G7319" s="10">
        <f t="shared" si="9"/>
        <v>45301.64583</v>
      </c>
      <c r="H7319" s="6" t="str">
        <f t="shared" si="6"/>
        <v/>
      </c>
      <c r="I7319" s="2">
        <f t="shared" si="7"/>
        <v>1426.89</v>
      </c>
    </row>
    <row r="7320">
      <c r="A7320" s="10">
        <f t="shared" si="8"/>
        <v>45302.66667</v>
      </c>
      <c r="B7320" s="2" t="str">
        <f t="shared" si="2"/>
        <v/>
      </c>
      <c r="C7320" s="2" t="str">
        <f t="shared" si="3"/>
        <v>SP500</v>
      </c>
      <c r="D7320" s="2">
        <f t="shared" si="4"/>
        <v>14970.19</v>
      </c>
      <c r="E7320" s="2">
        <f t="shared" si="5"/>
        <v>14970.19</v>
      </c>
      <c r="G7320" s="10">
        <f t="shared" si="9"/>
        <v>45302.64583</v>
      </c>
      <c r="H7320" s="6" t="str">
        <f t="shared" si="6"/>
        <v/>
      </c>
      <c r="I7320" s="2">
        <f t="shared" si="7"/>
        <v>1426.89</v>
      </c>
    </row>
    <row r="7321">
      <c r="A7321" s="10">
        <f t="shared" si="8"/>
        <v>45303.66667</v>
      </c>
      <c r="B7321" s="2" t="str">
        <f t="shared" si="2"/>
        <v/>
      </c>
      <c r="C7321" s="2" t="str">
        <f t="shared" si="3"/>
        <v>SP500</v>
      </c>
      <c r="D7321" s="2">
        <f t="shared" si="4"/>
        <v>14972.76</v>
      </c>
      <c r="E7321" s="2">
        <f t="shared" si="5"/>
        <v>14972.76</v>
      </c>
      <c r="G7321" s="10">
        <f t="shared" si="9"/>
        <v>45303.64583</v>
      </c>
      <c r="H7321" s="6" t="str">
        <f t="shared" si="6"/>
        <v/>
      </c>
      <c r="I7321" s="2">
        <f t="shared" si="7"/>
        <v>1426.89</v>
      </c>
    </row>
    <row r="7322">
      <c r="A7322" s="10">
        <f t="shared" si="8"/>
        <v>45304.66667</v>
      </c>
      <c r="B7322" s="2" t="str">
        <f t="shared" si="2"/>
        <v/>
      </c>
      <c r="C7322" s="2" t="str">
        <f t="shared" si="3"/>
        <v>SP500</v>
      </c>
      <c r="D7322" s="2" t="str">
        <f t="shared" si="4"/>
        <v/>
      </c>
      <c r="E7322" s="2">
        <f t="shared" si="5"/>
        <v>14972.76</v>
      </c>
      <c r="G7322" s="10">
        <f t="shared" si="9"/>
        <v>45304.64583</v>
      </c>
      <c r="H7322" s="6" t="str">
        <f t="shared" si="6"/>
        <v/>
      </c>
      <c r="I7322" s="2">
        <f t="shared" si="7"/>
        <v>1426.89</v>
      </c>
    </row>
    <row r="7323">
      <c r="A7323" s="10">
        <f t="shared" si="8"/>
        <v>45305.66667</v>
      </c>
      <c r="B7323" s="2" t="str">
        <f t="shared" si="2"/>
        <v/>
      </c>
      <c r="C7323" s="2" t="str">
        <f t="shared" si="3"/>
        <v>SP500</v>
      </c>
      <c r="D7323" s="2" t="str">
        <f t="shared" si="4"/>
        <v/>
      </c>
      <c r="E7323" s="2">
        <f t="shared" si="5"/>
        <v>14972.76</v>
      </c>
      <c r="G7323" s="10">
        <f t="shared" si="9"/>
        <v>45305.64583</v>
      </c>
      <c r="H7323" s="6" t="str">
        <f t="shared" si="6"/>
        <v/>
      </c>
      <c r="I7323" s="2">
        <f t="shared" si="7"/>
        <v>1426.89</v>
      </c>
    </row>
    <row r="7324">
      <c r="A7324" s="10">
        <f t="shared" si="8"/>
        <v>45306.66667</v>
      </c>
      <c r="B7324" s="2" t="str">
        <f t="shared" si="2"/>
        <v/>
      </c>
      <c r="C7324" s="2" t="str">
        <f t="shared" si="3"/>
        <v>SP500</v>
      </c>
      <c r="D7324" s="2" t="str">
        <f t="shared" si="4"/>
        <v/>
      </c>
      <c r="E7324" s="2">
        <f t="shared" si="5"/>
        <v>14972.76</v>
      </c>
      <c r="G7324" s="10">
        <f t="shared" si="9"/>
        <v>45306.64583</v>
      </c>
      <c r="H7324" s="6" t="str">
        <f t="shared" si="6"/>
        <v/>
      </c>
      <c r="I7324" s="2">
        <f t="shared" si="7"/>
        <v>1426.89</v>
      </c>
    </row>
    <row r="7325">
      <c r="A7325" s="10">
        <f t="shared" si="8"/>
        <v>45307.66667</v>
      </c>
      <c r="B7325" s="2" t="str">
        <f t="shared" si="2"/>
        <v/>
      </c>
      <c r="C7325" s="2" t="str">
        <f t="shared" si="3"/>
        <v>SP500</v>
      </c>
      <c r="D7325" s="2">
        <f t="shared" si="4"/>
        <v>14944.35</v>
      </c>
      <c r="E7325" s="2">
        <f t="shared" si="5"/>
        <v>14944.35</v>
      </c>
      <c r="G7325" s="10">
        <f t="shared" si="9"/>
        <v>45307.64583</v>
      </c>
      <c r="H7325" s="6" t="str">
        <f t="shared" si="6"/>
        <v/>
      </c>
      <c r="I7325" s="2">
        <f t="shared" si="7"/>
        <v>1426.89</v>
      </c>
    </row>
    <row r="7326">
      <c r="A7326" s="10">
        <f t="shared" si="8"/>
        <v>45308.66667</v>
      </c>
      <c r="B7326" s="2" t="str">
        <f t="shared" si="2"/>
        <v/>
      </c>
      <c r="C7326" s="2" t="str">
        <f t="shared" si="3"/>
        <v>SP500</v>
      </c>
      <c r="D7326" s="2">
        <f t="shared" si="4"/>
        <v>14855.62</v>
      </c>
      <c r="E7326" s="2">
        <f t="shared" si="5"/>
        <v>14855.62</v>
      </c>
      <c r="G7326" s="10">
        <f t="shared" si="9"/>
        <v>45308.64583</v>
      </c>
      <c r="H7326" s="6" t="str">
        <f t="shared" si="6"/>
        <v/>
      </c>
      <c r="I7326" s="2">
        <f t="shared" si="7"/>
        <v>1426.89</v>
      </c>
    </row>
    <row r="7327">
      <c r="A7327" s="10">
        <f t="shared" si="8"/>
        <v>45309.66667</v>
      </c>
      <c r="B7327" s="2" t="str">
        <f t="shared" si="2"/>
        <v/>
      </c>
      <c r="C7327" s="2" t="str">
        <f t="shared" si="3"/>
        <v>SP500</v>
      </c>
      <c r="D7327" s="2">
        <f t="shared" si="4"/>
        <v>15055.65</v>
      </c>
      <c r="E7327" s="2">
        <f t="shared" si="5"/>
        <v>15055.65</v>
      </c>
      <c r="G7327" s="10">
        <f t="shared" si="9"/>
        <v>45309.64583</v>
      </c>
      <c r="H7327" s="6" t="str">
        <f t="shared" si="6"/>
        <v/>
      </c>
      <c r="I7327" s="2">
        <f t="shared" si="7"/>
        <v>1426.89</v>
      </c>
    </row>
    <row r="7328">
      <c r="A7328" s="10">
        <f t="shared" si="8"/>
        <v>45310.66667</v>
      </c>
      <c r="B7328" s="2" t="str">
        <f t="shared" si="2"/>
        <v/>
      </c>
      <c r="C7328" s="2" t="str">
        <f t="shared" si="3"/>
        <v>SP500</v>
      </c>
      <c r="D7328" s="2">
        <f t="shared" si="4"/>
        <v>15310.97</v>
      </c>
      <c r="E7328" s="2">
        <f t="shared" si="5"/>
        <v>15310.97</v>
      </c>
      <c r="G7328" s="10">
        <f t="shared" si="9"/>
        <v>45310.64583</v>
      </c>
      <c r="H7328" s="6" t="str">
        <f t="shared" si="6"/>
        <v/>
      </c>
      <c r="I7328" s="2">
        <f t="shared" si="7"/>
        <v>1426.89</v>
      </c>
    </row>
    <row r="7329">
      <c r="A7329" s="10">
        <f t="shared" si="8"/>
        <v>45311.66667</v>
      </c>
      <c r="B7329" s="2" t="str">
        <f t="shared" si="2"/>
        <v/>
      </c>
      <c r="C7329" s="2" t="str">
        <f t="shared" si="3"/>
        <v>SP500</v>
      </c>
      <c r="D7329" s="2" t="str">
        <f t="shared" si="4"/>
        <v/>
      </c>
      <c r="E7329" s="2">
        <f t="shared" si="5"/>
        <v>15310.97</v>
      </c>
      <c r="G7329" s="10">
        <f t="shared" si="9"/>
        <v>45311.64583</v>
      </c>
      <c r="H7329" s="6" t="str">
        <f t="shared" si="6"/>
        <v/>
      </c>
      <c r="I7329" s="2">
        <f t="shared" si="7"/>
        <v>1426.89</v>
      </c>
    </row>
    <row r="7330">
      <c r="A7330" s="10">
        <f t="shared" si="8"/>
        <v>45312.66667</v>
      </c>
      <c r="B7330" s="2" t="str">
        <f t="shared" si="2"/>
        <v/>
      </c>
      <c r="C7330" s="2" t="str">
        <f t="shared" si="3"/>
        <v>SP500</v>
      </c>
      <c r="D7330" s="2" t="str">
        <f t="shared" si="4"/>
        <v/>
      </c>
      <c r="E7330" s="2">
        <f t="shared" si="5"/>
        <v>15310.97</v>
      </c>
      <c r="G7330" s="10">
        <f t="shared" si="9"/>
        <v>45312.64583</v>
      </c>
      <c r="H7330" s="6" t="str">
        <f t="shared" si="6"/>
        <v/>
      </c>
      <c r="I7330" s="2">
        <f t="shared" si="7"/>
        <v>1426.89</v>
      </c>
    </row>
    <row r="7331">
      <c r="A7331" s="10">
        <f t="shared" si="8"/>
        <v>45313.66667</v>
      </c>
      <c r="B7331" s="2" t="str">
        <f t="shared" si="2"/>
        <v/>
      </c>
      <c r="C7331" s="2" t="str">
        <f t="shared" si="3"/>
        <v>SP500</v>
      </c>
      <c r="D7331" s="2">
        <f t="shared" si="4"/>
        <v>15360.29</v>
      </c>
      <c r="E7331" s="2">
        <f t="shared" si="5"/>
        <v>15360.29</v>
      </c>
      <c r="G7331" s="10">
        <f t="shared" si="9"/>
        <v>45313.64583</v>
      </c>
      <c r="H7331" s="6" t="str">
        <f t="shared" si="6"/>
        <v/>
      </c>
      <c r="I7331" s="2">
        <f t="shared" si="7"/>
        <v>1426.89</v>
      </c>
    </row>
    <row r="7332">
      <c r="A7332" s="10">
        <f t="shared" si="8"/>
        <v>45314.66667</v>
      </c>
      <c r="B7332" s="2" t="str">
        <f t="shared" si="2"/>
        <v/>
      </c>
      <c r="C7332" s="2" t="str">
        <f t="shared" si="3"/>
        <v>SP500</v>
      </c>
      <c r="D7332" s="2">
        <f t="shared" si="4"/>
        <v>15425.94</v>
      </c>
      <c r="E7332" s="2">
        <f t="shared" si="5"/>
        <v>15425.94</v>
      </c>
      <c r="G7332" s="10">
        <f t="shared" si="9"/>
        <v>45314.64583</v>
      </c>
      <c r="H7332" s="6" t="str">
        <f t="shared" si="6"/>
        <v/>
      </c>
      <c r="I7332" s="2">
        <f t="shared" si="7"/>
        <v>1426.89</v>
      </c>
    </row>
    <row r="7333">
      <c r="A7333" s="10">
        <f t="shared" si="8"/>
        <v>45315.66667</v>
      </c>
      <c r="B7333" s="2" t="str">
        <f t="shared" si="2"/>
        <v/>
      </c>
      <c r="C7333" s="2" t="str">
        <f t="shared" si="3"/>
        <v>SP500</v>
      </c>
      <c r="D7333" s="2">
        <f t="shared" si="4"/>
        <v>15481.92</v>
      </c>
      <c r="E7333" s="2">
        <f t="shared" si="5"/>
        <v>15481.92</v>
      </c>
      <c r="G7333" s="10">
        <f t="shared" si="9"/>
        <v>45315.64583</v>
      </c>
      <c r="H7333" s="6" t="str">
        <f t="shared" si="6"/>
        <v/>
      </c>
      <c r="I7333" s="2">
        <f t="shared" si="7"/>
        <v>1426.89</v>
      </c>
    </row>
    <row r="7334">
      <c r="A7334" s="10">
        <f t="shared" si="8"/>
        <v>45316.66667</v>
      </c>
      <c r="B7334" s="2" t="str">
        <f t="shared" si="2"/>
        <v/>
      </c>
      <c r="C7334" s="2" t="str">
        <f t="shared" si="3"/>
        <v>SP500</v>
      </c>
      <c r="D7334" s="2">
        <f t="shared" si="4"/>
        <v>15510.5</v>
      </c>
      <c r="E7334" s="2">
        <f t="shared" si="5"/>
        <v>15510.5</v>
      </c>
      <c r="G7334" s="10">
        <f t="shared" si="9"/>
        <v>45316.64583</v>
      </c>
      <c r="H7334" s="6" t="str">
        <f t="shared" si="6"/>
        <v/>
      </c>
      <c r="I7334" s="2">
        <f t="shared" si="7"/>
        <v>1426.89</v>
      </c>
    </row>
    <row r="7335">
      <c r="A7335" s="10">
        <f t="shared" si="8"/>
        <v>45317.66667</v>
      </c>
      <c r="B7335" s="2" t="str">
        <f t="shared" si="2"/>
        <v/>
      </c>
      <c r="C7335" s="2" t="str">
        <f t="shared" si="3"/>
        <v>SP500</v>
      </c>
      <c r="D7335" s="2">
        <f t="shared" si="4"/>
        <v>15455.36</v>
      </c>
      <c r="E7335" s="2">
        <f t="shared" si="5"/>
        <v>15455.36</v>
      </c>
      <c r="G7335" s="10">
        <f t="shared" si="9"/>
        <v>45317.64583</v>
      </c>
      <c r="H7335" s="6" t="str">
        <f t="shared" si="6"/>
        <v/>
      </c>
      <c r="I7335" s="2">
        <f t="shared" si="7"/>
        <v>1426.89</v>
      </c>
    </row>
    <row r="7336">
      <c r="A7336" s="10">
        <f t="shared" si="8"/>
        <v>45318.66667</v>
      </c>
      <c r="B7336" s="2" t="str">
        <f t="shared" si="2"/>
        <v/>
      </c>
      <c r="C7336" s="2" t="str">
        <f t="shared" si="3"/>
        <v>SP500</v>
      </c>
      <c r="D7336" s="2" t="str">
        <f t="shared" si="4"/>
        <v/>
      </c>
      <c r="E7336" s="2">
        <f t="shared" si="5"/>
        <v>15455.36</v>
      </c>
      <c r="G7336" s="10">
        <f t="shared" si="9"/>
        <v>45318.64583</v>
      </c>
      <c r="H7336" s="6" t="str">
        <f t="shared" si="6"/>
        <v/>
      </c>
      <c r="I7336" s="2">
        <f t="shared" si="7"/>
        <v>1426.89</v>
      </c>
    </row>
    <row r="7337">
      <c r="A7337" s="10">
        <f t="shared" si="8"/>
        <v>45319.66667</v>
      </c>
      <c r="B7337" s="2" t="str">
        <f t="shared" si="2"/>
        <v/>
      </c>
      <c r="C7337" s="2" t="str">
        <f t="shared" si="3"/>
        <v>SP500</v>
      </c>
      <c r="D7337" s="2" t="str">
        <f t="shared" si="4"/>
        <v/>
      </c>
      <c r="E7337" s="2">
        <f t="shared" si="5"/>
        <v>15455.36</v>
      </c>
      <c r="G7337" s="10">
        <f t="shared" si="9"/>
        <v>45319.64583</v>
      </c>
      <c r="H7337" s="6" t="str">
        <f t="shared" si="6"/>
        <v/>
      </c>
      <c r="I7337" s="2">
        <f t="shared" si="7"/>
        <v>1426.89</v>
      </c>
    </row>
    <row r="7338">
      <c r="A7338" s="10">
        <f t="shared" si="8"/>
        <v>45320.66667</v>
      </c>
      <c r="B7338" s="2" t="str">
        <f t="shared" si="2"/>
        <v/>
      </c>
      <c r="C7338" s="2" t="str">
        <f t="shared" si="3"/>
        <v>SP500</v>
      </c>
      <c r="D7338" s="2">
        <f t="shared" si="4"/>
        <v>15628.04</v>
      </c>
      <c r="E7338" s="2">
        <f t="shared" si="5"/>
        <v>15628.04</v>
      </c>
      <c r="G7338" s="10">
        <f t="shared" si="9"/>
        <v>45320.64583</v>
      </c>
      <c r="H7338" s="6" t="str">
        <f t="shared" si="6"/>
        <v/>
      </c>
      <c r="I7338" s="2">
        <f t="shared" si="7"/>
        <v>1426.89</v>
      </c>
    </row>
    <row r="7339">
      <c r="A7339" s="10">
        <f t="shared" si="8"/>
        <v>45321.66667</v>
      </c>
      <c r="B7339" s="2" t="str">
        <f t="shared" si="2"/>
        <v/>
      </c>
      <c r="C7339" s="2" t="str">
        <f t="shared" si="3"/>
        <v>SP500</v>
      </c>
      <c r="D7339" s="2">
        <f t="shared" si="4"/>
        <v>15509.9</v>
      </c>
      <c r="E7339" s="2">
        <f t="shared" si="5"/>
        <v>15509.9</v>
      </c>
      <c r="G7339" s="10">
        <f t="shared" si="9"/>
        <v>45321.64583</v>
      </c>
      <c r="H7339" s="6" t="str">
        <f t="shared" si="6"/>
        <v/>
      </c>
      <c r="I7339" s="2">
        <f t="shared" si="7"/>
        <v>1426.89</v>
      </c>
    </row>
    <row r="7340">
      <c r="A7340" s="10">
        <f t="shared" si="8"/>
        <v>45322.66667</v>
      </c>
      <c r="B7340" s="2" t="str">
        <f t="shared" si="2"/>
        <v/>
      </c>
      <c r="C7340" s="2" t="str">
        <f t="shared" si="3"/>
        <v>SP500</v>
      </c>
      <c r="D7340" s="2">
        <f t="shared" si="4"/>
        <v>15164.01</v>
      </c>
      <c r="E7340" s="2">
        <f t="shared" si="5"/>
        <v>15164.01</v>
      </c>
      <c r="G7340" s="10">
        <f t="shared" si="9"/>
        <v>45322.64583</v>
      </c>
      <c r="H7340" s="6" t="str">
        <f t="shared" si="6"/>
        <v/>
      </c>
      <c r="I7340" s="2">
        <f t="shared" si="7"/>
        <v>1426.89</v>
      </c>
    </row>
    <row r="7341">
      <c r="A7341" s="10">
        <f t="shared" si="8"/>
        <v>45323.66667</v>
      </c>
      <c r="B7341" s="2" t="str">
        <f t="shared" si="2"/>
        <v/>
      </c>
      <c r="C7341" s="2" t="str">
        <f t="shared" si="3"/>
        <v>SP500</v>
      </c>
      <c r="D7341" s="2">
        <f t="shared" si="4"/>
        <v>15361.64</v>
      </c>
      <c r="E7341" s="2">
        <f t="shared" si="5"/>
        <v>15361.64</v>
      </c>
      <c r="G7341" s="10">
        <f t="shared" si="9"/>
        <v>45323.64583</v>
      </c>
      <c r="H7341" s="6" t="str">
        <f t="shared" si="6"/>
        <v/>
      </c>
      <c r="I7341" s="2">
        <f t="shared" si="7"/>
        <v>1426.89</v>
      </c>
    </row>
    <row r="7342">
      <c r="A7342" s="10">
        <f t="shared" si="8"/>
        <v>45324.66667</v>
      </c>
      <c r="B7342" s="2" t="str">
        <f t="shared" si="2"/>
        <v/>
      </c>
      <c r="C7342" s="2" t="str">
        <f t="shared" si="3"/>
        <v>SP500</v>
      </c>
      <c r="D7342" s="2">
        <f t="shared" si="4"/>
        <v>15628.95</v>
      </c>
      <c r="E7342" s="2">
        <f t="shared" si="5"/>
        <v>15628.95</v>
      </c>
      <c r="G7342" s="10">
        <f t="shared" si="9"/>
        <v>45324.64583</v>
      </c>
      <c r="H7342" s="6" t="str">
        <f t="shared" si="6"/>
        <v/>
      </c>
      <c r="I7342" s="2">
        <f t="shared" si="7"/>
        <v>1426.89</v>
      </c>
    </row>
    <row r="7343">
      <c r="A7343" s="10">
        <f t="shared" si="8"/>
        <v>45325.66667</v>
      </c>
      <c r="B7343" s="2" t="str">
        <f t="shared" si="2"/>
        <v/>
      </c>
      <c r="C7343" s="2" t="str">
        <f t="shared" si="3"/>
        <v>SP500</v>
      </c>
      <c r="D7343" s="2" t="str">
        <f t="shared" si="4"/>
        <v/>
      </c>
      <c r="E7343" s="2">
        <f t="shared" si="5"/>
        <v>15628.95</v>
      </c>
      <c r="G7343" s="10">
        <f t="shared" si="9"/>
        <v>45325.64583</v>
      </c>
      <c r="H7343" s="6" t="str">
        <f t="shared" si="6"/>
        <v/>
      </c>
      <c r="I7343" s="2">
        <f t="shared" si="7"/>
        <v>1426.89</v>
      </c>
    </row>
    <row r="7344">
      <c r="A7344" s="10">
        <f t="shared" si="8"/>
        <v>45326.66667</v>
      </c>
      <c r="B7344" s="2" t="str">
        <f t="shared" si="2"/>
        <v/>
      </c>
      <c r="C7344" s="2" t="str">
        <f t="shared" si="3"/>
        <v>SP500</v>
      </c>
      <c r="D7344" s="2" t="str">
        <f t="shared" si="4"/>
        <v/>
      </c>
      <c r="E7344" s="2">
        <f t="shared" si="5"/>
        <v>15628.95</v>
      </c>
      <c r="G7344" s="10">
        <f t="shared" si="9"/>
        <v>45326.64583</v>
      </c>
      <c r="H7344" s="6" t="str">
        <f t="shared" si="6"/>
        <v/>
      </c>
      <c r="I7344" s="2">
        <f t="shared" si="7"/>
        <v>1426.89</v>
      </c>
    </row>
    <row r="7345">
      <c r="A7345" s="10">
        <f t="shared" si="8"/>
        <v>45327.66667</v>
      </c>
      <c r="B7345" s="2" t="str">
        <f t="shared" si="2"/>
        <v/>
      </c>
      <c r="C7345" s="2" t="str">
        <f t="shared" si="3"/>
        <v>SP500</v>
      </c>
      <c r="D7345" s="2">
        <f t="shared" si="4"/>
        <v>15597.68</v>
      </c>
      <c r="E7345" s="2">
        <f t="shared" si="5"/>
        <v>15597.68</v>
      </c>
      <c r="G7345" s="10">
        <f t="shared" si="9"/>
        <v>45327.64583</v>
      </c>
      <c r="H7345" s="6" t="str">
        <f t="shared" si="6"/>
        <v/>
      </c>
      <c r="I7345" s="2">
        <f t="shared" si="7"/>
        <v>1426.89</v>
      </c>
    </row>
    <row r="7346">
      <c r="A7346" s="10">
        <f t="shared" si="8"/>
        <v>45328.66667</v>
      </c>
      <c r="B7346" s="2" t="str">
        <f t="shared" si="2"/>
        <v/>
      </c>
      <c r="C7346" s="2" t="str">
        <f t="shared" si="3"/>
        <v>SP500</v>
      </c>
      <c r="D7346" s="2">
        <f t="shared" si="4"/>
        <v>15609</v>
      </c>
      <c r="E7346" s="2">
        <f t="shared" si="5"/>
        <v>15609</v>
      </c>
      <c r="G7346" s="10">
        <f t="shared" si="9"/>
        <v>45328.64583</v>
      </c>
      <c r="H7346" s="6" t="str">
        <f t="shared" si="6"/>
        <v/>
      </c>
      <c r="I7346" s="2">
        <f t="shared" si="7"/>
        <v>1426.89</v>
      </c>
    </row>
    <row r="7347">
      <c r="A7347" s="10">
        <f t="shared" si="8"/>
        <v>45329.66667</v>
      </c>
      <c r="B7347" s="2" t="str">
        <f t="shared" si="2"/>
        <v/>
      </c>
      <c r="C7347" s="2" t="str">
        <f t="shared" si="3"/>
        <v>SP500</v>
      </c>
      <c r="D7347" s="2">
        <f t="shared" si="4"/>
        <v>15756.64</v>
      </c>
      <c r="E7347" s="2">
        <f t="shared" si="5"/>
        <v>15756.64</v>
      </c>
      <c r="G7347" s="10">
        <f t="shared" si="9"/>
        <v>45329.64583</v>
      </c>
      <c r="H7347" s="6" t="str">
        <f t="shared" si="6"/>
        <v/>
      </c>
      <c r="I7347" s="2">
        <f t="shared" si="7"/>
        <v>1426.89</v>
      </c>
    </row>
    <row r="7348">
      <c r="A7348" s="10">
        <f t="shared" si="8"/>
        <v>45330.66667</v>
      </c>
      <c r="B7348" s="2" t="str">
        <f t="shared" si="2"/>
        <v/>
      </c>
      <c r="C7348" s="2" t="str">
        <f t="shared" si="3"/>
        <v>SP500</v>
      </c>
      <c r="D7348" s="2">
        <f t="shared" si="4"/>
        <v>15793.72</v>
      </c>
      <c r="E7348" s="2">
        <f t="shared" si="5"/>
        <v>15793.72</v>
      </c>
      <c r="G7348" s="10">
        <f t="shared" si="9"/>
        <v>45330.64583</v>
      </c>
      <c r="H7348" s="6" t="str">
        <f t="shared" si="6"/>
        <v/>
      </c>
      <c r="I7348" s="2">
        <f t="shared" si="7"/>
        <v>1426.89</v>
      </c>
    </row>
    <row r="7349">
      <c r="A7349" s="10">
        <f t="shared" si="8"/>
        <v>45331.66667</v>
      </c>
      <c r="B7349" s="2" t="str">
        <f t="shared" si="2"/>
        <v/>
      </c>
      <c r="C7349" s="2" t="str">
        <f t="shared" si="3"/>
        <v>SP500</v>
      </c>
      <c r="D7349" s="2">
        <f t="shared" si="4"/>
        <v>15990.66</v>
      </c>
      <c r="E7349" s="2">
        <f t="shared" si="5"/>
        <v>15990.66</v>
      </c>
      <c r="G7349" s="10">
        <f t="shared" si="9"/>
        <v>45331.64583</v>
      </c>
      <c r="H7349" s="6" t="str">
        <f t="shared" si="6"/>
        <v/>
      </c>
      <c r="I7349" s="2">
        <f t="shared" si="7"/>
        <v>1426.89</v>
      </c>
    </row>
    <row r="7350">
      <c r="A7350" s="10">
        <f t="shared" si="8"/>
        <v>45332.66667</v>
      </c>
      <c r="B7350" s="2" t="str">
        <f t="shared" si="2"/>
        <v/>
      </c>
      <c r="C7350" s="2" t="str">
        <f t="shared" si="3"/>
        <v>SP500</v>
      </c>
      <c r="D7350" s="2" t="str">
        <f t="shared" si="4"/>
        <v/>
      </c>
      <c r="E7350" s="2">
        <f t="shared" si="5"/>
        <v>15990.66</v>
      </c>
      <c r="G7350" s="10">
        <f t="shared" si="9"/>
        <v>45332.64583</v>
      </c>
      <c r="H7350" s="6" t="str">
        <f t="shared" si="6"/>
        <v/>
      </c>
      <c r="I7350" s="2">
        <f t="shared" si="7"/>
        <v>1426.89</v>
      </c>
    </row>
    <row r="7351">
      <c r="A7351" s="10">
        <f t="shared" si="8"/>
        <v>45333.66667</v>
      </c>
      <c r="B7351" s="2" t="str">
        <f t="shared" si="2"/>
        <v/>
      </c>
      <c r="C7351" s="2" t="str">
        <f t="shared" si="3"/>
        <v>SP500</v>
      </c>
      <c r="D7351" s="2" t="str">
        <f t="shared" si="4"/>
        <v/>
      </c>
      <c r="E7351" s="2">
        <f t="shared" si="5"/>
        <v>15990.66</v>
      </c>
      <c r="G7351" s="10">
        <f t="shared" si="9"/>
        <v>45333.64583</v>
      </c>
      <c r="H7351" s="6" t="str">
        <f t="shared" si="6"/>
        <v/>
      </c>
      <c r="I7351" s="2">
        <f t="shared" si="7"/>
        <v>1426.89</v>
      </c>
    </row>
    <row r="7352">
      <c r="A7352" s="10">
        <f t="shared" si="8"/>
        <v>45334.66667</v>
      </c>
      <c r="B7352" s="2" t="str">
        <f t="shared" si="2"/>
        <v/>
      </c>
      <c r="C7352" s="2" t="str">
        <f t="shared" si="3"/>
        <v>SP500</v>
      </c>
      <c r="D7352" s="2">
        <f t="shared" si="4"/>
        <v>15942.55</v>
      </c>
      <c r="E7352" s="2">
        <f t="shared" si="5"/>
        <v>15942.55</v>
      </c>
      <c r="G7352" s="10">
        <f t="shared" si="9"/>
        <v>45334.64583</v>
      </c>
      <c r="H7352" s="6" t="str">
        <f t="shared" si="6"/>
        <v/>
      </c>
      <c r="I7352" s="2">
        <f t="shared" si="7"/>
        <v>1426.89</v>
      </c>
    </row>
    <row r="7353">
      <c r="A7353" s="10">
        <f t="shared" si="8"/>
        <v>45335.66667</v>
      </c>
      <c r="B7353" s="2" t="str">
        <f t="shared" si="2"/>
        <v/>
      </c>
      <c r="C7353" s="2" t="str">
        <f t="shared" si="3"/>
        <v>SP500</v>
      </c>
      <c r="D7353" s="2">
        <f t="shared" si="4"/>
        <v>15655.6</v>
      </c>
      <c r="E7353" s="2">
        <f t="shared" si="5"/>
        <v>15655.6</v>
      </c>
      <c r="G7353" s="10">
        <f t="shared" si="9"/>
        <v>45335.64583</v>
      </c>
      <c r="H7353" s="6" t="str">
        <f t="shared" si="6"/>
        <v/>
      </c>
      <c r="I7353" s="2">
        <f t="shared" si="7"/>
        <v>1426.89</v>
      </c>
    </row>
    <row r="7354">
      <c r="A7354" s="10">
        <f t="shared" si="8"/>
        <v>45336.66667</v>
      </c>
      <c r="B7354" s="2" t="str">
        <f t="shared" si="2"/>
        <v/>
      </c>
      <c r="C7354" s="2" t="str">
        <f t="shared" si="3"/>
        <v>SP500</v>
      </c>
      <c r="D7354" s="2">
        <f t="shared" si="4"/>
        <v>15859.15</v>
      </c>
      <c r="E7354" s="2">
        <f t="shared" si="5"/>
        <v>15859.15</v>
      </c>
      <c r="G7354" s="10">
        <f t="shared" si="9"/>
        <v>45336.64583</v>
      </c>
      <c r="H7354" s="6" t="str">
        <f t="shared" si="6"/>
        <v/>
      </c>
      <c r="I7354" s="2">
        <f t="shared" si="7"/>
        <v>1426.89</v>
      </c>
    </row>
    <row r="7355">
      <c r="A7355" s="10">
        <f t="shared" si="8"/>
        <v>45337.66667</v>
      </c>
      <c r="B7355" s="2" t="str">
        <f t="shared" si="2"/>
        <v/>
      </c>
      <c r="C7355" s="2" t="str">
        <f t="shared" si="3"/>
        <v>SP500</v>
      </c>
      <c r="D7355" s="2">
        <f t="shared" si="4"/>
        <v>15906.17</v>
      </c>
      <c r="E7355" s="2">
        <f t="shared" si="5"/>
        <v>15906.17</v>
      </c>
      <c r="G7355" s="10">
        <f t="shared" si="9"/>
        <v>45337.64583</v>
      </c>
      <c r="H7355" s="6" t="str">
        <f t="shared" si="6"/>
        <v/>
      </c>
      <c r="I7355" s="2">
        <f t="shared" si="7"/>
        <v>1426.89</v>
      </c>
    </row>
    <row r="7356">
      <c r="A7356" s="10">
        <f t="shared" si="8"/>
        <v>45338.66667</v>
      </c>
      <c r="B7356" s="2" t="str">
        <f t="shared" si="2"/>
        <v/>
      </c>
      <c r="C7356" s="2" t="str">
        <f t="shared" si="3"/>
        <v>SP500</v>
      </c>
      <c r="D7356" s="2">
        <f t="shared" si="4"/>
        <v>15775.65</v>
      </c>
      <c r="E7356" s="2">
        <f t="shared" si="5"/>
        <v>15775.65</v>
      </c>
      <c r="G7356" s="10">
        <f t="shared" si="9"/>
        <v>45338.64583</v>
      </c>
      <c r="H7356" s="6" t="str">
        <f t="shared" si="6"/>
        <v/>
      </c>
      <c r="I7356" s="2">
        <f t="shared" si="7"/>
        <v>1426.89</v>
      </c>
    </row>
    <row r="7357">
      <c r="A7357" s="10">
        <f t="shared" si="8"/>
        <v>45339.66667</v>
      </c>
      <c r="B7357" s="2" t="str">
        <f t="shared" si="2"/>
        <v/>
      </c>
      <c r="C7357" s="2" t="str">
        <f t="shared" si="3"/>
        <v>SP500</v>
      </c>
      <c r="D7357" s="2" t="str">
        <f t="shared" si="4"/>
        <v/>
      </c>
      <c r="E7357" s="2">
        <f t="shared" si="5"/>
        <v>15775.65</v>
      </c>
      <c r="G7357" s="10">
        <f t="shared" si="9"/>
        <v>45339.64583</v>
      </c>
      <c r="H7357" s="6" t="str">
        <f t="shared" si="6"/>
        <v/>
      </c>
      <c r="I7357" s="2">
        <f t="shared" si="7"/>
        <v>1426.89</v>
      </c>
    </row>
    <row r="7358">
      <c r="A7358" s="10">
        <f t="shared" si="8"/>
        <v>45340.66667</v>
      </c>
      <c r="B7358" s="2" t="str">
        <f t="shared" si="2"/>
        <v/>
      </c>
      <c r="C7358" s="2" t="str">
        <f t="shared" si="3"/>
        <v>SP500</v>
      </c>
      <c r="D7358" s="2" t="str">
        <f t="shared" si="4"/>
        <v/>
      </c>
      <c r="E7358" s="2">
        <f t="shared" si="5"/>
        <v>15775.65</v>
      </c>
      <c r="G7358" s="10">
        <f t="shared" si="9"/>
        <v>45340.64583</v>
      </c>
      <c r="H7358" s="6" t="str">
        <f t="shared" si="6"/>
        <v/>
      </c>
      <c r="I7358" s="2">
        <f t="shared" si="7"/>
        <v>1426.89</v>
      </c>
    </row>
    <row r="7359">
      <c r="A7359" s="10">
        <f t="shared" si="8"/>
        <v>45341.66667</v>
      </c>
      <c r="B7359" s="2" t="str">
        <f t="shared" si="2"/>
        <v/>
      </c>
      <c r="C7359" s="2" t="str">
        <f t="shared" si="3"/>
        <v>SP500</v>
      </c>
      <c r="D7359" s="2" t="str">
        <f t="shared" si="4"/>
        <v/>
      </c>
      <c r="E7359" s="2">
        <f t="shared" si="5"/>
        <v>15775.65</v>
      </c>
      <c r="G7359" s="10">
        <f t="shared" si="9"/>
        <v>45341.64583</v>
      </c>
      <c r="H7359" s="6" t="str">
        <f t="shared" si="6"/>
        <v/>
      </c>
      <c r="I7359" s="2">
        <f t="shared" si="7"/>
        <v>1426.89</v>
      </c>
    </row>
    <row r="7360">
      <c r="A7360" s="10">
        <f t="shared" si="8"/>
        <v>45342.66667</v>
      </c>
      <c r="B7360" s="2" t="str">
        <f t="shared" si="2"/>
        <v/>
      </c>
      <c r="C7360" s="2" t="str">
        <f t="shared" si="3"/>
        <v>SP500</v>
      </c>
      <c r="D7360" s="2">
        <f t="shared" si="4"/>
        <v>15630.78</v>
      </c>
      <c r="E7360" s="2">
        <f t="shared" si="5"/>
        <v>15630.78</v>
      </c>
      <c r="G7360" s="10">
        <f t="shared" si="9"/>
        <v>45342.64583</v>
      </c>
      <c r="H7360" s="6" t="str">
        <f t="shared" si="6"/>
        <v/>
      </c>
      <c r="I7360" s="2">
        <f t="shared" si="7"/>
        <v>1426.89</v>
      </c>
    </row>
    <row r="7361">
      <c r="A7361" s="10">
        <f t="shared" si="8"/>
        <v>45343.66667</v>
      </c>
      <c r="B7361" s="2" t="str">
        <f t="shared" si="2"/>
        <v/>
      </c>
      <c r="C7361" s="2" t="str">
        <f t="shared" si="3"/>
        <v>SP500</v>
      </c>
      <c r="D7361" s="2">
        <f t="shared" si="4"/>
        <v>15580.87</v>
      </c>
      <c r="E7361" s="2">
        <f t="shared" si="5"/>
        <v>15580.87</v>
      </c>
      <c r="G7361" s="10">
        <f t="shared" si="9"/>
        <v>45343.64583</v>
      </c>
      <c r="H7361" s="6" t="str">
        <f t="shared" si="6"/>
        <v/>
      </c>
      <c r="I7361" s="2">
        <f t="shared" si="7"/>
        <v>1426.89</v>
      </c>
    </row>
    <row r="7362">
      <c r="A7362" s="10">
        <f t="shared" si="8"/>
        <v>45344.66667</v>
      </c>
      <c r="B7362" s="2" t="str">
        <f t="shared" si="2"/>
        <v/>
      </c>
      <c r="C7362" s="2" t="str">
        <f t="shared" si="3"/>
        <v>SP500</v>
      </c>
      <c r="D7362" s="2">
        <f t="shared" si="4"/>
        <v>16041.62</v>
      </c>
      <c r="E7362" s="2">
        <f t="shared" si="5"/>
        <v>16041.62</v>
      </c>
      <c r="G7362" s="10">
        <f t="shared" si="9"/>
        <v>45344.64583</v>
      </c>
      <c r="H7362" s="6" t="str">
        <f t="shared" si="6"/>
        <v/>
      </c>
      <c r="I7362" s="2">
        <f t="shared" si="7"/>
        <v>1426.89</v>
      </c>
    </row>
    <row r="7363">
      <c r="A7363" s="10">
        <f t="shared" si="8"/>
        <v>45345.66667</v>
      </c>
      <c r="B7363" s="2" t="str">
        <f t="shared" si="2"/>
        <v/>
      </c>
      <c r="C7363" s="2" t="str">
        <f t="shared" si="3"/>
        <v>SP500</v>
      </c>
      <c r="D7363" s="2">
        <f t="shared" si="4"/>
        <v>15996.82</v>
      </c>
      <c r="E7363" s="2">
        <f t="shared" si="5"/>
        <v>15996.82</v>
      </c>
      <c r="G7363" s="10">
        <f t="shared" si="9"/>
        <v>45345.64583</v>
      </c>
      <c r="H7363" s="6" t="str">
        <f t="shared" si="6"/>
        <v/>
      </c>
      <c r="I7363" s="2">
        <f t="shared" si="7"/>
        <v>1426.89</v>
      </c>
    </row>
    <row r="7364">
      <c r="A7364" s="10">
        <f t="shared" si="8"/>
        <v>45346.66667</v>
      </c>
      <c r="B7364" s="2" t="str">
        <f t="shared" si="2"/>
        <v/>
      </c>
      <c r="C7364" s="2" t="str">
        <f t="shared" si="3"/>
        <v>SP500</v>
      </c>
      <c r="D7364" s="2" t="str">
        <f t="shared" si="4"/>
        <v/>
      </c>
      <c r="E7364" s="2">
        <f t="shared" si="5"/>
        <v>15996.82</v>
      </c>
      <c r="G7364" s="10">
        <f t="shared" si="9"/>
        <v>45346.64583</v>
      </c>
      <c r="H7364" s="6" t="str">
        <f t="shared" si="6"/>
        <v/>
      </c>
      <c r="I7364" s="2">
        <f t="shared" si="7"/>
        <v>1426.89</v>
      </c>
    </row>
    <row r="7365">
      <c r="A7365" s="10">
        <f t="shared" si="8"/>
        <v>45347.66667</v>
      </c>
      <c r="B7365" s="2" t="str">
        <f t="shared" si="2"/>
        <v/>
      </c>
      <c r="C7365" s="2" t="str">
        <f t="shared" si="3"/>
        <v>SP500</v>
      </c>
      <c r="D7365" s="2" t="str">
        <f t="shared" si="4"/>
        <v/>
      </c>
      <c r="E7365" s="2">
        <f t="shared" si="5"/>
        <v>15996.82</v>
      </c>
      <c r="G7365" s="10">
        <f t="shared" si="9"/>
        <v>45347.64583</v>
      </c>
      <c r="H7365" s="6" t="str">
        <f t="shared" si="6"/>
        <v/>
      </c>
      <c r="I7365" s="2">
        <f t="shared" si="7"/>
        <v>1426.89</v>
      </c>
    </row>
    <row r="7366">
      <c r="A7366" s="10">
        <f t="shared" si="8"/>
        <v>45348.66667</v>
      </c>
      <c r="B7366" s="2" t="str">
        <f t="shared" si="2"/>
        <v/>
      </c>
      <c r="C7366" s="2" t="str">
        <f t="shared" si="3"/>
        <v>SP500</v>
      </c>
      <c r="D7366" s="2">
        <f t="shared" si="4"/>
        <v>15976.25</v>
      </c>
      <c r="E7366" s="2">
        <f t="shared" si="5"/>
        <v>15976.25</v>
      </c>
      <c r="G7366" s="10">
        <f t="shared" si="9"/>
        <v>45348.64583</v>
      </c>
      <c r="H7366" s="6" t="str">
        <f t="shared" si="6"/>
        <v/>
      </c>
      <c r="I7366" s="2">
        <f t="shared" si="7"/>
        <v>1426.89</v>
      </c>
    </row>
    <row r="7367">
      <c r="A7367" s="10">
        <f t="shared" si="8"/>
        <v>45349.66667</v>
      </c>
      <c r="B7367" s="2" t="str">
        <f t="shared" si="2"/>
        <v/>
      </c>
      <c r="C7367" s="2" t="str">
        <f t="shared" si="3"/>
        <v>SP500</v>
      </c>
      <c r="D7367" s="2">
        <f t="shared" si="4"/>
        <v>16035.3</v>
      </c>
      <c r="E7367" s="2">
        <f t="shared" si="5"/>
        <v>16035.3</v>
      </c>
      <c r="G7367" s="10">
        <f t="shared" si="9"/>
        <v>45349.64583</v>
      </c>
      <c r="H7367" s="6" t="str">
        <f t="shared" si="6"/>
        <v/>
      </c>
      <c r="I7367" s="2">
        <f t="shared" si="7"/>
        <v>1426.89</v>
      </c>
    </row>
    <row r="7368">
      <c r="A7368" s="10">
        <f t="shared" si="8"/>
        <v>45350.66667</v>
      </c>
      <c r="B7368" s="2" t="str">
        <f t="shared" si="2"/>
        <v/>
      </c>
      <c r="C7368" s="2" t="str">
        <f t="shared" si="3"/>
        <v>SP500</v>
      </c>
      <c r="D7368" s="2">
        <f t="shared" si="4"/>
        <v>15947.74</v>
      </c>
      <c r="E7368" s="2">
        <f t="shared" si="5"/>
        <v>15947.74</v>
      </c>
      <c r="G7368" s="10">
        <f t="shared" si="9"/>
        <v>45350.64583</v>
      </c>
      <c r="H7368" s="6" t="str">
        <f t="shared" si="6"/>
        <v/>
      </c>
      <c r="I7368" s="2">
        <f t="shared" si="7"/>
        <v>1426.89</v>
      </c>
    </row>
    <row r="7369">
      <c r="A7369" s="10">
        <f t="shared" si="8"/>
        <v>45351.66667</v>
      </c>
      <c r="B7369" s="2" t="str">
        <f t="shared" si="2"/>
        <v/>
      </c>
      <c r="C7369" s="2" t="str">
        <f t="shared" si="3"/>
        <v>SP500</v>
      </c>
      <c r="D7369" s="2">
        <f t="shared" si="4"/>
        <v>16091.92</v>
      </c>
      <c r="E7369" s="2">
        <f t="shared" si="5"/>
        <v>16091.92</v>
      </c>
      <c r="G7369" s="10">
        <f t="shared" si="9"/>
        <v>45351.64583</v>
      </c>
      <c r="H7369" s="6" t="str">
        <f t="shared" si="6"/>
        <v/>
      </c>
      <c r="I7369" s="2">
        <f t="shared" si="7"/>
        <v>1426.89</v>
      </c>
    </row>
    <row r="7370">
      <c r="A7370" s="10">
        <f t="shared" si="8"/>
        <v>45352.66667</v>
      </c>
      <c r="B7370" s="2" t="str">
        <f t="shared" si="2"/>
        <v/>
      </c>
      <c r="C7370" s="2" t="str">
        <f t="shared" si="3"/>
        <v>SP500</v>
      </c>
      <c r="D7370" s="2">
        <f t="shared" si="4"/>
        <v>16274.94</v>
      </c>
      <c r="E7370" s="2">
        <f t="shared" si="5"/>
        <v>16274.94</v>
      </c>
      <c r="G7370" s="10">
        <f t="shared" si="9"/>
        <v>45352.64583</v>
      </c>
      <c r="H7370" s="6" t="str">
        <f t="shared" si="6"/>
        <v/>
      </c>
      <c r="I7370" s="2">
        <f t="shared" si="7"/>
        <v>1426.89</v>
      </c>
    </row>
    <row r="7371">
      <c r="A7371" s="10">
        <f t="shared" si="8"/>
        <v>45353.66667</v>
      </c>
      <c r="B7371" s="2" t="str">
        <f t="shared" si="2"/>
        <v/>
      </c>
      <c r="C7371" s="2" t="str">
        <f t="shared" si="3"/>
        <v>SP500</v>
      </c>
      <c r="D7371" s="2" t="str">
        <f t="shared" si="4"/>
        <v/>
      </c>
      <c r="E7371" s="2">
        <f t="shared" si="5"/>
        <v>16274.94</v>
      </c>
      <c r="G7371" s="10">
        <f t="shared" si="9"/>
        <v>45353.64583</v>
      </c>
      <c r="H7371" s="6" t="str">
        <f t="shared" si="6"/>
        <v/>
      </c>
      <c r="I7371" s="2">
        <f t="shared" si="7"/>
        <v>1426.89</v>
      </c>
    </row>
    <row r="7372">
      <c r="A7372" s="10">
        <f t="shared" si="8"/>
        <v>45354.66667</v>
      </c>
      <c r="B7372" s="2" t="str">
        <f t="shared" si="2"/>
        <v/>
      </c>
      <c r="C7372" s="2" t="str">
        <f t="shared" si="3"/>
        <v>SP500</v>
      </c>
      <c r="D7372" s="2" t="str">
        <f t="shared" si="4"/>
        <v/>
      </c>
      <c r="E7372" s="2">
        <f t="shared" si="5"/>
        <v>16274.94</v>
      </c>
      <c r="G7372" s="10">
        <f t="shared" si="9"/>
        <v>45354.64583</v>
      </c>
      <c r="H7372" s="6" t="str">
        <f t="shared" si="6"/>
        <v/>
      </c>
      <c r="I7372" s="2">
        <f t="shared" si="7"/>
        <v>1426.89</v>
      </c>
    </row>
    <row r="7373">
      <c r="A7373" s="10">
        <f t="shared" si="8"/>
        <v>45355.66667</v>
      </c>
      <c r="B7373" s="2" t="str">
        <f t="shared" si="2"/>
        <v/>
      </c>
      <c r="C7373" s="2" t="str">
        <f t="shared" si="3"/>
        <v>SP500</v>
      </c>
      <c r="D7373" s="2">
        <f t="shared" si="4"/>
        <v>16207.51</v>
      </c>
      <c r="E7373" s="2">
        <f t="shared" si="5"/>
        <v>16207.51</v>
      </c>
      <c r="G7373" s="10">
        <f t="shared" si="9"/>
        <v>45355.64583</v>
      </c>
      <c r="H7373" s="6" t="str">
        <f t="shared" si="6"/>
        <v/>
      </c>
      <c r="I7373" s="2">
        <f t="shared" si="7"/>
        <v>1426.89</v>
      </c>
    </row>
    <row r="7374">
      <c r="A7374" s="10">
        <f t="shared" si="8"/>
        <v>45356.66667</v>
      </c>
      <c r="B7374" s="2" t="str">
        <f t="shared" si="2"/>
        <v/>
      </c>
      <c r="C7374" s="2" t="str">
        <f t="shared" si="3"/>
        <v>SP500</v>
      </c>
      <c r="D7374" s="2">
        <f t="shared" si="4"/>
        <v>15939.59</v>
      </c>
      <c r="E7374" s="2">
        <f t="shared" si="5"/>
        <v>15939.59</v>
      </c>
      <c r="G7374" s="10">
        <f t="shared" si="9"/>
        <v>45356.64583</v>
      </c>
      <c r="H7374" s="6" t="str">
        <f t="shared" si="6"/>
        <v/>
      </c>
      <c r="I7374" s="2">
        <f t="shared" si="7"/>
        <v>1426.89</v>
      </c>
    </row>
    <row r="7375">
      <c r="A7375" s="10">
        <f t="shared" si="8"/>
        <v>45357.66667</v>
      </c>
      <c r="B7375" s="2" t="str">
        <f t="shared" si="2"/>
        <v/>
      </c>
      <c r="C7375" s="2" t="str">
        <f t="shared" si="3"/>
        <v>SP500</v>
      </c>
      <c r="D7375" s="2">
        <f t="shared" si="4"/>
        <v>16031.54</v>
      </c>
      <c r="E7375" s="2">
        <f t="shared" si="5"/>
        <v>16031.54</v>
      </c>
      <c r="G7375" s="10">
        <f t="shared" si="9"/>
        <v>45357.64583</v>
      </c>
      <c r="H7375" s="6" t="str">
        <f t="shared" si="6"/>
        <v/>
      </c>
      <c r="I7375" s="2">
        <f t="shared" si="7"/>
        <v>1426.89</v>
      </c>
    </row>
    <row r="7376">
      <c r="A7376" s="10">
        <f t="shared" si="8"/>
        <v>45358.66667</v>
      </c>
      <c r="B7376" s="2" t="str">
        <f t="shared" si="2"/>
        <v/>
      </c>
      <c r="C7376" s="2" t="str">
        <f t="shared" si="3"/>
        <v>SP500</v>
      </c>
      <c r="D7376" s="2">
        <f t="shared" si="4"/>
        <v>16273.38</v>
      </c>
      <c r="E7376" s="2">
        <f t="shared" si="5"/>
        <v>16273.38</v>
      </c>
      <c r="G7376" s="10">
        <f t="shared" si="9"/>
        <v>45358.64583</v>
      </c>
      <c r="H7376" s="6" t="str">
        <f t="shared" si="6"/>
        <v/>
      </c>
      <c r="I7376" s="2">
        <f t="shared" si="7"/>
        <v>1426.89</v>
      </c>
    </row>
    <row r="7377">
      <c r="A7377" s="10">
        <f t="shared" si="8"/>
        <v>45359.66667</v>
      </c>
      <c r="B7377" s="2" t="str">
        <f t="shared" si="2"/>
        <v/>
      </c>
      <c r="C7377" s="2" t="str">
        <f t="shared" si="3"/>
        <v>SP500</v>
      </c>
      <c r="D7377" s="2">
        <f t="shared" si="4"/>
        <v>16085.11</v>
      </c>
      <c r="E7377" s="2">
        <f t="shared" si="5"/>
        <v>16085.11</v>
      </c>
      <c r="G7377" s="10">
        <f t="shared" si="9"/>
        <v>45359.64583</v>
      </c>
      <c r="H7377" s="6" t="str">
        <f t="shared" si="6"/>
        <v/>
      </c>
      <c r="I7377" s="2">
        <f t="shared" si="7"/>
        <v>1426.89</v>
      </c>
    </row>
    <row r="7378">
      <c r="A7378" s="10">
        <f t="shared" si="8"/>
        <v>45360.66667</v>
      </c>
      <c r="B7378" s="2" t="str">
        <f t="shared" si="2"/>
        <v/>
      </c>
      <c r="C7378" s="2" t="str">
        <f t="shared" si="3"/>
        <v>SP500</v>
      </c>
      <c r="D7378" s="2" t="str">
        <f t="shared" si="4"/>
        <v/>
      </c>
      <c r="E7378" s="2">
        <f t="shared" si="5"/>
        <v>16085.11</v>
      </c>
      <c r="G7378" s="10">
        <f t="shared" si="9"/>
        <v>45360.64583</v>
      </c>
      <c r="H7378" s="6" t="str">
        <f t="shared" si="6"/>
        <v/>
      </c>
      <c r="I7378" s="2">
        <f t="shared" si="7"/>
        <v>1426.89</v>
      </c>
    </row>
    <row r="7379">
      <c r="A7379" s="10">
        <f t="shared" si="8"/>
        <v>45361.66667</v>
      </c>
      <c r="B7379" s="2" t="str">
        <f t="shared" si="2"/>
        <v/>
      </c>
      <c r="C7379" s="2" t="str">
        <f t="shared" si="3"/>
        <v>SP500</v>
      </c>
      <c r="D7379" s="2" t="str">
        <f t="shared" si="4"/>
        <v/>
      </c>
      <c r="E7379" s="2">
        <f t="shared" si="5"/>
        <v>16085.11</v>
      </c>
      <c r="G7379" s="10">
        <f t="shared" si="9"/>
        <v>45361.64583</v>
      </c>
      <c r="H7379" s="6" t="str">
        <f t="shared" si="6"/>
        <v/>
      </c>
      <c r="I7379" s="2">
        <f t="shared" si="7"/>
        <v>1426.89</v>
      </c>
    </row>
    <row r="7380">
      <c r="A7380" s="10">
        <f t="shared" si="8"/>
        <v>45362.66667</v>
      </c>
      <c r="B7380" s="2" t="str">
        <f t="shared" si="2"/>
        <v/>
      </c>
      <c r="C7380" s="2" t="str">
        <f t="shared" si="3"/>
        <v>SP500</v>
      </c>
      <c r="D7380" s="2">
        <f t="shared" si="4"/>
        <v>16019.27</v>
      </c>
      <c r="E7380" s="2">
        <f t="shared" si="5"/>
        <v>16019.27</v>
      </c>
      <c r="G7380" s="10">
        <f t="shared" si="9"/>
        <v>45362.64583</v>
      </c>
      <c r="H7380" s="6" t="str">
        <f t="shared" si="6"/>
        <v/>
      </c>
      <c r="I7380" s="2">
        <f t="shared" si="7"/>
        <v>1426.89</v>
      </c>
    </row>
    <row r="7381">
      <c r="A7381" s="10">
        <f t="shared" si="8"/>
        <v>45363.66667</v>
      </c>
      <c r="B7381" s="2" t="str">
        <f t="shared" si="2"/>
        <v/>
      </c>
      <c r="C7381" s="2" t="str">
        <f t="shared" si="3"/>
        <v>SP500</v>
      </c>
      <c r="D7381" s="2">
        <f t="shared" si="4"/>
        <v>16265.64</v>
      </c>
      <c r="E7381" s="2">
        <f t="shared" si="5"/>
        <v>16265.64</v>
      </c>
      <c r="G7381" s="10">
        <f t="shared" si="9"/>
        <v>45363.64583</v>
      </c>
      <c r="H7381" s="6" t="str">
        <f t="shared" si="6"/>
        <v/>
      </c>
      <c r="I7381" s="2">
        <f t="shared" si="7"/>
        <v>1426.89</v>
      </c>
    </row>
    <row r="7382">
      <c r="A7382" s="10">
        <f t="shared" si="8"/>
        <v>45364.66667</v>
      </c>
      <c r="B7382" s="2" t="str">
        <f t="shared" si="2"/>
        <v/>
      </c>
      <c r="C7382" s="2" t="str">
        <f t="shared" si="3"/>
        <v>SP500</v>
      </c>
      <c r="D7382" s="2">
        <f t="shared" si="4"/>
        <v>16177.77</v>
      </c>
      <c r="E7382" s="2">
        <f t="shared" si="5"/>
        <v>16177.77</v>
      </c>
      <c r="G7382" s="10">
        <f t="shared" si="9"/>
        <v>45364.64583</v>
      </c>
      <c r="H7382" s="6" t="str">
        <f t="shared" si="6"/>
        <v/>
      </c>
      <c r="I7382" s="2">
        <f t="shared" si="7"/>
        <v>1426.89</v>
      </c>
    </row>
    <row r="7383">
      <c r="A7383" s="10">
        <f t="shared" si="8"/>
        <v>45365.66667</v>
      </c>
      <c r="B7383" s="2" t="str">
        <f t="shared" si="2"/>
        <v/>
      </c>
      <c r="C7383" s="2" t="str">
        <f t="shared" si="3"/>
        <v>SP500</v>
      </c>
      <c r="D7383" s="2">
        <f t="shared" si="4"/>
        <v>16128.53</v>
      </c>
      <c r="E7383" s="2">
        <f t="shared" si="5"/>
        <v>16128.53</v>
      </c>
      <c r="G7383" s="10">
        <f t="shared" si="9"/>
        <v>45365.64583</v>
      </c>
      <c r="H7383" s="6" t="str">
        <f t="shared" si="6"/>
        <v/>
      </c>
      <c r="I7383" s="2">
        <f t="shared" si="7"/>
        <v>1426.89</v>
      </c>
    </row>
    <row r="7384">
      <c r="A7384" s="10">
        <f t="shared" si="8"/>
        <v>45366.66667</v>
      </c>
      <c r="B7384" s="2" t="str">
        <f t="shared" si="2"/>
        <v/>
      </c>
      <c r="C7384" s="2" t="str">
        <f t="shared" si="3"/>
        <v>SP500</v>
      </c>
      <c r="D7384" s="2">
        <f t="shared" si="4"/>
        <v>15973.17</v>
      </c>
      <c r="E7384" s="2">
        <f t="shared" si="5"/>
        <v>15973.17</v>
      </c>
      <c r="G7384" s="10">
        <f t="shared" si="9"/>
        <v>45366.64583</v>
      </c>
      <c r="H7384" s="6" t="str">
        <f t="shared" si="6"/>
        <v/>
      </c>
      <c r="I7384" s="2">
        <f t="shared" si="7"/>
        <v>1426.89</v>
      </c>
    </row>
    <row r="7385">
      <c r="A7385" s="10">
        <f t="shared" si="8"/>
        <v>45367.66667</v>
      </c>
      <c r="B7385" s="2" t="str">
        <f t="shared" si="2"/>
        <v/>
      </c>
      <c r="C7385" s="2" t="str">
        <f t="shared" si="3"/>
        <v>SP500</v>
      </c>
      <c r="D7385" s="2" t="str">
        <f t="shared" si="4"/>
        <v/>
      </c>
      <c r="E7385" s="2">
        <f t="shared" si="5"/>
        <v>15973.17</v>
      </c>
      <c r="G7385" s="10">
        <f t="shared" si="9"/>
        <v>45367.64583</v>
      </c>
      <c r="H7385" s="6" t="str">
        <f t="shared" si="6"/>
        <v/>
      </c>
      <c r="I7385" s="2">
        <f t="shared" si="7"/>
        <v>1426.89</v>
      </c>
    </row>
    <row r="7386">
      <c r="A7386" s="10">
        <f t="shared" si="8"/>
        <v>45368.66667</v>
      </c>
      <c r="B7386" s="2" t="str">
        <f t="shared" si="2"/>
        <v/>
      </c>
      <c r="C7386" s="2" t="str">
        <f t="shared" si="3"/>
        <v>SP500</v>
      </c>
      <c r="D7386" s="2" t="str">
        <f t="shared" si="4"/>
        <v/>
      </c>
      <c r="E7386" s="2">
        <f t="shared" si="5"/>
        <v>15973.17</v>
      </c>
      <c r="G7386" s="10">
        <f t="shared" si="9"/>
        <v>45368.64583</v>
      </c>
      <c r="H7386" s="6" t="str">
        <f t="shared" si="6"/>
        <v/>
      </c>
      <c r="I7386" s="2">
        <f t="shared" si="7"/>
        <v>1426.89</v>
      </c>
    </row>
    <row r="7387">
      <c r="A7387" s="10">
        <f t="shared" si="8"/>
        <v>45369.66667</v>
      </c>
      <c r="B7387" s="2" t="str">
        <f t="shared" si="2"/>
        <v/>
      </c>
      <c r="C7387" s="2" t="str">
        <f t="shared" si="3"/>
        <v>SP500</v>
      </c>
      <c r="D7387" s="2">
        <f t="shared" si="4"/>
        <v>16103.45</v>
      </c>
      <c r="E7387" s="2">
        <f t="shared" si="5"/>
        <v>16103.45</v>
      </c>
      <c r="G7387" s="10">
        <f t="shared" si="9"/>
        <v>45369.64583</v>
      </c>
      <c r="H7387" s="6" t="str">
        <f t="shared" si="6"/>
        <v/>
      </c>
      <c r="I7387" s="2">
        <f t="shared" si="7"/>
        <v>1426.89</v>
      </c>
    </row>
    <row r="7388">
      <c r="A7388" s="10">
        <f t="shared" si="8"/>
        <v>45370.66667</v>
      </c>
      <c r="B7388" s="2" t="str">
        <f t="shared" si="2"/>
        <v/>
      </c>
      <c r="C7388" s="2" t="str">
        <f t="shared" si="3"/>
        <v>SP500</v>
      </c>
      <c r="D7388" s="2">
        <f t="shared" si="4"/>
        <v>16166.79</v>
      </c>
      <c r="E7388" s="2">
        <f t="shared" si="5"/>
        <v>16166.79</v>
      </c>
      <c r="G7388" s="10">
        <f t="shared" si="9"/>
        <v>45370.64583</v>
      </c>
      <c r="H7388" s="6" t="str">
        <f t="shared" si="6"/>
        <v/>
      </c>
      <c r="I7388" s="2">
        <f t="shared" si="7"/>
        <v>1426.89</v>
      </c>
    </row>
    <row r="7389">
      <c r="A7389" s="10">
        <f t="shared" si="8"/>
        <v>45371.66667</v>
      </c>
      <c r="B7389" s="2" t="str">
        <f t="shared" si="2"/>
        <v/>
      </c>
      <c r="C7389" s="2" t="str">
        <f t="shared" si="3"/>
        <v>SP500</v>
      </c>
      <c r="D7389" s="2">
        <f t="shared" si="4"/>
        <v>16369.41</v>
      </c>
      <c r="E7389" s="2">
        <f t="shared" si="5"/>
        <v>16369.41</v>
      </c>
      <c r="G7389" s="10">
        <f t="shared" si="9"/>
        <v>45371.64583</v>
      </c>
      <c r="H7389" s="6" t="str">
        <f t="shared" si="6"/>
        <v/>
      </c>
      <c r="I7389" s="2">
        <f t="shared" si="7"/>
        <v>1426.89</v>
      </c>
    </row>
    <row r="7390">
      <c r="A7390" s="10">
        <f t="shared" si="8"/>
        <v>45372.66667</v>
      </c>
      <c r="B7390" s="2" t="str">
        <f t="shared" si="2"/>
        <v/>
      </c>
      <c r="C7390" s="2" t="str">
        <f t="shared" si="3"/>
        <v>SP500</v>
      </c>
      <c r="D7390" s="2">
        <f t="shared" si="4"/>
        <v>16401.84</v>
      </c>
      <c r="E7390" s="2">
        <f t="shared" si="5"/>
        <v>16401.84</v>
      </c>
      <c r="G7390" s="10">
        <f t="shared" si="9"/>
        <v>45372.64583</v>
      </c>
      <c r="H7390" s="6" t="str">
        <f t="shared" si="6"/>
        <v/>
      </c>
      <c r="I7390" s="2">
        <f t="shared" si="7"/>
        <v>1426.89</v>
      </c>
    </row>
    <row r="7391">
      <c r="A7391" s="10">
        <f t="shared" si="8"/>
        <v>45373.66667</v>
      </c>
      <c r="B7391" s="2" t="str">
        <f t="shared" si="2"/>
        <v/>
      </c>
      <c r="C7391" s="2" t="str">
        <f t="shared" si="3"/>
        <v>SP500</v>
      </c>
      <c r="D7391" s="2">
        <f t="shared" si="4"/>
        <v>16428.82</v>
      </c>
      <c r="E7391" s="2">
        <f t="shared" si="5"/>
        <v>16428.82</v>
      </c>
      <c r="G7391" s="10">
        <f t="shared" si="9"/>
        <v>45373.64583</v>
      </c>
      <c r="H7391" s="6" t="str">
        <f t="shared" si="6"/>
        <v/>
      </c>
      <c r="I7391" s="2">
        <f t="shared" si="7"/>
        <v>1426.89</v>
      </c>
    </row>
    <row r="7392">
      <c r="A7392" s="10">
        <f t="shared" si="8"/>
        <v>45374.66667</v>
      </c>
      <c r="B7392" s="2" t="str">
        <f t="shared" si="2"/>
        <v/>
      </c>
      <c r="C7392" s="2" t="str">
        <f t="shared" si="3"/>
        <v>SP500</v>
      </c>
      <c r="D7392" s="2" t="str">
        <f t="shared" si="4"/>
        <v/>
      </c>
      <c r="E7392" s="2">
        <f t="shared" si="5"/>
        <v>16428.82</v>
      </c>
      <c r="G7392" s="10">
        <f t="shared" si="9"/>
        <v>45374.64583</v>
      </c>
      <c r="H7392" s="6" t="str">
        <f t="shared" si="6"/>
        <v/>
      </c>
      <c r="I7392" s="2">
        <f t="shared" si="7"/>
        <v>1426.89</v>
      </c>
    </row>
    <row r="7393">
      <c r="A7393" s="10">
        <f t="shared" si="8"/>
        <v>45375.66667</v>
      </c>
      <c r="B7393" s="2" t="str">
        <f t="shared" si="2"/>
        <v/>
      </c>
      <c r="C7393" s="2" t="str">
        <f t="shared" si="3"/>
        <v>SP500</v>
      </c>
      <c r="D7393" s="2" t="str">
        <f t="shared" si="4"/>
        <v/>
      </c>
      <c r="E7393" s="2">
        <f t="shared" si="5"/>
        <v>16428.82</v>
      </c>
      <c r="G7393" s="10">
        <f t="shared" si="9"/>
        <v>45375.64583</v>
      </c>
      <c r="H7393" s="6" t="str">
        <f t="shared" si="6"/>
        <v/>
      </c>
      <c r="I7393" s="2">
        <f t="shared" si="7"/>
        <v>1426.89</v>
      </c>
    </row>
    <row r="7394">
      <c r="A7394" s="10">
        <f t="shared" si="8"/>
        <v>45376.66667</v>
      </c>
      <c r="B7394" s="2" t="str">
        <f t="shared" si="2"/>
        <v/>
      </c>
      <c r="C7394" s="2" t="str">
        <f t="shared" si="3"/>
        <v>SP500</v>
      </c>
      <c r="D7394" s="2">
        <f t="shared" si="4"/>
        <v>16384.47</v>
      </c>
      <c r="E7394" s="2">
        <f t="shared" si="5"/>
        <v>16384.47</v>
      </c>
      <c r="G7394" s="10">
        <f t="shared" si="9"/>
        <v>45376.64583</v>
      </c>
      <c r="H7394" s="6" t="str">
        <f t="shared" si="6"/>
        <v/>
      </c>
      <c r="I7394" s="2">
        <f t="shared" si="7"/>
        <v>1426.89</v>
      </c>
    </row>
    <row r="7395">
      <c r="A7395" s="10">
        <f t="shared" si="8"/>
        <v>45377.66667</v>
      </c>
      <c r="B7395" s="2" t="str">
        <f t="shared" si="2"/>
        <v/>
      </c>
      <c r="C7395" s="2" t="str">
        <f t="shared" si="3"/>
        <v>SP500</v>
      </c>
      <c r="D7395" s="2">
        <f t="shared" si="4"/>
        <v>16315.7</v>
      </c>
      <c r="E7395" s="2">
        <f t="shared" si="5"/>
        <v>16315.7</v>
      </c>
      <c r="G7395" s="10">
        <f t="shared" si="9"/>
        <v>45377.64583</v>
      </c>
      <c r="H7395" s="6" t="str">
        <f t="shared" si="6"/>
        <v/>
      </c>
      <c r="I7395" s="2">
        <f t="shared" si="7"/>
        <v>1426.89</v>
      </c>
    </row>
    <row r="7396">
      <c r="A7396" s="10">
        <f t="shared" si="8"/>
        <v>45378.66667</v>
      </c>
      <c r="B7396" s="2" t="str">
        <f t="shared" si="2"/>
        <v/>
      </c>
      <c r="C7396" s="2" t="str">
        <f t="shared" si="3"/>
        <v>SP500</v>
      </c>
      <c r="D7396" s="2">
        <f t="shared" si="4"/>
        <v>16399.52</v>
      </c>
      <c r="E7396" s="2">
        <f t="shared" si="5"/>
        <v>16399.52</v>
      </c>
      <c r="G7396" s="10">
        <f t="shared" si="9"/>
        <v>45378.64583</v>
      </c>
      <c r="H7396" s="6" t="str">
        <f t="shared" si="6"/>
        <v/>
      </c>
      <c r="I7396" s="2">
        <f t="shared" si="7"/>
        <v>1426.89</v>
      </c>
    </row>
    <row r="7397">
      <c r="A7397" s="10">
        <f t="shared" si="8"/>
        <v>45379.66667</v>
      </c>
      <c r="B7397" s="2" t="str">
        <f t="shared" si="2"/>
        <v/>
      </c>
      <c r="C7397" s="2" t="str">
        <f t="shared" si="3"/>
        <v>SP500</v>
      </c>
      <c r="D7397" s="2">
        <f t="shared" si="4"/>
        <v>16379.46</v>
      </c>
      <c r="E7397" s="2">
        <f t="shared" si="5"/>
        <v>16379.46</v>
      </c>
      <c r="G7397" s="10">
        <f t="shared" si="9"/>
        <v>45379.64583</v>
      </c>
      <c r="H7397" s="6" t="str">
        <f t="shared" si="6"/>
        <v/>
      </c>
      <c r="I7397" s="2">
        <f t="shared" si="7"/>
        <v>1426.89</v>
      </c>
    </row>
    <row r="7398">
      <c r="A7398" s="10">
        <f t="shared" si="8"/>
        <v>45380.66667</v>
      </c>
      <c r="B7398" s="2" t="str">
        <f t="shared" si="2"/>
        <v/>
      </c>
      <c r="C7398" s="2" t="str">
        <f t="shared" si="3"/>
        <v>SP500</v>
      </c>
      <c r="D7398" s="2" t="str">
        <f t="shared" si="4"/>
        <v/>
      </c>
      <c r="E7398" s="2">
        <f t="shared" si="5"/>
        <v>16379.46</v>
      </c>
      <c r="G7398" s="10">
        <f t="shared" si="9"/>
        <v>45380.64583</v>
      </c>
      <c r="H7398" s="6" t="str">
        <f t="shared" si="6"/>
        <v/>
      </c>
      <c r="I7398" s="2">
        <f t="shared" si="7"/>
        <v>1426.89</v>
      </c>
    </row>
    <row r="7399">
      <c r="A7399" s="10">
        <f t="shared" si="8"/>
        <v>45381.66667</v>
      </c>
      <c r="B7399" s="2" t="str">
        <f t="shared" si="2"/>
        <v/>
      </c>
      <c r="C7399" s="2" t="str">
        <f t="shared" si="3"/>
        <v>SP500</v>
      </c>
      <c r="D7399" s="2" t="str">
        <f t="shared" si="4"/>
        <v/>
      </c>
      <c r="E7399" s="2">
        <f t="shared" si="5"/>
        <v>16379.46</v>
      </c>
      <c r="G7399" s="10">
        <f t="shared" si="9"/>
        <v>45381.64583</v>
      </c>
      <c r="H7399" s="6" t="str">
        <f t="shared" si="6"/>
        <v/>
      </c>
      <c r="I7399" s="2">
        <f t="shared" si="7"/>
        <v>1426.89</v>
      </c>
    </row>
    <row r="7400">
      <c r="A7400" s="10">
        <f t="shared" si="8"/>
        <v>45382.66667</v>
      </c>
      <c r="B7400" s="2" t="str">
        <f t="shared" si="2"/>
        <v/>
      </c>
      <c r="C7400" s="2" t="str">
        <f t="shared" si="3"/>
        <v>SP500</v>
      </c>
      <c r="D7400" s="2" t="str">
        <f t="shared" si="4"/>
        <v/>
      </c>
      <c r="E7400" s="2">
        <f t="shared" si="5"/>
        <v>16379.46</v>
      </c>
      <c r="G7400" s="10">
        <f t="shared" si="9"/>
        <v>45382.64583</v>
      </c>
      <c r="H7400" s="6" t="str">
        <f t="shared" si="6"/>
        <v/>
      </c>
      <c r="I7400" s="2">
        <f t="shared" si="7"/>
        <v>1426.89</v>
      </c>
    </row>
    <row r="7401">
      <c r="A7401" s="10">
        <f t="shared" si="8"/>
        <v>45383.66667</v>
      </c>
      <c r="B7401" s="2" t="str">
        <f t="shared" si="2"/>
        <v/>
      </c>
      <c r="C7401" s="2" t="str">
        <f t="shared" si="3"/>
        <v>SP500</v>
      </c>
      <c r="D7401" s="2">
        <f t="shared" si="4"/>
        <v>16396.83</v>
      </c>
      <c r="E7401" s="2">
        <f t="shared" si="5"/>
        <v>16396.83</v>
      </c>
      <c r="G7401" s="10">
        <f t="shared" si="9"/>
        <v>45383.64583</v>
      </c>
      <c r="H7401" s="6" t="str">
        <f t="shared" si="6"/>
        <v/>
      </c>
      <c r="I7401" s="2">
        <f t="shared" si="7"/>
        <v>1426.89</v>
      </c>
    </row>
    <row r="7402">
      <c r="A7402" s="10">
        <f t="shared" si="8"/>
        <v>45384.66667</v>
      </c>
      <c r="B7402" s="2" t="str">
        <f t="shared" si="2"/>
        <v/>
      </c>
      <c r="C7402" s="2" t="str">
        <f t="shared" si="3"/>
        <v>SP500</v>
      </c>
      <c r="D7402" s="2">
        <f t="shared" si="4"/>
        <v>16240.45</v>
      </c>
      <c r="E7402" s="2">
        <f t="shared" si="5"/>
        <v>16240.45</v>
      </c>
      <c r="G7402" s="10">
        <f t="shared" si="9"/>
        <v>45384.64583</v>
      </c>
      <c r="H7402" s="6" t="str">
        <f t="shared" si="6"/>
        <v/>
      </c>
      <c r="I7402" s="2">
        <f t="shared" si="7"/>
        <v>1426.89</v>
      </c>
    </row>
    <row r="7403">
      <c r="A7403" s="10">
        <f t="shared" si="8"/>
        <v>45385.66667</v>
      </c>
      <c r="B7403" s="2" t="str">
        <f t="shared" si="2"/>
        <v/>
      </c>
      <c r="C7403" s="2" t="str">
        <f t="shared" si="3"/>
        <v>SP500</v>
      </c>
      <c r="D7403" s="2">
        <f t="shared" si="4"/>
        <v>16277.46</v>
      </c>
      <c r="E7403" s="2">
        <f t="shared" si="5"/>
        <v>16277.46</v>
      </c>
      <c r="G7403" s="10">
        <f t="shared" si="9"/>
        <v>45385.64583</v>
      </c>
      <c r="H7403" s="6" t="str">
        <f t="shared" si="6"/>
        <v/>
      </c>
      <c r="I7403" s="2">
        <f t="shared" si="7"/>
        <v>1426.89</v>
      </c>
    </row>
    <row r="7404">
      <c r="A7404" s="10">
        <f t="shared" si="8"/>
        <v>45386.66667</v>
      </c>
      <c r="B7404" s="2" t="str">
        <f t="shared" si="2"/>
        <v/>
      </c>
      <c r="C7404" s="2" t="str">
        <f t="shared" si="3"/>
        <v>SP500</v>
      </c>
      <c r="D7404" s="2">
        <f t="shared" si="4"/>
        <v>16049.08</v>
      </c>
      <c r="E7404" s="2">
        <f t="shared" si="5"/>
        <v>16049.08</v>
      </c>
      <c r="G7404" s="10">
        <f t="shared" si="9"/>
        <v>45386.64583</v>
      </c>
      <c r="H7404" s="6" t="str">
        <f t="shared" si="6"/>
        <v/>
      </c>
      <c r="I7404" s="2">
        <f t="shared" si="7"/>
        <v>1426.89</v>
      </c>
    </row>
    <row r="7405">
      <c r="A7405" s="10">
        <f t="shared" si="8"/>
        <v>45387.66667</v>
      </c>
      <c r="B7405" s="2" t="str">
        <f t="shared" si="2"/>
        <v/>
      </c>
      <c r="C7405" s="2" t="str">
        <f t="shared" si="3"/>
        <v>SP500</v>
      </c>
      <c r="D7405" s="2">
        <f t="shared" si="4"/>
        <v>16248.52</v>
      </c>
      <c r="E7405" s="2">
        <f t="shared" si="5"/>
        <v>16248.52</v>
      </c>
      <c r="G7405" s="10">
        <f t="shared" si="9"/>
        <v>45387.64583</v>
      </c>
      <c r="H7405" s="6" t="str">
        <f t="shared" si="6"/>
        <v/>
      </c>
      <c r="I7405" s="2">
        <f t="shared" si="7"/>
        <v>1426.89</v>
      </c>
    </row>
    <row r="7406">
      <c r="A7406" s="10">
        <f t="shared" si="8"/>
        <v>45388.66667</v>
      </c>
      <c r="B7406" s="2" t="str">
        <f t="shared" si="2"/>
        <v/>
      </c>
      <c r="C7406" s="2" t="str">
        <f t="shared" si="3"/>
        <v>SP500</v>
      </c>
      <c r="D7406" s="2" t="str">
        <f t="shared" si="4"/>
        <v/>
      </c>
      <c r="E7406" s="2">
        <f t="shared" si="5"/>
        <v>16248.52</v>
      </c>
      <c r="G7406" s="10">
        <f t="shared" si="9"/>
        <v>45388.64583</v>
      </c>
      <c r="H7406" s="6" t="str">
        <f t="shared" si="6"/>
        <v/>
      </c>
      <c r="I7406" s="2">
        <f t="shared" si="7"/>
        <v>1426.89</v>
      </c>
    </row>
    <row r="7407">
      <c r="A7407" s="10">
        <f t="shared" si="8"/>
        <v>45389.66667</v>
      </c>
      <c r="B7407" s="2" t="str">
        <f t="shared" si="2"/>
        <v/>
      </c>
      <c r="C7407" s="2" t="str">
        <f t="shared" si="3"/>
        <v>SP500</v>
      </c>
      <c r="D7407" s="2" t="str">
        <f t="shared" si="4"/>
        <v/>
      </c>
      <c r="E7407" s="2">
        <f t="shared" si="5"/>
        <v>16248.52</v>
      </c>
      <c r="G7407" s="10">
        <f t="shared" si="9"/>
        <v>45389.64583</v>
      </c>
      <c r="H7407" s="6" t="str">
        <f t="shared" si="6"/>
        <v/>
      </c>
      <c r="I7407" s="2">
        <f t="shared" si="7"/>
        <v>1426.89</v>
      </c>
    </row>
    <row r="7408">
      <c r="A7408" s="10">
        <f t="shared" si="8"/>
        <v>45390.66667</v>
      </c>
      <c r="B7408" s="2" t="str">
        <f t="shared" si="2"/>
        <v/>
      </c>
      <c r="C7408" s="2" t="str">
        <f t="shared" si="3"/>
        <v>SP500</v>
      </c>
      <c r="D7408" s="2">
        <f t="shared" si="4"/>
        <v>16253.96</v>
      </c>
      <c r="E7408" s="2">
        <f t="shared" si="5"/>
        <v>16253.96</v>
      </c>
      <c r="G7408" s="10">
        <f t="shared" si="9"/>
        <v>45390.64583</v>
      </c>
      <c r="H7408" s="6" t="str">
        <f t="shared" si="6"/>
        <v/>
      </c>
      <c r="I7408" s="2">
        <f t="shared" si="7"/>
        <v>1426.89</v>
      </c>
    </row>
    <row r="7409">
      <c r="A7409" s="10">
        <f t="shared" si="8"/>
        <v>45391.66667</v>
      </c>
      <c r="B7409" s="2" t="str">
        <f t="shared" si="2"/>
        <v/>
      </c>
      <c r="C7409" s="2" t="str">
        <f t="shared" si="3"/>
        <v>SP500</v>
      </c>
      <c r="D7409" s="2">
        <f t="shared" si="4"/>
        <v>16306.64</v>
      </c>
      <c r="E7409" s="2">
        <f t="shared" si="5"/>
        <v>16306.64</v>
      </c>
      <c r="G7409" s="10">
        <f t="shared" si="9"/>
        <v>45391.64583</v>
      </c>
      <c r="H7409" s="6" t="str">
        <f t="shared" si="6"/>
        <v/>
      </c>
      <c r="I7409" s="2">
        <f t="shared" si="7"/>
        <v>1426.89</v>
      </c>
    </row>
    <row r="7410">
      <c r="A7410" s="10">
        <f t="shared" si="8"/>
        <v>45392.66667</v>
      </c>
      <c r="B7410" s="2" t="str">
        <f t="shared" si="2"/>
        <v/>
      </c>
      <c r="C7410" s="2" t="str">
        <f t="shared" si="3"/>
        <v>SP500</v>
      </c>
      <c r="D7410" s="2">
        <f t="shared" si="4"/>
        <v>16170.36</v>
      </c>
      <c r="E7410" s="2">
        <f t="shared" si="5"/>
        <v>16170.36</v>
      </c>
      <c r="G7410" s="10">
        <f t="shared" si="9"/>
        <v>45392.64583</v>
      </c>
      <c r="H7410" s="6" t="str">
        <f t="shared" si="6"/>
        <v/>
      </c>
      <c r="I7410" s="2">
        <f t="shared" si="7"/>
        <v>1426.89</v>
      </c>
    </row>
    <row r="7411">
      <c r="A7411" s="10">
        <f t="shared" si="8"/>
        <v>45393.66667</v>
      </c>
      <c r="B7411" s="2" t="str">
        <f t="shared" si="2"/>
        <v/>
      </c>
      <c r="C7411" s="2" t="str">
        <f t="shared" si="3"/>
        <v>SP500</v>
      </c>
      <c r="D7411" s="2">
        <f t="shared" si="4"/>
        <v>16442.2</v>
      </c>
      <c r="E7411" s="2">
        <f t="shared" si="5"/>
        <v>16442.2</v>
      </c>
      <c r="G7411" s="10">
        <f t="shared" si="9"/>
        <v>45393.64583</v>
      </c>
      <c r="H7411" s="6" t="str">
        <f t="shared" si="6"/>
        <v/>
      </c>
      <c r="I7411" s="2">
        <f t="shared" si="7"/>
        <v>1426.89</v>
      </c>
    </row>
    <row r="7412">
      <c r="A7412" s="10">
        <f t="shared" si="8"/>
        <v>45394.66667</v>
      </c>
      <c r="B7412" s="2" t="str">
        <f t="shared" si="2"/>
        <v/>
      </c>
      <c r="C7412" s="2" t="str">
        <f t="shared" si="3"/>
        <v>SP500</v>
      </c>
      <c r="D7412" s="2">
        <f t="shared" si="4"/>
        <v>16175.09</v>
      </c>
      <c r="E7412" s="2">
        <f t="shared" si="5"/>
        <v>16175.09</v>
      </c>
      <c r="G7412" s="10">
        <f t="shared" si="9"/>
        <v>45394.64583</v>
      </c>
      <c r="H7412" s="6" t="str">
        <f t="shared" si="6"/>
        <v/>
      </c>
      <c r="I7412" s="2">
        <f t="shared" si="7"/>
        <v>1426.89</v>
      </c>
    </row>
    <row r="7413">
      <c r="A7413" s="10">
        <f t="shared" si="8"/>
        <v>45395.66667</v>
      </c>
      <c r="B7413" s="2" t="str">
        <f t="shared" si="2"/>
        <v/>
      </c>
      <c r="C7413" s="2" t="str">
        <f t="shared" si="3"/>
        <v>SP500</v>
      </c>
      <c r="D7413" s="2" t="str">
        <f t="shared" si="4"/>
        <v/>
      </c>
      <c r="E7413" s="2">
        <f t="shared" si="5"/>
        <v>16175.09</v>
      </c>
      <c r="G7413" s="10">
        <f t="shared" si="9"/>
        <v>45395.64583</v>
      </c>
      <c r="H7413" s="6" t="str">
        <f t="shared" si="6"/>
        <v/>
      </c>
      <c r="I7413" s="2">
        <f t="shared" si="7"/>
        <v>1426.89</v>
      </c>
    </row>
    <row r="7414">
      <c r="A7414" s="10">
        <f t="shared" si="8"/>
        <v>45396.66667</v>
      </c>
      <c r="B7414" s="2" t="str">
        <f t="shared" si="2"/>
        <v/>
      </c>
      <c r="C7414" s="2" t="str">
        <f t="shared" si="3"/>
        <v>SP500</v>
      </c>
      <c r="D7414" s="2" t="str">
        <f t="shared" si="4"/>
        <v/>
      </c>
      <c r="E7414" s="2">
        <f t="shared" si="5"/>
        <v>16175.09</v>
      </c>
      <c r="G7414" s="10">
        <f t="shared" si="9"/>
        <v>45396.64583</v>
      </c>
      <c r="H7414" s="6" t="str">
        <f t="shared" si="6"/>
        <v/>
      </c>
      <c r="I7414" s="2">
        <f t="shared" si="7"/>
        <v>1426.89</v>
      </c>
    </row>
    <row r="7415">
      <c r="A7415" s="10">
        <f t="shared" si="8"/>
        <v>45397.66667</v>
      </c>
      <c r="B7415" s="2" t="str">
        <f t="shared" si="2"/>
        <v/>
      </c>
      <c r="C7415" s="2" t="str">
        <f t="shared" si="3"/>
        <v>SP500</v>
      </c>
      <c r="D7415" s="2">
        <f t="shared" si="4"/>
        <v>15885.02</v>
      </c>
      <c r="E7415" s="2">
        <f t="shared" si="5"/>
        <v>15885.02</v>
      </c>
      <c r="G7415" s="10">
        <f t="shared" si="9"/>
        <v>45397.64583</v>
      </c>
      <c r="H7415" s="6" t="str">
        <f t="shared" si="6"/>
        <v/>
      </c>
      <c r="I7415" s="2">
        <f t="shared" si="7"/>
        <v>1426.89</v>
      </c>
    </row>
    <row r="7416">
      <c r="A7416" s="10">
        <f t="shared" si="8"/>
        <v>45398.66667</v>
      </c>
      <c r="B7416" s="2" t="str">
        <f t="shared" si="2"/>
        <v/>
      </c>
      <c r="C7416" s="2" t="str">
        <f t="shared" si="3"/>
        <v>SP500</v>
      </c>
      <c r="D7416" s="2">
        <f t="shared" si="4"/>
        <v>15865.25</v>
      </c>
      <c r="E7416" s="2">
        <f t="shared" si="5"/>
        <v>15865.25</v>
      </c>
      <c r="G7416" s="10">
        <f t="shared" si="9"/>
        <v>45398.64583</v>
      </c>
      <c r="H7416" s="6" t="str">
        <f t="shared" si="6"/>
        <v/>
      </c>
      <c r="I7416" s="2">
        <f t="shared" si="7"/>
        <v>1426.89</v>
      </c>
    </row>
    <row r="7417">
      <c r="A7417" s="10">
        <f t="shared" si="8"/>
        <v>45399.66667</v>
      </c>
      <c r="B7417" s="2" t="str">
        <f t="shared" si="2"/>
        <v/>
      </c>
      <c r="C7417" s="2" t="str">
        <f t="shared" si="3"/>
        <v>SP500</v>
      </c>
      <c r="D7417" s="2">
        <f t="shared" si="4"/>
        <v>15683.37</v>
      </c>
      <c r="E7417" s="2">
        <f t="shared" si="5"/>
        <v>15683.37</v>
      </c>
      <c r="G7417" s="10">
        <f t="shared" si="9"/>
        <v>45399.64583</v>
      </c>
      <c r="H7417" s="6" t="str">
        <f t="shared" si="6"/>
        <v/>
      </c>
      <c r="I7417" s="2">
        <f t="shared" si="7"/>
        <v>1426.89</v>
      </c>
    </row>
    <row r="7418">
      <c r="A7418" s="10">
        <f t="shared" si="8"/>
        <v>45400.66667</v>
      </c>
      <c r="B7418" s="2" t="str">
        <f t="shared" si="2"/>
        <v/>
      </c>
      <c r="C7418" s="2" t="str">
        <f t="shared" si="3"/>
        <v>SP500</v>
      </c>
      <c r="D7418" s="2">
        <f t="shared" si="4"/>
        <v>15601.5</v>
      </c>
      <c r="E7418" s="2">
        <f t="shared" si="5"/>
        <v>15601.5</v>
      </c>
      <c r="G7418" s="10">
        <f t="shared" si="9"/>
        <v>45400.64583</v>
      </c>
      <c r="H7418" s="6" t="str">
        <f t="shared" si="6"/>
        <v/>
      </c>
      <c r="I7418" s="2">
        <f t="shared" si="7"/>
        <v>1426.89</v>
      </c>
    </row>
    <row r="7419">
      <c r="A7419" s="10">
        <f t="shared" si="8"/>
        <v>45401.66667</v>
      </c>
      <c r="B7419" s="2" t="str">
        <f t="shared" si="2"/>
        <v/>
      </c>
      <c r="C7419" s="2" t="str">
        <f t="shared" si="3"/>
        <v>SP500</v>
      </c>
      <c r="D7419" s="2">
        <f t="shared" si="4"/>
        <v>15282.01</v>
      </c>
      <c r="E7419" s="2">
        <f t="shared" si="5"/>
        <v>15282.01</v>
      </c>
      <c r="G7419" s="10">
        <f t="shared" si="9"/>
        <v>45401.64583</v>
      </c>
      <c r="H7419" s="6" t="str">
        <f t="shared" si="6"/>
        <v/>
      </c>
      <c r="I7419" s="2">
        <f t="shared" si="7"/>
        <v>1426.89</v>
      </c>
    </row>
    <row r="7420">
      <c r="A7420" s="10">
        <f t="shared" si="8"/>
        <v>45402.66667</v>
      </c>
      <c r="B7420" s="2" t="str">
        <f t="shared" si="2"/>
        <v/>
      </c>
      <c r="C7420" s="2" t="str">
        <f t="shared" si="3"/>
        <v>SP500</v>
      </c>
      <c r="D7420" s="2" t="str">
        <f t="shared" si="4"/>
        <v/>
      </c>
      <c r="E7420" s="2">
        <f t="shared" si="5"/>
        <v>15282.01</v>
      </c>
      <c r="G7420" s="10">
        <f t="shared" si="9"/>
        <v>45402.64583</v>
      </c>
      <c r="H7420" s="6" t="str">
        <f t="shared" si="6"/>
        <v/>
      </c>
      <c r="I7420" s="2">
        <f t="shared" si="7"/>
        <v>1426.89</v>
      </c>
    </row>
    <row r="7421">
      <c r="A7421" s="10">
        <f t="shared" si="8"/>
        <v>45403.66667</v>
      </c>
      <c r="B7421" s="2" t="str">
        <f t="shared" si="2"/>
        <v/>
      </c>
      <c r="C7421" s="2" t="str">
        <f t="shared" si="3"/>
        <v>SP500</v>
      </c>
      <c r="D7421" s="2" t="str">
        <f t="shared" si="4"/>
        <v/>
      </c>
      <c r="E7421" s="2">
        <f t="shared" si="5"/>
        <v>15282.01</v>
      </c>
      <c r="G7421" s="10">
        <f t="shared" si="9"/>
        <v>45403.64583</v>
      </c>
      <c r="H7421" s="6" t="str">
        <f t="shared" si="6"/>
        <v/>
      </c>
      <c r="I7421" s="2">
        <f t="shared" si="7"/>
        <v>1426.89</v>
      </c>
    </row>
    <row r="7422">
      <c r="A7422" s="10">
        <f t="shared" si="8"/>
        <v>45404.66667</v>
      </c>
      <c r="B7422" s="2" t="str">
        <f t="shared" si="2"/>
        <v/>
      </c>
      <c r="C7422" s="2" t="str">
        <f t="shared" si="3"/>
        <v>SP500</v>
      </c>
      <c r="D7422" s="2">
        <f t="shared" si="4"/>
        <v>15451.31</v>
      </c>
      <c r="E7422" s="2">
        <f t="shared" si="5"/>
        <v>15451.31</v>
      </c>
      <c r="G7422" s="10">
        <f t="shared" si="9"/>
        <v>45404.64583</v>
      </c>
      <c r="H7422" s="6" t="str">
        <f t="shared" si="6"/>
        <v/>
      </c>
      <c r="I7422" s="2">
        <f t="shared" si="7"/>
        <v>1426.89</v>
      </c>
    </row>
    <row r="7423">
      <c r="A7423" s="10">
        <f t="shared" si="8"/>
        <v>45405.66667</v>
      </c>
      <c r="B7423" s="2" t="str">
        <f t="shared" si="2"/>
        <v/>
      </c>
      <c r="C7423" s="2" t="str">
        <f t="shared" si="3"/>
        <v>SP500</v>
      </c>
      <c r="D7423" s="2">
        <f t="shared" si="4"/>
        <v>15696.64</v>
      </c>
      <c r="E7423" s="2">
        <f t="shared" si="5"/>
        <v>15696.64</v>
      </c>
      <c r="G7423" s="10">
        <f t="shared" si="9"/>
        <v>45405.64583</v>
      </c>
      <c r="H7423" s="6" t="str">
        <f t="shared" si="6"/>
        <v/>
      </c>
      <c r="I7423" s="2">
        <f t="shared" si="7"/>
        <v>1426.89</v>
      </c>
    </row>
    <row r="7424">
      <c r="A7424" s="10">
        <f t="shared" si="8"/>
        <v>45406.66667</v>
      </c>
      <c r="B7424" s="2" t="str">
        <f t="shared" si="2"/>
        <v/>
      </c>
      <c r="C7424" s="2" t="str">
        <f t="shared" si="3"/>
        <v>SP500</v>
      </c>
      <c r="D7424" s="2">
        <f t="shared" si="4"/>
        <v>15712.75</v>
      </c>
      <c r="E7424" s="2">
        <f t="shared" si="5"/>
        <v>15712.75</v>
      </c>
      <c r="G7424" s="10">
        <f t="shared" si="9"/>
        <v>45406.64583</v>
      </c>
      <c r="H7424" s="6" t="str">
        <f t="shared" si="6"/>
        <v/>
      </c>
      <c r="I7424" s="2">
        <f t="shared" si="7"/>
        <v>1426.89</v>
      </c>
    </row>
    <row r="7425">
      <c r="A7425" s="10">
        <f t="shared" si="8"/>
        <v>45407.66667</v>
      </c>
      <c r="B7425" s="2" t="str">
        <f t="shared" si="2"/>
        <v/>
      </c>
      <c r="C7425" s="2" t="str">
        <f t="shared" si="3"/>
        <v>SP500</v>
      </c>
      <c r="D7425" s="2">
        <f t="shared" si="4"/>
        <v>15611.76</v>
      </c>
      <c r="E7425" s="2">
        <f t="shared" si="5"/>
        <v>15611.76</v>
      </c>
      <c r="G7425" s="10">
        <f t="shared" si="9"/>
        <v>45407.64583</v>
      </c>
      <c r="H7425" s="6" t="str">
        <f t="shared" si="6"/>
        <v/>
      </c>
      <c r="I7425" s="2">
        <f t="shared" si="7"/>
        <v>1426.89</v>
      </c>
    </row>
    <row r="7426">
      <c r="A7426" s="10">
        <f t="shared" si="8"/>
        <v>45408.66667</v>
      </c>
      <c r="B7426" s="2" t="str">
        <f t="shared" si="2"/>
        <v/>
      </c>
      <c r="C7426" s="2" t="str">
        <f t="shared" si="3"/>
        <v>SP500</v>
      </c>
      <c r="D7426" s="2">
        <f t="shared" si="4"/>
        <v>15927.9</v>
      </c>
      <c r="E7426" s="2">
        <f t="shared" si="5"/>
        <v>15927.9</v>
      </c>
      <c r="G7426" s="10">
        <f t="shared" si="9"/>
        <v>45408.64583</v>
      </c>
      <c r="H7426" s="6" t="str">
        <f t="shared" si="6"/>
        <v/>
      </c>
      <c r="I7426" s="2">
        <f t="shared" si="7"/>
        <v>1426.89</v>
      </c>
    </row>
    <row r="7427">
      <c r="A7427" s="10">
        <f t="shared" si="8"/>
        <v>45409.66667</v>
      </c>
      <c r="B7427" s="2" t="str">
        <f t="shared" si="2"/>
        <v/>
      </c>
      <c r="C7427" s="2" t="str">
        <f t="shared" si="3"/>
        <v>SP500</v>
      </c>
      <c r="D7427" s="2" t="str">
        <f t="shared" si="4"/>
        <v/>
      </c>
      <c r="E7427" s="2">
        <f t="shared" si="5"/>
        <v>15927.9</v>
      </c>
      <c r="G7427" s="10">
        <f t="shared" si="9"/>
        <v>45409.64583</v>
      </c>
      <c r="H7427" s="6" t="str">
        <f t="shared" si="6"/>
        <v/>
      </c>
      <c r="I7427" s="2">
        <f t="shared" si="7"/>
        <v>1426.89</v>
      </c>
    </row>
    <row r="7428">
      <c r="A7428" s="10">
        <f t="shared" si="8"/>
        <v>45410.66667</v>
      </c>
      <c r="B7428" s="2" t="str">
        <f t="shared" si="2"/>
        <v/>
      </c>
      <c r="C7428" s="2" t="str">
        <f t="shared" si="3"/>
        <v>SP500</v>
      </c>
      <c r="D7428" s="2" t="str">
        <f t="shared" si="4"/>
        <v/>
      </c>
      <c r="E7428" s="2">
        <f t="shared" si="5"/>
        <v>15927.9</v>
      </c>
      <c r="G7428" s="10">
        <f t="shared" si="9"/>
        <v>45410.64583</v>
      </c>
      <c r="H7428" s="6" t="str">
        <f t="shared" si="6"/>
        <v/>
      </c>
      <c r="I7428" s="2">
        <f t="shared" si="7"/>
        <v>1426.89</v>
      </c>
    </row>
    <row r="7429">
      <c r="A7429" s="10">
        <f t="shared" si="8"/>
        <v>45411.66667</v>
      </c>
      <c r="B7429" s="2" t="str">
        <f t="shared" si="2"/>
        <v/>
      </c>
      <c r="C7429" s="2" t="str">
        <f t="shared" si="3"/>
        <v>SP500</v>
      </c>
      <c r="D7429" s="2">
        <f t="shared" si="4"/>
        <v>15983.08</v>
      </c>
      <c r="E7429" s="2">
        <f t="shared" si="5"/>
        <v>15983.08</v>
      </c>
      <c r="G7429" s="10">
        <f t="shared" si="9"/>
        <v>45411.64583</v>
      </c>
      <c r="H7429" s="6" t="str">
        <f t="shared" si="6"/>
        <v/>
      </c>
      <c r="I7429" s="2">
        <f t="shared" si="7"/>
        <v>1426.89</v>
      </c>
    </row>
    <row r="7430">
      <c r="A7430" s="10">
        <f t="shared" si="8"/>
        <v>45412.66667</v>
      </c>
      <c r="B7430" s="2" t="str">
        <f t="shared" si="2"/>
        <v/>
      </c>
      <c r="C7430" s="2" t="str">
        <f t="shared" si="3"/>
        <v>SP500</v>
      </c>
      <c r="D7430" s="2">
        <f t="shared" si="4"/>
        <v>15657.82</v>
      </c>
      <c r="E7430" s="2">
        <f t="shared" si="5"/>
        <v>15657.82</v>
      </c>
      <c r="G7430" s="10">
        <f t="shared" si="9"/>
        <v>45412.64583</v>
      </c>
      <c r="H7430" s="6" t="str">
        <f t="shared" si="6"/>
        <v/>
      </c>
      <c r="I7430" s="2">
        <f t="shared" si="7"/>
        <v>1426.89</v>
      </c>
    </row>
    <row r="7431">
      <c r="A7431" s="10">
        <f t="shared" si="8"/>
        <v>45413.66667</v>
      </c>
      <c r="B7431" s="2" t="str">
        <f t="shared" si="2"/>
        <v/>
      </c>
      <c r="C7431" s="2" t="str">
        <f t="shared" si="3"/>
        <v>SP500</v>
      </c>
      <c r="D7431" s="2">
        <f t="shared" si="4"/>
        <v>15605.48</v>
      </c>
      <c r="E7431" s="2">
        <f t="shared" si="5"/>
        <v>15605.48</v>
      </c>
      <c r="G7431" s="10">
        <f t="shared" si="9"/>
        <v>45413.64583</v>
      </c>
      <c r="H7431" s="6" t="str">
        <f t="shared" si="6"/>
        <v/>
      </c>
      <c r="I7431" s="2">
        <f t="shared" si="7"/>
        <v>1426.89</v>
      </c>
    </row>
    <row r="7432">
      <c r="A7432" s="10">
        <f t="shared" si="8"/>
        <v>45414.66667</v>
      </c>
      <c r="B7432" s="2" t="str">
        <f t="shared" si="2"/>
        <v/>
      </c>
      <c r="C7432" s="2" t="str">
        <f t="shared" si="3"/>
        <v>SP500</v>
      </c>
      <c r="D7432" s="2">
        <f t="shared" si="4"/>
        <v>15840.96</v>
      </c>
      <c r="E7432" s="2">
        <f t="shared" si="5"/>
        <v>15840.96</v>
      </c>
      <c r="G7432" s="10">
        <f t="shared" si="9"/>
        <v>45414.64583</v>
      </c>
      <c r="H7432" s="6" t="str">
        <f t="shared" si="6"/>
        <v/>
      </c>
      <c r="I7432" s="2">
        <f t="shared" si="7"/>
        <v>1426.89</v>
      </c>
    </row>
    <row r="7433">
      <c r="A7433" s="10">
        <f t="shared" si="8"/>
        <v>45415.66667</v>
      </c>
      <c r="B7433" s="2" t="str">
        <f t="shared" si="2"/>
        <v/>
      </c>
      <c r="C7433" s="2" t="str">
        <f t="shared" si="3"/>
        <v>SP500</v>
      </c>
      <c r="D7433" s="2">
        <f t="shared" si="4"/>
        <v>16156.33</v>
      </c>
      <c r="E7433" s="2">
        <f t="shared" si="5"/>
        <v>16156.33</v>
      </c>
      <c r="G7433" s="10">
        <f t="shared" si="9"/>
        <v>45415.64583</v>
      </c>
      <c r="H7433" s="6" t="str">
        <f t="shared" si="6"/>
        <v/>
      </c>
      <c r="I7433" s="2">
        <f t="shared" si="7"/>
        <v>1426.89</v>
      </c>
    </row>
    <row r="7434">
      <c r="A7434" s="10">
        <f t="shared" si="8"/>
        <v>45416.66667</v>
      </c>
      <c r="B7434" s="2" t="str">
        <f t="shared" si="2"/>
        <v/>
      </c>
      <c r="C7434" s="2" t="str">
        <f t="shared" si="3"/>
        <v>SP500</v>
      </c>
      <c r="D7434" s="2" t="str">
        <f t="shared" si="4"/>
        <v/>
      </c>
      <c r="E7434" s="2">
        <f t="shared" si="5"/>
        <v>16156.33</v>
      </c>
      <c r="G7434" s="10">
        <f t="shared" si="9"/>
        <v>45416.64583</v>
      </c>
      <c r="H7434" s="6" t="str">
        <f t="shared" si="6"/>
        <v/>
      </c>
      <c r="I7434" s="2">
        <f t="shared" si="7"/>
        <v>1426.89</v>
      </c>
    </row>
    <row r="7435">
      <c r="A7435" s="10">
        <f t="shared" si="8"/>
        <v>45417.66667</v>
      </c>
      <c r="B7435" s="2" t="str">
        <f t="shared" si="2"/>
        <v/>
      </c>
      <c r="C7435" s="2" t="str">
        <f t="shared" si="3"/>
        <v>SP500</v>
      </c>
      <c r="D7435" s="2" t="str">
        <f t="shared" si="4"/>
        <v/>
      </c>
      <c r="E7435" s="2">
        <f t="shared" si="5"/>
        <v>16156.33</v>
      </c>
      <c r="G7435" s="10">
        <f t="shared" si="9"/>
        <v>45417.64583</v>
      </c>
      <c r="H7435" s="6" t="str">
        <f t="shared" si="6"/>
        <v/>
      </c>
      <c r="I7435" s="2">
        <f t="shared" si="7"/>
        <v>1426.89</v>
      </c>
    </row>
    <row r="7436">
      <c r="A7436" s="10">
        <f t="shared" si="8"/>
        <v>45418.66667</v>
      </c>
      <c r="B7436" s="2" t="str">
        <f t="shared" si="2"/>
        <v/>
      </c>
      <c r="C7436" s="2" t="str">
        <f t="shared" si="3"/>
        <v>SP500</v>
      </c>
      <c r="D7436" s="2">
        <f t="shared" si="4"/>
        <v>16349.25</v>
      </c>
      <c r="E7436" s="2">
        <f t="shared" si="5"/>
        <v>16349.25</v>
      </c>
      <c r="G7436" s="10">
        <f t="shared" si="9"/>
        <v>45418.64583</v>
      </c>
      <c r="H7436" s="6" t="str">
        <f t="shared" si="6"/>
        <v/>
      </c>
      <c r="I7436" s="2">
        <f t="shared" si="7"/>
        <v>1426.89</v>
      </c>
    </row>
    <row r="7437">
      <c r="A7437" s="10">
        <f t="shared" si="8"/>
        <v>45419.66667</v>
      </c>
      <c r="B7437" s="2" t="str">
        <f t="shared" si="2"/>
        <v/>
      </c>
      <c r="C7437" s="2" t="str">
        <f t="shared" si="3"/>
        <v>SP500</v>
      </c>
      <c r="D7437" s="2">
        <f t="shared" si="4"/>
        <v>16332.56</v>
      </c>
      <c r="E7437" s="2">
        <f t="shared" si="5"/>
        <v>16332.56</v>
      </c>
      <c r="G7437" s="10">
        <f t="shared" si="9"/>
        <v>45419.64583</v>
      </c>
      <c r="H7437" s="6" t="str">
        <f t="shared" si="6"/>
        <v/>
      </c>
      <c r="I7437" s="2">
        <f t="shared" si="7"/>
        <v>1426.89</v>
      </c>
    </row>
    <row r="7438">
      <c r="A7438" s="10">
        <f t="shared" si="8"/>
        <v>45420.66667</v>
      </c>
      <c r="B7438" s="2" t="str">
        <f t="shared" si="2"/>
        <v/>
      </c>
      <c r="C7438" s="2" t="str">
        <f t="shared" si="3"/>
        <v>SP500</v>
      </c>
      <c r="D7438" s="2">
        <f t="shared" si="4"/>
        <v>16302.76</v>
      </c>
      <c r="E7438" s="2">
        <f t="shared" si="5"/>
        <v>16302.76</v>
      </c>
      <c r="G7438" s="10">
        <f t="shared" si="9"/>
        <v>45420.64583</v>
      </c>
      <c r="H7438" s="6" t="str">
        <f t="shared" si="6"/>
        <v/>
      </c>
      <c r="I7438" s="2">
        <f t="shared" si="7"/>
        <v>1426.89</v>
      </c>
    </row>
    <row r="7439">
      <c r="A7439" s="10">
        <f t="shared" si="8"/>
        <v>45421.66667</v>
      </c>
      <c r="B7439" s="2" t="str">
        <f t="shared" si="2"/>
        <v/>
      </c>
      <c r="C7439" s="2" t="str">
        <f t="shared" si="3"/>
        <v>SP500</v>
      </c>
      <c r="D7439" s="2">
        <f t="shared" si="4"/>
        <v>16346.27</v>
      </c>
      <c r="E7439" s="2">
        <f t="shared" si="5"/>
        <v>16346.27</v>
      </c>
      <c r="G7439" s="10">
        <f t="shared" si="9"/>
        <v>45421.64583</v>
      </c>
      <c r="H7439" s="6" t="str">
        <f t="shared" si="6"/>
        <v/>
      </c>
      <c r="I7439" s="2">
        <f t="shared" si="7"/>
        <v>1426.89</v>
      </c>
    </row>
    <row r="7440">
      <c r="A7440" s="10">
        <f t="shared" si="8"/>
        <v>45422.66667</v>
      </c>
      <c r="B7440" s="2" t="str">
        <f t="shared" si="2"/>
        <v/>
      </c>
      <c r="C7440" s="2" t="str">
        <f t="shared" si="3"/>
        <v>SP500</v>
      </c>
      <c r="D7440" s="2">
        <f t="shared" si="4"/>
        <v>16340.87</v>
      </c>
      <c r="E7440" s="2">
        <f t="shared" si="5"/>
        <v>16340.87</v>
      </c>
      <c r="G7440" s="10">
        <f t="shared" si="9"/>
        <v>45422.64583</v>
      </c>
      <c r="H7440" s="6" t="str">
        <f t="shared" si="6"/>
        <v/>
      </c>
      <c r="I7440" s="2">
        <f t="shared" si="7"/>
        <v>1426.89</v>
      </c>
    </row>
    <row r="7441">
      <c r="A7441" s="10">
        <f t="shared" si="8"/>
        <v>45423.66667</v>
      </c>
      <c r="B7441" s="2" t="str">
        <f t="shared" si="2"/>
        <v/>
      </c>
      <c r="C7441" s="2" t="str">
        <f t="shared" si="3"/>
        <v>SP500</v>
      </c>
      <c r="D7441" s="2" t="str">
        <f t="shared" si="4"/>
        <v/>
      </c>
      <c r="E7441" s="2">
        <f t="shared" si="5"/>
        <v>16340.87</v>
      </c>
      <c r="G7441" s="10">
        <f t="shared" si="9"/>
        <v>45423.64583</v>
      </c>
      <c r="H7441" s="6" t="str">
        <f t="shared" si="6"/>
        <v/>
      </c>
      <c r="I7441" s="2">
        <f t="shared" si="7"/>
        <v>1426.89</v>
      </c>
    </row>
    <row r="7442">
      <c r="A7442" s="10">
        <f t="shared" si="8"/>
        <v>45424.66667</v>
      </c>
      <c r="B7442" s="2" t="str">
        <f t="shared" si="2"/>
        <v/>
      </c>
      <c r="C7442" s="2" t="str">
        <f t="shared" si="3"/>
        <v>SP500</v>
      </c>
      <c r="D7442" s="2" t="str">
        <f t="shared" si="4"/>
        <v/>
      </c>
      <c r="E7442" s="2">
        <f t="shared" si="5"/>
        <v>16340.87</v>
      </c>
      <c r="G7442" s="10">
        <f t="shared" si="9"/>
        <v>45424.64583</v>
      </c>
      <c r="H7442" s="6" t="str">
        <f t="shared" si="6"/>
        <v/>
      </c>
      <c r="I7442" s="2">
        <f t="shared" si="7"/>
        <v>1426.89</v>
      </c>
    </row>
    <row r="7443">
      <c r="A7443" s="10">
        <f t="shared" si="8"/>
        <v>45425.66667</v>
      </c>
      <c r="B7443" s="2" t="str">
        <f t="shared" si="2"/>
        <v/>
      </c>
      <c r="C7443" s="2" t="str">
        <f t="shared" si="3"/>
        <v>SP500</v>
      </c>
      <c r="D7443" s="2">
        <f t="shared" si="4"/>
        <v>16388.24</v>
      </c>
      <c r="E7443" s="2">
        <f t="shared" si="5"/>
        <v>16388.24</v>
      </c>
      <c r="G7443" s="10">
        <f t="shared" si="9"/>
        <v>45425.64583</v>
      </c>
      <c r="H7443" s="6" t="str">
        <f t="shared" si="6"/>
        <v/>
      </c>
      <c r="I7443" s="2">
        <f t="shared" si="7"/>
        <v>1426.89</v>
      </c>
    </row>
    <row r="7444">
      <c r="A7444" s="10">
        <f t="shared" si="8"/>
        <v>45426.66667</v>
      </c>
      <c r="B7444" s="2" t="str">
        <f t="shared" si="2"/>
        <v/>
      </c>
      <c r="C7444" s="2" t="str">
        <f t="shared" si="3"/>
        <v>SP500</v>
      </c>
      <c r="D7444" s="2">
        <f t="shared" si="4"/>
        <v>16511.18</v>
      </c>
      <c r="E7444" s="2">
        <f t="shared" si="5"/>
        <v>16511.18</v>
      </c>
      <c r="G7444" s="10">
        <f t="shared" si="9"/>
        <v>45426.64583</v>
      </c>
      <c r="H7444" s="6" t="str">
        <f t="shared" si="6"/>
        <v/>
      </c>
      <c r="I7444" s="2">
        <f t="shared" si="7"/>
        <v>1426.89</v>
      </c>
    </row>
    <row r="7445">
      <c r="A7445" s="10">
        <f t="shared" si="8"/>
        <v>45427.66667</v>
      </c>
      <c r="B7445" s="2" t="str">
        <f t="shared" si="2"/>
        <v/>
      </c>
      <c r="C7445" s="2" t="str">
        <f t="shared" si="3"/>
        <v>SP500</v>
      </c>
      <c r="D7445" s="2">
        <f t="shared" si="4"/>
        <v>16742.39</v>
      </c>
      <c r="E7445" s="2">
        <f t="shared" si="5"/>
        <v>16742.39</v>
      </c>
      <c r="G7445" s="10">
        <f t="shared" si="9"/>
        <v>45427.64583</v>
      </c>
      <c r="H7445" s="6" t="str">
        <f t="shared" si="6"/>
        <v/>
      </c>
      <c r="I7445" s="2">
        <f t="shared" si="7"/>
        <v>1426.89</v>
      </c>
    </row>
    <row r="7446">
      <c r="A7446" s="10">
        <f t="shared" si="8"/>
        <v>45428.66667</v>
      </c>
      <c r="B7446" s="2" t="str">
        <f t="shared" si="2"/>
        <v/>
      </c>
      <c r="C7446" s="2" t="str">
        <f t="shared" si="3"/>
        <v>SP500</v>
      </c>
      <c r="D7446" s="2">
        <f t="shared" si="4"/>
        <v>16698.32</v>
      </c>
      <c r="E7446" s="2">
        <f t="shared" si="5"/>
        <v>16698.32</v>
      </c>
      <c r="G7446" s="10">
        <f t="shared" si="9"/>
        <v>45428.64583</v>
      </c>
      <c r="H7446" s="6" t="str">
        <f t="shared" si="6"/>
        <v/>
      </c>
      <c r="I7446" s="2">
        <f t="shared" si="7"/>
        <v>1426.89</v>
      </c>
    </row>
    <row r="7447">
      <c r="A7447" s="10">
        <f t="shared" si="8"/>
        <v>45429.66667</v>
      </c>
      <c r="B7447" s="2" t="str">
        <f t="shared" si="2"/>
        <v/>
      </c>
      <c r="C7447" s="2" t="str">
        <f t="shared" si="3"/>
        <v>SP500</v>
      </c>
      <c r="D7447" s="2">
        <f t="shared" si="4"/>
        <v>16685.97</v>
      </c>
      <c r="E7447" s="2">
        <f t="shared" si="5"/>
        <v>16685.97</v>
      </c>
      <c r="G7447" s="10">
        <f t="shared" si="9"/>
        <v>45429.64583</v>
      </c>
      <c r="H7447" s="6" t="str">
        <f t="shared" si="6"/>
        <v/>
      </c>
      <c r="I7447" s="2">
        <f t="shared" si="7"/>
        <v>1426.89</v>
      </c>
    </row>
    <row r="7448">
      <c r="A7448" s="10">
        <f t="shared" si="8"/>
        <v>45430.66667</v>
      </c>
      <c r="B7448" s="2" t="str">
        <f t="shared" si="2"/>
        <v/>
      </c>
      <c r="C7448" s="2" t="str">
        <f t="shared" si="3"/>
        <v>SP500</v>
      </c>
      <c r="D7448" s="2" t="str">
        <f t="shared" si="4"/>
        <v/>
      </c>
      <c r="E7448" s="2">
        <f t="shared" si="5"/>
        <v>16685.97</v>
      </c>
      <c r="G7448" s="10">
        <f t="shared" si="9"/>
        <v>45430.64583</v>
      </c>
      <c r="H7448" s="6" t="str">
        <f t="shared" si="6"/>
        <v/>
      </c>
      <c r="I7448" s="2">
        <f t="shared" si="7"/>
        <v>1426.89</v>
      </c>
    </row>
    <row r="7449">
      <c r="A7449" s="10">
        <f t="shared" si="8"/>
        <v>45431.66667</v>
      </c>
      <c r="B7449" s="2" t="str">
        <f t="shared" si="2"/>
        <v/>
      </c>
      <c r="C7449" s="2" t="str">
        <f t="shared" si="3"/>
        <v>SP500</v>
      </c>
      <c r="D7449" s="2" t="str">
        <f t="shared" si="4"/>
        <v/>
      </c>
      <c r="E7449" s="2">
        <f t="shared" si="5"/>
        <v>16685.97</v>
      </c>
      <c r="G7449" s="10">
        <f t="shared" si="9"/>
        <v>45431.64583</v>
      </c>
      <c r="H7449" s="6" t="str">
        <f t="shared" si="6"/>
        <v/>
      </c>
      <c r="I7449" s="2">
        <f t="shared" si="7"/>
        <v>1426.89</v>
      </c>
    </row>
    <row r="7450">
      <c r="A7450" s="10">
        <f t="shared" si="8"/>
        <v>45432.66667</v>
      </c>
      <c r="B7450" s="2" t="str">
        <f t="shared" si="2"/>
        <v/>
      </c>
      <c r="C7450" s="2" t="str">
        <f t="shared" si="3"/>
        <v>SP500</v>
      </c>
      <c r="D7450" s="2">
        <f t="shared" si="4"/>
        <v>16794.87</v>
      </c>
      <c r="E7450" s="2">
        <f t="shared" si="5"/>
        <v>16794.87</v>
      </c>
      <c r="G7450" s="10">
        <f t="shared" si="9"/>
        <v>45432.64583</v>
      </c>
      <c r="H7450" s="6" t="str">
        <f t="shared" si="6"/>
        <v/>
      </c>
      <c r="I7450" s="2">
        <f t="shared" si="7"/>
        <v>1426.89</v>
      </c>
    </row>
    <row r="7451">
      <c r="A7451" s="10">
        <f t="shared" si="8"/>
        <v>45433.66667</v>
      </c>
      <c r="B7451" s="2" t="str">
        <f t="shared" si="2"/>
        <v/>
      </c>
      <c r="C7451" s="2" t="str">
        <f t="shared" si="3"/>
        <v>SP500</v>
      </c>
      <c r="D7451" s="2">
        <f t="shared" si="4"/>
        <v>16832.62</v>
      </c>
      <c r="E7451" s="2">
        <f t="shared" si="5"/>
        <v>16832.62</v>
      </c>
      <c r="G7451" s="10">
        <f t="shared" si="9"/>
        <v>45433.64583</v>
      </c>
      <c r="H7451" s="6" t="str">
        <f t="shared" si="6"/>
        <v/>
      </c>
      <c r="I7451" s="2">
        <f t="shared" si="7"/>
        <v>1426.89</v>
      </c>
    </row>
    <row r="7452">
      <c r="A7452" s="10">
        <f t="shared" si="8"/>
        <v>45434.66667</v>
      </c>
      <c r="B7452" s="2" t="str">
        <f t="shared" si="2"/>
        <v/>
      </c>
      <c r="C7452" s="2" t="str">
        <f t="shared" si="3"/>
        <v>SP500</v>
      </c>
      <c r="D7452" s="2">
        <f t="shared" si="4"/>
        <v>16801.54</v>
      </c>
      <c r="E7452" s="2">
        <f t="shared" si="5"/>
        <v>16801.54</v>
      </c>
      <c r="G7452" s="10">
        <f t="shared" si="9"/>
        <v>45434.64583</v>
      </c>
      <c r="H7452" s="6" t="str">
        <f t="shared" si="6"/>
        <v/>
      </c>
      <c r="I7452" s="2">
        <f t="shared" si="7"/>
        <v>1426.89</v>
      </c>
    </row>
    <row r="7453">
      <c r="A7453" s="10">
        <f t="shared" si="8"/>
        <v>45435.66667</v>
      </c>
      <c r="B7453" s="2" t="str">
        <f t="shared" si="2"/>
        <v/>
      </c>
      <c r="C7453" s="2" t="str">
        <f t="shared" si="3"/>
        <v>SP500</v>
      </c>
      <c r="D7453" s="2">
        <f t="shared" si="4"/>
        <v>16736.03</v>
      </c>
      <c r="E7453" s="2">
        <f t="shared" si="5"/>
        <v>16736.03</v>
      </c>
      <c r="G7453" s="10">
        <f t="shared" si="9"/>
        <v>45435.64583</v>
      </c>
      <c r="H7453" s="6" t="str">
        <f t="shared" si="6"/>
        <v/>
      </c>
      <c r="I7453" s="2">
        <f t="shared" si="7"/>
        <v>1426.89</v>
      </c>
    </row>
    <row r="7454">
      <c r="A7454" s="10">
        <f t="shared" si="8"/>
        <v>45436.66667</v>
      </c>
      <c r="B7454" s="2" t="str">
        <f t="shared" si="2"/>
        <v/>
      </c>
      <c r="C7454" s="2" t="str">
        <f t="shared" si="3"/>
        <v>SP500</v>
      </c>
      <c r="D7454" s="2">
        <f t="shared" si="4"/>
        <v>16920.79</v>
      </c>
      <c r="E7454" s="2">
        <f t="shared" si="5"/>
        <v>16920.79</v>
      </c>
      <c r="G7454" s="10">
        <f t="shared" si="9"/>
        <v>45436.64583</v>
      </c>
      <c r="H7454" s="6" t="str">
        <f t="shared" si="6"/>
        <v/>
      </c>
      <c r="I7454" s="2">
        <f t="shared" si="7"/>
        <v>1426.89</v>
      </c>
    </row>
    <row r="7455">
      <c r="A7455" s="10">
        <f t="shared" si="8"/>
        <v>45437.66667</v>
      </c>
      <c r="B7455" s="2" t="str">
        <f t="shared" si="2"/>
        <v/>
      </c>
      <c r="C7455" s="2" t="str">
        <f t="shared" si="3"/>
        <v>SP500</v>
      </c>
      <c r="D7455" s="2" t="str">
        <f t="shared" si="4"/>
        <v/>
      </c>
      <c r="E7455" s="2">
        <f t="shared" si="5"/>
        <v>16920.79</v>
      </c>
      <c r="G7455" s="10">
        <f t="shared" si="9"/>
        <v>45437.64583</v>
      </c>
      <c r="H7455" s="6" t="str">
        <f t="shared" si="6"/>
        <v/>
      </c>
      <c r="I7455" s="2">
        <f t="shared" si="7"/>
        <v>1426.89</v>
      </c>
    </row>
    <row r="7456">
      <c r="A7456" s="10">
        <f t="shared" si="8"/>
        <v>45438.66667</v>
      </c>
      <c r="B7456" s="2" t="str">
        <f t="shared" si="2"/>
        <v/>
      </c>
      <c r="C7456" s="2" t="str">
        <f t="shared" si="3"/>
        <v>SP500</v>
      </c>
      <c r="D7456" s="2" t="str">
        <f t="shared" si="4"/>
        <v/>
      </c>
      <c r="E7456" s="2">
        <f t="shared" si="5"/>
        <v>16920.79</v>
      </c>
      <c r="G7456" s="10">
        <f t="shared" si="9"/>
        <v>45438.64583</v>
      </c>
      <c r="H7456" s="6" t="str">
        <f t="shared" si="6"/>
        <v/>
      </c>
      <c r="I7456" s="2">
        <f t="shared" si="7"/>
        <v>1426.89</v>
      </c>
    </row>
    <row r="7457">
      <c r="A7457" s="10">
        <f t="shared" si="8"/>
        <v>45439.66667</v>
      </c>
      <c r="B7457" s="2" t="str">
        <f t="shared" si="2"/>
        <v/>
      </c>
      <c r="C7457" s="2" t="str">
        <f t="shared" si="3"/>
        <v>SP500</v>
      </c>
      <c r="D7457" s="2" t="str">
        <f t="shared" si="4"/>
        <v/>
      </c>
      <c r="E7457" s="2">
        <f t="shared" si="5"/>
        <v>16920.79</v>
      </c>
      <c r="G7457" s="10">
        <f t="shared" si="9"/>
        <v>45439.64583</v>
      </c>
      <c r="H7457" s="6" t="str">
        <f t="shared" si="6"/>
        <v/>
      </c>
      <c r="I7457" s="2">
        <f t="shared" si="7"/>
        <v>1426.89</v>
      </c>
    </row>
    <row r="7458">
      <c r="A7458" s="10">
        <f t="shared" si="8"/>
        <v>45440.66667</v>
      </c>
      <c r="B7458" s="2" t="str">
        <f t="shared" si="2"/>
        <v/>
      </c>
      <c r="C7458" s="2" t="str">
        <f t="shared" si="3"/>
        <v>SP500</v>
      </c>
      <c r="D7458" s="2">
        <f t="shared" si="4"/>
        <v>17019.88</v>
      </c>
      <c r="E7458" s="2">
        <f t="shared" si="5"/>
        <v>17019.88</v>
      </c>
      <c r="G7458" s="10">
        <f t="shared" si="9"/>
        <v>45440.64583</v>
      </c>
      <c r="H7458" s="6" t="str">
        <f t="shared" si="6"/>
        <v/>
      </c>
      <c r="I7458" s="2">
        <f t="shared" si="7"/>
        <v>1426.89</v>
      </c>
    </row>
    <row r="7459">
      <c r="A7459" s="10">
        <f t="shared" si="8"/>
        <v>45441.66667</v>
      </c>
      <c r="B7459" s="2" t="str">
        <f t="shared" si="2"/>
        <v/>
      </c>
      <c r="C7459" s="2" t="str">
        <f t="shared" si="3"/>
        <v>SP500</v>
      </c>
      <c r="D7459" s="2">
        <f t="shared" si="4"/>
        <v>16920.58</v>
      </c>
      <c r="E7459" s="2">
        <f t="shared" si="5"/>
        <v>16920.58</v>
      </c>
      <c r="G7459" s="10">
        <f t="shared" si="9"/>
        <v>45441.64583</v>
      </c>
      <c r="H7459" s="6" t="str">
        <f t="shared" si="6"/>
        <v/>
      </c>
      <c r="I7459" s="2">
        <f t="shared" si="7"/>
        <v>1426.89</v>
      </c>
    </row>
    <row r="7460">
      <c r="A7460" s="10">
        <f t="shared" si="8"/>
        <v>45442.66667</v>
      </c>
      <c r="B7460" s="2" t="str">
        <f t="shared" si="2"/>
        <v/>
      </c>
      <c r="C7460" s="2" t="str">
        <f t="shared" si="3"/>
        <v>SP500</v>
      </c>
      <c r="D7460" s="2">
        <f t="shared" si="4"/>
        <v>16737.08</v>
      </c>
      <c r="E7460" s="2">
        <f t="shared" si="5"/>
        <v>16737.08</v>
      </c>
      <c r="G7460" s="10">
        <f t="shared" si="9"/>
        <v>45442.64583</v>
      </c>
      <c r="H7460" s="6" t="str">
        <f t="shared" si="6"/>
        <v/>
      </c>
      <c r="I7460" s="2">
        <f t="shared" si="7"/>
        <v>1426.89</v>
      </c>
    </row>
    <row r="7461">
      <c r="A7461" s="10">
        <f t="shared" si="8"/>
        <v>45443.66667</v>
      </c>
      <c r="B7461" s="2" t="str">
        <f t="shared" si="2"/>
        <v/>
      </c>
      <c r="C7461" s="2" t="str">
        <f t="shared" si="3"/>
        <v>SP500</v>
      </c>
      <c r="D7461" s="2">
        <f t="shared" si="4"/>
        <v>16735.02</v>
      </c>
      <c r="E7461" s="2">
        <f t="shared" si="5"/>
        <v>16735.02</v>
      </c>
      <c r="G7461" s="10">
        <f t="shared" si="9"/>
        <v>45443.64583</v>
      </c>
      <c r="H7461" s="6" t="str">
        <f t="shared" si="6"/>
        <v/>
      </c>
      <c r="I7461" s="2">
        <f t="shared" si="7"/>
        <v>1426.89</v>
      </c>
    </row>
    <row r="7462">
      <c r="A7462" s="10">
        <f t="shared" si="8"/>
        <v>45444.66667</v>
      </c>
      <c r="B7462" s="2" t="str">
        <f t="shared" si="2"/>
        <v/>
      </c>
      <c r="C7462" s="2" t="str">
        <f t="shared" si="3"/>
        <v>SP500</v>
      </c>
      <c r="D7462" s="2" t="str">
        <f t="shared" si="4"/>
        <v/>
      </c>
      <c r="E7462" s="2">
        <f t="shared" si="5"/>
        <v>16735.02</v>
      </c>
      <c r="G7462" s="10">
        <f t="shared" si="9"/>
        <v>45444.64583</v>
      </c>
      <c r="H7462" s="6" t="str">
        <f t="shared" si="6"/>
        <v/>
      </c>
      <c r="I7462" s="2">
        <f t="shared" si="7"/>
        <v>1426.89</v>
      </c>
    </row>
    <row r="7463">
      <c r="A7463" s="10">
        <f t="shared" si="8"/>
        <v>45445.66667</v>
      </c>
      <c r="B7463" s="2" t="str">
        <f t="shared" si="2"/>
        <v/>
      </c>
      <c r="C7463" s="2" t="str">
        <f t="shared" si="3"/>
        <v>SP500</v>
      </c>
      <c r="D7463" s="2" t="str">
        <f t="shared" si="4"/>
        <v/>
      </c>
      <c r="E7463" s="2">
        <f t="shared" si="5"/>
        <v>16735.02</v>
      </c>
      <c r="G7463" s="10">
        <f t="shared" si="9"/>
        <v>45445.64583</v>
      </c>
      <c r="H7463" s="6" t="str">
        <f t="shared" si="6"/>
        <v/>
      </c>
      <c r="I7463" s="2">
        <f t="shared" si="7"/>
        <v>1426.89</v>
      </c>
    </row>
    <row r="7464">
      <c r="A7464" s="10">
        <f t="shared" si="8"/>
        <v>45446.66667</v>
      </c>
      <c r="B7464" s="2" t="str">
        <f t="shared" si="2"/>
        <v/>
      </c>
      <c r="C7464" s="2" t="str">
        <f t="shared" si="3"/>
        <v>SP500</v>
      </c>
      <c r="D7464" s="2">
        <f t="shared" si="4"/>
        <v>16828.67</v>
      </c>
      <c r="E7464" s="2">
        <f t="shared" si="5"/>
        <v>16828.67</v>
      </c>
      <c r="G7464" s="10">
        <f t="shared" si="9"/>
        <v>45446.64583</v>
      </c>
      <c r="H7464" s="6" t="str">
        <f t="shared" si="6"/>
        <v/>
      </c>
      <c r="I7464" s="2">
        <f t="shared" si="7"/>
        <v>1426.89</v>
      </c>
    </row>
    <row r="7465">
      <c r="A7465" s="10">
        <f t="shared" si="8"/>
        <v>45447.66667</v>
      </c>
      <c r="B7465" s="2" t="str">
        <f t="shared" si="2"/>
        <v/>
      </c>
      <c r="C7465" s="2" t="str">
        <f t="shared" si="3"/>
        <v>SP500</v>
      </c>
      <c r="D7465" s="2">
        <f t="shared" si="4"/>
        <v>16857.05</v>
      </c>
      <c r="E7465" s="2">
        <f t="shared" si="5"/>
        <v>16857.05</v>
      </c>
      <c r="G7465" s="10">
        <f t="shared" si="9"/>
        <v>45447.64583</v>
      </c>
      <c r="H7465" s="6" t="str">
        <f t="shared" si="6"/>
        <v/>
      </c>
      <c r="I7465" s="2">
        <f t="shared" si="7"/>
        <v>1426.89</v>
      </c>
    </row>
    <row r="7466">
      <c r="A7466" s="10">
        <f t="shared" si="8"/>
        <v>45448.66667</v>
      </c>
      <c r="B7466" s="2" t="str">
        <f t="shared" si="2"/>
        <v/>
      </c>
      <c r="C7466" s="2" t="str">
        <f t="shared" si="3"/>
        <v>SP500</v>
      </c>
      <c r="D7466" s="2">
        <f t="shared" si="4"/>
        <v>17187.91</v>
      </c>
      <c r="E7466" s="2">
        <f t="shared" si="5"/>
        <v>17187.91</v>
      </c>
      <c r="G7466" s="10">
        <f t="shared" si="9"/>
        <v>45448.64583</v>
      </c>
      <c r="H7466" s="6" t="str">
        <f t="shared" si="6"/>
        <v/>
      </c>
      <c r="I7466" s="2">
        <f t="shared" si="7"/>
        <v>1426.89</v>
      </c>
    </row>
    <row r="7467">
      <c r="A7467" s="10">
        <f t="shared" si="8"/>
        <v>45449.66667</v>
      </c>
      <c r="B7467" s="2" t="str">
        <f t="shared" si="2"/>
        <v/>
      </c>
      <c r="C7467" s="2" t="str">
        <f t="shared" si="3"/>
        <v>SP500</v>
      </c>
      <c r="D7467" s="2">
        <f t="shared" si="4"/>
        <v>17173.12</v>
      </c>
      <c r="E7467" s="2">
        <f t="shared" si="5"/>
        <v>17173.12</v>
      </c>
      <c r="G7467" s="10">
        <f t="shared" si="9"/>
        <v>45449.64583</v>
      </c>
      <c r="H7467" s="6" t="str">
        <f t="shared" si="6"/>
        <v/>
      </c>
      <c r="I7467" s="2">
        <f t="shared" si="7"/>
        <v>1426.89</v>
      </c>
    </row>
    <row r="7468">
      <c r="A7468" s="10">
        <f t="shared" si="8"/>
        <v>45450.66667</v>
      </c>
      <c r="B7468" s="2" t="str">
        <f t="shared" si="2"/>
        <v/>
      </c>
      <c r="C7468" s="2" t="str">
        <f t="shared" si="3"/>
        <v>SP500</v>
      </c>
      <c r="D7468" s="2">
        <f t="shared" si="4"/>
        <v>17133.13</v>
      </c>
      <c r="E7468" s="2">
        <f t="shared" si="5"/>
        <v>17133.13</v>
      </c>
      <c r="G7468" s="10">
        <f t="shared" si="9"/>
        <v>45450.64583</v>
      </c>
      <c r="H7468" s="6" t="str">
        <f t="shared" si="6"/>
        <v/>
      </c>
      <c r="I7468" s="2">
        <f t="shared" si="7"/>
        <v>1426.89</v>
      </c>
    </row>
    <row r="7469">
      <c r="A7469" s="10">
        <f t="shared" si="8"/>
        <v>45451.66667</v>
      </c>
      <c r="B7469" s="2" t="str">
        <f t="shared" si="2"/>
        <v/>
      </c>
      <c r="C7469" s="2" t="str">
        <f t="shared" si="3"/>
        <v>SP500</v>
      </c>
      <c r="D7469" s="2" t="str">
        <f t="shared" si="4"/>
        <v/>
      </c>
      <c r="E7469" s="2">
        <f t="shared" si="5"/>
        <v>17133.13</v>
      </c>
      <c r="G7469" s="10">
        <f t="shared" si="9"/>
        <v>45451.64583</v>
      </c>
      <c r="H7469" s="6" t="str">
        <f t="shared" si="6"/>
        <v/>
      </c>
      <c r="I7469" s="2">
        <f t="shared" si="7"/>
        <v>1426.89</v>
      </c>
    </row>
    <row r="7470">
      <c r="A7470" s="10">
        <f t="shared" si="8"/>
        <v>45452.66667</v>
      </c>
      <c r="B7470" s="2" t="str">
        <f t="shared" si="2"/>
        <v/>
      </c>
      <c r="C7470" s="2" t="str">
        <f t="shared" si="3"/>
        <v>SP500</v>
      </c>
      <c r="D7470" s="2" t="str">
        <f t="shared" si="4"/>
        <v/>
      </c>
      <c r="E7470" s="2">
        <f t="shared" si="5"/>
        <v>17133.13</v>
      </c>
      <c r="G7470" s="10">
        <f t="shared" si="9"/>
        <v>45452.64583</v>
      </c>
      <c r="H7470" s="6" t="str">
        <f t="shared" si="6"/>
        <v/>
      </c>
      <c r="I7470" s="2">
        <f t="shared" si="7"/>
        <v>1426.89</v>
      </c>
    </row>
    <row r="7471">
      <c r="A7471" s="10">
        <f t="shared" si="8"/>
        <v>45453.66667</v>
      </c>
      <c r="B7471" s="2" t="str">
        <f t="shared" si="2"/>
        <v/>
      </c>
      <c r="C7471" s="2" t="str">
        <f t="shared" si="3"/>
        <v>SP500</v>
      </c>
      <c r="D7471" s="2">
        <f t="shared" si="4"/>
        <v>17192.53</v>
      </c>
      <c r="E7471" s="2">
        <f t="shared" si="5"/>
        <v>17192.53</v>
      </c>
      <c r="G7471" s="10">
        <f t="shared" si="9"/>
        <v>45453.64583</v>
      </c>
      <c r="H7471" s="6" t="str">
        <f t="shared" si="6"/>
        <v/>
      </c>
      <c r="I7471" s="2">
        <f t="shared" si="7"/>
        <v>1426.89</v>
      </c>
    </row>
    <row r="7472">
      <c r="A7472" s="10">
        <f t="shared" si="8"/>
        <v>45454.66667</v>
      </c>
      <c r="B7472" s="2" t="str">
        <f t="shared" si="2"/>
        <v/>
      </c>
      <c r="C7472" s="2" t="str">
        <f t="shared" si="3"/>
        <v>SP500</v>
      </c>
      <c r="D7472" s="2">
        <f t="shared" si="4"/>
        <v>17343.55</v>
      </c>
      <c r="E7472" s="2">
        <f t="shared" si="5"/>
        <v>17343.55</v>
      </c>
      <c r="G7472" s="10">
        <f t="shared" si="9"/>
        <v>45454.64583</v>
      </c>
      <c r="H7472" s="6" t="str">
        <f t="shared" si="6"/>
        <v/>
      </c>
      <c r="I7472" s="2">
        <f t="shared" si="7"/>
        <v>1426.89</v>
      </c>
    </row>
    <row r="7473">
      <c r="A7473" s="10">
        <f t="shared" si="8"/>
        <v>45455.66667</v>
      </c>
      <c r="B7473" s="2" t="str">
        <f t="shared" si="2"/>
        <v/>
      </c>
      <c r="C7473" s="2" t="str">
        <f t="shared" si="3"/>
        <v>SP500</v>
      </c>
      <c r="D7473" s="2">
        <f t="shared" si="4"/>
        <v>17608.44</v>
      </c>
      <c r="E7473" s="2">
        <f t="shared" si="5"/>
        <v>17608.44</v>
      </c>
      <c r="G7473" s="10">
        <f t="shared" si="9"/>
        <v>45455.64583</v>
      </c>
      <c r="H7473" s="6" t="str">
        <f t="shared" si="6"/>
        <v/>
      </c>
      <c r="I7473" s="2">
        <f t="shared" si="7"/>
        <v>1426.89</v>
      </c>
    </row>
    <row r="7474">
      <c r="A7474" s="10">
        <f t="shared" si="8"/>
        <v>45456.66667</v>
      </c>
      <c r="B7474" s="2" t="str">
        <f t="shared" si="2"/>
        <v/>
      </c>
      <c r="C7474" s="2" t="str">
        <f t="shared" si="3"/>
        <v>SP500</v>
      </c>
      <c r="D7474" s="2">
        <f t="shared" si="4"/>
        <v>17667.56</v>
      </c>
      <c r="E7474" s="2">
        <f t="shared" si="5"/>
        <v>17667.56</v>
      </c>
      <c r="G7474" s="10">
        <f t="shared" si="9"/>
        <v>45456.64583</v>
      </c>
      <c r="H7474" s="6" t="str">
        <f t="shared" si="6"/>
        <v/>
      </c>
      <c r="I7474" s="2">
        <f t="shared" si="7"/>
        <v>1426.89</v>
      </c>
    </row>
    <row r="7475">
      <c r="A7475" s="10">
        <f t="shared" si="8"/>
        <v>45457.66667</v>
      </c>
      <c r="B7475" s="2" t="str">
        <f t="shared" si="2"/>
        <v/>
      </c>
      <c r="C7475" s="2" t="str">
        <f t="shared" si="3"/>
        <v>SP500</v>
      </c>
      <c r="D7475" s="2">
        <f t="shared" si="4"/>
        <v>17688.88</v>
      </c>
      <c r="E7475" s="2">
        <f t="shared" si="5"/>
        <v>17688.88</v>
      </c>
      <c r="G7475" s="10">
        <f t="shared" si="9"/>
        <v>45457.64583</v>
      </c>
      <c r="H7475" s="6" t="str">
        <f t="shared" si="6"/>
        <v/>
      </c>
      <c r="I7475" s="2">
        <f t="shared" si="7"/>
        <v>1426.89</v>
      </c>
    </row>
    <row r="7476">
      <c r="A7476" s="10">
        <f t="shared" si="8"/>
        <v>45458.66667</v>
      </c>
      <c r="B7476" s="2" t="str">
        <f t="shared" si="2"/>
        <v/>
      </c>
      <c r="C7476" s="2" t="str">
        <f t="shared" si="3"/>
        <v>SP500</v>
      </c>
      <c r="D7476" s="2" t="str">
        <f t="shared" si="4"/>
        <v/>
      </c>
      <c r="E7476" s="2">
        <f t="shared" si="5"/>
        <v>17688.88</v>
      </c>
      <c r="G7476" s="10">
        <f t="shared" si="9"/>
        <v>45458.64583</v>
      </c>
      <c r="H7476" s="6" t="str">
        <f t="shared" si="6"/>
        <v/>
      </c>
      <c r="I7476" s="2">
        <f t="shared" si="7"/>
        <v>1426.89</v>
      </c>
    </row>
    <row r="7477">
      <c r="A7477" s="10">
        <f t="shared" si="8"/>
        <v>45459.66667</v>
      </c>
      <c r="B7477" s="2" t="str">
        <f t="shared" si="2"/>
        <v/>
      </c>
      <c r="C7477" s="2" t="str">
        <f t="shared" si="3"/>
        <v>SP500</v>
      </c>
      <c r="D7477" s="2" t="str">
        <f t="shared" si="4"/>
        <v/>
      </c>
      <c r="E7477" s="2">
        <f t="shared" si="5"/>
        <v>17688.88</v>
      </c>
      <c r="G7477" s="10">
        <f t="shared" si="9"/>
        <v>45459.64583</v>
      </c>
      <c r="H7477" s="6" t="str">
        <f t="shared" si="6"/>
        <v/>
      </c>
      <c r="I7477" s="2">
        <f t="shared" si="7"/>
        <v>1426.89</v>
      </c>
    </row>
    <row r="7478">
      <c r="A7478" s="10">
        <f t="shared" si="8"/>
        <v>45460.66667</v>
      </c>
      <c r="B7478" s="2" t="str">
        <f t="shared" si="2"/>
        <v/>
      </c>
      <c r="C7478" s="2" t="str">
        <f t="shared" si="3"/>
        <v>SP500</v>
      </c>
      <c r="D7478" s="2">
        <f t="shared" si="4"/>
        <v>17857.02</v>
      </c>
      <c r="E7478" s="2">
        <f t="shared" si="5"/>
        <v>17857.02</v>
      </c>
      <c r="G7478" s="10">
        <f t="shared" si="9"/>
        <v>45460.64583</v>
      </c>
      <c r="H7478" s="6" t="str">
        <f t="shared" si="6"/>
        <v/>
      </c>
      <c r="I7478" s="2">
        <f t="shared" si="7"/>
        <v>1426.89</v>
      </c>
    </row>
    <row r="7479">
      <c r="A7479" s="10">
        <f t="shared" si="8"/>
        <v>45461.66667</v>
      </c>
      <c r="B7479" s="2" t="str">
        <f t="shared" si="2"/>
        <v/>
      </c>
      <c r="C7479" s="2" t="str">
        <f t="shared" si="3"/>
        <v>SP500</v>
      </c>
      <c r="D7479" s="2">
        <f t="shared" si="4"/>
        <v>17862.23</v>
      </c>
      <c r="E7479" s="2">
        <f t="shared" si="5"/>
        <v>17862.23</v>
      </c>
      <c r="G7479" s="10">
        <f t="shared" si="9"/>
        <v>45461.64583</v>
      </c>
      <c r="H7479" s="6" t="str">
        <f t="shared" si="6"/>
        <v/>
      </c>
      <c r="I7479" s="2">
        <f t="shared" si="7"/>
        <v>1426.89</v>
      </c>
    </row>
    <row r="7480">
      <c r="A7480" s="10">
        <f t="shared" si="8"/>
        <v>45462.66667</v>
      </c>
      <c r="B7480" s="2" t="str">
        <f t="shared" si="2"/>
        <v/>
      </c>
      <c r="C7480" s="2" t="str">
        <f t="shared" si="3"/>
        <v>SP500</v>
      </c>
      <c r="D7480" s="2" t="str">
        <f t="shared" si="4"/>
        <v/>
      </c>
      <c r="E7480" s="2">
        <f t="shared" si="5"/>
        <v>17862.23</v>
      </c>
      <c r="G7480" s="10">
        <f t="shared" si="9"/>
        <v>45462.64583</v>
      </c>
      <c r="H7480" s="6" t="str">
        <f t="shared" si="6"/>
        <v/>
      </c>
      <c r="I7480" s="2">
        <f t="shared" si="7"/>
        <v>1426.89</v>
      </c>
    </row>
    <row r="7481">
      <c r="A7481" s="10">
        <f t="shared" si="8"/>
        <v>45463.66667</v>
      </c>
      <c r="B7481" s="2" t="str">
        <f t="shared" si="2"/>
        <v/>
      </c>
      <c r="C7481" s="2" t="str">
        <f t="shared" si="3"/>
        <v>SP500</v>
      </c>
      <c r="D7481" s="2">
        <f t="shared" si="4"/>
        <v>17721.59</v>
      </c>
      <c r="E7481" s="2">
        <f t="shared" si="5"/>
        <v>17721.59</v>
      </c>
      <c r="G7481" s="10">
        <f t="shared" si="9"/>
        <v>45463.64583</v>
      </c>
      <c r="H7481" s="6" t="str">
        <f t="shared" si="6"/>
        <v/>
      </c>
      <c r="I7481" s="2">
        <f t="shared" si="7"/>
        <v>1426.89</v>
      </c>
    </row>
    <row r="7482">
      <c r="A7482" s="10">
        <f t="shared" si="8"/>
        <v>45464.66667</v>
      </c>
      <c r="B7482" s="2" t="str">
        <f t="shared" si="2"/>
        <v/>
      </c>
      <c r="C7482" s="2" t="str">
        <f t="shared" si="3"/>
        <v>SP500</v>
      </c>
      <c r="D7482" s="2">
        <f t="shared" si="4"/>
        <v>17689.36</v>
      </c>
      <c r="E7482" s="2">
        <f t="shared" si="5"/>
        <v>17689.36</v>
      </c>
      <c r="G7482" s="10">
        <f t="shared" si="9"/>
        <v>45464.64583</v>
      </c>
      <c r="H7482" s="6" t="str">
        <f t="shared" si="6"/>
        <v/>
      </c>
      <c r="I7482" s="2">
        <f t="shared" si="7"/>
        <v>1426.89</v>
      </c>
    </row>
    <row r="7483">
      <c r="A7483" s="10">
        <f t="shared" si="8"/>
        <v>45465.66667</v>
      </c>
      <c r="B7483" s="2" t="str">
        <f t="shared" si="2"/>
        <v/>
      </c>
      <c r="C7483" s="2" t="str">
        <f t="shared" si="3"/>
        <v>SP500</v>
      </c>
      <c r="D7483" s="2" t="str">
        <f t="shared" si="4"/>
        <v/>
      </c>
      <c r="E7483" s="2">
        <f t="shared" si="5"/>
        <v>17689.36</v>
      </c>
      <c r="G7483" s="10">
        <f t="shared" si="9"/>
        <v>45465.64583</v>
      </c>
      <c r="H7483" s="6" t="str">
        <f t="shared" si="6"/>
        <v/>
      </c>
      <c r="I7483" s="2">
        <f t="shared" si="7"/>
        <v>1426.89</v>
      </c>
    </row>
    <row r="7484">
      <c r="A7484" s="10">
        <f t="shared" si="8"/>
        <v>45466.66667</v>
      </c>
      <c r="B7484" s="2" t="str">
        <f t="shared" si="2"/>
        <v/>
      </c>
      <c r="C7484" s="2" t="str">
        <f t="shared" si="3"/>
        <v>SP500</v>
      </c>
      <c r="D7484" s="2" t="str">
        <f t="shared" si="4"/>
        <v/>
      </c>
      <c r="E7484" s="2">
        <f t="shared" si="5"/>
        <v>17689.36</v>
      </c>
      <c r="G7484" s="10">
        <f t="shared" si="9"/>
        <v>45466.64583</v>
      </c>
      <c r="H7484" s="6" t="str">
        <f t="shared" si="6"/>
        <v/>
      </c>
      <c r="I7484" s="2">
        <f t="shared" si="7"/>
        <v>1426.89</v>
      </c>
    </row>
    <row r="7485">
      <c r="A7485" s="10">
        <f t="shared" si="8"/>
        <v>45467.66667</v>
      </c>
      <c r="B7485" s="2" t="str">
        <f t="shared" si="2"/>
        <v/>
      </c>
      <c r="C7485" s="2" t="str">
        <f t="shared" si="3"/>
        <v>SP500</v>
      </c>
      <c r="D7485" s="2">
        <f t="shared" si="4"/>
        <v>17496.82</v>
      </c>
      <c r="E7485" s="2">
        <f t="shared" si="5"/>
        <v>17496.82</v>
      </c>
      <c r="G7485" s="10">
        <f t="shared" si="9"/>
        <v>45467.64583</v>
      </c>
      <c r="H7485" s="6" t="str">
        <f t="shared" si="6"/>
        <v/>
      </c>
      <c r="I7485" s="2">
        <f t="shared" si="7"/>
        <v>1426.89</v>
      </c>
    </row>
    <row r="7486">
      <c r="A7486" s="10">
        <f t="shared" si="8"/>
        <v>45468.66667</v>
      </c>
      <c r="B7486" s="2" t="str">
        <f t="shared" si="2"/>
        <v/>
      </c>
      <c r="C7486" s="2" t="str">
        <f t="shared" si="3"/>
        <v>SP500</v>
      </c>
      <c r="D7486" s="2">
        <f t="shared" si="4"/>
        <v>17717.65</v>
      </c>
      <c r="E7486" s="2">
        <f t="shared" si="5"/>
        <v>17717.65</v>
      </c>
      <c r="G7486" s="10">
        <f t="shared" si="9"/>
        <v>45468.64583</v>
      </c>
      <c r="H7486" s="6" t="str">
        <f t="shared" si="6"/>
        <v/>
      </c>
      <c r="I7486" s="2">
        <f t="shared" si="7"/>
        <v>1426.89</v>
      </c>
    </row>
    <row r="7487">
      <c r="A7487" s="10">
        <f t="shared" si="8"/>
        <v>45469.66667</v>
      </c>
      <c r="B7487" s="2" t="str">
        <f t="shared" si="2"/>
        <v/>
      </c>
      <c r="C7487" s="2" t="str">
        <f t="shared" si="3"/>
        <v>SP500</v>
      </c>
      <c r="D7487" s="2">
        <f t="shared" si="4"/>
        <v>17805.16</v>
      </c>
      <c r="E7487" s="2">
        <f t="shared" si="5"/>
        <v>17805.16</v>
      </c>
      <c r="G7487" s="10">
        <f t="shared" si="9"/>
        <v>45469.64583</v>
      </c>
      <c r="H7487" s="6" t="str">
        <f t="shared" si="6"/>
        <v/>
      </c>
      <c r="I7487" s="2">
        <f t="shared" si="7"/>
        <v>1426.89</v>
      </c>
    </row>
    <row r="7488">
      <c r="A7488" s="10">
        <f t="shared" si="8"/>
        <v>45470.66667</v>
      </c>
      <c r="B7488" s="2" t="str">
        <f t="shared" si="2"/>
        <v/>
      </c>
      <c r="C7488" s="2" t="str">
        <f t="shared" si="3"/>
        <v>SP500</v>
      </c>
      <c r="D7488" s="2">
        <f t="shared" si="4"/>
        <v>17858.68</v>
      </c>
      <c r="E7488" s="2">
        <f t="shared" si="5"/>
        <v>17858.68</v>
      </c>
      <c r="G7488" s="10">
        <f t="shared" si="9"/>
        <v>45470.64583</v>
      </c>
      <c r="H7488" s="6" t="str">
        <f t="shared" si="6"/>
        <v/>
      </c>
      <c r="I7488" s="2">
        <f t="shared" si="7"/>
        <v>1426.89</v>
      </c>
    </row>
    <row r="7489">
      <c r="A7489" s="10">
        <f t="shared" si="8"/>
        <v>45471.66667</v>
      </c>
      <c r="B7489" s="2" t="str">
        <f t="shared" si="2"/>
        <v/>
      </c>
      <c r="C7489" s="2" t="str">
        <f t="shared" si="3"/>
        <v>SP500</v>
      </c>
      <c r="D7489" s="2">
        <f t="shared" si="4"/>
        <v>17732.6</v>
      </c>
      <c r="E7489" s="2">
        <f t="shared" si="5"/>
        <v>17732.6</v>
      </c>
      <c r="G7489" s="10">
        <f t="shared" si="9"/>
        <v>45471.64583</v>
      </c>
      <c r="H7489" s="6" t="str">
        <f t="shared" si="6"/>
        <v/>
      </c>
      <c r="I7489" s="2">
        <f t="shared" si="7"/>
        <v>1426.89</v>
      </c>
    </row>
    <row r="7490">
      <c r="A7490" s="10">
        <f t="shared" si="8"/>
        <v>45472.66667</v>
      </c>
      <c r="B7490" s="2" t="str">
        <f t="shared" si="2"/>
        <v/>
      </c>
      <c r="C7490" s="2" t="str">
        <f t="shared" si="3"/>
        <v>SP500</v>
      </c>
      <c r="D7490" s="2" t="str">
        <f t="shared" si="4"/>
        <v/>
      </c>
      <c r="E7490" s="2">
        <f t="shared" si="5"/>
        <v>17732.6</v>
      </c>
      <c r="G7490" s="10">
        <f t="shared" si="9"/>
        <v>45472.64583</v>
      </c>
      <c r="H7490" s="6" t="str">
        <f t="shared" si="6"/>
        <v/>
      </c>
      <c r="I7490" s="2">
        <f t="shared" si="7"/>
        <v>1426.89</v>
      </c>
    </row>
    <row r="7491">
      <c r="A7491" s="10">
        <f t="shared" si="8"/>
        <v>45473.66667</v>
      </c>
      <c r="B7491" s="2" t="str">
        <f t="shared" si="2"/>
        <v/>
      </c>
      <c r="C7491" s="2" t="str">
        <f t="shared" si="3"/>
        <v>SP500</v>
      </c>
      <c r="D7491" s="2" t="str">
        <f t="shared" si="4"/>
        <v/>
      </c>
      <c r="E7491" s="2">
        <f t="shared" si="5"/>
        <v>17732.6</v>
      </c>
      <c r="G7491" s="10">
        <f t="shared" si="9"/>
        <v>45473.64583</v>
      </c>
      <c r="H7491" s="6" t="str">
        <f t="shared" si="6"/>
        <v/>
      </c>
      <c r="I7491" s="2">
        <f t="shared" si="7"/>
        <v>1426.89</v>
      </c>
    </row>
    <row r="7492">
      <c r="A7492" s="10">
        <f t="shared" si="8"/>
        <v>45474.66667</v>
      </c>
      <c r="B7492" s="2" t="str">
        <f t="shared" si="2"/>
        <v/>
      </c>
      <c r="C7492" s="2" t="str">
        <f t="shared" si="3"/>
        <v>SP500</v>
      </c>
      <c r="D7492" s="2">
        <f t="shared" si="4"/>
        <v>17879.3</v>
      </c>
      <c r="E7492" s="2">
        <f t="shared" si="5"/>
        <v>17879.3</v>
      </c>
      <c r="G7492" s="10">
        <f t="shared" si="9"/>
        <v>45474.64583</v>
      </c>
      <c r="H7492" s="6" t="str">
        <f t="shared" si="6"/>
        <v/>
      </c>
      <c r="I7492" s="2">
        <f t="shared" si="7"/>
        <v>1426.89</v>
      </c>
    </row>
    <row r="7493">
      <c r="A7493" s="10">
        <f t="shared" si="8"/>
        <v>45475.66667</v>
      </c>
      <c r="B7493" s="2" t="str">
        <f t="shared" si="2"/>
        <v/>
      </c>
      <c r="C7493" s="2" t="str">
        <f t="shared" si="3"/>
        <v>SP500</v>
      </c>
      <c r="D7493" s="2">
        <f t="shared" si="4"/>
        <v>18028.76</v>
      </c>
      <c r="E7493" s="2">
        <f t="shared" si="5"/>
        <v>18028.76</v>
      </c>
      <c r="G7493" s="10">
        <f t="shared" si="9"/>
        <v>45475.64583</v>
      </c>
      <c r="H7493" s="6" t="str">
        <f t="shared" si="6"/>
        <v/>
      </c>
      <c r="I7493" s="2">
        <f t="shared" si="7"/>
        <v>1426.89</v>
      </c>
    </row>
    <row r="7494">
      <c r="A7494" s="10">
        <f t="shared" si="8"/>
        <v>45476.66667</v>
      </c>
      <c r="B7494" s="2" t="str">
        <f t="shared" si="2"/>
        <v/>
      </c>
      <c r="C7494" s="2" t="str">
        <f t="shared" si="3"/>
        <v>SP500</v>
      </c>
      <c r="D7494" s="2" t="str">
        <f t="shared" si="4"/>
        <v/>
      </c>
      <c r="E7494" s="2">
        <f t="shared" si="5"/>
        <v>18028.76</v>
      </c>
      <c r="G7494" s="10">
        <f t="shared" si="9"/>
        <v>45476.64583</v>
      </c>
      <c r="H7494" s="6" t="str">
        <f t="shared" si="6"/>
        <v/>
      </c>
      <c r="I7494" s="2">
        <f t="shared" si="7"/>
        <v>1426.89</v>
      </c>
    </row>
    <row r="7495">
      <c r="A7495" s="10">
        <f t="shared" si="8"/>
        <v>45477.66667</v>
      </c>
      <c r="B7495" s="2" t="str">
        <f t="shared" si="2"/>
        <v/>
      </c>
      <c r="C7495" s="2" t="str">
        <f t="shared" si="3"/>
        <v>SP500</v>
      </c>
      <c r="D7495" s="2" t="str">
        <f t="shared" si="4"/>
        <v/>
      </c>
      <c r="E7495" s="2">
        <f t="shared" si="5"/>
        <v>18028.76</v>
      </c>
      <c r="G7495" s="10">
        <f t="shared" si="9"/>
        <v>45477.64583</v>
      </c>
      <c r="H7495" s="6" t="str">
        <f t="shared" si="6"/>
        <v/>
      </c>
      <c r="I7495" s="2">
        <f t="shared" si="7"/>
        <v>1426.89</v>
      </c>
    </row>
    <row r="7496">
      <c r="A7496" s="10">
        <f t="shared" si="8"/>
        <v>45478.66667</v>
      </c>
      <c r="B7496" s="2" t="str">
        <f t="shared" si="2"/>
        <v/>
      </c>
      <c r="C7496" s="2" t="str">
        <f t="shared" si="3"/>
        <v>SP500</v>
      </c>
      <c r="D7496" s="2">
        <f t="shared" si="4"/>
        <v>18352.76</v>
      </c>
      <c r="E7496" s="2">
        <f t="shared" si="5"/>
        <v>18352.76</v>
      </c>
      <c r="G7496" s="10">
        <f t="shared" si="9"/>
        <v>45478.64583</v>
      </c>
      <c r="H7496" s="6" t="str">
        <f t="shared" si="6"/>
        <v/>
      </c>
      <c r="I7496" s="2">
        <f t="shared" si="7"/>
        <v>1426.89</v>
      </c>
    </row>
    <row r="7497">
      <c r="A7497" s="10">
        <f t="shared" si="8"/>
        <v>45479.66667</v>
      </c>
      <c r="B7497" s="2" t="str">
        <f t="shared" si="2"/>
        <v/>
      </c>
      <c r="C7497" s="2" t="str">
        <f t="shared" si="3"/>
        <v>SP500</v>
      </c>
      <c r="D7497" s="2" t="str">
        <f t="shared" si="4"/>
        <v/>
      </c>
      <c r="E7497" s="2">
        <f t="shared" si="5"/>
        <v>18352.76</v>
      </c>
      <c r="G7497" s="10">
        <f t="shared" si="9"/>
        <v>45479.64583</v>
      </c>
      <c r="H7497" s="6" t="str">
        <f t="shared" si="6"/>
        <v/>
      </c>
      <c r="I7497" s="2">
        <f t="shared" si="7"/>
        <v>1426.89</v>
      </c>
    </row>
    <row r="7498">
      <c r="A7498" s="10">
        <f t="shared" si="8"/>
        <v>45480.66667</v>
      </c>
      <c r="B7498" s="2" t="str">
        <f t="shared" si="2"/>
        <v/>
      </c>
      <c r="C7498" s="2" t="str">
        <f t="shared" si="3"/>
        <v>SP500</v>
      </c>
      <c r="D7498" s="2" t="str">
        <f t="shared" si="4"/>
        <v/>
      </c>
      <c r="E7498" s="2">
        <f t="shared" si="5"/>
        <v>18352.76</v>
      </c>
      <c r="G7498" s="10">
        <f t="shared" si="9"/>
        <v>45480.64583</v>
      </c>
      <c r="H7498" s="6" t="str">
        <f t="shared" si="6"/>
        <v/>
      </c>
      <c r="I7498" s="2">
        <f t="shared" si="7"/>
        <v>1426.89</v>
      </c>
    </row>
    <row r="7499">
      <c r="A7499" s="10">
        <f t="shared" si="8"/>
        <v>45481.66667</v>
      </c>
      <c r="B7499" s="2" t="str">
        <f t="shared" si="2"/>
        <v/>
      </c>
      <c r="C7499" s="2" t="str">
        <f t="shared" si="3"/>
        <v>SP500</v>
      </c>
      <c r="D7499" s="2">
        <f t="shared" si="4"/>
        <v>18403.74</v>
      </c>
      <c r="E7499" s="2">
        <f t="shared" si="5"/>
        <v>18403.74</v>
      </c>
      <c r="G7499" s="10">
        <f t="shared" si="9"/>
        <v>45481.64583</v>
      </c>
      <c r="H7499" s="6" t="str">
        <f t="shared" si="6"/>
        <v/>
      </c>
      <c r="I7499" s="2">
        <f t="shared" si="7"/>
        <v>1426.89</v>
      </c>
    </row>
    <row r="7500">
      <c r="A7500" s="10">
        <f t="shared" si="8"/>
        <v>45482.66667</v>
      </c>
      <c r="B7500" s="2" t="str">
        <f t="shared" si="2"/>
        <v/>
      </c>
      <c r="C7500" s="2" t="str">
        <f t="shared" si="3"/>
        <v>SP500</v>
      </c>
      <c r="D7500" s="2">
        <f t="shared" si="4"/>
        <v>18429.29</v>
      </c>
      <c r="E7500" s="2">
        <f t="shared" si="5"/>
        <v>18429.29</v>
      </c>
      <c r="G7500" s="10">
        <f t="shared" si="9"/>
        <v>45482.64583</v>
      </c>
      <c r="H7500" s="6" t="str">
        <f t="shared" si="6"/>
        <v/>
      </c>
      <c r="I7500" s="2">
        <f t="shared" si="7"/>
        <v>1426.89</v>
      </c>
    </row>
    <row r="7501">
      <c r="A7501" s="10">
        <f t="shared" si="8"/>
        <v>45483.66667</v>
      </c>
      <c r="B7501" s="2" t="str">
        <f t="shared" si="2"/>
        <v/>
      </c>
      <c r="C7501" s="2" t="str">
        <f t="shared" si="3"/>
        <v>SP500</v>
      </c>
      <c r="D7501" s="2">
        <f t="shared" si="4"/>
        <v>18647.45</v>
      </c>
      <c r="E7501" s="2">
        <f t="shared" si="5"/>
        <v>18647.45</v>
      </c>
      <c r="G7501" s="10">
        <f t="shared" si="9"/>
        <v>45483.64583</v>
      </c>
      <c r="H7501" s="6" t="str">
        <f t="shared" si="6"/>
        <v/>
      </c>
      <c r="I7501" s="2">
        <f t="shared" si="7"/>
        <v>1426.89</v>
      </c>
    </row>
    <row r="7502">
      <c r="A7502" s="10">
        <f t="shared" si="8"/>
        <v>45484.66667</v>
      </c>
      <c r="B7502" s="2" t="str">
        <f t="shared" si="2"/>
        <v/>
      </c>
      <c r="C7502" s="2" t="str">
        <f t="shared" si="3"/>
        <v>SP500</v>
      </c>
      <c r="D7502" s="2">
        <f t="shared" si="4"/>
        <v>18283.41</v>
      </c>
      <c r="E7502" s="2">
        <f t="shared" si="5"/>
        <v>18283.41</v>
      </c>
      <c r="G7502" s="10">
        <f t="shared" si="9"/>
        <v>45484.64583</v>
      </c>
      <c r="H7502" s="6" t="str">
        <f t="shared" si="6"/>
        <v/>
      </c>
      <c r="I7502" s="2">
        <f t="shared" si="7"/>
        <v>1426.89</v>
      </c>
    </row>
    <row r="7503">
      <c r="A7503" s="10">
        <f t="shared" si="8"/>
        <v>45485.66667</v>
      </c>
      <c r="B7503" s="2" t="str">
        <f t="shared" si="2"/>
        <v/>
      </c>
      <c r="C7503" s="2" t="str">
        <f t="shared" si="3"/>
        <v>SP500</v>
      </c>
      <c r="D7503" s="2">
        <f t="shared" si="4"/>
        <v>18398.45</v>
      </c>
      <c r="E7503" s="2">
        <f t="shared" si="5"/>
        <v>18398.45</v>
      </c>
      <c r="G7503" s="10">
        <f t="shared" si="9"/>
        <v>45485.64583</v>
      </c>
      <c r="H7503" s="6" t="str">
        <f t="shared" si="6"/>
        <v/>
      </c>
      <c r="I7503" s="2">
        <f t="shared" si="7"/>
        <v>1426.89</v>
      </c>
    </row>
    <row r="7504">
      <c r="A7504" s="10">
        <f t="shared" si="8"/>
        <v>45486.66667</v>
      </c>
      <c r="B7504" s="2" t="str">
        <f t="shared" si="2"/>
        <v/>
      </c>
      <c r="C7504" s="2" t="str">
        <f t="shared" si="3"/>
        <v>SP500</v>
      </c>
      <c r="D7504" s="2" t="str">
        <f t="shared" si="4"/>
        <v/>
      </c>
      <c r="E7504" s="2">
        <f t="shared" si="5"/>
        <v>18398.45</v>
      </c>
      <c r="G7504" s="10">
        <f t="shared" si="9"/>
        <v>45486.64583</v>
      </c>
      <c r="H7504" s="6" t="str">
        <f t="shared" si="6"/>
        <v/>
      </c>
      <c r="I7504" s="2">
        <f t="shared" si="7"/>
        <v>1426.89</v>
      </c>
    </row>
    <row r="7505">
      <c r="A7505" s="10">
        <f t="shared" si="8"/>
        <v>45487.66667</v>
      </c>
      <c r="B7505" s="2" t="str">
        <f t="shared" si="2"/>
        <v/>
      </c>
      <c r="C7505" s="2" t="str">
        <f t="shared" si="3"/>
        <v>SP500</v>
      </c>
      <c r="D7505" s="2" t="str">
        <f t="shared" si="4"/>
        <v/>
      </c>
      <c r="E7505" s="2">
        <f t="shared" si="5"/>
        <v>18398.45</v>
      </c>
      <c r="G7505" s="10">
        <f t="shared" si="9"/>
        <v>45487.64583</v>
      </c>
      <c r="H7505" s="6" t="str">
        <f t="shared" si="6"/>
        <v/>
      </c>
      <c r="I7505" s="2">
        <f t="shared" si="7"/>
        <v>1426.89</v>
      </c>
    </row>
    <row r="7506">
      <c r="A7506" s="10">
        <f t="shared" si="8"/>
        <v>45488.66667</v>
      </c>
      <c r="B7506" s="2" t="str">
        <f t="shared" si="2"/>
        <v/>
      </c>
      <c r="C7506" s="2" t="str">
        <f t="shared" si="3"/>
        <v>SP500</v>
      </c>
      <c r="D7506" s="2">
        <f t="shared" si="4"/>
        <v>18472.57</v>
      </c>
      <c r="E7506" s="2">
        <f t="shared" si="5"/>
        <v>18472.57</v>
      </c>
      <c r="G7506" s="10">
        <f t="shared" si="9"/>
        <v>45488.64583</v>
      </c>
      <c r="H7506" s="6" t="str">
        <f t="shared" si="6"/>
        <v/>
      </c>
      <c r="I7506" s="2">
        <f t="shared" si="7"/>
        <v>1426.89</v>
      </c>
    </row>
    <row r="7507">
      <c r="A7507" s="10">
        <f t="shared" si="8"/>
        <v>45489.66667</v>
      </c>
      <c r="B7507" s="2" t="str">
        <f t="shared" si="2"/>
        <v/>
      </c>
      <c r="C7507" s="2" t="str">
        <f t="shared" si="3"/>
        <v>SP500</v>
      </c>
      <c r="D7507" s="2">
        <f t="shared" si="4"/>
        <v>18509.34</v>
      </c>
      <c r="E7507" s="2">
        <f t="shared" si="5"/>
        <v>18509.34</v>
      </c>
      <c r="G7507" s="10">
        <f t="shared" si="9"/>
        <v>45489.64583</v>
      </c>
      <c r="H7507" s="6" t="str">
        <f t="shared" si="6"/>
        <v/>
      </c>
      <c r="I7507" s="2">
        <f t="shared" si="7"/>
        <v>1426.89</v>
      </c>
    </row>
    <row r="7508">
      <c r="A7508" s="10">
        <f t="shared" si="8"/>
        <v>45490.66667</v>
      </c>
      <c r="B7508" s="2" t="str">
        <f t="shared" si="2"/>
        <v/>
      </c>
      <c r="C7508" s="2" t="str">
        <f t="shared" si="3"/>
        <v>SP500</v>
      </c>
      <c r="D7508" s="2">
        <f t="shared" si="4"/>
        <v>17996.93</v>
      </c>
      <c r="E7508" s="2">
        <f t="shared" si="5"/>
        <v>17996.93</v>
      </c>
      <c r="G7508" s="10">
        <f t="shared" si="9"/>
        <v>45490.64583</v>
      </c>
      <c r="H7508" s="6" t="str">
        <f t="shared" si="6"/>
        <v/>
      </c>
      <c r="I7508" s="2">
        <f t="shared" si="7"/>
        <v>1426.89</v>
      </c>
    </row>
    <row r="7509">
      <c r="A7509" s="10">
        <f t="shared" si="8"/>
        <v>45491.66667</v>
      </c>
      <c r="B7509" s="2" t="str">
        <f t="shared" si="2"/>
        <v/>
      </c>
      <c r="C7509" s="2" t="str">
        <f t="shared" si="3"/>
        <v>SP500</v>
      </c>
      <c r="D7509" s="2">
        <f t="shared" si="4"/>
        <v>17871.22</v>
      </c>
      <c r="E7509" s="2">
        <f t="shared" si="5"/>
        <v>17871.22</v>
      </c>
      <c r="G7509" s="10">
        <f t="shared" si="9"/>
        <v>45491.64583</v>
      </c>
      <c r="H7509" s="6" t="str">
        <f t="shared" si="6"/>
        <v/>
      </c>
      <c r="I7509" s="2">
        <f t="shared" si="7"/>
        <v>1426.89</v>
      </c>
    </row>
    <row r="7510">
      <c r="A7510" s="10">
        <f t="shared" si="8"/>
        <v>45492.66667</v>
      </c>
      <c r="B7510" s="2" t="str">
        <f t="shared" si="2"/>
        <v/>
      </c>
      <c r="C7510" s="2" t="str">
        <f t="shared" si="3"/>
        <v>SP500</v>
      </c>
      <c r="D7510" s="2">
        <f t="shared" si="4"/>
        <v>17726.94</v>
      </c>
      <c r="E7510" s="2">
        <f t="shared" si="5"/>
        <v>17726.94</v>
      </c>
      <c r="G7510" s="10">
        <f t="shared" si="9"/>
        <v>45492.64583</v>
      </c>
      <c r="H7510" s="6" t="str">
        <f t="shared" si="6"/>
        <v/>
      </c>
      <c r="I7510" s="2">
        <f t="shared" si="7"/>
        <v>1426.89</v>
      </c>
    </row>
    <row r="7511">
      <c r="A7511" s="10">
        <f t="shared" si="8"/>
        <v>45493.66667</v>
      </c>
      <c r="B7511" s="2" t="str">
        <f t="shared" si="2"/>
        <v/>
      </c>
      <c r="C7511" s="2" t="str">
        <f t="shared" si="3"/>
        <v>SP500</v>
      </c>
      <c r="D7511" s="2" t="str">
        <f t="shared" si="4"/>
        <v/>
      </c>
      <c r="E7511" s="2">
        <f t="shared" si="5"/>
        <v>17726.94</v>
      </c>
      <c r="G7511" s="10">
        <f t="shared" si="9"/>
        <v>45493.64583</v>
      </c>
      <c r="H7511" s="6" t="str">
        <f t="shared" si="6"/>
        <v/>
      </c>
      <c r="I7511" s="2">
        <f t="shared" si="7"/>
        <v>1426.89</v>
      </c>
    </row>
    <row r="7512">
      <c r="A7512" s="10">
        <f t="shared" si="8"/>
        <v>45494.66667</v>
      </c>
      <c r="B7512" s="2" t="str">
        <f t="shared" si="2"/>
        <v/>
      </c>
      <c r="C7512" s="2" t="str">
        <f t="shared" si="3"/>
        <v>SP500</v>
      </c>
      <c r="D7512" s="2" t="str">
        <f t="shared" si="4"/>
        <v/>
      </c>
      <c r="E7512" s="2">
        <f t="shared" si="5"/>
        <v>17726.94</v>
      </c>
      <c r="G7512" s="10">
        <f t="shared" si="9"/>
        <v>45494.64583</v>
      </c>
      <c r="H7512" s="6" t="str">
        <f t="shared" si="6"/>
        <v/>
      </c>
      <c r="I7512" s="2">
        <f t="shared" si="7"/>
        <v>1426.89</v>
      </c>
    </row>
    <row r="7513">
      <c r="A7513" s="10">
        <f t="shared" si="8"/>
        <v>45495.66667</v>
      </c>
      <c r="B7513" s="2" t="str">
        <f t="shared" si="2"/>
        <v/>
      </c>
      <c r="C7513" s="2" t="str">
        <f t="shared" si="3"/>
        <v>SP500</v>
      </c>
      <c r="D7513" s="2">
        <f t="shared" si="4"/>
        <v>18007.57</v>
      </c>
      <c r="E7513" s="2">
        <f t="shared" si="5"/>
        <v>18007.57</v>
      </c>
      <c r="G7513" s="10">
        <f t="shared" si="9"/>
        <v>45495.64583</v>
      </c>
      <c r="H7513" s="6" t="str">
        <f t="shared" si="6"/>
        <v/>
      </c>
      <c r="I7513" s="2">
        <f t="shared" si="7"/>
        <v>1426.89</v>
      </c>
    </row>
    <row r="7514">
      <c r="A7514" s="10">
        <f t="shared" si="8"/>
        <v>45496.66667</v>
      </c>
      <c r="B7514" s="2" t="str">
        <f t="shared" si="2"/>
        <v/>
      </c>
      <c r="C7514" s="2" t="str">
        <f t="shared" si="3"/>
        <v>SP500</v>
      </c>
      <c r="D7514" s="2">
        <f t="shared" si="4"/>
        <v>17997.35</v>
      </c>
      <c r="E7514" s="2">
        <f t="shared" si="5"/>
        <v>17997.35</v>
      </c>
      <c r="G7514" s="10">
        <f t="shared" si="9"/>
        <v>45496.64583</v>
      </c>
      <c r="H7514" s="6" t="str">
        <f t="shared" si="6"/>
        <v/>
      </c>
      <c r="I7514" s="2">
        <f t="shared" si="7"/>
        <v>1426.89</v>
      </c>
    </row>
    <row r="7515">
      <c r="A7515" s="10">
        <f t="shared" si="8"/>
        <v>45497.66667</v>
      </c>
      <c r="B7515" s="2" t="str">
        <f t="shared" si="2"/>
        <v/>
      </c>
      <c r="C7515" s="2" t="str">
        <f t="shared" si="3"/>
        <v>SP500</v>
      </c>
      <c r="D7515" s="2">
        <f t="shared" si="4"/>
        <v>17342.41</v>
      </c>
      <c r="E7515" s="2">
        <f t="shared" si="5"/>
        <v>17342.41</v>
      </c>
      <c r="G7515" s="10">
        <f t="shared" si="9"/>
        <v>45497.64583</v>
      </c>
      <c r="H7515" s="6" t="str">
        <f t="shared" si="6"/>
        <v/>
      </c>
      <c r="I7515" s="2">
        <f t="shared" si="7"/>
        <v>1426.89</v>
      </c>
    </row>
    <row r="7516">
      <c r="A7516" s="10">
        <f t="shared" si="8"/>
        <v>45498.66667</v>
      </c>
      <c r="B7516" s="2" t="str">
        <f t="shared" si="2"/>
        <v/>
      </c>
      <c r="C7516" s="2" t="str">
        <f t="shared" si="3"/>
        <v>SP500</v>
      </c>
      <c r="D7516" s="2">
        <f t="shared" si="4"/>
        <v>17181.72</v>
      </c>
      <c r="E7516" s="2">
        <f t="shared" si="5"/>
        <v>17181.72</v>
      </c>
      <c r="G7516" s="10">
        <f t="shared" si="9"/>
        <v>45498.64583</v>
      </c>
      <c r="H7516" s="6" t="str">
        <f t="shared" si="6"/>
        <v/>
      </c>
      <c r="I7516" s="2">
        <f t="shared" si="7"/>
        <v>1426.89</v>
      </c>
    </row>
    <row r="7517">
      <c r="A7517" s="10">
        <f t="shared" si="8"/>
        <v>45499.66667</v>
      </c>
      <c r="B7517" s="2" t="str">
        <f t="shared" si="2"/>
        <v/>
      </c>
      <c r="C7517" s="2" t="str">
        <f t="shared" si="3"/>
        <v>SP500</v>
      </c>
      <c r="D7517" s="2">
        <f t="shared" si="4"/>
        <v>17357.88</v>
      </c>
      <c r="E7517" s="2">
        <f t="shared" si="5"/>
        <v>17357.88</v>
      </c>
      <c r="G7517" s="10">
        <f t="shared" si="9"/>
        <v>45499.64583</v>
      </c>
      <c r="H7517" s="6" t="str">
        <f t="shared" si="6"/>
        <v/>
      </c>
      <c r="I7517" s="2">
        <f t="shared" si="7"/>
        <v>1426.89</v>
      </c>
    </row>
    <row r="7518">
      <c r="A7518" s="10">
        <f t="shared" si="8"/>
        <v>45500.66667</v>
      </c>
      <c r="B7518" s="2" t="str">
        <f t="shared" si="2"/>
        <v/>
      </c>
      <c r="C7518" s="2" t="str">
        <f t="shared" si="3"/>
        <v>SP500</v>
      </c>
      <c r="D7518" s="2" t="str">
        <f t="shared" si="4"/>
        <v/>
      </c>
      <c r="E7518" s="2">
        <f t="shared" si="5"/>
        <v>17357.88</v>
      </c>
      <c r="G7518" s="10">
        <f t="shared" si="9"/>
        <v>45500.64583</v>
      </c>
      <c r="H7518" s="6" t="str">
        <f t="shared" si="6"/>
        <v/>
      </c>
      <c r="I7518" s="2">
        <f t="shared" si="7"/>
        <v>1426.89</v>
      </c>
    </row>
    <row r="7519">
      <c r="A7519" s="10">
        <f t="shared" si="8"/>
        <v>45501.66667</v>
      </c>
      <c r="B7519" s="2" t="str">
        <f t="shared" si="2"/>
        <v/>
      </c>
      <c r="C7519" s="2" t="str">
        <f t="shared" si="3"/>
        <v>SP500</v>
      </c>
      <c r="D7519" s="2" t="str">
        <f t="shared" si="4"/>
        <v/>
      </c>
      <c r="E7519" s="2">
        <f t="shared" si="5"/>
        <v>17357.88</v>
      </c>
      <c r="G7519" s="10">
        <f t="shared" si="9"/>
        <v>45501.64583</v>
      </c>
      <c r="H7519" s="6" t="str">
        <f t="shared" si="6"/>
        <v/>
      </c>
      <c r="I7519" s="2">
        <f t="shared" si="7"/>
        <v>1426.89</v>
      </c>
    </row>
    <row r="7520">
      <c r="A7520" s="10">
        <f t="shared" si="8"/>
        <v>45502.66667</v>
      </c>
      <c r="B7520" s="2" t="str">
        <f t="shared" si="2"/>
        <v/>
      </c>
      <c r="C7520" s="2" t="str">
        <f t="shared" si="3"/>
        <v>SP500</v>
      </c>
      <c r="D7520" s="2">
        <f t="shared" si="4"/>
        <v>17370.2</v>
      </c>
      <c r="E7520" s="2">
        <f t="shared" si="5"/>
        <v>17370.2</v>
      </c>
      <c r="G7520" s="10">
        <f t="shared" si="9"/>
        <v>45502.64583</v>
      </c>
      <c r="H7520" s="6" t="str">
        <f t="shared" si="6"/>
        <v/>
      </c>
      <c r="I7520" s="2">
        <f t="shared" si="7"/>
        <v>1426.89</v>
      </c>
    </row>
    <row r="7521">
      <c r="A7521" s="10">
        <f t="shared" si="8"/>
        <v>45503.66667</v>
      </c>
      <c r="B7521" s="2" t="str">
        <f t="shared" si="2"/>
        <v/>
      </c>
      <c r="C7521" s="2" t="str">
        <f t="shared" si="3"/>
        <v>SP500</v>
      </c>
      <c r="D7521" s="2">
        <f t="shared" si="4"/>
        <v>17147.42</v>
      </c>
      <c r="E7521" s="2">
        <f t="shared" si="5"/>
        <v>17147.42</v>
      </c>
      <c r="G7521" s="10">
        <f t="shared" si="9"/>
        <v>45503.64583</v>
      </c>
      <c r="H7521" s="6" t="str">
        <f t="shared" si="6"/>
        <v/>
      </c>
      <c r="I7521" s="2">
        <f t="shared" si="7"/>
        <v>1426.89</v>
      </c>
    </row>
    <row r="7522">
      <c r="A7522" s="10">
        <f t="shared" si="8"/>
        <v>45504.66667</v>
      </c>
      <c r="B7522" s="2" t="str">
        <f t="shared" si="2"/>
        <v/>
      </c>
      <c r="C7522" s="2" t="str">
        <f t="shared" si="3"/>
        <v>SP500</v>
      </c>
      <c r="D7522" s="2">
        <f t="shared" si="4"/>
        <v>17599.4</v>
      </c>
      <c r="E7522" s="2">
        <f t="shared" si="5"/>
        <v>17599.4</v>
      </c>
      <c r="G7522" s="10">
        <f t="shared" si="9"/>
        <v>45504.64583</v>
      </c>
      <c r="H7522" s="6" t="str">
        <f t="shared" si="6"/>
        <v/>
      </c>
      <c r="I7522" s="2">
        <f t="shared" si="7"/>
        <v>1426.89</v>
      </c>
    </row>
    <row r="7523">
      <c r="A7523" s="10">
        <f t="shared" si="8"/>
        <v>45505.66667</v>
      </c>
      <c r="B7523" s="2" t="str">
        <f t="shared" si="2"/>
        <v/>
      </c>
      <c r="C7523" s="2" t="str">
        <f t="shared" si="3"/>
        <v>SP500</v>
      </c>
      <c r="D7523" s="2">
        <f t="shared" si="4"/>
        <v>17194.15</v>
      </c>
      <c r="E7523" s="2">
        <f t="shared" si="5"/>
        <v>17194.15</v>
      </c>
      <c r="G7523" s="10">
        <f t="shared" si="9"/>
        <v>45505.64583</v>
      </c>
      <c r="H7523" s="6" t="str">
        <f t="shared" si="6"/>
        <v/>
      </c>
      <c r="I7523" s="2">
        <f t="shared" si="7"/>
        <v>1426.89</v>
      </c>
    </row>
    <row r="7524">
      <c r="A7524" s="10">
        <f t="shared" si="8"/>
        <v>45506.66667</v>
      </c>
      <c r="B7524" s="2" t="str">
        <f t="shared" si="2"/>
        <v/>
      </c>
      <c r="C7524" s="2" t="str">
        <f t="shared" si="3"/>
        <v>SP500</v>
      </c>
      <c r="D7524" s="2">
        <f t="shared" si="4"/>
        <v>16776.16</v>
      </c>
      <c r="E7524" s="2">
        <f t="shared" si="5"/>
        <v>16776.16</v>
      </c>
      <c r="G7524" s="10">
        <f t="shared" si="9"/>
        <v>45506.64583</v>
      </c>
      <c r="H7524" s="6" t="str">
        <f t="shared" si="6"/>
        <v/>
      </c>
      <c r="I7524" s="2">
        <f t="shared" si="7"/>
        <v>1426.89</v>
      </c>
    </row>
    <row r="7525">
      <c r="A7525" s="10">
        <f t="shared" si="8"/>
        <v>45507.66667</v>
      </c>
      <c r="B7525" s="2" t="str">
        <f t="shared" si="2"/>
        <v/>
      </c>
      <c r="C7525" s="2" t="str">
        <f t="shared" si="3"/>
        <v>SP500</v>
      </c>
      <c r="D7525" s="2" t="str">
        <f t="shared" si="4"/>
        <v/>
      </c>
      <c r="E7525" s="2">
        <f t="shared" si="5"/>
        <v>16776.16</v>
      </c>
      <c r="G7525" s="10">
        <f t="shared" si="9"/>
        <v>45507.64583</v>
      </c>
      <c r="H7525" s="6" t="str">
        <f t="shared" si="6"/>
        <v/>
      </c>
      <c r="I7525" s="2">
        <f t="shared" si="7"/>
        <v>1426.89</v>
      </c>
    </row>
    <row r="7526">
      <c r="A7526" s="10">
        <f t="shared" si="8"/>
        <v>45508.66667</v>
      </c>
      <c r="B7526" s="2" t="str">
        <f t="shared" si="2"/>
        <v/>
      </c>
      <c r="C7526" s="2" t="str">
        <f t="shared" si="3"/>
        <v>SP500</v>
      </c>
      <c r="D7526" s="2" t="str">
        <f t="shared" si="4"/>
        <v/>
      </c>
      <c r="E7526" s="2">
        <f t="shared" si="5"/>
        <v>16776.16</v>
      </c>
      <c r="G7526" s="10">
        <f t="shared" si="9"/>
        <v>45508.64583</v>
      </c>
      <c r="H7526" s="6" t="str">
        <f t="shared" si="6"/>
        <v/>
      </c>
      <c r="I7526" s="2">
        <f t="shared" si="7"/>
        <v>1426.89</v>
      </c>
    </row>
  </sheetData>
  <drawing r:id="rId1"/>
</worksheet>
</file>